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1.xml" ContentType="application/vnd.openxmlformats-officedocument.spreadsheetml.comments+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xl/drawings/drawing5.xml" ContentType="application/vnd.openxmlformats-officedocument.drawing+xml"/>
  <Override PartName="/xl/ctrlProps/ctrlProp4.xml" ContentType="application/vnd.ms-excel.controlproperties+xml"/>
  <Override PartName="/xl/comments3.xml" ContentType="application/vnd.openxmlformats-officedocument.spreadsheetml.comments+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18.xml" ContentType="application/vnd.openxmlformats-officedocument.drawing+xml"/>
  <Override PartName="/xl/drawings/drawing19.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MFSD010.MFSUK-D010\Desktop\SF calc\polaristest\frontend\integration\"/>
    </mc:Choice>
  </mc:AlternateContent>
  <xr:revisionPtr revIDLastSave="0" documentId="8_{F682891E-5094-44C3-8AD9-686084FE1455}" xr6:coauthVersionLast="47" xr6:coauthVersionMax="47" xr10:uidLastSave="{00000000-0000-0000-0000-000000000000}"/>
  <bookViews>
    <workbookView xWindow="28680" yWindow="15" windowWidth="29040" windowHeight="15720" tabRatio="906" firstSheet="7" activeTab="7" xr2:uid="{031A0EF3-187A-4357-B425-A7343CEEE364}"/>
  </bookViews>
  <sheets>
    <sheet name="BTL Calculator WIP" sheetId="77" state="hidden" r:id="rId1"/>
    <sheet name="HomePage (2)" sheetId="81" state="hidden" r:id="rId2"/>
    <sheet name="HomePage" sheetId="53" state="hidden" r:id="rId3"/>
    <sheet name="ROX WORKINGS" sheetId="65" state="hidden" r:id="rId4"/>
    <sheet name="HPI" sheetId="5" state="hidden" r:id="rId5"/>
    <sheet name="Fusion Calc" sheetId="95" state="hidden" r:id="rId6"/>
    <sheet name="KB_CRITERIA AND CALCULATION " sheetId="66" state="hidden" r:id="rId7"/>
    <sheet name="BTL Calculator" sheetId="56" r:id="rId8"/>
    <sheet name="KB Model Suggestions Fixed  5yr" sheetId="102" state="hidden" r:id="rId9"/>
    <sheet name="KB Model Suggestions Fixed 3yr" sheetId="91" state="hidden" r:id="rId10"/>
    <sheet name="KB Model Suggestions Fixed 2yr" sheetId="90" state="hidden" r:id="rId11"/>
    <sheet name="KB Model Suggestions Tr 2yr" sheetId="85" state="hidden" r:id="rId12"/>
    <sheet name="DIP" sheetId="62" r:id="rId13"/>
    <sheet name="Product Data" sheetId="54" state="hidden" r:id="rId14"/>
    <sheet name="KB_C&amp;S Opt Roll Defer " sheetId="83" state="hidden" r:id="rId15"/>
    <sheet name="KB_C&amp;S 2yr fixed" sheetId="99" state="hidden" r:id="rId16"/>
    <sheet name="KB_C&amp;S 3yr fixed" sheetId="101" state="hidden" r:id="rId17"/>
    <sheet name="KB V Model Suggestions Fixed 2" sheetId="86" state="hidden" r:id="rId18"/>
    <sheet name="KB_BTL Opt Roll Defer Top Slice" sheetId="80" state="hidden" r:id="rId19"/>
    <sheet name="Underwriting Requirements - NEW" sheetId="104" r:id="rId20"/>
    <sheet name="EBITDA calc_" sheetId="84" state="hidden" r:id="rId21"/>
    <sheet name="Bridging Hybrid Calc" sheetId="75" state="hidden" r:id="rId22"/>
    <sheet name="Holiday-Let" sheetId="58" r:id="rId23"/>
    <sheet name="Loan Data" sheetId="28" state="hidden" r:id="rId24"/>
    <sheet name="abc" sheetId="67" state="hidden" r:id="rId25"/>
    <sheet name="Notes" sheetId="76" state="hidden" r:id="rId26"/>
    <sheet name="Credit terms" sheetId="68" state="hidden" r:id="rId27"/>
    <sheet name="Lawyers terms" sheetId="69" state="hidden" r:id="rId28"/>
    <sheet name="Bespoke Tier" sheetId="60" state="hidden" r:id="rId29"/>
    <sheet name="Deal lead sheet" sheetId="30" state="hidden" r:id="rId30"/>
    <sheet name="DD (2)" sheetId="61" state="hidden" r:id="rId31"/>
    <sheet name="DD" sheetId="46" state="hidden" r:id="rId32"/>
    <sheet name="Check prior" sheetId="31" state="hidden" r:id="rId33"/>
    <sheet name="Check After" sheetId="32" state="hidden" r:id="rId34"/>
    <sheet name="Completion State" sheetId="42" state="hidden" r:id="rId35"/>
    <sheet name="Funders" sheetId="50" state="hidden" r:id="rId36"/>
    <sheet name="Main" sheetId="34" state="hidden" r:id="rId37"/>
    <sheet name="3C" sheetId="38" state="hidden" r:id="rId38"/>
    <sheet name="IL" sheetId="40" state="hidden" r:id="rId39"/>
    <sheet name="Zircon" sheetId="43" state="hidden" r:id="rId40"/>
    <sheet name="Audit" sheetId="44" state="hidden" r:id="rId41"/>
  </sheets>
  <definedNames>
    <definedName name="_xlnm._FilterDatabase" localSheetId="26" hidden="1">'Credit terms'!$A$1:$K$122</definedName>
    <definedName name="_xlnm._FilterDatabase" localSheetId="27" hidden="1">'Lawyers terms'!$A$1:$N$1</definedName>
    <definedName name="_xlnm._FilterDatabase" localSheetId="19" hidden="1">'Underwriting Requirements - NEW'!$M$7:$O$103</definedName>
    <definedName name="_ftn1" localSheetId="12">DIP!$M$14</definedName>
    <definedName name="_ftn2" localSheetId="12">DIP!#REF!</definedName>
    <definedName name="_ftn3" localSheetId="12">DIP!$M$15</definedName>
    <definedName name="_Hlk49441128" localSheetId="26">'Credit terms'!$C$82</definedName>
    <definedName name="_Hlk49441128" localSheetId="27">'Lawyers terms'!$C$103</definedName>
    <definedName name="_Hlk83203796" localSheetId="12">DIP!$A$83</definedName>
    <definedName name="_Hlk84245425" localSheetId="12">DIP!$A$57</definedName>
    <definedName name="_Hlk98754409" localSheetId="12">DIP!$K$59</definedName>
    <definedName name="_Hlk99544404" localSheetId="26">'Credit terms'!$C$23</definedName>
    <definedName name="_Hlk99544404" localSheetId="27">'Lawyers terms'!$C$28</definedName>
    <definedName name="_xlchart.v1.0" hidden="1">'BTL Calculator WIP'!$AB$118:$AB$123</definedName>
    <definedName name="_xlchart.v1.1" hidden="1">'BTL Calculator WIP'!$AC$118:$AC$123</definedName>
    <definedName name="_xlchart.v1.2" hidden="1">'BTL Calculator'!$AE$125:$AE$130</definedName>
    <definedName name="_xlchart.v1.3" hidden="1">'BTL Calculator'!$AF$125:$AF$130</definedName>
    <definedName name="Amber_P" localSheetId="19">#REF!</definedName>
    <definedName name="Amber_P">#REF!</definedName>
    <definedName name="APR" localSheetId="20">#REF!</definedName>
    <definedName name="APR" localSheetId="5">#REF!</definedName>
    <definedName name="APR" localSheetId="19">#REF!</definedName>
    <definedName name="APR">'KB_CRITERIA AND CALCULATION '!$L$32</definedName>
    <definedName name="Bank_Rate" localSheetId="20">'EBITDA calc_'!#REF!</definedName>
    <definedName name="Bank_Rate" localSheetId="19">#REF!</definedName>
    <definedName name="Bank_Rate">#REF!</definedName>
    <definedName name="BankBase" localSheetId="19">#REF!</definedName>
    <definedName name="BankBase">#REF!</definedName>
    <definedName name="BBR" localSheetId="20">#REF!</definedName>
    <definedName name="BBR" localSheetId="5">#REF!</definedName>
    <definedName name="BBR" localSheetId="19">#REF!</definedName>
    <definedName name="BBR">'Product Data'!$E$3</definedName>
    <definedName name="BBR_Override" localSheetId="0">'BTL Calculator WIP'!$K$28</definedName>
    <definedName name="BBR_Override" localSheetId="20">#REF!</definedName>
    <definedName name="BBR_Override" localSheetId="5">#REF!</definedName>
    <definedName name="BBR_Override" localSheetId="19">#REF!</definedName>
    <definedName name="BBR_Override">'BTL Calculator'!$H$31</definedName>
    <definedName name="Core_Net_loan" localSheetId="20">#REF!</definedName>
    <definedName name="Core_Net_loan" localSheetId="5">#REF!</definedName>
    <definedName name="Core_Net_loan" localSheetId="19">#REF!</definedName>
    <definedName name="Core_Net_loan">'KB_CRITERIA AND CALCULATION '!$D$29</definedName>
    <definedName name="CoreList">'Product Data'!#REF!</definedName>
    <definedName name="CoreListAdj">'Product Data'!$Y$22:$Y$24</definedName>
    <definedName name="CoreSpecialist">OFFSET('Product Data'!$BR$2, 0, 0, SUMPRODUCT(--(LEN('Product Data'!$BR$2:$BR$100)&gt;0)), 1)</definedName>
    <definedName name="CoreTypes">'Product Data'!$BU$2</definedName>
    <definedName name="CoreTypes_All">'Product Data'!$BU$2:$BU$3</definedName>
    <definedName name="CoreTypes2">'Product Data'!$BU$3</definedName>
    <definedName name="Custom_Defer" localSheetId="0">'BTL Calculator WIP'!$I$59</definedName>
    <definedName name="Custom_Defer">'BTL Calculator'!$I$67</definedName>
    <definedName name="Custom_Rolled" localSheetId="0">'BTL Calculator WIP'!$AR$2</definedName>
    <definedName name="Custom_Rolled">'BTL Calculator'!$AS$3</definedName>
    <definedName name="Custom_Rolled_Actual">'KB_CRITERIA AND CALCULATION '!$K$88</definedName>
    <definedName name="DD_In_Month1" localSheetId="30">'DD (2)'!$T$15</definedName>
    <definedName name="DD_In_Month1" localSheetId="20">#REF!</definedName>
    <definedName name="DD_In_Month1" localSheetId="5">#REF!</definedName>
    <definedName name="DD_In_Month1" localSheetId="19">#REF!</definedName>
    <definedName name="DD_In_Month1">DD!$T$15</definedName>
    <definedName name="Defer_int" localSheetId="0">'BTL Calculator WIP'!$I$59</definedName>
    <definedName name="Defer_int">'BTL Calculator'!$I$67</definedName>
    <definedName name="Defer_Term_Override" localSheetId="0">'BTL Calculator WIP'!$AN$26</definedName>
    <definedName name="Defer_Term_Override" localSheetId="20">#REF!</definedName>
    <definedName name="Defer_Term_Override" localSheetId="5">#REF!</definedName>
    <definedName name="Defer_Term_Override" localSheetId="19">#REF!</definedName>
    <definedName name="Defer_Term_Override">'BTL Calculator'!$CY$8</definedName>
    <definedName name="Defer2" localSheetId="20">#REF!</definedName>
    <definedName name="Defer2" localSheetId="5">#REF!</definedName>
    <definedName name="Defer2" localSheetId="19">#REF!</definedName>
    <definedName name="Defer2">'BTL Calculator'!$M$81</definedName>
    <definedName name="Defer3">'BTL Calculator'!$P$81</definedName>
    <definedName name="Defer4" localSheetId="20">#REF!</definedName>
    <definedName name="Defer4" localSheetId="5">#REF!</definedName>
    <definedName name="Defer4" localSheetId="19">#REF!</definedName>
    <definedName name="Defer4">'BTL Calculator'!$J$81</definedName>
    <definedName name="Defer6" localSheetId="20">#REF!</definedName>
    <definedName name="Defer6" localSheetId="5">#REF!</definedName>
    <definedName name="Defer6" localSheetId="19">#REF!</definedName>
    <definedName name="Defer6">'BTL Calculator'!$G$81</definedName>
    <definedName name="DeferedIntPercent" localSheetId="20">#REF!</definedName>
    <definedName name="DeferedIntPercent" localSheetId="5">#REF!</definedName>
    <definedName name="DeferedIntPercent" localSheetId="19">#REF!</definedName>
    <definedName name="DeferedIntPercent">'KB_CRITERIA AND CALCULATION '!$J$90</definedName>
    <definedName name="Deferred_Int_Owed" localSheetId="0">'BTL Calculator WIP'!$M$140</definedName>
    <definedName name="Deferred_Int_Owed" localSheetId="20">#REF!</definedName>
    <definedName name="Deferred_Int_Owed" localSheetId="5">#REF!</definedName>
    <definedName name="Deferred_Int_Owed" localSheetId="19">#REF!</definedName>
    <definedName name="Deferred_Int_Owed">'BTL Calculator'!$M$147</definedName>
    <definedName name="Deferred_Owed" localSheetId="20">#REF!</definedName>
    <definedName name="Deferred_Owed" localSheetId="5">#REF!</definedName>
    <definedName name="Deferred_Owed" localSheetId="19">#REF!</definedName>
    <definedName name="Deferred_Owed">'KB_CRITERIA AND CALCULATION '!$AD$90</definedName>
    <definedName name="EarthAve_P" localSheetId="19">#REF!</definedName>
    <definedName name="EarthAve_P">#REF!</definedName>
    <definedName name="End_Date" localSheetId="19">#REF!</definedName>
    <definedName name="End_Date">#REF!</definedName>
    <definedName name="ERC_Rate" localSheetId="19">#REF!</definedName>
    <definedName name="ERC_Rate">#REF!</definedName>
    <definedName name="Existing_Customer" localSheetId="0">'BTL Calculator WIP'!$K$9</definedName>
    <definedName name="Existing_Customer" localSheetId="20">#REF!</definedName>
    <definedName name="Existing_Customer" localSheetId="5">#REF!</definedName>
    <definedName name="Existing_Customer" localSheetId="19">#REF!</definedName>
    <definedName name="Existing_Customer">'BTL Calculator'!#REF!</definedName>
    <definedName name="Final_Month_DD_Req" localSheetId="30">'DD (2)'!$T$17</definedName>
    <definedName name="Final_Month_DD_Req" localSheetId="20">#REF!</definedName>
    <definedName name="Final_Month_DD_Req" localSheetId="5">#REF!</definedName>
    <definedName name="Final_Month_DD_Req" localSheetId="19">#REF!</definedName>
    <definedName name="Final_Month_DD_Req">DD!$T$17</definedName>
    <definedName name="Funder_Pic">INDIRECT(#REF!)</definedName>
    <definedName name="Funding_Line" localSheetId="19">#REF!</definedName>
    <definedName name="Funding_Line">#REF!</definedName>
    <definedName name="Future_Rent_TBL" localSheetId="0">SavillsHPI_TBL7[#All]</definedName>
    <definedName name="Future_Rent_TBL" localSheetId="30">SavillsHPI_TBL7[#All]</definedName>
    <definedName name="Future_Rent_TBL" localSheetId="20">#REF!</definedName>
    <definedName name="Future_Rent_TBL" localSheetId="5">#REF!</definedName>
    <definedName name="Future_Rent_TBL" localSheetId="1">SavillsHPI_TBL7[#All]</definedName>
    <definedName name="Future_Rent_TBL" localSheetId="8">SavillsHPI_TBL7[#All]</definedName>
    <definedName name="Future_Rent_TBL" localSheetId="10">SavillsHPI_TBL7[#All]</definedName>
    <definedName name="Future_Rent_TBL" localSheetId="9">SavillsHPI_TBL7[#All]</definedName>
    <definedName name="Future_Rent_TBL" localSheetId="11">SavillsHPI_TBL7[#All]</definedName>
    <definedName name="Future_Rent_TBL" localSheetId="17">SavillsHPI_TBL7[#All]</definedName>
    <definedName name="Future_Rent_TBL" localSheetId="15">SavillsHPI_TBL7[#All]</definedName>
    <definedName name="Future_Rent_TBL" localSheetId="16">SavillsHPI_TBL7[#All]</definedName>
    <definedName name="Future_Rent_TBL" localSheetId="14">SavillsHPI_TBL7[#All]</definedName>
    <definedName name="Future_Rent_TBL" localSheetId="27">SavillsHPI_TBL7[#All]</definedName>
    <definedName name="Future_Rent_TBL" localSheetId="19">#REF!</definedName>
    <definedName name="Future_Rent_TBL">SavillsHPI_TBL7[#All]</definedName>
    <definedName name="Gross_Loan" localSheetId="0">'BTL Calculator WIP'!$M$136</definedName>
    <definedName name="Gross_Loan" localSheetId="20">#REF!</definedName>
    <definedName name="Gross_Loan" localSheetId="5">#REF!</definedName>
    <definedName name="Gross_Loan" localSheetId="19">#REF!</definedName>
    <definedName name="Gross_Loan">'BTL Calculator'!$M$143</definedName>
    <definedName name="GrossPredictedLTV_2021">HPI!$J$7</definedName>
    <definedName name="GrossPredictedLTV_2022">HPI!$K$7</definedName>
    <definedName name="GrossPredictedLTV_2023">HPI!$L$7</definedName>
    <definedName name="GrossPredictedLTV_2024">HPI!$M$7</definedName>
    <definedName name="GrossPredictedLTV_2025">HPI!$N$7</definedName>
    <definedName name="GrossPredictedLTV_2025Total">HPI!$O$7</definedName>
    <definedName name="HPIAdjusted2021" localSheetId="20">#REF!</definedName>
    <definedName name="HPIAdjusted2021" localSheetId="5">#REF!</definedName>
    <definedName name="HPIAdjusted2021" localSheetId="19">#REF!</definedName>
    <definedName name="HPIAdjusted2021">HPI!$J$4</definedName>
    <definedName name="HPIAdjusted2022" localSheetId="20">#REF!</definedName>
    <definedName name="HPIAdjusted2022" localSheetId="5">#REF!</definedName>
    <definedName name="HPIAdjusted2022" localSheetId="19">#REF!</definedName>
    <definedName name="HPIAdjusted2022">HPI!$K$4</definedName>
    <definedName name="HPIAdjusted2023" localSheetId="20">#REF!</definedName>
    <definedName name="HPIAdjusted2023" localSheetId="5">#REF!</definedName>
    <definedName name="HPIAdjusted2023" localSheetId="19">#REF!</definedName>
    <definedName name="HPIAdjusted2023">HPI!$L$4</definedName>
    <definedName name="HPIAdjusted2024" localSheetId="20">#REF!</definedName>
    <definedName name="HPIAdjusted2024" localSheetId="5">#REF!</definedName>
    <definedName name="HPIAdjusted2024" localSheetId="19">#REF!</definedName>
    <definedName name="HPIAdjusted2024">HPI!$M$4</definedName>
    <definedName name="HPIAdjusted2025" localSheetId="20">#REF!</definedName>
    <definedName name="HPIAdjusted2025" localSheetId="5">#REF!</definedName>
    <definedName name="HPIAdjusted2025" localSheetId="19">#REF!</definedName>
    <definedName name="HPIAdjusted2025">HPI!$N$4</definedName>
    <definedName name="HPIAdjusted5yrTotal" localSheetId="20">#REF!</definedName>
    <definedName name="HPIAdjusted5yrTotal" localSheetId="5">#REF!</definedName>
    <definedName name="HPIAdjusted5yrTotal" localSheetId="19">#REF!</definedName>
    <definedName name="HPIAdjusted5yrTotal">HPI!$O$4</definedName>
    <definedName name="ICRUsed" localSheetId="20">#REF!</definedName>
    <definedName name="ICRUsed" localSheetId="5">#REF!</definedName>
    <definedName name="ICRUsed" localSheetId="19">#REF!</definedName>
    <definedName name="ICRUsed">'KB_CRITERIA AND CALCULATION '!#REF!</definedName>
    <definedName name="Initial_Rate" localSheetId="19">#REF!</definedName>
    <definedName name="Initial_Rate">#REF!</definedName>
    <definedName name="InitialRate" localSheetId="20">'EBITDA calc_'!#REF!</definedName>
    <definedName name="InitialRate" localSheetId="19">#REF!</definedName>
    <definedName name="InitialRate">#REF!</definedName>
    <definedName name="Loan_Required" localSheetId="0">'BTL Calculator WIP'!$R$52</definedName>
    <definedName name="Loan_Required">'BTL Calculator'!$U$60</definedName>
    <definedName name="Logo_1">Funders!$G$3</definedName>
    <definedName name="Logo_10">Funders!$G$13</definedName>
    <definedName name="Logo_11">Funders!$G$14</definedName>
    <definedName name="Logo_12">Funders!$G$15</definedName>
    <definedName name="Logo_13">Funders!$G$7</definedName>
    <definedName name="Logo_14">Funders!$G$16</definedName>
    <definedName name="Logo_15">Funders!$G$17</definedName>
    <definedName name="Logo_16">Funders!$G$18</definedName>
    <definedName name="Logo_17">Funders!$G$19</definedName>
    <definedName name="Logo_18">Funders!$G$20</definedName>
    <definedName name="Logo_19">Funders!$G$21</definedName>
    <definedName name="Logo_2">Funders!$G$4</definedName>
    <definedName name="Logo_20">Funders!$G$22</definedName>
    <definedName name="Logo_21">Funders!$G$23</definedName>
    <definedName name="Logo_22">Funders!$G$24</definedName>
    <definedName name="Logo_3">Funders!$G$5</definedName>
    <definedName name="Logo_4">Funders!$G$8</definedName>
    <definedName name="Logo_5">Funders!$G$9</definedName>
    <definedName name="Logo_6">Funders!$G$10</definedName>
    <definedName name="Logo_7">Funders!$G$6</definedName>
    <definedName name="Logo_8">Funders!$G$11</definedName>
    <definedName name="Logo_9">Funders!$G$12</definedName>
    <definedName name="MaxGrossLoan" localSheetId="20">#REF!</definedName>
    <definedName name="MaxGrossLoan" localSheetId="5">#REF!</definedName>
    <definedName name="MaxGrossLoan" localSheetId="19">#REF!</definedName>
    <definedName name="MaxGrossLoan">'KB_CRITERIA AND CALCULATION '!$D$70</definedName>
    <definedName name="MaxNetLoan" localSheetId="20">#REF!</definedName>
    <definedName name="MaxNetLoan" localSheetId="5">#REF!</definedName>
    <definedName name="MaxNetLoan" localSheetId="19">#REF!</definedName>
    <definedName name="MaxNetLoan">'KB_CRITERIA AND CALCULATION '!$D$71</definedName>
    <definedName name="Min_ICR" localSheetId="20">'EBITDA calc_'!#REF!</definedName>
    <definedName name="Min_ICR" localSheetId="19">#REF!</definedName>
    <definedName name="Min_ICR">#REF!</definedName>
    <definedName name="MinICR" localSheetId="20">'EBITDA calc_'!#REF!</definedName>
    <definedName name="Month_Payrate" localSheetId="19">#REF!</definedName>
    <definedName name="Month_Payrate">#REF!</definedName>
    <definedName name="Month1_Remainder" localSheetId="30">'DD (2)'!$F$60</definedName>
    <definedName name="Month1_Remainder" localSheetId="20">#REF!</definedName>
    <definedName name="Month1_Remainder" localSheetId="5">#REF!</definedName>
    <definedName name="Month1_Remainder" localSheetId="19">#REF!</definedName>
    <definedName name="Month1_Remainder">DD!$F$60</definedName>
    <definedName name="Monthly_DD" localSheetId="20">#REF!</definedName>
    <definedName name="Monthly_DD" localSheetId="5">#REF!</definedName>
    <definedName name="Monthly_DD" localSheetId="19">#REF!</definedName>
    <definedName name="Monthly_DD">'KB_CRITERIA AND CALCULATION '!$V$90</definedName>
    <definedName name="Monthly_Payment" localSheetId="20">#REF!</definedName>
    <definedName name="Monthly_Payment" localSheetId="5">#REF!</definedName>
    <definedName name="Monthly_Payment" localSheetId="19">#REF!</definedName>
    <definedName name="Monthly_Payment">'KB_CRITERIA AND CALCULATION '!$T$90</definedName>
    <definedName name="Monthly_Rent" localSheetId="20">#REF!</definedName>
    <definedName name="Monthly_Rent" localSheetId="5">#REF!</definedName>
    <definedName name="Monthly_Rent" localSheetId="19">#REF!</definedName>
    <definedName name="Monthly_Rent">'KB_CRITERIA AND CALCULATION '!$U$22</definedName>
    <definedName name="Months_Of_DD" localSheetId="20">#REF!</definedName>
    <definedName name="Months_Of_DD" localSheetId="5">#REF!</definedName>
    <definedName name="Months_Of_DD" localSheetId="19">#REF!</definedName>
    <definedName name="Months_Of_DD">'KB_CRITERIA AND CALCULATION '!#REF!</definedName>
    <definedName name="MVR" localSheetId="20">#REF!</definedName>
    <definedName name="MVR" localSheetId="19">#REF!</definedName>
    <definedName name="MVR">'Product Data'!$M$3</definedName>
    <definedName name="NetLoanUsed" localSheetId="20">#REF!</definedName>
    <definedName name="NetLoanUsed" localSheetId="5">#REF!</definedName>
    <definedName name="NetLoanUsed" localSheetId="19">#REF!</definedName>
    <definedName name="NetLoanUsed">'KB_CRITERIA AND CALCULATION '!$AL$90</definedName>
    <definedName name="NetPredictedLTV_2021">HPI!$J$5</definedName>
    <definedName name="NetPredictedLTV_2022">HPI!$K$5</definedName>
    <definedName name="NetPredictedLTV_2023">HPI!$L$5</definedName>
    <definedName name="NetPredictedLTV_2024">HPI!$M$5</definedName>
    <definedName name="NetPredictedLTV_2025">HPI!$N$5</definedName>
    <definedName name="NetPredictedLTV_2025Total">HPI!$O$5</definedName>
    <definedName name="New_Build?" localSheetId="0">'BTL Calculator WIP'!$K$9</definedName>
    <definedName name="New_Build?" localSheetId="20">#REF!</definedName>
    <definedName name="New_Build?" localSheetId="5">#REF!</definedName>
    <definedName name="New_Build?" localSheetId="19">#REF!</definedName>
    <definedName name="New_Build?">'BTL Calculator'!#REF!</definedName>
    <definedName name="New_Build_LTV" localSheetId="0">'BTL Calculator WIP'!$K$9</definedName>
    <definedName name="New_Build_LTV" localSheetId="20">#REF!</definedName>
    <definedName name="New_Build_LTV" localSheetId="5">#REF!</definedName>
    <definedName name="New_Build_LTV" localSheetId="19">#REF!</definedName>
    <definedName name="New_Build_LTV">'BTL Calculator'!#REF!</definedName>
    <definedName name="Pay_Rate" localSheetId="0">'BTL Calculator WIP'!$M$138</definedName>
    <definedName name="Pay_Rate" localSheetId="20">#REF!</definedName>
    <definedName name="Pay_Rate" localSheetId="5">#REF!</definedName>
    <definedName name="Pay_Rate" localSheetId="19">#REF!</definedName>
    <definedName name="Pay_Rate">'BTL Calculator'!$M$145</definedName>
    <definedName name="Pearl_P" localSheetId="19">#REF!</definedName>
    <definedName name="Pearl_P">#REF!</definedName>
    <definedName name="Pearl_Pic" localSheetId="19">#REF!</definedName>
    <definedName name="Pearl_Pic">#REF!</definedName>
    <definedName name="Penultimate_Month" localSheetId="30">'DD (2)'!$F$61</definedName>
    <definedName name="Penultimate_Month" localSheetId="20">#REF!</definedName>
    <definedName name="Penultimate_Month" localSheetId="5">#REF!</definedName>
    <definedName name="Penultimate_Month" localSheetId="19">#REF!</definedName>
    <definedName name="Penultimate_Month">DD!$F$61</definedName>
    <definedName name="Picture" localSheetId="20">INDIRECT(#REF!)</definedName>
    <definedName name="Picture" localSheetId="5">INDIRECT(#REF!)</definedName>
    <definedName name="Picture" localSheetId="19">INDIRECT(#REF!)</definedName>
    <definedName name="Picture">INDIRECT('Completion State'!$P$15)</definedName>
    <definedName name="_xlnm.Print_Area" localSheetId="37">'3C'!$A$1:$J$71</definedName>
    <definedName name="_xlnm.Print_Area" localSheetId="7">'BTL Calculator'!$V$81:$AF$118</definedName>
    <definedName name="_xlnm.Print_Area" localSheetId="0">'BTL Calculator WIP'!$AB$72:$AK$104</definedName>
    <definedName name="_xlnm.Print_Area" localSheetId="33">'Check After'!$B$2:$E$44</definedName>
    <definedName name="_xlnm.Print_Area" localSheetId="32">'Check prior'!$A$1:$E$75</definedName>
    <definedName name="_xlnm.Print_Area" localSheetId="34">'Completion State'!$B$1:$K$126</definedName>
    <definedName name="_xlnm.Print_Area" localSheetId="29">'Deal lead sheet'!$B$1:$D$98</definedName>
    <definedName name="_xlnm.Print_Area" localSheetId="12">DIP!$A$4:$D$147</definedName>
    <definedName name="_xlnm.Print_Area" localSheetId="2">HomePage!$C$1:$L$17</definedName>
    <definedName name="_xlnm.Print_Area" localSheetId="1">'HomePage (2)'!$C$1:$L$13</definedName>
    <definedName name="_xlnm.Print_Area" localSheetId="38">IL!$A$1:$J$71</definedName>
    <definedName name="_xlnm.Print_Area" localSheetId="36">Main!$A$1:$J$71</definedName>
    <definedName name="_xlnm.Print_Area" localSheetId="19">'Underwriting Requirements - NEW'!$A$2:$K$80</definedName>
    <definedName name="_xlnm.Print_Area" localSheetId="39">Zircon!$A$1:$J$78</definedName>
    <definedName name="_xlnm.Print_Titles" localSheetId="37">'3C'!$1:$11</definedName>
    <definedName name="_xlnm.Print_Titles" localSheetId="34">'Completion State'!$1:$10</definedName>
    <definedName name="_xlnm.Print_Titles" localSheetId="38">IL!$1:$11</definedName>
    <definedName name="_xlnm.Print_Titles" localSheetId="36">Main!$1:$11</definedName>
    <definedName name="_xlnm.Print_Titles" localSheetId="39">Zircon!$1:$11</definedName>
    <definedName name="Proc_Fee_GBP">'KB_CRITERIA AND CALCULATION '!$L$20</definedName>
    <definedName name="Prod_Fee_Chosen" localSheetId="20">#REF!</definedName>
    <definedName name="Prod_Fee_Chosen" localSheetId="5">#REF!</definedName>
    <definedName name="Prod_Fee_Chosen" localSheetId="19">#REF!</definedName>
    <definedName name="Prod_Fee_Chosen">'KB_CRITERIA AND CALCULATION '!$I$90</definedName>
    <definedName name="ProdFee" localSheetId="20">'EBITDA calc_'!#REF!</definedName>
    <definedName name="ProdFee" localSheetId="19">#REF!</definedName>
    <definedName name="ProdFee">#REF!</definedName>
    <definedName name="Product_Fee_GBP" localSheetId="0">'BTL Calculator WIP'!$O$135</definedName>
    <definedName name="Product_Fee_GBP" localSheetId="20">#REF!</definedName>
    <definedName name="Product_Fee_GBP" localSheetId="5">#REF!</definedName>
    <definedName name="Product_Fee_GBP" localSheetId="19">#REF!</definedName>
    <definedName name="Product_Fee_GBP">'BTL Calculator'!$R$142</definedName>
    <definedName name="Product_Selected" localSheetId="0">'BTL Calculator WIP'!$G$54</definedName>
    <definedName name="Product_Selected" localSheetId="20">#REF!</definedName>
    <definedName name="Product_Selected" localSheetId="5">#REF!</definedName>
    <definedName name="Product_Selected" localSheetId="19">#REF!</definedName>
    <definedName name="Product_Selected">'BTL Calculator'!$G$62</definedName>
    <definedName name="Prop_Address" localSheetId="19">#REF!</definedName>
    <definedName name="Prop_Address">#REF!</definedName>
    <definedName name="Property_Value" localSheetId="0">'BTL Calculator WIP'!$AB$4</definedName>
    <definedName name="Property_Value" localSheetId="19">#REF!</definedName>
    <definedName name="Property_Value">'BTL Calculator'!$V$7</definedName>
    <definedName name="Rate_Override" localSheetId="0">'BTL Calculator WIP'!$K$27</definedName>
    <definedName name="Rate_Override" localSheetId="20">#REF!</definedName>
    <definedName name="Rate_Override" localSheetId="5">#REF!</definedName>
    <definedName name="Rate_Override" localSheetId="19">#REF!</definedName>
    <definedName name="Rate_Override">'BTL Calculator'!$H$30</definedName>
    <definedName name="Rate_Type" localSheetId="0">'BTL Calculator WIP'!$K$23</definedName>
    <definedName name="Rate_Type" localSheetId="20">#REF!</definedName>
    <definedName name="Rate_Type" localSheetId="5">#REF!</definedName>
    <definedName name="Rate_Type" localSheetId="19">#REF!</definedName>
    <definedName name="Rate_Type">'BTL Calculator'!$H$28</definedName>
    <definedName name="Redem1_Amount" localSheetId="19">#REF!</definedName>
    <definedName name="Redem1_Amount">#REF!</definedName>
    <definedName name="Redem1_Date" localSheetId="19">#REF!</definedName>
    <definedName name="Redem1_Date">#REF!</definedName>
    <definedName name="Redem2_Amount" localSheetId="19">#REF!</definedName>
    <definedName name="Redem2_Amount">#REF!</definedName>
    <definedName name="Redem2_Date" localSheetId="19">#REF!</definedName>
    <definedName name="Redem2_Date">#REF!</definedName>
    <definedName name="Redem3_Amount" localSheetId="19">#REF!</definedName>
    <definedName name="Redem3_Amount">#REF!</definedName>
    <definedName name="Redem3_Date" localSheetId="19">#REF!</definedName>
    <definedName name="Redem3_Date">#REF!</definedName>
    <definedName name="Redem4_Amount" localSheetId="19">#REF!</definedName>
    <definedName name="Redem4_Amount">#REF!</definedName>
    <definedName name="Redem4_Date" localSheetId="19">#REF!</definedName>
    <definedName name="Redem4_Date">#REF!</definedName>
    <definedName name="Redem5_Amount" localSheetId="19">#REF!</definedName>
    <definedName name="Redem5_Amount">#REF!</definedName>
    <definedName name="Redem5_Date" localSheetId="19">#REF!</definedName>
    <definedName name="Redem5_Date">#REF!</definedName>
    <definedName name="RedemFull_Date" localSheetId="19">#REF!</definedName>
    <definedName name="RedemFull_Date">#REF!</definedName>
    <definedName name="Redemption_Term" localSheetId="19">#REF!</definedName>
    <definedName name="Redemption_Term">#REF!</definedName>
    <definedName name="Rent_Over_Term" localSheetId="0">'BTL Calculator WIP'!$M$147</definedName>
    <definedName name="Rent_Over_Term" localSheetId="20">#REF!</definedName>
    <definedName name="Rent_Over_Term" localSheetId="5">#REF!</definedName>
    <definedName name="Rent_Over_Term" localSheetId="19">#REF!</definedName>
    <definedName name="Rent_Over_Term">'BTL Calculator'!$M$154</definedName>
    <definedName name="Revert" localSheetId="20">'EBITDA calc_'!#REF!</definedName>
    <definedName name="Revert" localSheetId="19">#REF!</definedName>
    <definedName name="Revert">#REF!</definedName>
    <definedName name="Roll2" localSheetId="20">#REF!</definedName>
    <definedName name="Roll2" localSheetId="5">#REF!</definedName>
    <definedName name="Roll2" localSheetId="19">#REF!</definedName>
    <definedName name="Roll2">'BTL Calculator'!$L$81</definedName>
    <definedName name="Roll3">'BTL Calculator'!$O$81</definedName>
    <definedName name="Roll4" localSheetId="20">#REF!</definedName>
    <definedName name="Roll4" localSheetId="5">#REF!</definedName>
    <definedName name="Roll4" localSheetId="19">#REF!</definedName>
    <definedName name="Roll4">'BTL Calculator'!$I$81</definedName>
    <definedName name="Roll6" localSheetId="20">#REF!</definedName>
    <definedName name="Roll6" localSheetId="5">#REF!</definedName>
    <definedName name="Roll6" localSheetId="19">#REF!</definedName>
    <definedName name="Roll6">'BTL Calculator'!$F$81</definedName>
    <definedName name="rolled_Months" localSheetId="20">#REF!</definedName>
    <definedName name="rolled_Months" localSheetId="5">#REF!</definedName>
    <definedName name="rolled_Months" localSheetId="19">#REF!</definedName>
    <definedName name="rolled_Months">'KB_CRITERIA AND CALCULATION '!$K$90</definedName>
    <definedName name="Rolled_Owed" localSheetId="20">#REF!</definedName>
    <definedName name="Rolled_Owed" localSheetId="5">#REF!</definedName>
    <definedName name="Rolled_Owed" localSheetId="19">#REF!</definedName>
    <definedName name="Rolled_Owed">'KB_CRITERIA AND CALCULATION '!$AE$90</definedName>
    <definedName name="Rolled_Rate_Override" localSheetId="0">'BTL Calculator WIP'!$AN$27</definedName>
    <definedName name="Rolled_Rate_Override" localSheetId="20">#REF!</definedName>
    <definedName name="Rolled_Rate_Override" localSheetId="5">#REF!</definedName>
    <definedName name="Rolled_Rate_Override" localSheetId="19">#REF!</definedName>
    <definedName name="Rolled_Rate_Override">'BTL Calculator'!$CY$9</definedName>
    <definedName name="Rollup_Reduced_DD?" localSheetId="0">'BTL Calculator WIP'!$AN$29</definedName>
    <definedName name="Rollup_Reduced_DD?">'BTL Calculator'!$CY$11</definedName>
    <definedName name="RollupMonths" localSheetId="20">#REF!</definedName>
    <definedName name="RollupMonths" localSheetId="5">#REF!</definedName>
    <definedName name="RollupMonths" localSheetId="19">#REF!</definedName>
    <definedName name="RollupMonths">'KB_CRITERIA AND CALCULATION '!$K$90</definedName>
    <definedName name="RoundDown" localSheetId="20">#REF!</definedName>
    <definedName name="RoundDown" localSheetId="5">#REF!</definedName>
    <definedName name="RoundDown" localSheetId="19">#REF!</definedName>
    <definedName name="RoundDown">'KB_CRITERIA AND CALCULATION '!$D$72</definedName>
    <definedName name="Rounding" localSheetId="19">#REF!</definedName>
    <definedName name="Rounding">#REF!</definedName>
    <definedName name="Show_Custom_Panel" localSheetId="20">#REF!</definedName>
    <definedName name="Show_Custom_Panel" localSheetId="5">#REF!</definedName>
    <definedName name="Show_Custom_Panel" localSheetId="19">#REF!</definedName>
    <definedName name="Show_Custom_Panel">'Product Data'!$Z$18</definedName>
    <definedName name="SpecialistList">'Product Data'!$Y$9:$Y$13</definedName>
    <definedName name="SpecialistTypes">'Product Data'!$BT$2:$BT$5</definedName>
    <definedName name="Specific_Loan" localSheetId="20">#REF!</definedName>
    <definedName name="Specific_Loan" localSheetId="5">#REF!</definedName>
    <definedName name="Specific_Loan" localSheetId="19">#REF!</definedName>
    <definedName name="Specific_Loan">'Product Data'!$AA$19</definedName>
    <definedName name="Start_date" localSheetId="19">#REF!</definedName>
    <definedName name="Start_date">#REF!</definedName>
    <definedName name="StressBBR">'Product Data'!$J$3</definedName>
    <definedName name="SVR" localSheetId="20">'EBITDA calc_'!#REF!</definedName>
    <definedName name="SVR" localSheetId="19">#REF!</definedName>
    <definedName name="SVR">#REF!</definedName>
    <definedName name="Term" localSheetId="0">'BTL Calculator WIP'!$K$21</definedName>
    <definedName name="Term" localSheetId="20">#REF!</definedName>
    <definedName name="Term" localSheetId="5">#REF!</definedName>
    <definedName name="Term" localSheetId="19">#REF!</definedName>
    <definedName name="Term">'BTL Calculator'!$H$26</definedName>
    <definedName name="teset" localSheetId="19">#REF!</definedName>
    <definedName name="teset">#REF!</definedName>
    <definedName name="Tier_Eligible" localSheetId="0">'BTL Calculator WIP'!$AR$28</definedName>
    <definedName name="Tier_Eligible">'BTL Calculator'!$AR$33</definedName>
    <definedName name="Tier_Standard_rate" localSheetId="20">#REF!</definedName>
    <definedName name="Tier_Standard_rate" localSheetId="5">#REF!</definedName>
    <definedName name="Tier_Standard_rate" localSheetId="19">#REF!</definedName>
    <definedName name="Tier_Standard_rate">'KB_CRITERIA AND CALCULATION '!$H$90</definedName>
    <definedName name="Tier1_Eligible" localSheetId="0">'BTL Calculator WIP'!$AQ$32</definedName>
    <definedName name="Tier1_Eligible" localSheetId="20">#REF!</definedName>
    <definedName name="Tier1_Eligible" localSheetId="5">#REF!</definedName>
    <definedName name="Tier1_Eligible" localSheetId="19">#REF!</definedName>
    <definedName name="Tier1_Eligible">'BTL Calculator'!$AQ$37</definedName>
    <definedName name="Tier2_Eligible" localSheetId="0">'BTL Calculator WIP'!$AP$28</definedName>
    <definedName name="Tier2_Eligible" localSheetId="20">#REF!</definedName>
    <definedName name="Tier2_Eligible" localSheetId="5">#REF!</definedName>
    <definedName name="Tier2_Eligible" localSheetId="19">#REF!</definedName>
    <definedName name="Tier2_Eligible">'BTL Calculator'!$AP$33</definedName>
    <definedName name="Tier3_Eligible" localSheetId="0">'BTL Calculator WIP'!$AP$29</definedName>
    <definedName name="Tier3_Eligible" localSheetId="20">#REF!</definedName>
    <definedName name="Tier3_Eligible" localSheetId="5">#REF!</definedName>
    <definedName name="Tier3_Eligible" localSheetId="19">#REF!</definedName>
    <definedName name="Tier3_Eligible">'BTL Calculator'!$AP$34</definedName>
    <definedName name="Tier4_Eligible" localSheetId="0">'BTL Calculator WIP'!$AQ$35</definedName>
    <definedName name="Tier4_Eligible" localSheetId="20">#REF!</definedName>
    <definedName name="Tier4_Eligible" localSheetId="5">#REF!</definedName>
    <definedName name="Tier4_Eligible" localSheetId="19">#REF!</definedName>
    <definedName name="Tier4_Eligible">'BTL Calculator'!$AQ$40</definedName>
    <definedName name="Top_Slice_PCM_GBP" localSheetId="0">'BTL Calculator WIP'!$S$59</definedName>
    <definedName name="Top_Slice_PCM_GBP" localSheetId="20">#REF!</definedName>
    <definedName name="Top_Slice_PCM_GBP" localSheetId="5">#REF!</definedName>
    <definedName name="Top_Slice_PCM_GBP" localSheetId="19">#REF!</definedName>
    <definedName name="Top_Slice_PCM_GBP">'BTL Calculator'!#REF!</definedName>
    <definedName name="Tracker" localSheetId="19">#REF!</definedName>
    <definedName name="Tracker">#REF!</definedName>
    <definedName name="YesNo">IF('Product Data'!$AG$9="", 'Product Data'!$AG$10, 'Product Data'!$AG$9:$AG$10)</definedName>
    <definedName name="Zircon_P" localSheetId="19">#REF!</definedName>
    <definedName name="Zircon_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6" i="56" l="1"/>
  <c r="U73" i="66"/>
  <c r="U12" i="56"/>
  <c r="L15" i="56"/>
  <c r="O85" i="56"/>
  <c r="I38" i="66"/>
  <c r="AE61" i="66" l="1"/>
  <c r="AD61" i="66"/>
  <c r="AC61" i="66"/>
  <c r="AB61" i="66"/>
  <c r="AA61" i="66"/>
  <c r="AE59" i="66"/>
  <c r="AD59" i="66"/>
  <c r="AC59" i="66"/>
  <c r="AB59" i="66"/>
  <c r="AA59" i="66"/>
  <c r="AE65" i="66"/>
  <c r="AD65" i="66"/>
  <c r="AC65" i="66"/>
  <c r="AB65" i="66"/>
  <c r="AA65" i="66"/>
  <c r="AE64" i="66"/>
  <c r="AD64" i="66"/>
  <c r="AC64" i="66"/>
  <c r="AB64" i="66"/>
  <c r="AA64" i="66"/>
  <c r="AE63" i="66"/>
  <c r="AD63" i="66"/>
  <c r="AC63" i="66"/>
  <c r="AB63" i="66"/>
  <c r="AA63" i="66"/>
  <c r="AE62" i="66"/>
  <c r="AD62" i="66"/>
  <c r="AC62" i="66"/>
  <c r="AB62" i="66"/>
  <c r="AA62" i="66"/>
  <c r="L37" i="66" l="1"/>
  <c r="I37" i="66"/>
  <c r="Q39" i="66"/>
  <c r="AA3" i="56"/>
  <c r="AX9" i="54"/>
  <c r="P10" i="95"/>
  <c r="M10" i="95" s="1"/>
  <c r="P9" i="95"/>
  <c r="P6" i="95"/>
  <c r="P5" i="95"/>
  <c r="M5" i="95" s="1"/>
  <c r="V10" i="95" l="1"/>
  <c r="M9" i="95"/>
  <c r="M6" i="95"/>
  <c r="V5" i="95"/>
  <c r="V9" i="95" l="1"/>
  <c r="V6" i="95"/>
  <c r="I82" i="56" l="1"/>
  <c r="E9" i="54" l="1"/>
  <c r="E4" i="54"/>
  <c r="K4" i="54" s="1"/>
  <c r="K3" i="54" s="1"/>
  <c r="T11" i="54"/>
  <c r="S11" i="54" l="1"/>
  <c r="S12" i="54"/>
  <c r="U12" i="54" l="1"/>
  <c r="U11" i="54"/>
  <c r="V12" i="54"/>
  <c r="V11" i="54"/>
  <c r="W12" i="54"/>
  <c r="W11" i="54"/>
  <c r="X12" i="54"/>
  <c r="X11" i="54"/>
  <c r="L40" i="66"/>
  <c r="L44" i="66"/>
  <c r="L52" i="66"/>
  <c r="L51" i="66"/>
  <c r="L50" i="66"/>
  <c r="L49" i="66"/>
  <c r="L47" i="66"/>
  <c r="L45" i="66"/>
  <c r="BR3" i="54"/>
  <c r="K11" i="62" l="1"/>
  <c r="M11" i="62"/>
  <c r="K217" i="54" l="1"/>
  <c r="K195" i="54" s="1"/>
  <c r="R207" i="54"/>
  <c r="N207" i="54"/>
  <c r="J207" i="54"/>
  <c r="R206" i="54"/>
  <c r="N206" i="54"/>
  <c r="J206" i="54"/>
  <c r="R205" i="54"/>
  <c r="N205" i="54"/>
  <c r="J205" i="54"/>
  <c r="R202" i="54"/>
  <c r="N202" i="54"/>
  <c r="J202" i="54"/>
  <c r="R201" i="54"/>
  <c r="N201" i="54"/>
  <c r="J201" i="54"/>
  <c r="R200" i="54"/>
  <c r="N200" i="54"/>
  <c r="J200" i="54"/>
  <c r="R197" i="54"/>
  <c r="N197" i="54"/>
  <c r="J197" i="54"/>
  <c r="R196" i="54"/>
  <c r="N196" i="54"/>
  <c r="J196" i="54"/>
  <c r="R195" i="54"/>
  <c r="N195" i="54"/>
  <c r="J195" i="54"/>
  <c r="R192" i="54"/>
  <c r="N192" i="54"/>
  <c r="J192" i="54"/>
  <c r="R191" i="54"/>
  <c r="N191" i="54"/>
  <c r="J191" i="54"/>
  <c r="R190" i="54"/>
  <c r="N190" i="54"/>
  <c r="J190" i="54"/>
  <c r="K224" i="54"/>
  <c r="K202" i="54" s="1"/>
  <c r="K223" i="54"/>
  <c r="K201" i="54" s="1"/>
  <c r="K222" i="54"/>
  <c r="K200" i="54" s="1"/>
  <c r="G224" i="54"/>
  <c r="G202" i="54" s="1"/>
  <c r="G223" i="54"/>
  <c r="G201" i="54" s="1"/>
  <c r="G222" i="54"/>
  <c r="G200" i="54" s="1"/>
  <c r="K219" i="54"/>
  <c r="K197" i="54" s="1"/>
  <c r="K218" i="54"/>
  <c r="K196" i="54" s="1"/>
  <c r="G219" i="54"/>
  <c r="G197" i="54" s="1"/>
  <c r="G218" i="54"/>
  <c r="G196" i="54" s="1"/>
  <c r="G217" i="54"/>
  <c r="G195" i="54" s="1"/>
  <c r="K214" i="54"/>
  <c r="K192" i="54" s="1"/>
  <c r="K213" i="54"/>
  <c r="K191" i="54" s="1"/>
  <c r="K212" i="54"/>
  <c r="K190" i="54" s="1"/>
  <c r="G212" i="54"/>
  <c r="G190" i="54" s="1"/>
  <c r="G213" i="54" l="1"/>
  <c r="G191" i="54" s="1"/>
  <c r="G214" i="54"/>
  <c r="G192" i="54" s="1"/>
  <c r="F207" i="54"/>
  <c r="F206" i="54"/>
  <c r="F205" i="54"/>
  <c r="K229" i="54"/>
  <c r="K228" i="54"/>
  <c r="K227" i="54"/>
  <c r="G229" i="54"/>
  <c r="G228" i="54"/>
  <c r="G227" i="54"/>
  <c r="K205" i="54" l="1"/>
  <c r="K207" i="54"/>
  <c r="G205" i="54"/>
  <c r="G207" i="54"/>
  <c r="G206" i="54"/>
  <c r="K206" i="54"/>
  <c r="R229" i="54"/>
  <c r="R228" i="54"/>
  <c r="R227" i="54"/>
  <c r="N229" i="54"/>
  <c r="N228" i="54"/>
  <c r="N227" i="54"/>
  <c r="J229" i="54"/>
  <c r="J228" i="54"/>
  <c r="J227" i="54"/>
  <c r="F229" i="54"/>
  <c r="F228" i="54"/>
  <c r="F227" i="54"/>
  <c r="AG24" i="54"/>
  <c r="R92" i="56"/>
  <c r="K10" i="95" l="1"/>
  <c r="L10" i="95" s="1"/>
  <c r="K9" i="95"/>
  <c r="L9" i="95" s="1"/>
  <c r="K6" i="95"/>
  <c r="L6" i="95" s="1"/>
  <c r="K5" i="95"/>
  <c r="L5" i="95" s="1"/>
  <c r="C6" i="95"/>
  <c r="R5" i="95" l="1"/>
  <c r="O5" i="95"/>
  <c r="Q5" i="95"/>
  <c r="U6" i="95"/>
  <c r="R6" i="95"/>
  <c r="Q6" i="95"/>
  <c r="O6" i="95"/>
  <c r="W6" i="95" s="1"/>
  <c r="O9" i="95"/>
  <c r="W9" i="95" s="1"/>
  <c r="U9" i="95"/>
  <c r="R9" i="95"/>
  <c r="Q9" i="95"/>
  <c r="Q10" i="95"/>
  <c r="R10" i="95"/>
  <c r="O10" i="95"/>
  <c r="W10" i="95" s="1"/>
  <c r="U10" i="95"/>
  <c r="C5" i="95"/>
  <c r="E6" i="95"/>
  <c r="E5" i="95"/>
  <c r="C10" i="95"/>
  <c r="C9" i="95"/>
  <c r="N10" i="95" l="1"/>
  <c r="N9" i="95"/>
  <c r="N6" i="95"/>
  <c r="E9" i="95"/>
  <c r="E10" i="95"/>
  <c r="W5" i="95" l="1"/>
  <c r="U5" i="95"/>
  <c r="R86" i="56"/>
  <c r="R89" i="56" s="1"/>
  <c r="N5" i="95" l="1"/>
  <c r="R90" i="56" l="1"/>
  <c r="W33" i="102" l="1"/>
  <c r="W33" i="91" l="1"/>
  <c r="X2" i="56"/>
  <c r="AG9" i="54"/>
  <c r="AA2" i="56"/>
  <c r="X106" i="56"/>
  <c r="AR143" i="66"/>
  <c r="C82" i="56"/>
  <c r="C104" i="54"/>
  <c r="V32" i="91" s="1"/>
  <c r="C103" i="54"/>
  <c r="V31" i="91" s="1"/>
  <c r="T12" i="54"/>
  <c r="T40" i="56"/>
  <c r="T42" i="56"/>
  <c r="T41" i="56"/>
  <c r="T30" i="56"/>
  <c r="T4" i="85" l="1"/>
  <c r="U4" i="85" s="1"/>
  <c r="P9" i="85"/>
  <c r="T4" i="90"/>
  <c r="P9" i="90"/>
  <c r="T4" i="91"/>
  <c r="P9" i="91"/>
  <c r="T4" i="102"/>
  <c r="L9" i="102"/>
  <c r="P9" i="102"/>
  <c r="AD104" i="56" l="1"/>
  <c r="BN9" i="54" s="1"/>
  <c r="AD99" i="56"/>
  <c r="O190" i="54" l="1"/>
  <c r="O217" i="54"/>
  <c r="O206" i="54"/>
  <c r="O214" i="54"/>
  <c r="O213" i="54"/>
  <c r="O222" i="54"/>
  <c r="O201" i="54"/>
  <c r="O192" i="54"/>
  <c r="O218" i="54"/>
  <c r="O219" i="54"/>
  <c r="O207" i="54"/>
  <c r="O205" i="54"/>
  <c r="O197" i="54"/>
  <c r="O195" i="54"/>
  <c r="O212" i="54"/>
  <c r="O223" i="54"/>
  <c r="O202" i="54"/>
  <c r="O200" i="54"/>
  <c r="O191" i="54"/>
  <c r="O196" i="54"/>
  <c r="O224" i="54"/>
  <c r="O229" i="54"/>
  <c r="O227" i="54"/>
  <c r="O228" i="54"/>
  <c r="C184" i="54"/>
  <c r="V33" i="102" s="1"/>
  <c r="C182" i="54"/>
  <c r="V31" i="102" s="1"/>
  <c r="C183" i="54"/>
  <c r="V32" i="102" s="1"/>
  <c r="C178" i="54"/>
  <c r="C177" i="54"/>
  <c r="C176" i="54"/>
  <c r="U31" i="102" s="1"/>
  <c r="C172" i="54"/>
  <c r="C171" i="54"/>
  <c r="C170" i="54"/>
  <c r="C166" i="54"/>
  <c r="C165" i="54"/>
  <c r="C164" i="54"/>
  <c r="C105" i="54"/>
  <c r="V33" i="91" s="1"/>
  <c r="C99" i="54"/>
  <c r="C98" i="54"/>
  <c r="C97" i="54"/>
  <c r="C93" i="54"/>
  <c r="C92" i="54"/>
  <c r="C91" i="54"/>
  <c r="C87" i="54"/>
  <c r="C86" i="54"/>
  <c r="C85" i="54"/>
  <c r="C80" i="54"/>
  <c r="V33" i="90" s="1"/>
  <c r="C79" i="54"/>
  <c r="V32" i="90" s="1"/>
  <c r="C78" i="54"/>
  <c r="V31" i="90" s="1"/>
  <c r="C74" i="54"/>
  <c r="C73" i="54"/>
  <c r="C72" i="54"/>
  <c r="C68" i="54"/>
  <c r="C67" i="54"/>
  <c r="C66" i="54"/>
  <c r="C62" i="54"/>
  <c r="C61" i="54"/>
  <c r="C60" i="54"/>
  <c r="E29" i="54"/>
  <c r="E28" i="54"/>
  <c r="E27" i="54"/>
  <c r="E23" i="54"/>
  <c r="E22" i="54"/>
  <c r="E21" i="54"/>
  <c r="C21" i="54" s="1"/>
  <c r="E17" i="54"/>
  <c r="E11" i="54"/>
  <c r="C11" i="54" s="1"/>
  <c r="E10" i="54"/>
  <c r="E15" i="54"/>
  <c r="E16" i="54"/>
  <c r="F184" i="54"/>
  <c r="F183" i="54"/>
  <c r="F182" i="54"/>
  <c r="F105" i="54"/>
  <c r="F104" i="54"/>
  <c r="F103" i="54"/>
  <c r="F80" i="54"/>
  <c r="F79" i="54"/>
  <c r="F78" i="54"/>
  <c r="K29" i="54"/>
  <c r="K28" i="54"/>
  <c r="K27" i="54"/>
  <c r="AR137" i="66"/>
  <c r="J137" i="66"/>
  <c r="E137" i="66"/>
  <c r="AR136" i="66"/>
  <c r="J136" i="66"/>
  <c r="E136" i="66"/>
  <c r="AM11" i="54"/>
  <c r="K2" i="54"/>
  <c r="R224" i="54"/>
  <c r="R223" i="54"/>
  <c r="R222" i="54"/>
  <c r="R219" i="54"/>
  <c r="R218" i="54"/>
  <c r="R217" i="54"/>
  <c r="R214" i="54"/>
  <c r="R213" i="54"/>
  <c r="R212" i="54"/>
  <c r="N224" i="54"/>
  <c r="N223" i="54"/>
  <c r="N222" i="54"/>
  <c r="N219" i="54"/>
  <c r="N218" i="54"/>
  <c r="N217" i="54"/>
  <c r="N214" i="54"/>
  <c r="N213" i="54"/>
  <c r="N212" i="54"/>
  <c r="J224" i="54"/>
  <c r="J223" i="54"/>
  <c r="J222" i="54"/>
  <c r="J219" i="54"/>
  <c r="J218" i="54"/>
  <c r="J217" i="54"/>
  <c r="J214" i="54"/>
  <c r="J213" i="54"/>
  <c r="J212" i="54"/>
  <c r="F224" i="54"/>
  <c r="F223" i="54"/>
  <c r="F222" i="54"/>
  <c r="F219" i="54"/>
  <c r="F218" i="54"/>
  <c r="F217" i="54"/>
  <c r="F214" i="54"/>
  <c r="F213" i="54"/>
  <c r="F212" i="54"/>
  <c r="F202" i="54"/>
  <c r="F201" i="54"/>
  <c r="F200" i="54"/>
  <c r="F197" i="54"/>
  <c r="F196" i="54"/>
  <c r="F195" i="54"/>
  <c r="F192" i="54"/>
  <c r="F191" i="54"/>
  <c r="F190" i="54"/>
  <c r="T12" i="62"/>
  <c r="V31" i="85" l="1"/>
  <c r="V32" i="85"/>
  <c r="V33" i="85"/>
  <c r="C28" i="54"/>
  <c r="C29" i="54"/>
  <c r="C27" i="54"/>
  <c r="F166" i="54"/>
  <c r="F165" i="54"/>
  <c r="F164" i="54"/>
  <c r="K151" i="54"/>
  <c r="K150" i="54"/>
  <c r="K112" i="54"/>
  <c r="K111" i="54"/>
  <c r="K138" i="54"/>
  <c r="K137" i="54"/>
  <c r="K125" i="54"/>
  <c r="K124" i="54"/>
  <c r="F87" i="54" l="1"/>
  <c r="F86" i="54"/>
  <c r="F85" i="54"/>
  <c r="F62" i="54"/>
  <c r="F61" i="54"/>
  <c r="F60" i="54"/>
  <c r="K48" i="54" l="1"/>
  <c r="K47" i="54"/>
  <c r="K35" i="54"/>
  <c r="K34" i="54"/>
  <c r="K11" i="54"/>
  <c r="K10" i="54"/>
  <c r="K9" i="54"/>
  <c r="F178" i="54"/>
  <c r="F177" i="54"/>
  <c r="F176" i="54"/>
  <c r="F172" i="54"/>
  <c r="F171" i="54"/>
  <c r="K159" i="54"/>
  <c r="K158" i="54"/>
  <c r="K155" i="54"/>
  <c r="K154" i="54"/>
  <c r="K146" i="54"/>
  <c r="K145" i="54"/>
  <c r="K142" i="54"/>
  <c r="K141" i="54"/>
  <c r="K133" i="54"/>
  <c r="K132" i="54"/>
  <c r="K129" i="54"/>
  <c r="K128" i="54"/>
  <c r="K120" i="54"/>
  <c r="K119" i="54"/>
  <c r="K116" i="54"/>
  <c r="K115" i="54"/>
  <c r="F99" i="54"/>
  <c r="F98" i="54"/>
  <c r="F97" i="54"/>
  <c r="F93" i="54"/>
  <c r="F92" i="54"/>
  <c r="F91" i="54"/>
  <c r="F74" i="54"/>
  <c r="F73" i="54"/>
  <c r="F72" i="54"/>
  <c r="F68" i="54"/>
  <c r="F67" i="54"/>
  <c r="K56" i="54"/>
  <c r="K55" i="54"/>
  <c r="K52" i="54"/>
  <c r="K51" i="54"/>
  <c r="K43" i="54"/>
  <c r="K42" i="54"/>
  <c r="K39" i="54"/>
  <c r="K38" i="54"/>
  <c r="K23" i="54"/>
  <c r="K22" i="54"/>
  <c r="K17" i="54"/>
  <c r="K16" i="54"/>
  <c r="E56" i="54"/>
  <c r="E55" i="54"/>
  <c r="E52" i="54"/>
  <c r="E51" i="54"/>
  <c r="E48" i="54"/>
  <c r="E47" i="54"/>
  <c r="P16" i="54"/>
  <c r="E8" i="104"/>
  <c r="X111" i="56" l="1"/>
  <c r="E9" i="104"/>
  <c r="I9" i="104"/>
  <c r="G9" i="104"/>
  <c r="X9" i="54" l="1"/>
  <c r="X10" i="54"/>
  <c r="W10" i="54"/>
  <c r="W9" i="54"/>
  <c r="V10" i="54"/>
  <c r="V9" i="54"/>
  <c r="U10" i="54"/>
  <c r="U9" i="54"/>
  <c r="T10" i="54"/>
  <c r="S10" i="54"/>
  <c r="G39" i="56"/>
  <c r="R98" i="56"/>
  <c r="L85" i="56"/>
  <c r="I85" i="56"/>
  <c r="F85" i="56"/>
  <c r="T28" i="56"/>
  <c r="T29" i="56"/>
  <c r="T31" i="56"/>
  <c r="T32" i="56"/>
  <c r="T33" i="56"/>
  <c r="T34" i="56"/>
  <c r="T35" i="56"/>
  <c r="T36" i="56"/>
  <c r="T37" i="56"/>
  <c r="T38" i="56"/>
  <c r="T39" i="56"/>
  <c r="X108" i="56"/>
  <c r="W31" i="90"/>
  <c r="U30" i="102"/>
  <c r="U30" i="91"/>
  <c r="T30" i="102"/>
  <c r="T30" i="91"/>
  <c r="S30" i="102"/>
  <c r="S30" i="91"/>
  <c r="W32" i="102"/>
  <c r="W32" i="91"/>
  <c r="W31" i="102"/>
  <c r="W31" i="91"/>
  <c r="U33" i="102"/>
  <c r="T33" i="102"/>
  <c r="S33" i="102"/>
  <c r="U32" i="102"/>
  <c r="T32" i="102"/>
  <c r="S32" i="102"/>
  <c r="T31" i="102"/>
  <c r="S31" i="102"/>
  <c r="U33" i="91"/>
  <c r="U32" i="91"/>
  <c r="U31" i="91"/>
  <c r="T33" i="91"/>
  <c r="T32" i="91"/>
  <c r="T31" i="91"/>
  <c r="S33" i="91"/>
  <c r="S32" i="91"/>
  <c r="S31" i="91"/>
  <c r="U30" i="90"/>
  <c r="T30" i="90"/>
  <c r="S30" i="90"/>
  <c r="U33" i="90"/>
  <c r="U32" i="90"/>
  <c r="U31" i="90"/>
  <c r="T33" i="90"/>
  <c r="T32" i="90"/>
  <c r="T31" i="90"/>
  <c r="S33" i="90"/>
  <c r="S32" i="90"/>
  <c r="S31" i="90"/>
  <c r="U30" i="85"/>
  <c r="T30" i="85"/>
  <c r="S30" i="85"/>
  <c r="W33" i="90"/>
  <c r="W32" i="90"/>
  <c r="W31" i="85"/>
  <c r="U33" i="85"/>
  <c r="T33" i="85"/>
  <c r="S33" i="85"/>
  <c r="W33" i="85"/>
  <c r="W32" i="85"/>
  <c r="Z3" i="56" l="1"/>
  <c r="U11" i="56"/>
  <c r="U9" i="56"/>
  <c r="G14" i="56"/>
  <c r="G13" i="56"/>
  <c r="G12" i="56"/>
  <c r="CA5" i="54" l="1"/>
  <c r="L72" i="66"/>
  <c r="T32" i="85"/>
  <c r="T31" i="85"/>
  <c r="S32" i="85"/>
  <c r="S31" i="85"/>
  <c r="C34" i="54"/>
  <c r="I31" i="62"/>
  <c r="B31" i="62"/>
  <c r="A31" i="62"/>
  <c r="A124" i="62"/>
  <c r="U31" i="85" l="1"/>
  <c r="U32" i="85"/>
  <c r="H28" i="62"/>
  <c r="K28" i="62" s="1"/>
  <c r="K27" i="62"/>
  <c r="B28" i="62" l="1"/>
  <c r="A46" i="62"/>
  <c r="U44" i="56" l="1"/>
  <c r="G30" i="62" l="1"/>
  <c r="I30" i="62"/>
  <c r="K30" i="62" s="1"/>
  <c r="J45" i="56"/>
  <c r="B30" i="62" l="1"/>
  <c r="V101" i="56" l="1"/>
  <c r="Q8" i="104"/>
  <c r="W45" i="66" l="1"/>
  <c r="D45" i="66"/>
  <c r="H9" i="102" l="1"/>
  <c r="D9" i="102"/>
  <c r="T7" i="102"/>
  <c r="T6" i="102"/>
  <c r="U6" i="102" s="1"/>
  <c r="T5" i="102"/>
  <c r="U5" i="102" l="1"/>
  <c r="U4" i="102"/>
  <c r="U7" i="102"/>
  <c r="H26" i="56" l="1"/>
  <c r="F170" i="54"/>
  <c r="AQ139" i="66" l="1"/>
  <c r="AQ134" i="66"/>
  <c r="AQ133" i="66"/>
  <c r="AQ131" i="66"/>
  <c r="AQ112" i="66"/>
  <c r="AQ113" i="66"/>
  <c r="AQ144" i="66"/>
  <c r="AQ143" i="66"/>
  <c r="AQ140" i="66"/>
  <c r="AQ130" i="66"/>
  <c r="AQ142" i="66"/>
  <c r="AO24" i="66"/>
  <c r="K136" i="66"/>
  <c r="AQ137" i="66"/>
  <c r="K137" i="66"/>
  <c r="AQ136" i="66"/>
  <c r="M47" i="54"/>
  <c r="Q31" i="99" l="1"/>
  <c r="Q30" i="99"/>
  <c r="P31" i="99"/>
  <c r="P30" i="99"/>
  <c r="O31" i="99"/>
  <c r="O30" i="99"/>
  <c r="Q31" i="101"/>
  <c r="Q30" i="101"/>
  <c r="P31" i="101"/>
  <c r="P30" i="101"/>
  <c r="O31" i="101"/>
  <c r="O30" i="101"/>
  <c r="F66" i="54"/>
  <c r="K21" i="54"/>
  <c r="K15" i="54"/>
  <c r="W40" i="66" l="1"/>
  <c r="Y40" i="66" s="1"/>
  <c r="AC56" i="66" l="1"/>
  <c r="AB56" i="66"/>
  <c r="AE56" i="66"/>
  <c r="AD56" i="66"/>
  <c r="AA56" i="66"/>
  <c r="A59" i="62"/>
  <c r="K10" i="62"/>
  <c r="K6" i="62"/>
  <c r="K5" i="62"/>
  <c r="C104" i="62" l="1"/>
  <c r="C103" i="62"/>
  <c r="C102" i="62"/>
  <c r="C101" i="62"/>
  <c r="C100" i="62"/>
  <c r="C99" i="62"/>
  <c r="C98" i="62"/>
  <c r="C97" i="62"/>
  <c r="C96" i="62"/>
  <c r="C95" i="62"/>
  <c r="C94" i="62"/>
  <c r="C93" i="62"/>
  <c r="C92" i="62"/>
  <c r="C91" i="62"/>
  <c r="C90" i="62"/>
  <c r="C89" i="62"/>
  <c r="C86" i="62"/>
  <c r="C85" i="62"/>
  <c r="C84" i="62"/>
  <c r="C83" i="62"/>
  <c r="C82" i="62"/>
  <c r="C81" i="62"/>
  <c r="C80" i="62"/>
  <c r="C79" i="62"/>
  <c r="C78" i="62"/>
  <c r="C77" i="62"/>
  <c r="C76" i="62"/>
  <c r="C75" i="62"/>
  <c r="C74" i="62"/>
  <c r="C73" i="62"/>
  <c r="C72" i="62"/>
  <c r="C71" i="62"/>
  <c r="C70" i="62"/>
  <c r="C69" i="62"/>
  <c r="C68" i="62"/>
  <c r="C67" i="62"/>
  <c r="C66" i="62"/>
  <c r="C65" i="62"/>
  <c r="B27" i="62"/>
  <c r="B10" i="62"/>
  <c r="B6" i="62"/>
  <c r="H9" i="62"/>
  <c r="B9" i="62" s="1"/>
  <c r="B5" i="62"/>
  <c r="K9" i="62" s="1"/>
  <c r="K4" i="62"/>
  <c r="B4" i="62" s="1"/>
  <c r="H38" i="62" s="1"/>
  <c r="L8" i="101"/>
  <c r="L9" i="101"/>
  <c r="H9" i="101"/>
  <c r="D9" i="101"/>
  <c r="H8" i="101"/>
  <c r="D8" i="101"/>
  <c r="L8" i="99"/>
  <c r="L9" i="99"/>
  <c r="H9" i="99"/>
  <c r="D9" i="99"/>
  <c r="H8" i="99"/>
  <c r="D8" i="99"/>
  <c r="K38" i="62" l="1"/>
  <c r="A38" i="62" s="1"/>
  <c r="BW2" i="54" l="1"/>
  <c r="BW3" i="54"/>
  <c r="H28" i="56" l="1"/>
  <c r="L38" i="66" l="1"/>
  <c r="AK11" i="54"/>
  <c r="AE90" i="56"/>
  <c r="AE89" i="56"/>
  <c r="AD87" i="56"/>
  <c r="B23" i="62"/>
  <c r="B11" i="62"/>
  <c r="R93" i="56"/>
  <c r="J22" i="62" l="1"/>
  <c r="H1" i="62"/>
  <c r="H72" i="66"/>
  <c r="S106" i="56"/>
  <c r="S99" i="56" l="1"/>
  <c r="Y7" i="56" l="1"/>
  <c r="H14" i="56"/>
  <c r="T22" i="54" l="1"/>
  <c r="L34" i="56" l="1"/>
  <c r="L9" i="91" l="1"/>
  <c r="H9" i="91"/>
  <c r="D9" i="91"/>
  <c r="T7" i="91"/>
  <c r="U7" i="91" s="1"/>
  <c r="T6" i="91"/>
  <c r="U6" i="91" s="1"/>
  <c r="T5" i="91"/>
  <c r="L9" i="90"/>
  <c r="H9" i="90"/>
  <c r="D9" i="90"/>
  <c r="T7" i="90"/>
  <c r="U7" i="90" s="1"/>
  <c r="T6" i="90"/>
  <c r="U6" i="90" s="1"/>
  <c r="T5" i="90"/>
  <c r="U5" i="91" l="1"/>
  <c r="U4" i="91"/>
  <c r="U5" i="90"/>
  <c r="U4" i="90"/>
  <c r="X83" i="56"/>
  <c r="D50" i="66" l="1"/>
  <c r="X84" i="56"/>
  <c r="P39" i="66" l="1"/>
  <c r="AR89" i="66"/>
  <c r="J119" i="66" l="1"/>
  <c r="J118" i="66"/>
  <c r="J101" i="66"/>
  <c r="J100" i="66"/>
  <c r="K22" i="62" l="1"/>
  <c r="B22" i="62" s="1"/>
  <c r="L9" i="86" l="1"/>
  <c r="H9" i="86"/>
  <c r="D9" i="86"/>
  <c r="L8" i="86"/>
  <c r="H8" i="86"/>
  <c r="D8" i="86"/>
  <c r="P7" i="86"/>
  <c r="Q7" i="86" s="1"/>
  <c r="P6" i="86"/>
  <c r="Q6" i="86" s="1"/>
  <c r="P5" i="86"/>
  <c r="Q5" i="86" s="1"/>
  <c r="D9" i="85"/>
  <c r="L9" i="85" l="1"/>
  <c r="H9" i="85"/>
  <c r="T7" i="85"/>
  <c r="T6" i="85"/>
  <c r="U6" i="85" s="1"/>
  <c r="T5" i="85"/>
  <c r="U5" i="85" s="1"/>
  <c r="U7" i="85" l="1"/>
  <c r="G32" i="56"/>
  <c r="G31" i="56"/>
  <c r="AC89" i="56"/>
  <c r="AA90" i="56"/>
  <c r="Y90" i="56"/>
  <c r="Y89" i="56"/>
  <c r="AC90" i="56"/>
  <c r="AA89" i="56"/>
  <c r="AB87" i="56"/>
  <c r="Z87" i="56"/>
  <c r="X87" i="56"/>
  <c r="D42" i="66"/>
  <c r="F42" i="66" s="1"/>
  <c r="K15" i="84" l="1"/>
  <c r="K13" i="84"/>
  <c r="K11" i="84"/>
  <c r="K9" i="84"/>
  <c r="K5" i="84"/>
  <c r="K7" i="84"/>
  <c r="AY101" i="66"/>
  <c r="AZ101" i="66" s="1"/>
  <c r="AY100" i="66"/>
  <c r="AZ100" i="66" s="1"/>
  <c r="Y13" i="56"/>
  <c r="G27" i="84"/>
  <c r="E27" i="84"/>
  <c r="I27" i="84"/>
  <c r="Y3" i="56" l="1"/>
  <c r="H26" i="62"/>
  <c r="K26" i="62" s="1"/>
  <c r="B26" i="62" s="1"/>
  <c r="K18" i="84"/>
  <c r="K20" i="84"/>
  <c r="K22" i="84"/>
  <c r="K24" i="84"/>
  <c r="I77" i="56"/>
  <c r="BW5" i="54"/>
  <c r="BW4" i="54"/>
  <c r="K27" i="84" l="1"/>
  <c r="C79" i="56"/>
  <c r="L8" i="83"/>
  <c r="H8" i="83"/>
  <c r="D8" i="83"/>
  <c r="L9" i="83"/>
  <c r="H9" i="83"/>
  <c r="D9" i="83"/>
  <c r="X19" i="66" l="1"/>
  <c r="C17" i="44"/>
  <c r="C16" i="44"/>
  <c r="C15" i="44"/>
  <c r="C14" i="44"/>
  <c r="C12" i="44"/>
  <c r="C6" i="44"/>
  <c r="B1" i="44"/>
  <c r="G78" i="43"/>
  <c r="D78" i="43"/>
  <c r="G77" i="43"/>
  <c r="D77" i="43"/>
  <c r="G76" i="43"/>
  <c r="D76" i="43"/>
  <c r="G75" i="43"/>
  <c r="D75" i="43"/>
  <c r="G74" i="43"/>
  <c r="D74" i="43"/>
  <c r="G73" i="43"/>
  <c r="D73" i="43"/>
  <c r="G72" i="43"/>
  <c r="D72" i="43"/>
  <c r="G71" i="43"/>
  <c r="G70" i="43"/>
  <c r="G69" i="43"/>
  <c r="G68" i="43"/>
  <c r="D68" i="43"/>
  <c r="G67" i="43"/>
  <c r="D67" i="43"/>
  <c r="G66" i="43"/>
  <c r="D66" i="43"/>
  <c r="G65" i="43"/>
  <c r="G64" i="43"/>
  <c r="G63" i="43"/>
  <c r="G62" i="43"/>
  <c r="G61" i="43"/>
  <c r="G60" i="43"/>
  <c r="D60" i="43"/>
  <c r="G58" i="43"/>
  <c r="G57" i="43"/>
  <c r="D57" i="43"/>
  <c r="G56" i="43"/>
  <c r="D56" i="43"/>
  <c r="G55" i="43"/>
  <c r="D55" i="43"/>
  <c r="G54" i="43"/>
  <c r="D54" i="43"/>
  <c r="G53" i="43"/>
  <c r="D53" i="43"/>
  <c r="G52" i="43"/>
  <c r="D52" i="43"/>
  <c r="G51" i="43"/>
  <c r="D51" i="43"/>
  <c r="G50" i="43"/>
  <c r="D50" i="43"/>
  <c r="G49" i="43"/>
  <c r="D49" i="43"/>
  <c r="G48" i="43"/>
  <c r="D48" i="43"/>
  <c r="G47" i="43"/>
  <c r="D47" i="43"/>
  <c r="G46" i="43"/>
  <c r="D46" i="43"/>
  <c r="G45" i="43"/>
  <c r="D45" i="43"/>
  <c r="G44" i="43"/>
  <c r="D44" i="43"/>
  <c r="G43" i="43"/>
  <c r="G42" i="43"/>
  <c r="G41" i="43"/>
  <c r="D41" i="43"/>
  <c r="G40" i="43"/>
  <c r="D40" i="43"/>
  <c r="G39" i="43"/>
  <c r="D39" i="43"/>
  <c r="G38" i="43"/>
  <c r="D38" i="43"/>
  <c r="G37" i="43"/>
  <c r="D37" i="43"/>
  <c r="G36" i="43"/>
  <c r="D36" i="43"/>
  <c r="G35" i="43"/>
  <c r="G34" i="43"/>
  <c r="G33" i="43"/>
  <c r="G32" i="43"/>
  <c r="G31" i="43"/>
  <c r="G30" i="43"/>
  <c r="G29" i="43"/>
  <c r="G28" i="43"/>
  <c r="G27" i="43"/>
  <c r="G26" i="43"/>
  <c r="G25" i="43"/>
  <c r="G24" i="43"/>
  <c r="G23" i="43"/>
  <c r="G22" i="43"/>
  <c r="G21" i="43"/>
  <c r="G20" i="43"/>
  <c r="D20" i="43"/>
  <c r="G19" i="43"/>
  <c r="D19" i="43"/>
  <c r="G18" i="43"/>
  <c r="D18" i="43"/>
  <c r="G17" i="43"/>
  <c r="D17" i="43"/>
  <c r="G16" i="43"/>
  <c r="D16" i="43"/>
  <c r="G15" i="43"/>
  <c r="D15" i="43"/>
  <c r="G14" i="43"/>
  <c r="D14" i="43"/>
  <c r="G13" i="43"/>
  <c r="D13" i="43"/>
  <c r="G12" i="43"/>
  <c r="G71" i="40"/>
  <c r="D71" i="40"/>
  <c r="G70" i="40"/>
  <c r="D70" i="40"/>
  <c r="G69" i="40"/>
  <c r="D69" i="40"/>
  <c r="G68" i="40"/>
  <c r="D68" i="40"/>
  <c r="G67" i="40"/>
  <c r="D67" i="40"/>
  <c r="G66" i="40"/>
  <c r="D66" i="40"/>
  <c r="G65" i="40"/>
  <c r="D65" i="40"/>
  <c r="G64" i="40"/>
  <c r="G63" i="40"/>
  <c r="G62" i="40"/>
  <c r="G61" i="40"/>
  <c r="D61" i="40"/>
  <c r="G60" i="40"/>
  <c r="D60" i="40"/>
  <c r="G59" i="40"/>
  <c r="D59" i="40"/>
  <c r="G58" i="40"/>
  <c r="G57" i="40"/>
  <c r="G56" i="40"/>
  <c r="G55" i="40"/>
  <c r="G54" i="40"/>
  <c r="G53" i="40"/>
  <c r="D53" i="40"/>
  <c r="G52" i="40"/>
  <c r="G51" i="40"/>
  <c r="D51" i="40"/>
  <c r="G50" i="40"/>
  <c r="D50" i="40"/>
  <c r="G49" i="40"/>
  <c r="D49" i="40"/>
  <c r="G48" i="40"/>
  <c r="D48" i="40"/>
  <c r="G47" i="40"/>
  <c r="D47" i="40"/>
  <c r="G46" i="40"/>
  <c r="D46" i="40"/>
  <c r="G45" i="40"/>
  <c r="D45" i="40"/>
  <c r="G44" i="40"/>
  <c r="D44" i="40"/>
  <c r="G43" i="40"/>
  <c r="D43" i="40"/>
  <c r="G42" i="40"/>
  <c r="D42" i="40"/>
  <c r="G41" i="40"/>
  <c r="D41" i="40"/>
  <c r="G40" i="40"/>
  <c r="D40" i="40"/>
  <c r="G39" i="40"/>
  <c r="D39" i="40"/>
  <c r="G38" i="40"/>
  <c r="D38" i="40"/>
  <c r="G37" i="40"/>
  <c r="G36" i="40"/>
  <c r="D36" i="40"/>
  <c r="G35" i="40"/>
  <c r="D35" i="40"/>
  <c r="G34" i="40"/>
  <c r="D34" i="40"/>
  <c r="G33" i="40"/>
  <c r="D33" i="40"/>
  <c r="G32" i="40"/>
  <c r="D32" i="40"/>
  <c r="G31" i="40"/>
  <c r="D31" i="40"/>
  <c r="G30" i="40"/>
  <c r="G29" i="40"/>
  <c r="G28" i="40"/>
  <c r="G27" i="40"/>
  <c r="G26" i="40"/>
  <c r="G25" i="40"/>
  <c r="G24" i="40"/>
  <c r="G23" i="40"/>
  <c r="G22" i="40"/>
  <c r="D22" i="40"/>
  <c r="G21" i="40"/>
  <c r="D21" i="40"/>
  <c r="G20" i="40"/>
  <c r="D20" i="40"/>
  <c r="G19" i="40"/>
  <c r="D19" i="40"/>
  <c r="G18" i="40"/>
  <c r="D18" i="40"/>
  <c r="G17" i="40"/>
  <c r="D17" i="40"/>
  <c r="G16" i="40"/>
  <c r="D16" i="40"/>
  <c r="G15" i="40"/>
  <c r="D15" i="40"/>
  <c r="G14" i="40"/>
  <c r="D14" i="40"/>
  <c r="G13" i="40"/>
  <c r="D13" i="40"/>
  <c r="G12" i="40"/>
  <c r="G71" i="38"/>
  <c r="D71" i="38"/>
  <c r="G70" i="38"/>
  <c r="D70" i="38"/>
  <c r="G69" i="38"/>
  <c r="D69" i="38"/>
  <c r="G68" i="38"/>
  <c r="D68" i="38"/>
  <c r="G67" i="38"/>
  <c r="D67" i="38"/>
  <c r="G66" i="38"/>
  <c r="D66" i="38"/>
  <c r="G65" i="38"/>
  <c r="D65" i="38"/>
  <c r="G64" i="38"/>
  <c r="G63" i="38"/>
  <c r="G62" i="38"/>
  <c r="G61" i="38"/>
  <c r="D61" i="38"/>
  <c r="G60" i="38"/>
  <c r="D60" i="38"/>
  <c r="G59" i="38"/>
  <c r="D59" i="38"/>
  <c r="G58" i="38"/>
  <c r="G57" i="38"/>
  <c r="G56" i="38"/>
  <c r="G55" i="38"/>
  <c r="G54" i="38"/>
  <c r="G53" i="38"/>
  <c r="D53" i="38"/>
  <c r="G52" i="38"/>
  <c r="G51" i="38"/>
  <c r="D51" i="38"/>
  <c r="G50" i="38"/>
  <c r="D50" i="38"/>
  <c r="G49" i="38"/>
  <c r="D49" i="38"/>
  <c r="G48" i="38"/>
  <c r="D48" i="38"/>
  <c r="G47" i="38"/>
  <c r="D47" i="38"/>
  <c r="G46" i="38"/>
  <c r="D46" i="38"/>
  <c r="G45" i="38"/>
  <c r="D45" i="38"/>
  <c r="G44" i="38"/>
  <c r="D44" i="38"/>
  <c r="G43" i="38"/>
  <c r="D43" i="38"/>
  <c r="G42" i="38"/>
  <c r="D42" i="38"/>
  <c r="G41" i="38"/>
  <c r="D41" i="38"/>
  <c r="G40" i="38"/>
  <c r="D40" i="38"/>
  <c r="G39" i="38"/>
  <c r="D39" i="38"/>
  <c r="G38" i="38"/>
  <c r="D38" i="38"/>
  <c r="G37" i="38"/>
  <c r="G36" i="38"/>
  <c r="D36" i="38"/>
  <c r="G35" i="38"/>
  <c r="D35" i="38"/>
  <c r="G34" i="38"/>
  <c r="D34" i="38"/>
  <c r="G33" i="38"/>
  <c r="D33" i="38"/>
  <c r="G32" i="38"/>
  <c r="D32" i="38"/>
  <c r="G31" i="38"/>
  <c r="D31" i="38"/>
  <c r="G30" i="38"/>
  <c r="G29" i="38"/>
  <c r="G28" i="38"/>
  <c r="G27" i="38"/>
  <c r="G26" i="38"/>
  <c r="G25" i="38"/>
  <c r="G24" i="38"/>
  <c r="G23" i="38"/>
  <c r="G22" i="38"/>
  <c r="D22" i="38"/>
  <c r="G21" i="38"/>
  <c r="D21" i="38"/>
  <c r="G20" i="38"/>
  <c r="D20" i="38"/>
  <c r="G19" i="38"/>
  <c r="D19" i="38"/>
  <c r="G18" i="38"/>
  <c r="D18" i="38"/>
  <c r="G17" i="38"/>
  <c r="D17" i="38"/>
  <c r="G16" i="38"/>
  <c r="D16" i="38"/>
  <c r="G15" i="38"/>
  <c r="D15" i="38"/>
  <c r="G14" i="38"/>
  <c r="D14" i="38"/>
  <c r="G13" i="38"/>
  <c r="D13" i="38"/>
  <c r="G12" i="38"/>
  <c r="G71" i="34"/>
  <c r="D71" i="34"/>
  <c r="G70" i="34"/>
  <c r="D70" i="34"/>
  <c r="G69" i="34"/>
  <c r="D69" i="34"/>
  <c r="G68" i="34"/>
  <c r="D68" i="34"/>
  <c r="G67" i="34"/>
  <c r="D67" i="34"/>
  <c r="G66" i="34"/>
  <c r="D66" i="34"/>
  <c r="G65" i="34"/>
  <c r="D65" i="34"/>
  <c r="G64" i="34"/>
  <c r="G63" i="34"/>
  <c r="G62" i="34"/>
  <c r="G61" i="34"/>
  <c r="D61" i="34"/>
  <c r="G60" i="34"/>
  <c r="D60" i="34"/>
  <c r="G59" i="34"/>
  <c r="D59" i="34"/>
  <c r="G58" i="34"/>
  <c r="G57" i="34"/>
  <c r="G56" i="34"/>
  <c r="G55" i="34"/>
  <c r="G54" i="34"/>
  <c r="G53" i="34"/>
  <c r="D53" i="34"/>
  <c r="G52" i="34"/>
  <c r="G51" i="34"/>
  <c r="D51" i="34"/>
  <c r="G50" i="34"/>
  <c r="D50" i="34"/>
  <c r="G49" i="34"/>
  <c r="D49" i="34"/>
  <c r="G48" i="34"/>
  <c r="D48" i="34"/>
  <c r="G47" i="34"/>
  <c r="D47" i="34"/>
  <c r="G46" i="34"/>
  <c r="D46" i="34"/>
  <c r="G45" i="34"/>
  <c r="D45" i="34"/>
  <c r="G44" i="34"/>
  <c r="D44" i="34"/>
  <c r="G43" i="34"/>
  <c r="D43" i="34"/>
  <c r="G42" i="34"/>
  <c r="D42" i="34"/>
  <c r="G41" i="34"/>
  <c r="D41" i="34"/>
  <c r="G40" i="34"/>
  <c r="D40" i="34"/>
  <c r="G39" i="34"/>
  <c r="D39" i="34"/>
  <c r="G38" i="34"/>
  <c r="D38" i="34"/>
  <c r="G37" i="34"/>
  <c r="G36" i="34"/>
  <c r="D36" i="34"/>
  <c r="G35" i="34"/>
  <c r="D35" i="34"/>
  <c r="G34" i="34"/>
  <c r="D34" i="34"/>
  <c r="G33" i="34"/>
  <c r="D33" i="34"/>
  <c r="G32" i="34"/>
  <c r="D32" i="34"/>
  <c r="G31" i="34"/>
  <c r="D31" i="34"/>
  <c r="G30" i="34"/>
  <c r="G29" i="34"/>
  <c r="G28" i="34"/>
  <c r="G27" i="34"/>
  <c r="G26" i="34"/>
  <c r="G25" i="34"/>
  <c r="G24" i="34"/>
  <c r="G23" i="34"/>
  <c r="G22" i="34"/>
  <c r="D22" i="34"/>
  <c r="G21" i="34"/>
  <c r="D21" i="34"/>
  <c r="G20" i="34"/>
  <c r="D20" i="34"/>
  <c r="G19" i="34"/>
  <c r="D19" i="34"/>
  <c r="G18" i="34"/>
  <c r="D18" i="34"/>
  <c r="G17" i="34"/>
  <c r="D17" i="34"/>
  <c r="G16" i="34"/>
  <c r="D16" i="34"/>
  <c r="G15" i="34"/>
  <c r="D15" i="34"/>
  <c r="G14" i="34"/>
  <c r="D14" i="34"/>
  <c r="G13" i="34"/>
  <c r="D13" i="34"/>
  <c r="G12" i="34"/>
  <c r="D14" i="50"/>
  <c r="C14" i="50"/>
  <c r="E10" i="50"/>
  <c r="E9" i="50"/>
  <c r="E8" i="50"/>
  <c r="J1" i="50"/>
  <c r="E1" i="50"/>
  <c r="U124" i="42"/>
  <c r="I124" i="42"/>
  <c r="H124" i="42"/>
  <c r="G124" i="42"/>
  <c r="F124" i="42"/>
  <c r="E124" i="42"/>
  <c r="U123" i="42"/>
  <c r="Q123" i="42"/>
  <c r="O123" i="42"/>
  <c r="L123" i="42"/>
  <c r="U122" i="42"/>
  <c r="Q122" i="42"/>
  <c r="O122" i="42"/>
  <c r="L122" i="42"/>
  <c r="U121" i="42"/>
  <c r="Q121" i="42"/>
  <c r="O121" i="42"/>
  <c r="L121" i="42"/>
  <c r="U120" i="42"/>
  <c r="Q120" i="42"/>
  <c r="O120" i="42"/>
  <c r="L120" i="42"/>
  <c r="U119" i="42"/>
  <c r="Q119" i="42"/>
  <c r="O119" i="42"/>
  <c r="L119" i="42"/>
  <c r="U118" i="42"/>
  <c r="Q118" i="42"/>
  <c r="O118" i="42"/>
  <c r="L118" i="42"/>
  <c r="U117" i="42"/>
  <c r="Q117" i="42"/>
  <c r="O117" i="42"/>
  <c r="L117" i="42"/>
  <c r="U116" i="42"/>
  <c r="Q116" i="42"/>
  <c r="O116" i="42"/>
  <c r="L116" i="42"/>
  <c r="U115" i="42"/>
  <c r="Q115" i="42"/>
  <c r="O115" i="42"/>
  <c r="L115" i="42"/>
  <c r="U114" i="42"/>
  <c r="Q114" i="42"/>
  <c r="O114" i="42"/>
  <c r="L114" i="42"/>
  <c r="U113" i="42"/>
  <c r="Q113" i="42"/>
  <c r="O113" i="42"/>
  <c r="L113" i="42"/>
  <c r="U112" i="42"/>
  <c r="Q112" i="42"/>
  <c r="O112" i="42"/>
  <c r="L112" i="42"/>
  <c r="U111" i="42"/>
  <c r="Q111" i="42"/>
  <c r="O111" i="42"/>
  <c r="L111" i="42"/>
  <c r="U110" i="42"/>
  <c r="Q110" i="42"/>
  <c r="O110" i="42"/>
  <c r="L110" i="42"/>
  <c r="U109" i="42"/>
  <c r="Q109" i="42"/>
  <c r="O109" i="42"/>
  <c r="L109" i="42"/>
  <c r="U108" i="42"/>
  <c r="Q108" i="42"/>
  <c r="O108" i="42"/>
  <c r="L108" i="42"/>
  <c r="U107" i="42"/>
  <c r="Q107" i="42"/>
  <c r="O107" i="42"/>
  <c r="L107" i="42"/>
  <c r="U106" i="42"/>
  <c r="Q106" i="42"/>
  <c r="O106" i="42"/>
  <c r="L106" i="42"/>
  <c r="U105" i="42"/>
  <c r="Q105" i="42"/>
  <c r="O105" i="42"/>
  <c r="L105" i="42"/>
  <c r="U104" i="42"/>
  <c r="Q104" i="42"/>
  <c r="O104" i="42"/>
  <c r="L104" i="42"/>
  <c r="U103" i="42"/>
  <c r="Q103" i="42"/>
  <c r="O103" i="42"/>
  <c r="L103" i="42"/>
  <c r="U102" i="42"/>
  <c r="Q102" i="42"/>
  <c r="O102" i="42"/>
  <c r="L102" i="42"/>
  <c r="U101" i="42"/>
  <c r="Q101" i="42"/>
  <c r="O101" i="42"/>
  <c r="L101" i="42"/>
  <c r="U100" i="42"/>
  <c r="Q100" i="42"/>
  <c r="O100" i="42"/>
  <c r="L100" i="42"/>
  <c r="U99" i="42"/>
  <c r="Q99" i="42"/>
  <c r="O99" i="42"/>
  <c r="L99" i="42"/>
  <c r="U98" i="42"/>
  <c r="Q98" i="42"/>
  <c r="O98" i="42"/>
  <c r="L98" i="42"/>
  <c r="U97" i="42"/>
  <c r="Q97" i="42"/>
  <c r="O97" i="42"/>
  <c r="L97" i="42"/>
  <c r="U96" i="42"/>
  <c r="Q96" i="42"/>
  <c r="O96" i="42"/>
  <c r="L96" i="42"/>
  <c r="U95" i="42"/>
  <c r="Q95" i="42"/>
  <c r="O95" i="42"/>
  <c r="L95" i="42"/>
  <c r="U94" i="42"/>
  <c r="Q94" i="42"/>
  <c r="O94" i="42"/>
  <c r="L94" i="42"/>
  <c r="U93" i="42"/>
  <c r="Q93" i="42"/>
  <c r="O93" i="42"/>
  <c r="L93" i="42"/>
  <c r="U92" i="42"/>
  <c r="Q92" i="42"/>
  <c r="O92" i="42"/>
  <c r="L92" i="42"/>
  <c r="U91" i="42"/>
  <c r="Q91" i="42"/>
  <c r="O91" i="42"/>
  <c r="L91" i="42"/>
  <c r="U90" i="42"/>
  <c r="Q90" i="42"/>
  <c r="O90" i="42"/>
  <c r="L90" i="42"/>
  <c r="U89" i="42"/>
  <c r="Q89" i="42"/>
  <c r="O89" i="42"/>
  <c r="L89" i="42"/>
  <c r="U88" i="42"/>
  <c r="Q88" i="42"/>
  <c r="O88" i="42"/>
  <c r="L88" i="42"/>
  <c r="U87" i="42"/>
  <c r="Q87" i="42"/>
  <c r="O87" i="42"/>
  <c r="L87" i="42"/>
  <c r="U86" i="42"/>
  <c r="Q86" i="42"/>
  <c r="O86" i="42"/>
  <c r="L86" i="42"/>
  <c r="U85" i="42"/>
  <c r="Q85" i="42"/>
  <c r="O85" i="42"/>
  <c r="L85" i="42"/>
  <c r="U84" i="42"/>
  <c r="Q84" i="42"/>
  <c r="O84" i="42"/>
  <c r="L84" i="42"/>
  <c r="U83" i="42"/>
  <c r="Q83" i="42"/>
  <c r="O83" i="42"/>
  <c r="L83" i="42"/>
  <c r="U82" i="42"/>
  <c r="Q82" i="42"/>
  <c r="O82" i="42"/>
  <c r="L82" i="42"/>
  <c r="U81" i="42"/>
  <c r="Q81" i="42"/>
  <c r="O81" i="42"/>
  <c r="L81" i="42"/>
  <c r="U80" i="42"/>
  <c r="Q80" i="42"/>
  <c r="O80" i="42"/>
  <c r="L80" i="42"/>
  <c r="U79" i="42"/>
  <c r="Q79" i="42"/>
  <c r="O79" i="42"/>
  <c r="L79" i="42"/>
  <c r="U78" i="42"/>
  <c r="Q78" i="42"/>
  <c r="O78" i="42"/>
  <c r="L78" i="42"/>
  <c r="U77" i="42"/>
  <c r="Q77" i="42"/>
  <c r="O77" i="42"/>
  <c r="L77" i="42"/>
  <c r="U76" i="42"/>
  <c r="Q76" i="42"/>
  <c r="O76" i="42"/>
  <c r="L76" i="42"/>
  <c r="U75" i="42"/>
  <c r="Q75" i="42"/>
  <c r="O75" i="42"/>
  <c r="L75" i="42"/>
  <c r="U74" i="42"/>
  <c r="Q74" i="42"/>
  <c r="O74" i="42"/>
  <c r="L74" i="42"/>
  <c r="U73" i="42"/>
  <c r="Q73" i="42"/>
  <c r="O73" i="42"/>
  <c r="L73" i="42"/>
  <c r="U72" i="42"/>
  <c r="Q72" i="42"/>
  <c r="O72" i="42"/>
  <c r="L72" i="42"/>
  <c r="U71" i="42"/>
  <c r="Q71" i="42"/>
  <c r="O71" i="42"/>
  <c r="L71" i="42"/>
  <c r="U70" i="42"/>
  <c r="Q70" i="42"/>
  <c r="O70" i="42"/>
  <c r="L70" i="42"/>
  <c r="U69" i="42"/>
  <c r="Q69" i="42"/>
  <c r="O69" i="42"/>
  <c r="L69" i="42"/>
  <c r="U68" i="42"/>
  <c r="Q68" i="42"/>
  <c r="O68" i="42"/>
  <c r="L68" i="42"/>
  <c r="U67" i="42"/>
  <c r="Q67" i="42"/>
  <c r="O67" i="42"/>
  <c r="L67" i="42"/>
  <c r="U66" i="42"/>
  <c r="Q66" i="42"/>
  <c r="O66" i="42"/>
  <c r="L66" i="42"/>
  <c r="U65" i="42"/>
  <c r="Q65" i="42"/>
  <c r="O65" i="42"/>
  <c r="L65" i="42"/>
  <c r="U64" i="42"/>
  <c r="Q64" i="42"/>
  <c r="O64" i="42"/>
  <c r="L64" i="42"/>
  <c r="U63" i="42"/>
  <c r="Q63" i="42"/>
  <c r="O63" i="42"/>
  <c r="L63" i="42"/>
  <c r="U62" i="42"/>
  <c r="Q62" i="42"/>
  <c r="O62" i="42"/>
  <c r="L62" i="42"/>
  <c r="U61" i="42"/>
  <c r="Q61" i="42"/>
  <c r="O61" i="42"/>
  <c r="L61" i="42"/>
  <c r="U60" i="42"/>
  <c r="Q60" i="42"/>
  <c r="O60" i="42"/>
  <c r="L60" i="42"/>
  <c r="U59" i="42"/>
  <c r="Q59" i="42"/>
  <c r="O59" i="42"/>
  <c r="L59" i="42"/>
  <c r="U58" i="42"/>
  <c r="Q58" i="42"/>
  <c r="O58" i="42"/>
  <c r="L58" i="42"/>
  <c r="U57" i="42"/>
  <c r="Q57" i="42"/>
  <c r="O57" i="42"/>
  <c r="L57" i="42"/>
  <c r="U56" i="42"/>
  <c r="Q56" i="42"/>
  <c r="O56" i="42"/>
  <c r="L56" i="42"/>
  <c r="U55" i="42"/>
  <c r="Q55" i="42"/>
  <c r="O55" i="42"/>
  <c r="L55" i="42"/>
  <c r="U54" i="42"/>
  <c r="Q54" i="42"/>
  <c r="O54" i="42"/>
  <c r="L54" i="42"/>
  <c r="U53" i="42"/>
  <c r="Q53" i="42"/>
  <c r="O53" i="42"/>
  <c r="L53" i="42"/>
  <c r="U52" i="42"/>
  <c r="Q52" i="42"/>
  <c r="O52" i="42"/>
  <c r="L52" i="42"/>
  <c r="U51" i="42"/>
  <c r="Q51" i="42"/>
  <c r="O51" i="42"/>
  <c r="L51" i="42"/>
  <c r="U50" i="42"/>
  <c r="O50" i="42"/>
  <c r="L50" i="42"/>
  <c r="U49" i="42"/>
  <c r="Q49" i="42"/>
  <c r="O49" i="42"/>
  <c r="L49" i="42"/>
  <c r="U48" i="42"/>
  <c r="Q48" i="42"/>
  <c r="O48" i="42"/>
  <c r="L48" i="42"/>
  <c r="U47" i="42"/>
  <c r="Q47" i="42"/>
  <c r="O47" i="42"/>
  <c r="L47" i="42"/>
  <c r="U46" i="42"/>
  <c r="Q46" i="42"/>
  <c r="O46" i="42"/>
  <c r="L46" i="42"/>
  <c r="U45" i="42"/>
  <c r="Q45" i="42"/>
  <c r="O45" i="42"/>
  <c r="L45" i="42"/>
  <c r="U44" i="42"/>
  <c r="Q44" i="42"/>
  <c r="O44" i="42"/>
  <c r="L44" i="42"/>
  <c r="U43" i="42"/>
  <c r="Q43" i="42"/>
  <c r="O43" i="42"/>
  <c r="L43" i="42"/>
  <c r="U42" i="42"/>
  <c r="Q42" i="42"/>
  <c r="O42" i="42"/>
  <c r="L42" i="42"/>
  <c r="U41" i="42"/>
  <c r="Q41" i="42"/>
  <c r="O41" i="42"/>
  <c r="L41" i="42"/>
  <c r="U40" i="42"/>
  <c r="Q40" i="42"/>
  <c r="O40" i="42"/>
  <c r="L40" i="42"/>
  <c r="U39" i="42"/>
  <c r="Q39" i="42"/>
  <c r="O39" i="42"/>
  <c r="L39" i="42"/>
  <c r="AB38" i="42"/>
  <c r="U38" i="42"/>
  <c r="Q38" i="42"/>
  <c r="O38" i="42"/>
  <c r="M38" i="42"/>
  <c r="L38" i="42"/>
  <c r="U37" i="42"/>
  <c r="Q37" i="42"/>
  <c r="O37" i="42"/>
  <c r="L37" i="42"/>
  <c r="U36" i="42"/>
  <c r="Q36" i="42"/>
  <c r="O36" i="42"/>
  <c r="L36" i="42"/>
  <c r="U35" i="42"/>
  <c r="Q35" i="42"/>
  <c r="O35" i="42"/>
  <c r="L35" i="42"/>
  <c r="U34" i="42"/>
  <c r="Q34" i="42"/>
  <c r="O34" i="42"/>
  <c r="L34" i="42"/>
  <c r="U33" i="42"/>
  <c r="Q33" i="42"/>
  <c r="O33" i="42"/>
  <c r="L33" i="42"/>
  <c r="U32" i="42"/>
  <c r="Q32" i="42"/>
  <c r="O32" i="42"/>
  <c r="L32" i="42"/>
  <c r="B30" i="42"/>
  <c r="B29" i="42"/>
  <c r="B28" i="42"/>
  <c r="B27" i="42"/>
  <c r="AD24" i="42"/>
  <c r="W24" i="42"/>
  <c r="D19" i="42"/>
  <c r="L9" i="42"/>
  <c r="L8" i="42"/>
  <c r="C8" i="42"/>
  <c r="N7" i="42"/>
  <c r="L7" i="42"/>
  <c r="C7" i="42"/>
  <c r="B7" i="42"/>
  <c r="S6" i="42"/>
  <c r="N6" i="42"/>
  <c r="L6" i="42"/>
  <c r="C6" i="42"/>
  <c r="S5" i="42"/>
  <c r="N5" i="42"/>
  <c r="L5" i="42"/>
  <c r="C5" i="42"/>
  <c r="S4" i="42"/>
  <c r="L4" i="42"/>
  <c r="B4" i="42"/>
  <c r="S3" i="42"/>
  <c r="L3" i="42"/>
  <c r="B3" i="42"/>
  <c r="S2" i="42"/>
  <c r="L2" i="42"/>
  <c r="S1" i="42"/>
  <c r="B1" i="42"/>
  <c r="E8" i="32"/>
  <c r="H7" i="32"/>
  <c r="E7" i="32"/>
  <c r="C7" i="32"/>
  <c r="H6" i="32"/>
  <c r="H5" i="32"/>
  <c r="C5" i="32"/>
  <c r="H4" i="32"/>
  <c r="E4" i="32"/>
  <c r="C4" i="32"/>
  <c r="H3" i="32"/>
  <c r="H2" i="32"/>
  <c r="E2" i="32"/>
  <c r="E61" i="31"/>
  <c r="E60" i="31"/>
  <c r="E59" i="31"/>
  <c r="E49" i="31"/>
  <c r="E48" i="31"/>
  <c r="E47" i="31"/>
  <c r="E46" i="31"/>
  <c r="E45" i="31"/>
  <c r="E44" i="31"/>
  <c r="D20" i="31"/>
  <c r="E8" i="31"/>
  <c r="H7" i="31"/>
  <c r="E7" i="31"/>
  <c r="C7" i="31"/>
  <c r="H6" i="31"/>
  <c r="H5" i="31"/>
  <c r="C5" i="31"/>
  <c r="H4" i="31"/>
  <c r="E4" i="31"/>
  <c r="C4" i="31"/>
  <c r="H3" i="31"/>
  <c r="H2" i="31"/>
  <c r="E2" i="31"/>
  <c r="B56" i="46"/>
  <c r="B55" i="46"/>
  <c r="B54" i="46"/>
  <c r="B53" i="46"/>
  <c r="B52" i="46"/>
  <c r="B51" i="46"/>
  <c r="B50" i="46"/>
  <c r="B49" i="46"/>
  <c r="B48" i="46"/>
  <c r="B47" i="46"/>
  <c r="B46" i="46"/>
  <c r="AB45" i="46"/>
  <c r="B45" i="46"/>
  <c r="B44" i="46"/>
  <c r="B43" i="46"/>
  <c r="B42" i="46"/>
  <c r="B41" i="46"/>
  <c r="B40" i="46"/>
  <c r="B39" i="46"/>
  <c r="B38" i="46"/>
  <c r="B37" i="46"/>
  <c r="B36" i="46"/>
  <c r="B35" i="46"/>
  <c r="B34" i="46"/>
  <c r="B33" i="46"/>
  <c r="B32" i="46"/>
  <c r="B31" i="46"/>
  <c r="B30" i="46"/>
  <c r="B29" i="46"/>
  <c r="B28" i="46"/>
  <c r="P27" i="46"/>
  <c r="B27" i="46"/>
  <c r="B26" i="46"/>
  <c r="B25" i="46"/>
  <c r="B24" i="46"/>
  <c r="B23" i="46"/>
  <c r="Y22" i="46"/>
  <c r="X22" i="46"/>
  <c r="W22" i="46"/>
  <c r="B22" i="46"/>
  <c r="B21" i="46"/>
  <c r="T20" i="46"/>
  <c r="F20" i="46"/>
  <c r="C20" i="46"/>
  <c r="T17" i="46"/>
  <c r="T16" i="46"/>
  <c r="D14" i="46"/>
  <c r="C12" i="46"/>
  <c r="T56" i="61"/>
  <c r="C56" i="61"/>
  <c r="B56" i="61"/>
  <c r="T55" i="61"/>
  <c r="C55" i="61"/>
  <c r="B55" i="61"/>
  <c r="T54" i="61"/>
  <c r="C54" i="61"/>
  <c r="B54" i="61"/>
  <c r="T53" i="61"/>
  <c r="C53" i="61"/>
  <c r="B53" i="61"/>
  <c r="T52" i="61"/>
  <c r="C52" i="61"/>
  <c r="B52" i="61"/>
  <c r="T51" i="61"/>
  <c r="C51" i="61"/>
  <c r="B51" i="61"/>
  <c r="T50" i="61"/>
  <c r="C50" i="61"/>
  <c r="B50" i="61"/>
  <c r="T49" i="61"/>
  <c r="C49" i="61"/>
  <c r="B49" i="61"/>
  <c r="T48" i="61"/>
  <c r="C48" i="61"/>
  <c r="B48" i="61"/>
  <c r="T47" i="61"/>
  <c r="C47" i="61"/>
  <c r="B47" i="61"/>
  <c r="T46" i="61"/>
  <c r="C46" i="61"/>
  <c r="B46" i="61"/>
  <c r="AB45" i="61"/>
  <c r="T45" i="61"/>
  <c r="C45" i="61"/>
  <c r="B45" i="61"/>
  <c r="T44" i="61"/>
  <c r="C44" i="61"/>
  <c r="B44" i="61"/>
  <c r="T43" i="61"/>
  <c r="C43" i="61"/>
  <c r="B43" i="61"/>
  <c r="T42" i="61"/>
  <c r="C42" i="61"/>
  <c r="B42" i="61"/>
  <c r="T41" i="61"/>
  <c r="C41" i="61"/>
  <c r="B41" i="61"/>
  <c r="T40" i="61"/>
  <c r="C40" i="61"/>
  <c r="B40" i="61"/>
  <c r="T39" i="61"/>
  <c r="C39" i="61"/>
  <c r="B39" i="61"/>
  <c r="T38" i="61"/>
  <c r="C38" i="61"/>
  <c r="B38" i="61"/>
  <c r="T37" i="61"/>
  <c r="C37" i="61"/>
  <c r="B37" i="61"/>
  <c r="T36" i="61"/>
  <c r="C36" i="61"/>
  <c r="B36" i="61"/>
  <c r="T35" i="61"/>
  <c r="C35" i="61"/>
  <c r="B35" i="61"/>
  <c r="T34" i="61"/>
  <c r="C34" i="61"/>
  <c r="B34" i="61"/>
  <c r="T33" i="61"/>
  <c r="C33" i="61"/>
  <c r="B33" i="61"/>
  <c r="T32" i="61"/>
  <c r="C32" i="61"/>
  <c r="B32" i="61"/>
  <c r="T31" i="61"/>
  <c r="C31" i="61"/>
  <c r="B31" i="61"/>
  <c r="T30" i="61"/>
  <c r="C30" i="61"/>
  <c r="B30" i="61"/>
  <c r="T29" i="61"/>
  <c r="C29" i="61"/>
  <c r="B29" i="61"/>
  <c r="T28" i="61"/>
  <c r="C28" i="61"/>
  <c r="B28" i="61"/>
  <c r="T27" i="61"/>
  <c r="P27" i="61"/>
  <c r="C27" i="61"/>
  <c r="B27" i="61"/>
  <c r="T26" i="61"/>
  <c r="C26" i="61"/>
  <c r="B26" i="61"/>
  <c r="T25" i="61"/>
  <c r="C25" i="61"/>
  <c r="B25" i="61"/>
  <c r="T24" i="61"/>
  <c r="C24" i="61"/>
  <c r="B24" i="61"/>
  <c r="T23" i="61"/>
  <c r="C23" i="61"/>
  <c r="B23" i="61"/>
  <c r="Y22" i="61"/>
  <c r="X22" i="61"/>
  <c r="W22" i="61"/>
  <c r="T22" i="61"/>
  <c r="C22" i="61"/>
  <c r="B22" i="61"/>
  <c r="T21" i="61"/>
  <c r="K21" i="61"/>
  <c r="C21" i="61"/>
  <c r="B21" i="61"/>
  <c r="T20" i="61"/>
  <c r="K20" i="61"/>
  <c r="I20" i="61"/>
  <c r="F20" i="61"/>
  <c r="C20" i="61"/>
  <c r="T17" i="61"/>
  <c r="T16" i="61"/>
  <c r="O16" i="61"/>
  <c r="N16" i="61"/>
  <c r="D16" i="61"/>
  <c r="T15" i="61"/>
  <c r="O15" i="61"/>
  <c r="N15" i="61"/>
  <c r="D14" i="61"/>
  <c r="D9" i="61"/>
  <c r="F79" i="30"/>
  <c r="F78" i="30"/>
  <c r="F77" i="30"/>
  <c r="B77" i="30"/>
  <c r="F54" i="30"/>
  <c r="F53" i="30"/>
  <c r="F50" i="30"/>
  <c r="B50" i="30"/>
  <c r="C28" i="30"/>
  <c r="N14" i="28" s="1"/>
  <c r="I14" i="28" s="1"/>
  <c r="F23" i="30"/>
  <c r="B23" i="30"/>
  <c r="F21" i="30"/>
  <c r="F20" i="30"/>
  <c r="F19" i="30"/>
  <c r="F18" i="30"/>
  <c r="F17" i="30"/>
  <c r="F16" i="30"/>
  <c r="C12" i="30"/>
  <c r="C3" i="31" s="1"/>
  <c r="C5" i="30"/>
  <c r="C2" i="31" s="1"/>
  <c r="C2" i="32" s="1"/>
  <c r="G28" i="60"/>
  <c r="G27" i="60"/>
  <c r="F19" i="60"/>
  <c r="F18" i="60"/>
  <c r="L17" i="60"/>
  <c r="F17" i="60"/>
  <c r="L16" i="60"/>
  <c r="F16" i="60"/>
  <c r="L15" i="60"/>
  <c r="F15" i="60"/>
  <c r="B71" i="69"/>
  <c r="B69" i="69"/>
  <c r="G51" i="69"/>
  <c r="D51" i="69"/>
  <c r="D50" i="69"/>
  <c r="G49" i="69"/>
  <c r="G47" i="69"/>
  <c r="G46" i="69"/>
  <c r="E18" i="69"/>
  <c r="E14" i="69"/>
  <c r="B112" i="68"/>
  <c r="G110" i="68"/>
  <c r="C110" i="68"/>
  <c r="G109" i="68"/>
  <c r="C109" i="68"/>
  <c r="G108" i="68"/>
  <c r="C108" i="68"/>
  <c r="G107" i="68"/>
  <c r="C107" i="68"/>
  <c r="G106" i="68"/>
  <c r="C106" i="68"/>
  <c r="G105" i="68"/>
  <c r="G104" i="68"/>
  <c r="G103" i="68"/>
  <c r="G96" i="68"/>
  <c r="C95" i="68"/>
  <c r="G93" i="68"/>
  <c r="G92" i="68"/>
  <c r="B50" i="68"/>
  <c r="B48" i="68"/>
  <c r="D35" i="68"/>
  <c r="D34" i="68"/>
  <c r="E15" i="68"/>
  <c r="B11" i="68"/>
  <c r="I7" i="68"/>
  <c r="B7" i="68" s="1"/>
  <c r="J2" i="68"/>
  <c r="I111" i="28"/>
  <c r="G111" i="28"/>
  <c r="I110" i="28"/>
  <c r="G110" i="28"/>
  <c r="M109" i="28"/>
  <c r="G109" i="28" s="1"/>
  <c r="I109" i="28"/>
  <c r="I108" i="28"/>
  <c r="G108" i="28"/>
  <c r="I107" i="28"/>
  <c r="G107" i="28"/>
  <c r="I106" i="28"/>
  <c r="G106" i="28"/>
  <c r="I105" i="28"/>
  <c r="G105" i="28"/>
  <c r="I104" i="28"/>
  <c r="G104" i="28"/>
  <c r="I103" i="28"/>
  <c r="G103" i="28"/>
  <c r="I102" i="28"/>
  <c r="G102" i="28"/>
  <c r="I101" i="28"/>
  <c r="G101" i="28"/>
  <c r="N100" i="28"/>
  <c r="I100" i="28"/>
  <c r="G100" i="28"/>
  <c r="I99" i="28"/>
  <c r="G99" i="28"/>
  <c r="I98" i="28"/>
  <c r="G98" i="28"/>
  <c r="I97" i="28"/>
  <c r="G97" i="28"/>
  <c r="I96" i="28"/>
  <c r="G96" i="28"/>
  <c r="I95" i="28"/>
  <c r="G95" i="28"/>
  <c r="I94" i="28"/>
  <c r="G94" i="28"/>
  <c r="I93" i="28"/>
  <c r="G93" i="28"/>
  <c r="I92" i="28"/>
  <c r="G92" i="28"/>
  <c r="I91" i="28"/>
  <c r="G91" i="28"/>
  <c r="I90" i="28"/>
  <c r="G90" i="28"/>
  <c r="G89" i="28"/>
  <c r="I88" i="28"/>
  <c r="G88" i="28"/>
  <c r="I87" i="28"/>
  <c r="G87" i="28"/>
  <c r="I86" i="28"/>
  <c r="G86" i="28"/>
  <c r="I85" i="28"/>
  <c r="G85" i="28"/>
  <c r="I84" i="28"/>
  <c r="G84" i="28"/>
  <c r="I83" i="28"/>
  <c r="G83" i="28"/>
  <c r="I82" i="28"/>
  <c r="G82" i="28"/>
  <c r="I81" i="28"/>
  <c r="G81" i="28"/>
  <c r="I80" i="28"/>
  <c r="G80" i="28"/>
  <c r="G79" i="28"/>
  <c r="I78" i="28"/>
  <c r="G78" i="28"/>
  <c r="I77" i="28"/>
  <c r="G77" i="28"/>
  <c r="I76" i="28"/>
  <c r="G76" i="28"/>
  <c r="I75" i="28"/>
  <c r="G75" i="28"/>
  <c r="I74" i="28"/>
  <c r="G74" i="28"/>
  <c r="I73" i="28"/>
  <c r="G73" i="28"/>
  <c r="I72" i="28"/>
  <c r="G72" i="28"/>
  <c r="I71" i="28"/>
  <c r="G71" i="28"/>
  <c r="I70" i="28"/>
  <c r="G70" i="28"/>
  <c r="G69" i="28"/>
  <c r="I68" i="28"/>
  <c r="G68" i="28"/>
  <c r="I67" i="28"/>
  <c r="G67" i="28"/>
  <c r="I66" i="28"/>
  <c r="G66" i="28"/>
  <c r="I65" i="28"/>
  <c r="G65" i="28"/>
  <c r="I64" i="28"/>
  <c r="G64" i="28"/>
  <c r="I63" i="28"/>
  <c r="G63" i="28"/>
  <c r="I62" i="28"/>
  <c r="G62" i="28"/>
  <c r="I61" i="28"/>
  <c r="G61" i="28"/>
  <c r="I60" i="28"/>
  <c r="G60" i="28"/>
  <c r="G59" i="28"/>
  <c r="I58" i="28"/>
  <c r="G58" i="28"/>
  <c r="I57" i="28"/>
  <c r="G57" i="28"/>
  <c r="I56" i="28"/>
  <c r="G56" i="28"/>
  <c r="I55" i="28"/>
  <c r="G55" i="28"/>
  <c r="I54" i="28"/>
  <c r="G54" i="28"/>
  <c r="I53" i="28"/>
  <c r="G53" i="28"/>
  <c r="I52" i="28"/>
  <c r="G52" i="28"/>
  <c r="I51" i="28"/>
  <c r="G51" i="28"/>
  <c r="I50" i="28"/>
  <c r="G50" i="28"/>
  <c r="N49" i="28"/>
  <c r="I49" i="28"/>
  <c r="G49" i="28"/>
  <c r="I48" i="28"/>
  <c r="G48" i="28"/>
  <c r="I47" i="28"/>
  <c r="G47" i="28"/>
  <c r="I46" i="28"/>
  <c r="G46" i="28"/>
  <c r="I45" i="28"/>
  <c r="G45" i="28"/>
  <c r="I44" i="28"/>
  <c r="G44" i="28"/>
  <c r="I43" i="28"/>
  <c r="G43" i="28"/>
  <c r="I42" i="28"/>
  <c r="G42" i="28"/>
  <c r="M41" i="28"/>
  <c r="G41" i="28" s="1"/>
  <c r="I41" i="28"/>
  <c r="M40" i="28"/>
  <c r="G40" i="28" s="1"/>
  <c r="G39" i="28"/>
  <c r="I38" i="28"/>
  <c r="G38" i="28"/>
  <c r="I37" i="28"/>
  <c r="G37" i="28"/>
  <c r="G36" i="28"/>
  <c r="M35" i="28"/>
  <c r="G35" i="28" s="1"/>
  <c r="D35" i="28" s="1"/>
  <c r="I34" i="28"/>
  <c r="G33" i="28"/>
  <c r="I30" i="28"/>
  <c r="G30" i="28"/>
  <c r="I29" i="28"/>
  <c r="G29" i="28"/>
  <c r="I28" i="28"/>
  <c r="H28" i="28"/>
  <c r="G28" i="28"/>
  <c r="F28" i="28"/>
  <c r="E28" i="28"/>
  <c r="I26" i="28"/>
  <c r="H26" i="28"/>
  <c r="G26" i="28"/>
  <c r="F26" i="28"/>
  <c r="E26" i="28"/>
  <c r="D26" i="28"/>
  <c r="N25" i="28"/>
  <c r="I25" i="28"/>
  <c r="G25" i="28"/>
  <c r="N24" i="28"/>
  <c r="I24" i="28"/>
  <c r="G24" i="28"/>
  <c r="N23" i="28"/>
  <c r="I23" i="28"/>
  <c r="G23" i="28"/>
  <c r="M22" i="28"/>
  <c r="G22" i="28" s="1"/>
  <c r="I21" i="28"/>
  <c r="H21" i="28"/>
  <c r="G21" i="28"/>
  <c r="F21" i="28"/>
  <c r="E21" i="28"/>
  <c r="D21" i="28"/>
  <c r="I20" i="28"/>
  <c r="G20" i="28"/>
  <c r="I19" i="28"/>
  <c r="G19" i="28"/>
  <c r="I18" i="28"/>
  <c r="G18" i="28"/>
  <c r="I17" i="28"/>
  <c r="G17" i="28"/>
  <c r="I16" i="28"/>
  <c r="G16" i="28"/>
  <c r="N15" i="28"/>
  <c r="I15" i="28"/>
  <c r="G15" i="28"/>
  <c r="G14" i="28"/>
  <c r="I13" i="28"/>
  <c r="G13" i="28"/>
  <c r="M12" i="28"/>
  <c r="G12" i="28" s="1"/>
  <c r="I11" i="28"/>
  <c r="G11" i="28"/>
  <c r="I10" i="28"/>
  <c r="G10" i="28"/>
  <c r="N9" i="28"/>
  <c r="I9" i="28"/>
  <c r="G9" i="28"/>
  <c r="N6" i="28"/>
  <c r="M6" i="28"/>
  <c r="L6" i="28"/>
  <c r="F6" i="28"/>
  <c r="E6" i="28"/>
  <c r="F5" i="28"/>
  <c r="E5" i="28"/>
  <c r="L9" i="80"/>
  <c r="H9" i="80"/>
  <c r="D9" i="80"/>
  <c r="L8" i="80"/>
  <c r="H8" i="80"/>
  <c r="D8" i="80"/>
  <c r="P7" i="80"/>
  <c r="Q7" i="80" s="1"/>
  <c r="P6" i="80"/>
  <c r="Q6" i="80" s="1"/>
  <c r="P5" i="80"/>
  <c r="Q5" i="80" s="1"/>
  <c r="D29" i="58"/>
  <c r="C29" i="58"/>
  <c r="B29" i="58"/>
  <c r="C28" i="58"/>
  <c r="D27" i="58"/>
  <c r="C27" i="58"/>
  <c r="B27" i="58"/>
  <c r="C14" i="58"/>
  <c r="D13" i="58"/>
  <c r="D11" i="58"/>
  <c r="D9" i="58"/>
  <c r="C7" i="58"/>
  <c r="C24" i="58" s="1"/>
  <c r="D24" i="58" s="1"/>
  <c r="I23" i="75"/>
  <c r="B17" i="75"/>
  <c r="B16" i="75"/>
  <c r="H15" i="75"/>
  <c r="I11" i="75"/>
  <c r="J11" i="75" s="1"/>
  <c r="H8" i="75"/>
  <c r="G8" i="75"/>
  <c r="I8" i="75" s="1"/>
  <c r="O7" i="75"/>
  <c r="I7" i="75"/>
  <c r="O6" i="75"/>
  <c r="I6" i="75"/>
  <c r="O5" i="75"/>
  <c r="I5" i="75"/>
  <c r="O4" i="75"/>
  <c r="I4" i="75"/>
  <c r="O3" i="75"/>
  <c r="I3" i="75"/>
  <c r="J18" i="68"/>
  <c r="D334" i="54"/>
  <c r="D333" i="54"/>
  <c r="D332" i="54"/>
  <c r="D331" i="54"/>
  <c r="D330" i="54"/>
  <c r="D329" i="54"/>
  <c r="D328" i="54"/>
  <c r="D327" i="54"/>
  <c r="D326" i="54"/>
  <c r="D325" i="54"/>
  <c r="D324" i="54"/>
  <c r="D323" i="54"/>
  <c r="D322" i="54"/>
  <c r="D321" i="54"/>
  <c r="D320" i="54"/>
  <c r="D319" i="54"/>
  <c r="D318" i="54"/>
  <c r="D317" i="54"/>
  <c r="D316" i="54"/>
  <c r="D315" i="54"/>
  <c r="D314" i="54"/>
  <c r="D313" i="54"/>
  <c r="D312" i="54"/>
  <c r="D311" i="54"/>
  <c r="D310" i="54"/>
  <c r="D309" i="54"/>
  <c r="D308" i="54"/>
  <c r="D307" i="54"/>
  <c r="D306" i="54"/>
  <c r="D305" i="54"/>
  <c r="D304" i="54"/>
  <c r="D303" i="54"/>
  <c r="D302" i="54"/>
  <c r="D301" i="54"/>
  <c r="D300" i="54"/>
  <c r="D299" i="54"/>
  <c r="D298" i="54"/>
  <c r="D297" i="54"/>
  <c r="D296" i="54"/>
  <c r="D295" i="54"/>
  <c r="D294" i="54"/>
  <c r="D293" i="54"/>
  <c r="D292" i="54"/>
  <c r="D291" i="54"/>
  <c r="D290" i="54"/>
  <c r="D289" i="54"/>
  <c r="D288" i="54"/>
  <c r="D287" i="54"/>
  <c r="D286" i="54"/>
  <c r="D285" i="54"/>
  <c r="D284" i="54"/>
  <c r="D283" i="54"/>
  <c r="D282" i="54"/>
  <c r="D281" i="54"/>
  <c r="D280" i="54"/>
  <c r="D279" i="54"/>
  <c r="D278" i="54"/>
  <c r="D277" i="54"/>
  <c r="D276" i="54"/>
  <c r="D275" i="54"/>
  <c r="D274" i="54"/>
  <c r="D273" i="54"/>
  <c r="D272" i="54"/>
  <c r="D271" i="54"/>
  <c r="D270" i="54"/>
  <c r="D269" i="54"/>
  <c r="D268" i="54"/>
  <c r="D267" i="54"/>
  <c r="D266" i="54"/>
  <c r="D265" i="54"/>
  <c r="D264" i="54"/>
  <c r="D263" i="54"/>
  <c r="D262" i="54"/>
  <c r="D261" i="54"/>
  <c r="D260" i="54"/>
  <c r="D259" i="54"/>
  <c r="D258" i="54"/>
  <c r="D257" i="54"/>
  <c r="D256" i="54"/>
  <c r="D255" i="54"/>
  <c r="D254" i="54"/>
  <c r="D253" i="54"/>
  <c r="D252" i="54"/>
  <c r="D251" i="54"/>
  <c r="D250" i="54"/>
  <c r="D249" i="54"/>
  <c r="D248" i="54"/>
  <c r="D247" i="54"/>
  <c r="D246" i="54"/>
  <c r="D245" i="54"/>
  <c r="D244" i="54"/>
  <c r="D243" i="54"/>
  <c r="D242" i="54"/>
  <c r="D241" i="54"/>
  <c r="D240" i="54"/>
  <c r="D239" i="54"/>
  <c r="D238" i="54"/>
  <c r="D237" i="54"/>
  <c r="D236" i="54"/>
  <c r="D235" i="54"/>
  <c r="D234" i="54"/>
  <c r="D233" i="54"/>
  <c r="D232" i="54"/>
  <c r="AA19" i="54"/>
  <c r="Z18" i="54"/>
  <c r="E9" i="60"/>
  <c r="D27" i="60" s="1"/>
  <c r="AK10" i="54"/>
  <c r="AK9" i="54"/>
  <c r="AF4" i="54"/>
  <c r="AC4" i="54"/>
  <c r="AR125" i="66"/>
  <c r="AR119" i="66"/>
  <c r="E119" i="66"/>
  <c r="AR118" i="66"/>
  <c r="E118" i="66"/>
  <c r="AR107" i="66"/>
  <c r="AR101" i="66"/>
  <c r="E101" i="66"/>
  <c r="AR100" i="66"/>
  <c r="E100" i="66"/>
  <c r="AR83" i="66"/>
  <c r="J83" i="66"/>
  <c r="E83" i="66"/>
  <c r="AR82" i="66"/>
  <c r="J82" i="66"/>
  <c r="E82" i="66"/>
  <c r="U74" i="66"/>
  <c r="H70" i="66"/>
  <c r="W52" i="66"/>
  <c r="D52" i="66"/>
  <c r="W51" i="66"/>
  <c r="D51" i="66"/>
  <c r="W50" i="66"/>
  <c r="W49" i="66"/>
  <c r="D49" i="66"/>
  <c r="W48" i="66"/>
  <c r="Y48" i="66" s="1"/>
  <c r="D48" i="66"/>
  <c r="F48" i="66" s="1"/>
  <c r="F50" i="66" s="1"/>
  <c r="W47" i="66"/>
  <c r="Y47" i="66" s="1"/>
  <c r="D47" i="66"/>
  <c r="F47" i="66" s="1"/>
  <c r="J60" i="66" s="1"/>
  <c r="D46" i="66"/>
  <c r="F46" i="66" s="1"/>
  <c r="Y45" i="66"/>
  <c r="W44" i="66"/>
  <c r="Y44" i="66" s="1"/>
  <c r="D44" i="66"/>
  <c r="F44" i="66" s="1"/>
  <c r="L57" i="66" s="1"/>
  <c r="W43" i="66"/>
  <c r="Y43" i="66" s="1"/>
  <c r="R42" i="66"/>
  <c r="O42" i="66"/>
  <c r="D41" i="66"/>
  <c r="F41" i="66" s="1"/>
  <c r="D40" i="66"/>
  <c r="F40" i="66" s="1"/>
  <c r="W39" i="66"/>
  <c r="Y39" i="66" s="1"/>
  <c r="R39" i="66"/>
  <c r="O39" i="66"/>
  <c r="D39" i="66"/>
  <c r="AB38" i="66"/>
  <c r="W38" i="66"/>
  <c r="D38" i="66"/>
  <c r="AB37" i="66"/>
  <c r="W37" i="66"/>
  <c r="D37" i="66"/>
  <c r="F37" i="66" s="1"/>
  <c r="V22" i="66"/>
  <c r="D21" i="66"/>
  <c r="C7" i="5" s="1"/>
  <c r="M8" i="5" s="1"/>
  <c r="M172" i="56" s="1"/>
  <c r="D20" i="66"/>
  <c r="F20" i="66" s="1"/>
  <c r="F21" i="66" s="1"/>
  <c r="Y12" i="56" s="1"/>
  <c r="W19" i="66"/>
  <c r="U19" i="66"/>
  <c r="S19" i="66"/>
  <c r="I12" i="66"/>
  <c r="F12" i="66"/>
  <c r="G12" i="66" s="1"/>
  <c r="G11" i="66"/>
  <c r="J9" i="66"/>
  <c r="D9" i="66"/>
  <c r="F9" i="66" s="1"/>
  <c r="G9" i="66" s="1"/>
  <c r="H5" i="66"/>
  <c r="H4" i="66"/>
  <c r="AJ200" i="56"/>
  <c r="R141" i="56"/>
  <c r="AB99" i="56"/>
  <c r="Z99" i="56"/>
  <c r="X99" i="56"/>
  <c r="AK96" i="56"/>
  <c r="AB84" i="56"/>
  <c r="Z84" i="56"/>
  <c r="L72" i="56"/>
  <c r="Q60" i="56"/>
  <c r="Y58" i="56"/>
  <c r="C57" i="56"/>
  <c r="BB45" i="56"/>
  <c r="AP40" i="56"/>
  <c r="AP37" i="56"/>
  <c r="O37" i="5"/>
  <c r="N37" i="5"/>
  <c r="M37" i="5"/>
  <c r="L37" i="5"/>
  <c r="K37" i="5"/>
  <c r="J37" i="5"/>
  <c r="O36" i="5"/>
  <c r="N36" i="5"/>
  <c r="M36" i="5"/>
  <c r="L36" i="5"/>
  <c r="K36" i="5"/>
  <c r="J36" i="5"/>
  <c r="O35" i="5"/>
  <c r="N35" i="5"/>
  <c r="M35" i="5"/>
  <c r="L35" i="5"/>
  <c r="K35" i="5"/>
  <c r="J35" i="5"/>
  <c r="O34" i="5"/>
  <c r="N34" i="5"/>
  <c r="M34" i="5"/>
  <c r="L34" i="5"/>
  <c r="K34" i="5"/>
  <c r="J34" i="5"/>
  <c r="O33" i="5"/>
  <c r="N33" i="5"/>
  <c r="M33" i="5"/>
  <c r="L33" i="5"/>
  <c r="K33" i="5"/>
  <c r="J33" i="5"/>
  <c r="O32" i="5"/>
  <c r="N32" i="5"/>
  <c r="M32" i="5"/>
  <c r="L32" i="5"/>
  <c r="K32" i="5"/>
  <c r="J32" i="5"/>
  <c r="O31" i="5"/>
  <c r="N31" i="5"/>
  <c r="M31" i="5"/>
  <c r="L31" i="5"/>
  <c r="K31" i="5"/>
  <c r="J31" i="5"/>
  <c r="O30" i="5"/>
  <c r="N30" i="5"/>
  <c r="M30" i="5"/>
  <c r="L30" i="5"/>
  <c r="K30" i="5"/>
  <c r="J30" i="5"/>
  <c r="O29" i="5"/>
  <c r="N29" i="5"/>
  <c r="M29" i="5"/>
  <c r="L29" i="5"/>
  <c r="K29" i="5"/>
  <c r="J29" i="5"/>
  <c r="N28" i="5"/>
  <c r="M28" i="5"/>
  <c r="L28" i="5"/>
  <c r="K28" i="5"/>
  <c r="J28" i="5"/>
  <c r="N27" i="5"/>
  <c r="M27" i="5"/>
  <c r="L27" i="5"/>
  <c r="K27" i="5"/>
  <c r="J27" i="5"/>
  <c r="C3" i="5"/>
  <c r="B21" i="5" s="1"/>
  <c r="O134" i="77"/>
  <c r="AD94" i="77"/>
  <c r="N75" i="77"/>
  <c r="K75" i="77"/>
  <c r="H75" i="77"/>
  <c r="AI62" i="77"/>
  <c r="AG59" i="77"/>
  <c r="W59" i="77"/>
  <c r="O59" i="77"/>
  <c r="V50" i="77"/>
  <c r="C49" i="77"/>
  <c r="O37" i="77"/>
  <c r="I37" i="77"/>
  <c r="AP35" i="77"/>
  <c r="K34" i="77"/>
  <c r="AP32" i="77"/>
  <c r="AO28" i="77"/>
  <c r="AK26" i="77"/>
  <c r="K21" i="77"/>
  <c r="AA6" i="77"/>
  <c r="B3" i="28"/>
  <c r="AE60" i="66" l="1"/>
  <c r="AD60" i="66"/>
  <c r="AB60" i="66"/>
  <c r="AC60" i="66"/>
  <c r="AA60" i="66"/>
  <c r="AE55" i="66"/>
  <c r="AB55" i="66"/>
  <c r="AD55" i="66"/>
  <c r="AC55" i="66"/>
  <c r="AA55" i="66"/>
  <c r="J143" i="66"/>
  <c r="J142" i="66"/>
  <c r="J88" i="66"/>
  <c r="J107" i="66"/>
  <c r="J125" i="66"/>
  <c r="J89" i="66"/>
  <c r="J124" i="66"/>
  <c r="J106" i="66"/>
  <c r="K139" i="66"/>
  <c r="K140" i="66"/>
  <c r="G132" i="66"/>
  <c r="AE58" i="66"/>
  <c r="AD58" i="66"/>
  <c r="AC58" i="66"/>
  <c r="AB58" i="66"/>
  <c r="AA58" i="66"/>
  <c r="AC57" i="66"/>
  <c r="AB57" i="66"/>
  <c r="AA57" i="66"/>
  <c r="AE57" i="66"/>
  <c r="AD57" i="66"/>
  <c r="F39" i="66"/>
  <c r="Q42" i="66"/>
  <c r="Q36" i="66" s="1"/>
  <c r="G94" i="66"/>
  <c r="I131" i="66"/>
  <c r="I130" i="66"/>
  <c r="G130" i="66"/>
  <c r="G131" i="66"/>
  <c r="L59" i="66"/>
  <c r="F45" i="66"/>
  <c r="F85" i="66"/>
  <c r="F140" i="66"/>
  <c r="E140" i="66" s="1"/>
  <c r="F113" i="66"/>
  <c r="AR131" i="66" s="1"/>
  <c r="F104" i="66"/>
  <c r="AR122" i="66" s="1"/>
  <c r="F98" i="66"/>
  <c r="F94" i="66"/>
  <c r="F139" i="66"/>
  <c r="E139" i="66" s="1"/>
  <c r="M112" i="66"/>
  <c r="F77" i="66"/>
  <c r="M76" i="66"/>
  <c r="F134" i="66"/>
  <c r="E134" i="66" s="1"/>
  <c r="F76" i="66"/>
  <c r="F133" i="66"/>
  <c r="E133" i="66" s="1"/>
  <c r="F103" i="66"/>
  <c r="F131" i="66"/>
  <c r="E131" i="66" s="1"/>
  <c r="F95" i="66"/>
  <c r="M94" i="66"/>
  <c r="F86" i="66"/>
  <c r="F116" i="66"/>
  <c r="AR134" i="66" s="1"/>
  <c r="F112" i="66"/>
  <c r="AR130" i="66" s="1"/>
  <c r="F97" i="66"/>
  <c r="F130" i="66"/>
  <c r="E130" i="66" s="1"/>
  <c r="F122" i="66"/>
  <c r="AR140" i="66" s="1"/>
  <c r="F121" i="66"/>
  <c r="AR139" i="66" s="1"/>
  <c r="M130" i="66"/>
  <c r="F115" i="66"/>
  <c r="AR133" i="66" s="1"/>
  <c r="F80" i="66"/>
  <c r="F79" i="66"/>
  <c r="J139" i="66"/>
  <c r="J140" i="66"/>
  <c r="J141" i="66"/>
  <c r="K141" i="66"/>
  <c r="AQ132" i="66"/>
  <c r="AQ135" i="66"/>
  <c r="AQ114" i="66"/>
  <c r="AQ141" i="66"/>
  <c r="J121" i="66"/>
  <c r="D132" i="66"/>
  <c r="M132" i="66" s="1"/>
  <c r="F132" i="66"/>
  <c r="E132" i="66" s="1"/>
  <c r="K133" i="66"/>
  <c r="K138" i="66"/>
  <c r="F138" i="66"/>
  <c r="E138" i="66" s="1"/>
  <c r="D135" i="66"/>
  <c r="D138" i="66"/>
  <c r="K134" i="66"/>
  <c r="AQ138" i="66"/>
  <c r="F135" i="66"/>
  <c r="E135" i="66" s="1"/>
  <c r="J138" i="66"/>
  <c r="K135" i="66"/>
  <c r="F141" i="66"/>
  <c r="E141" i="66" s="1"/>
  <c r="D141" i="66"/>
  <c r="R36" i="66"/>
  <c r="O36" i="66"/>
  <c r="U52" i="56"/>
  <c r="G37" i="56"/>
  <c r="J117" i="66"/>
  <c r="J116" i="66"/>
  <c r="J115" i="66"/>
  <c r="J99" i="66"/>
  <c r="J98" i="66"/>
  <c r="J79" i="66"/>
  <c r="J97" i="66"/>
  <c r="J81" i="66"/>
  <c r="J80" i="66"/>
  <c r="K122" i="66"/>
  <c r="K121" i="66"/>
  <c r="K104" i="66"/>
  <c r="K103" i="66"/>
  <c r="K86" i="66"/>
  <c r="K85" i="66"/>
  <c r="K117" i="66"/>
  <c r="AQ99" i="66"/>
  <c r="K123" i="66"/>
  <c r="D114" i="66"/>
  <c r="M114" i="66" s="1"/>
  <c r="AQ105" i="66"/>
  <c r="F102" i="66"/>
  <c r="E102" i="66" s="1"/>
  <c r="AQ96" i="66"/>
  <c r="J86" i="66"/>
  <c r="K84" i="66"/>
  <c r="AQ81" i="66"/>
  <c r="AQ87" i="66"/>
  <c r="AQ102" i="66"/>
  <c r="J123" i="66"/>
  <c r="D117" i="66"/>
  <c r="D102" i="66"/>
  <c r="K99" i="66"/>
  <c r="J84" i="66"/>
  <c r="F84" i="66"/>
  <c r="E84" i="66" s="1"/>
  <c r="F123" i="66"/>
  <c r="K116" i="66"/>
  <c r="K105" i="66"/>
  <c r="F99" i="66"/>
  <c r="E99" i="66" s="1"/>
  <c r="J85" i="66"/>
  <c r="K81" i="66"/>
  <c r="D123" i="66"/>
  <c r="K115" i="66"/>
  <c r="J105" i="66"/>
  <c r="D99" i="66"/>
  <c r="F96" i="66"/>
  <c r="AR114" i="66" s="1"/>
  <c r="J104" i="66"/>
  <c r="F105" i="66"/>
  <c r="AR123" i="66" s="1"/>
  <c r="K98" i="66"/>
  <c r="D96" i="66"/>
  <c r="M96" i="66" s="1"/>
  <c r="D84" i="66"/>
  <c r="F81" i="66"/>
  <c r="E81" i="66" s="1"/>
  <c r="J122" i="66"/>
  <c r="AQ120" i="66"/>
  <c r="D105" i="66"/>
  <c r="K97" i="66"/>
  <c r="K87" i="66"/>
  <c r="AQ78" i="66"/>
  <c r="K120" i="66"/>
  <c r="AY102" i="66"/>
  <c r="AZ102" i="66" s="1"/>
  <c r="J87" i="66"/>
  <c r="D81" i="66"/>
  <c r="F87" i="66"/>
  <c r="AR105" i="66" s="1"/>
  <c r="K80" i="66"/>
  <c r="J120" i="66"/>
  <c r="AQ117" i="66"/>
  <c r="K79" i="66"/>
  <c r="F78" i="66"/>
  <c r="AR96" i="66" s="1"/>
  <c r="K102" i="66"/>
  <c r="D78" i="66"/>
  <c r="M78" i="66" s="1"/>
  <c r="F114" i="66"/>
  <c r="AR132" i="66" s="1"/>
  <c r="J102" i="66"/>
  <c r="AQ123" i="66"/>
  <c r="F120" i="66"/>
  <c r="J103" i="66"/>
  <c r="D87" i="66"/>
  <c r="AQ84" i="66"/>
  <c r="D120" i="66"/>
  <c r="F117" i="66"/>
  <c r="I112" i="66"/>
  <c r="I115" i="66" s="1"/>
  <c r="I118" i="66" s="1"/>
  <c r="I94" i="66"/>
  <c r="I97" i="66" s="1"/>
  <c r="I100" i="66" s="1"/>
  <c r="I95" i="66"/>
  <c r="I76" i="66"/>
  <c r="I79" i="66" s="1"/>
  <c r="I77" i="66"/>
  <c r="I80" i="66" s="1"/>
  <c r="I86" i="66" s="1"/>
  <c r="I78" i="66"/>
  <c r="I113" i="66"/>
  <c r="AO86" i="56"/>
  <c r="N52" i="54"/>
  <c r="Q31" i="83"/>
  <c r="Q30" i="83"/>
  <c r="P31" i="83"/>
  <c r="P30" i="83"/>
  <c r="O31" i="83"/>
  <c r="O30" i="83"/>
  <c r="F38" i="66"/>
  <c r="M53" i="66"/>
  <c r="C56" i="54"/>
  <c r="C55" i="54"/>
  <c r="C23" i="54"/>
  <c r="G114" i="66" s="1"/>
  <c r="C52" i="54"/>
  <c r="C22" i="54"/>
  <c r="G113" i="66" s="1"/>
  <c r="C51" i="54"/>
  <c r="G112" i="66"/>
  <c r="C48" i="54"/>
  <c r="C47" i="54"/>
  <c r="C17" i="54"/>
  <c r="G96" i="66" s="1"/>
  <c r="C9" i="54"/>
  <c r="G76" i="66" s="1"/>
  <c r="C43" i="54"/>
  <c r="C16" i="54"/>
  <c r="G95" i="66" s="1"/>
  <c r="C42" i="54"/>
  <c r="C15" i="54"/>
  <c r="C39" i="54"/>
  <c r="E8" i="60"/>
  <c r="E26" i="60" s="1"/>
  <c r="C10" i="54"/>
  <c r="G77" i="66" s="1"/>
  <c r="C38" i="54"/>
  <c r="G78" i="66"/>
  <c r="C35" i="54"/>
  <c r="P42" i="66"/>
  <c r="P36" i="66" s="1"/>
  <c r="M113" i="66" s="1"/>
  <c r="AO85" i="56"/>
  <c r="I75" i="77"/>
  <c r="AF44" i="77"/>
  <c r="Y37" i="66"/>
  <c r="Y38" i="66"/>
  <c r="AJ4" i="54"/>
  <c r="B41" i="77"/>
  <c r="G36" i="56"/>
  <c r="I34" i="77"/>
  <c r="V52" i="77"/>
  <c r="I56" i="66"/>
  <c r="F33" i="60"/>
  <c r="I35" i="77"/>
  <c r="N12" i="28"/>
  <c r="I12" i="28" s="1"/>
  <c r="D11" i="66"/>
  <c r="I11" i="66" s="1"/>
  <c r="J11" i="66" s="1"/>
  <c r="F52" i="66"/>
  <c r="J65" i="66" s="1"/>
  <c r="Y50" i="66"/>
  <c r="Y49" i="66"/>
  <c r="Y52" i="66"/>
  <c r="Y51" i="66"/>
  <c r="F35" i="28"/>
  <c r="D24" i="66"/>
  <c r="AC24" i="66"/>
  <c r="AQ83" i="66"/>
  <c r="AQ97" i="66"/>
  <c r="AQ101" i="66"/>
  <c r="AQ115" i="66"/>
  <c r="N22" i="28"/>
  <c r="I22" i="28" s="1"/>
  <c r="AJ24" i="66"/>
  <c r="AQ79" i="66"/>
  <c r="AQ121" i="66"/>
  <c r="C45" i="30"/>
  <c r="O21" i="42" s="1" a="1"/>
  <c r="O21" i="42" s="1"/>
  <c r="K8" i="5"/>
  <c r="G165" i="77" s="1"/>
  <c r="AQ85" i="66"/>
  <c r="AQ98" i="66"/>
  <c r="AQ103" i="66"/>
  <c r="AQ116" i="66"/>
  <c r="AQ122" i="66"/>
  <c r="C32" i="30"/>
  <c r="D12" i="42" s="1"/>
  <c r="CX8" i="56"/>
  <c r="R154" i="56"/>
  <c r="AQ80" i="66"/>
  <c r="AQ124" i="66"/>
  <c r="M31" i="28"/>
  <c r="AH197" i="56"/>
  <c r="AQ86" i="66"/>
  <c r="AQ104" i="66"/>
  <c r="AQ125" i="66"/>
  <c r="AQ88" i="66"/>
  <c r="K100" i="66"/>
  <c r="AQ106" i="66"/>
  <c r="K118" i="66"/>
  <c r="H57" i="66"/>
  <c r="K82" i="66"/>
  <c r="AQ89" i="66"/>
  <c r="AQ100" i="66"/>
  <c r="AQ107" i="66"/>
  <c r="AQ118" i="66"/>
  <c r="AQ126" i="66"/>
  <c r="AQ82" i="66"/>
  <c r="D6" i="66"/>
  <c r="I6" i="66" s="1"/>
  <c r="J6" i="66" s="1"/>
  <c r="AQ90" i="66"/>
  <c r="AQ108" i="66"/>
  <c r="V24" i="66"/>
  <c r="AQ94" i="66"/>
  <c r="K2" i="50"/>
  <c r="L7" i="50" s="1"/>
  <c r="L2" i="50" s="1"/>
  <c r="AD76" i="77" s="1"/>
  <c r="L23" i="66"/>
  <c r="AQ76" i="66"/>
  <c r="AQ95" i="66"/>
  <c r="K119" i="66"/>
  <c r="AQ77" i="66"/>
  <c r="K83" i="66"/>
  <c r="K101" i="66"/>
  <c r="AQ119" i="66"/>
  <c r="C3" i="32"/>
  <c r="E5" i="38"/>
  <c r="C4" i="44"/>
  <c r="B10" i="42"/>
  <c r="N15" i="42"/>
  <c r="I57" i="66"/>
  <c r="C4" i="42"/>
  <c r="J7" i="68"/>
  <c r="H2" i="69"/>
  <c r="B2" i="69" s="1"/>
  <c r="D45" i="69"/>
  <c r="J3" i="68"/>
  <c r="D2" i="68" s="1"/>
  <c r="D29" i="68"/>
  <c r="K60" i="66"/>
  <c r="L60" i="66"/>
  <c r="B14" i="5"/>
  <c r="C14" i="5" s="1"/>
  <c r="K4" i="5" s="1"/>
  <c r="B16" i="5"/>
  <c r="C16" i="5" s="1"/>
  <c r="D16" i="5" s="1"/>
  <c r="E16" i="5" s="1"/>
  <c r="F16" i="5" s="1"/>
  <c r="X23" i="66"/>
  <c r="X22" i="66" s="1"/>
  <c r="U23" i="66"/>
  <c r="U22" i="66" s="1"/>
  <c r="V10" i="56" s="1"/>
  <c r="G21" i="5"/>
  <c r="C21" i="5"/>
  <c r="D21" i="5" s="1"/>
  <c r="E21" i="5" s="1"/>
  <c r="F21" i="5" s="1"/>
  <c r="B20" i="5"/>
  <c r="B18" i="5"/>
  <c r="B22" i="5"/>
  <c r="B15" i="5"/>
  <c r="B17" i="5"/>
  <c r="B19" i="5"/>
  <c r="B23" i="5"/>
  <c r="M165" i="77"/>
  <c r="N8" i="5"/>
  <c r="AD9" i="77"/>
  <c r="H61" i="66"/>
  <c r="F51" i="66"/>
  <c r="J61" i="66"/>
  <c r="I61" i="66"/>
  <c r="F49" i="66"/>
  <c r="L61" i="66"/>
  <c r="K61" i="66"/>
  <c r="P3" i="5"/>
  <c r="O8" i="5"/>
  <c r="O3" i="5"/>
  <c r="L8" i="5"/>
  <c r="L3" i="5"/>
  <c r="J8" i="5"/>
  <c r="J3" i="5"/>
  <c r="M3" i="5"/>
  <c r="K3" i="5"/>
  <c r="N3" i="5"/>
  <c r="H59" i="66"/>
  <c r="W23" i="66"/>
  <c r="W21" i="66" s="1"/>
  <c r="I59" i="66"/>
  <c r="V23" i="66"/>
  <c r="V21" i="66" s="1"/>
  <c r="J59" i="66"/>
  <c r="K59" i="66"/>
  <c r="J57" i="66"/>
  <c r="K57" i="66"/>
  <c r="H60" i="66"/>
  <c r="I60" i="66"/>
  <c r="L60" i="28" a="1"/>
  <c r="L67" i="28" a="1"/>
  <c r="L31" i="28" a="1"/>
  <c r="L63" i="28" a="1"/>
  <c r="L11" i="28" a="1"/>
  <c r="L15" i="28" a="1"/>
  <c r="L65" i="28" a="1"/>
  <c r="L94" i="28" a="1"/>
  <c r="L62" i="28" a="1"/>
  <c r="L86" i="28" a="1"/>
  <c r="L34" i="28" a="1"/>
  <c r="L87" i="28" a="1"/>
  <c r="L69" i="28" a="1"/>
  <c r="L98" i="28" a="1"/>
  <c r="L89" i="28" a="1"/>
  <c r="L42" i="28" a="1"/>
  <c r="L9" i="28" a="1"/>
  <c r="L20" i="28" a="1"/>
  <c r="L36" i="28" a="1"/>
  <c r="L85" i="28" a="1"/>
  <c r="L75" i="28" a="1"/>
  <c r="L64" i="28" a="1"/>
  <c r="L25" i="28" a="1"/>
  <c r="L81" i="28" a="1"/>
  <c r="L35" i="28" a="1"/>
  <c r="L52" i="28" a="1"/>
  <c r="L16" i="28" a="1"/>
  <c r="L61" i="28" a="1"/>
  <c r="L37" i="28" a="1"/>
  <c r="L49" i="28" a="1"/>
  <c r="L90" i="28" a="1"/>
  <c r="L12" i="28" a="1"/>
  <c r="L80" i="28" a="1"/>
  <c r="L58" i="28" a="1"/>
  <c r="L47" i="28" a="1"/>
  <c r="L71" i="28" a="1"/>
  <c r="L91" i="28" a="1"/>
  <c r="L73" i="28" a="1"/>
  <c r="L72" i="28" a="1"/>
  <c r="L46" i="28" a="1"/>
  <c r="L53" i="28" a="1"/>
  <c r="L84" i="28" a="1"/>
  <c r="L10" i="28" a="1"/>
  <c r="L13" i="28" a="1"/>
  <c r="L18" i="28" a="1"/>
  <c r="L48" i="28" a="1"/>
  <c r="L14" i="28" a="1"/>
  <c r="L96" i="28" a="1"/>
  <c r="L43" i="28" a="1"/>
  <c r="L95" i="28" a="1"/>
  <c r="L51" i="28" a="1"/>
  <c r="L22" i="28" a="1"/>
  <c r="L100" i="28" a="1"/>
  <c r="L77" i="28" a="1"/>
  <c r="L27" i="28" a="1"/>
  <c r="L83" i="28" a="1"/>
  <c r="L44" i="28" a="1"/>
  <c r="L59" i="28" a="1"/>
  <c r="L33" i="28" a="1"/>
  <c r="L56" i="28" a="1"/>
  <c r="L57" i="28" a="1"/>
  <c r="L66" i="28" a="1"/>
  <c r="L45" i="28" a="1"/>
  <c r="L104" i="28" a="1"/>
  <c r="L99" i="28" a="1"/>
  <c r="L54" i="28" a="1"/>
  <c r="L74" i="28" a="1"/>
  <c r="L30" i="28" a="1"/>
  <c r="L38" i="28" a="1"/>
  <c r="L19" i="28" a="1"/>
  <c r="L82" i="28" a="1"/>
  <c r="L76" i="28" a="1"/>
  <c r="L55" i="28" a="1"/>
  <c r="L92" i="28" a="1"/>
  <c r="L50" i="28" a="1"/>
  <c r="L70" i="28" a="1"/>
  <c r="L79" i="28" a="1"/>
  <c r="L97" i="28" a="1"/>
  <c r="L29" i="28" a="1"/>
  <c r="L39" i="28" a="1"/>
  <c r="L40" i="28" a="1"/>
  <c r="L68" i="28" a="1"/>
  <c r="L88" i="28" a="1"/>
  <c r="L78" i="28" a="1"/>
  <c r="L23" i="28" a="1"/>
  <c r="L93" i="28" a="1"/>
  <c r="L17" i="28" a="1"/>
  <c r="L24" i="28" a="1"/>
  <c r="L32" i="28" a="1"/>
  <c r="O79" i="56" l="1"/>
  <c r="AE54" i="66"/>
  <c r="AD54" i="66"/>
  <c r="AC54" i="66"/>
  <c r="AB54" i="66"/>
  <c r="AA54" i="66"/>
  <c r="AE53" i="66"/>
  <c r="AE66" i="66" s="1"/>
  <c r="AD53" i="66"/>
  <c r="AC53" i="66"/>
  <c r="AB53" i="66"/>
  <c r="AA53" i="66"/>
  <c r="M95" i="66"/>
  <c r="M98" i="66" s="1"/>
  <c r="M77" i="66"/>
  <c r="M80" i="66" s="1"/>
  <c r="N80" i="66" s="1"/>
  <c r="M131" i="66"/>
  <c r="N94" i="66"/>
  <c r="AB138" i="66"/>
  <c r="AB132" i="66"/>
  <c r="N76" i="66"/>
  <c r="M115" i="66"/>
  <c r="AB131" i="66"/>
  <c r="AB144" i="66"/>
  <c r="AB140" i="66"/>
  <c r="AB134" i="66"/>
  <c r="AB137" i="66"/>
  <c r="AB130" i="66"/>
  <c r="AB143" i="66"/>
  <c r="AB133" i="66"/>
  <c r="AB139" i="66"/>
  <c r="AB142" i="66"/>
  <c r="AB136" i="66"/>
  <c r="AP142" i="66"/>
  <c r="AP134" i="66"/>
  <c r="AP139" i="66"/>
  <c r="AP140" i="66"/>
  <c r="AP131" i="66"/>
  <c r="AP144" i="66"/>
  <c r="AP133" i="66"/>
  <c r="AP143" i="66"/>
  <c r="AP130" i="66"/>
  <c r="AB135" i="66"/>
  <c r="AB141" i="66"/>
  <c r="E114" i="66"/>
  <c r="E117" i="66"/>
  <c r="AR135" i="66"/>
  <c r="E123" i="66"/>
  <c r="AR141" i="66"/>
  <c r="E120" i="66"/>
  <c r="AR138" i="66"/>
  <c r="AJ10" i="54"/>
  <c r="AJ11" i="54"/>
  <c r="AB76" i="66"/>
  <c r="F36" i="66"/>
  <c r="E105" i="66"/>
  <c r="N96" i="66"/>
  <c r="AB99" i="66"/>
  <c r="AB87" i="66"/>
  <c r="AB114" i="66"/>
  <c r="M116" i="66"/>
  <c r="N78" i="66"/>
  <c r="AB102" i="66"/>
  <c r="AB81" i="66"/>
  <c r="AB120" i="66"/>
  <c r="AB84" i="66"/>
  <c r="AB105" i="66"/>
  <c r="N114" i="66"/>
  <c r="AB117" i="66"/>
  <c r="AB78" i="66"/>
  <c r="AB123" i="66"/>
  <c r="AB96" i="66"/>
  <c r="I83" i="66"/>
  <c r="AR81" i="66"/>
  <c r="AR102" i="66"/>
  <c r="I121" i="66"/>
  <c r="AR84" i="66"/>
  <c r="E87" i="66"/>
  <c r="AR99" i="66"/>
  <c r="E78" i="66"/>
  <c r="E96" i="66"/>
  <c r="AR117" i="66"/>
  <c r="AR87" i="66"/>
  <c r="AR78" i="66"/>
  <c r="AR120" i="66"/>
  <c r="I82" i="66"/>
  <c r="I85" i="66"/>
  <c r="I103" i="66"/>
  <c r="I96" i="66"/>
  <c r="I98" i="66"/>
  <c r="I114" i="66"/>
  <c r="I116" i="66"/>
  <c r="AP77" i="66"/>
  <c r="G9" i="101"/>
  <c r="G9" i="83"/>
  <c r="G9" i="99"/>
  <c r="K9" i="101"/>
  <c r="K9" i="83"/>
  <c r="K9" i="99"/>
  <c r="AP90" i="66"/>
  <c r="C9" i="101"/>
  <c r="C9" i="83"/>
  <c r="C9" i="99"/>
  <c r="AP115" i="66"/>
  <c r="AP113" i="66"/>
  <c r="AP89" i="66"/>
  <c r="AP86" i="66"/>
  <c r="AP80" i="66"/>
  <c r="AP112" i="66"/>
  <c r="AP88" i="66"/>
  <c r="AP108" i="66"/>
  <c r="AP106" i="66"/>
  <c r="AP107" i="66"/>
  <c r="AP85" i="66"/>
  <c r="AP126" i="66"/>
  <c r="AP104" i="66"/>
  <c r="AP79" i="66"/>
  <c r="AP125" i="66"/>
  <c r="AP103" i="66"/>
  <c r="AP124" i="66"/>
  <c r="AP98" i="66"/>
  <c r="AP76" i="66"/>
  <c r="AP94" i="66"/>
  <c r="AP122" i="66"/>
  <c r="AP97" i="66"/>
  <c r="AP121" i="66"/>
  <c r="AP95" i="66"/>
  <c r="AP116" i="66"/>
  <c r="J53" i="66"/>
  <c r="L53" i="66"/>
  <c r="K53" i="66"/>
  <c r="I53" i="66"/>
  <c r="H53" i="66"/>
  <c r="M55" i="66"/>
  <c r="H55" i="66"/>
  <c r="I55" i="66"/>
  <c r="H54" i="66"/>
  <c r="I54" i="66"/>
  <c r="L54" i="66"/>
  <c r="K54" i="66"/>
  <c r="J54" i="66"/>
  <c r="M54" i="66"/>
  <c r="G161" i="77"/>
  <c r="L55" i="66"/>
  <c r="J55" i="66"/>
  <c r="K55" i="66"/>
  <c r="J56" i="66"/>
  <c r="H56" i="66"/>
  <c r="L56" i="66"/>
  <c r="K56" i="66"/>
  <c r="AJ9" i="54"/>
  <c r="M3" i="50"/>
  <c r="L5" i="50"/>
  <c r="L3" i="50"/>
  <c r="M7" i="50"/>
  <c r="M2" i="50" s="1"/>
  <c r="M6" i="50"/>
  <c r="L6" i="50"/>
  <c r="L4" i="50"/>
  <c r="M5" i="50"/>
  <c r="G172" i="56"/>
  <c r="K65" i="66"/>
  <c r="L65" i="66"/>
  <c r="H65" i="66"/>
  <c r="I65" i="66"/>
  <c r="D8" i="46"/>
  <c r="F6" i="66"/>
  <c r="G6" i="66" s="1"/>
  <c r="D8" i="61"/>
  <c r="L4" i="5"/>
  <c r="J161" i="77" s="1"/>
  <c r="J4" i="5"/>
  <c r="D161" i="77" s="1"/>
  <c r="D14" i="5"/>
  <c r="E14" i="5" s="1"/>
  <c r="F14" i="5" s="1"/>
  <c r="G31" i="28"/>
  <c r="F31" i="28"/>
  <c r="C44" i="30"/>
  <c r="N31" i="28"/>
  <c r="I31" i="28" s="1"/>
  <c r="M4" i="50"/>
  <c r="F20" i="69"/>
  <c r="F21" i="69" s="1"/>
  <c r="F22" i="69" s="1"/>
  <c r="G18" i="68"/>
  <c r="O22" i="42"/>
  <c r="W32" i="42" s="1"/>
  <c r="M32" i="42" s="1"/>
  <c r="B32" i="42" s="1"/>
  <c r="Y36" i="66"/>
  <c r="P15" i="42"/>
  <c r="H2" i="50"/>
  <c r="F2" i="50"/>
  <c r="B129" i="42" s="1"/>
  <c r="E2" i="50"/>
  <c r="E5" i="40"/>
  <c r="E5" i="34"/>
  <c r="E5" i="43"/>
  <c r="N4" i="5"/>
  <c r="R168" i="56" s="1"/>
  <c r="G16" i="5"/>
  <c r="I81" i="66"/>
  <c r="U21" i="66"/>
  <c r="G168" i="56"/>
  <c r="E104" i="66"/>
  <c r="G14" i="5"/>
  <c r="G19" i="5"/>
  <c r="C19" i="5"/>
  <c r="D19" i="5" s="1"/>
  <c r="E19" i="5" s="1"/>
  <c r="F19" i="5" s="1"/>
  <c r="G17" i="5"/>
  <c r="C17" i="5"/>
  <c r="D17" i="5" s="1"/>
  <c r="E17" i="5" s="1"/>
  <c r="F17" i="5" s="1"/>
  <c r="G15" i="5"/>
  <c r="C15" i="5"/>
  <c r="D15" i="5" s="1"/>
  <c r="E15" i="5" s="1"/>
  <c r="F15" i="5" s="1"/>
  <c r="C22" i="5"/>
  <c r="D22" i="5" s="1"/>
  <c r="E22" i="5" s="1"/>
  <c r="F22" i="5" s="1"/>
  <c r="G22" i="5"/>
  <c r="G23" i="5"/>
  <c r="C23" i="5"/>
  <c r="D23" i="5" s="1"/>
  <c r="E23" i="5" s="1"/>
  <c r="F23" i="5" s="1"/>
  <c r="C20" i="5"/>
  <c r="D20" i="5" s="1"/>
  <c r="E20" i="5" s="1"/>
  <c r="F20" i="5" s="1"/>
  <c r="G20" i="5"/>
  <c r="C18" i="5"/>
  <c r="D18" i="5" s="1"/>
  <c r="E18" i="5" s="1"/>
  <c r="F18" i="5" s="1"/>
  <c r="G18" i="5"/>
  <c r="U24" i="66"/>
  <c r="M154" i="56" s="1"/>
  <c r="AO132" i="66" s="1"/>
  <c r="AB108" i="66"/>
  <c r="AB100" i="66"/>
  <c r="AB80" i="66"/>
  <c r="AB106" i="66"/>
  <c r="AB112" i="66"/>
  <c r="AB7" i="77"/>
  <c r="O147" i="77" s="1"/>
  <c r="AB113" i="66"/>
  <c r="AB83" i="66"/>
  <c r="L79" i="56"/>
  <c r="AB95" i="66"/>
  <c r="AB121" i="66"/>
  <c r="AB97" i="66"/>
  <c r="AB79" i="66"/>
  <c r="AB124" i="66"/>
  <c r="AB90" i="66"/>
  <c r="I79" i="56"/>
  <c r="AB116" i="66"/>
  <c r="AB101" i="66"/>
  <c r="AB85" i="66"/>
  <c r="C8" i="5"/>
  <c r="J22" i="5" s="1"/>
  <c r="AB107" i="66"/>
  <c r="AB103" i="66"/>
  <c r="AB98" i="66"/>
  <c r="AB126" i="66"/>
  <c r="AB88" i="66"/>
  <c r="AB86" i="66"/>
  <c r="AB89" i="66"/>
  <c r="AB118" i="66"/>
  <c r="AB122" i="66"/>
  <c r="AB125" i="66"/>
  <c r="AB82" i="66"/>
  <c r="F79" i="56"/>
  <c r="AB104" i="66"/>
  <c r="AB115" i="66"/>
  <c r="AB119" i="66"/>
  <c r="AB94" i="66"/>
  <c r="AB77" i="66"/>
  <c r="W22" i="66"/>
  <c r="V12" i="56" s="1"/>
  <c r="U167" i="56"/>
  <c r="R160" i="77"/>
  <c r="AR116" i="66"/>
  <c r="E98" i="66"/>
  <c r="E115" i="66"/>
  <c r="AR121" i="66"/>
  <c r="E103" i="66"/>
  <c r="M97" i="66"/>
  <c r="E122" i="66"/>
  <c r="M167" i="56"/>
  <c r="M160" i="77"/>
  <c r="U172" i="56"/>
  <c r="R165" i="77"/>
  <c r="AR113" i="66"/>
  <c r="E95" i="66"/>
  <c r="H63" i="66"/>
  <c r="J63" i="66"/>
  <c r="L63" i="66"/>
  <c r="K63" i="66"/>
  <c r="I63" i="66"/>
  <c r="AR104" i="66"/>
  <c r="E86" i="66"/>
  <c r="AR86" i="66"/>
  <c r="AR98" i="66"/>
  <c r="E80" i="66"/>
  <c r="AR80" i="66"/>
  <c r="E116" i="66"/>
  <c r="AR97" i="66"/>
  <c r="E79" i="66"/>
  <c r="AR79" i="66"/>
  <c r="AR103" i="66"/>
  <c r="E85" i="66"/>
  <c r="AR85" i="66"/>
  <c r="I58" i="66"/>
  <c r="H58" i="66"/>
  <c r="K58" i="66"/>
  <c r="L58" i="66"/>
  <c r="J58" i="66"/>
  <c r="AR115" i="66"/>
  <c r="E97" i="66"/>
  <c r="D167" i="56"/>
  <c r="D160" i="77"/>
  <c r="L62" i="66"/>
  <c r="K62" i="66"/>
  <c r="J62" i="66"/>
  <c r="I62" i="66"/>
  <c r="H62" i="66"/>
  <c r="AR76" i="66"/>
  <c r="E76" i="66"/>
  <c r="AR94" i="66"/>
  <c r="R172" i="56"/>
  <c r="O165" i="77"/>
  <c r="E112" i="66"/>
  <c r="D165" i="77"/>
  <c r="D172" i="56"/>
  <c r="E113" i="66"/>
  <c r="E121" i="66"/>
  <c r="E77" i="66"/>
  <c r="AR95" i="66"/>
  <c r="AR77" i="66"/>
  <c r="AR112" i="66"/>
  <c r="E94" i="66"/>
  <c r="O160" i="77"/>
  <c r="R167" i="56"/>
  <c r="G167" i="56"/>
  <c r="G160" i="77"/>
  <c r="J167" i="56"/>
  <c r="J160" i="77"/>
  <c r="L64" i="66"/>
  <c r="K64" i="66"/>
  <c r="J64" i="66"/>
  <c r="I64" i="66"/>
  <c r="H64" i="66"/>
  <c r="J165" i="77"/>
  <c r="J172" i="56"/>
  <c r="L64" i="28"/>
  <c r="L89" i="28"/>
  <c r="L17" i="28"/>
  <c r="L96" i="28"/>
  <c r="L95" i="28"/>
  <c r="L19" i="28"/>
  <c r="L27" i="28"/>
  <c r="L57" i="28"/>
  <c r="L23" i="28"/>
  <c r="L87" i="28"/>
  <c r="L99" i="28"/>
  <c r="L25" i="28"/>
  <c r="L90" i="28"/>
  <c r="L92" i="28"/>
  <c r="L18" i="28"/>
  <c r="L49" i="28"/>
  <c r="L34" i="28"/>
  <c r="L91" i="28"/>
  <c r="L33" i="28"/>
  <c r="L13" i="28"/>
  <c r="L9" i="28"/>
  <c r="L14" i="28"/>
  <c r="L93" i="28"/>
  <c r="L30" i="28"/>
  <c r="L55" i="28"/>
  <c r="L38" i="28"/>
  <c r="L94" i="28"/>
  <c r="L22" i="28"/>
  <c r="L62" i="28"/>
  <c r="L10" i="28"/>
  <c r="L67" i="28"/>
  <c r="L81" i="28"/>
  <c r="L79" i="28"/>
  <c r="L20" i="28"/>
  <c r="L36" i="28"/>
  <c r="L42" i="28"/>
  <c r="L97" i="28"/>
  <c r="L72" i="28"/>
  <c r="L65" i="28"/>
  <c r="L31" i="28"/>
  <c r="L39" i="28"/>
  <c r="L52" i="28"/>
  <c r="L45" i="28"/>
  <c r="L100" i="28"/>
  <c r="L75" i="28"/>
  <c r="L40" i="28"/>
  <c r="L68" i="28"/>
  <c r="L51" i="28"/>
  <c r="L24" i="28"/>
  <c r="L84" i="28"/>
  <c r="L76" i="28"/>
  <c r="L32" i="28"/>
  <c r="L46" i="28"/>
  <c r="L86" i="28"/>
  <c r="L73" i="28"/>
  <c r="L48" i="28"/>
  <c r="L60" i="28"/>
  <c r="L78" i="28"/>
  <c r="L50" i="28"/>
  <c r="L71" i="28"/>
  <c r="L58" i="28"/>
  <c r="L83" i="28"/>
  <c r="L70" i="28"/>
  <c r="L35" i="28"/>
  <c r="L80" i="28"/>
  <c r="L82" i="28"/>
  <c r="L63" i="28"/>
  <c r="L29" i="28"/>
  <c r="L53" i="28"/>
  <c r="L74" i="28"/>
  <c r="L47" i="28"/>
  <c r="L43" i="28"/>
  <c r="L11" i="28"/>
  <c r="L15" i="28"/>
  <c r="L85" i="28"/>
  <c r="L66" i="28"/>
  <c r="L37" i="28"/>
  <c r="L56" i="28"/>
  <c r="L77" i="28"/>
  <c r="L54" i="28"/>
  <c r="L12" i="28"/>
  <c r="L98" i="28"/>
  <c r="L16" i="28"/>
  <c r="L61" i="28"/>
  <c r="L88" i="28"/>
  <c r="L69" i="28"/>
  <c r="L44" i="28"/>
  <c r="L59" i="28"/>
  <c r="L104" i="28"/>
  <c r="AB66" i="66" l="1"/>
  <c r="AD66" i="66"/>
  <c r="AC66" i="66"/>
  <c r="AA66" i="66"/>
  <c r="N77" i="66"/>
  <c r="S39" i="66"/>
  <c r="S37" i="66"/>
  <c r="S42" i="66"/>
  <c r="N112" i="66"/>
  <c r="M79" i="66"/>
  <c r="N79" i="66" s="1"/>
  <c r="D36" i="66"/>
  <c r="E36" i="66" s="1"/>
  <c r="AO117" i="66"/>
  <c r="AO140" i="66"/>
  <c r="AO137" i="66"/>
  <c r="AO134" i="66"/>
  <c r="AO144" i="66"/>
  <c r="AO131" i="66"/>
  <c r="AO142" i="66"/>
  <c r="AO136" i="66"/>
  <c r="AO139" i="66"/>
  <c r="AO130" i="66"/>
  <c r="AO133" i="66"/>
  <c r="AO143" i="66"/>
  <c r="AO141" i="66"/>
  <c r="AO138" i="66"/>
  <c r="V13" i="56"/>
  <c r="X85" i="56" s="1"/>
  <c r="AO135" i="66"/>
  <c r="M81" i="66"/>
  <c r="N81" i="66" s="1"/>
  <c r="M117" i="66"/>
  <c r="N117" i="66" s="1"/>
  <c r="M83" i="66"/>
  <c r="N83" i="66" s="1"/>
  <c r="M86" i="66"/>
  <c r="N86" i="66" s="1"/>
  <c r="I99" i="66"/>
  <c r="I105" i="66" s="1"/>
  <c r="AO84" i="66"/>
  <c r="AO123" i="66"/>
  <c r="AO96" i="66"/>
  <c r="AO76" i="66"/>
  <c r="AO99" i="66"/>
  <c r="AO102" i="66"/>
  <c r="AO81" i="66"/>
  <c r="AO87" i="66"/>
  <c r="AO78" i="66"/>
  <c r="AO114" i="66"/>
  <c r="AO105" i="66"/>
  <c r="AO120" i="66"/>
  <c r="I117" i="66"/>
  <c r="I122" i="66"/>
  <c r="I119" i="66"/>
  <c r="I104" i="66"/>
  <c r="I101" i="66"/>
  <c r="N95" i="66"/>
  <c r="W36" i="66"/>
  <c r="X36" i="66" s="1"/>
  <c r="N113" i="66"/>
  <c r="M99" i="66"/>
  <c r="N99" i="66" s="1"/>
  <c r="AP29" i="77"/>
  <c r="AD23" i="77" s="1"/>
  <c r="AQ37" i="56"/>
  <c r="AQ35" i="77"/>
  <c r="AD24" i="77" s="1"/>
  <c r="AQ32" i="77"/>
  <c r="AD21" i="77" s="1"/>
  <c r="F21" i="61"/>
  <c r="D21" i="61" s="1"/>
  <c r="E21" i="61" s="1"/>
  <c r="Q15" i="61"/>
  <c r="F61" i="61"/>
  <c r="D20" i="61"/>
  <c r="E20" i="61" s="1"/>
  <c r="L20" i="61" s="1"/>
  <c r="F61" i="46"/>
  <c r="X32" i="42"/>
  <c r="Y32" i="42" s="1"/>
  <c r="K22" i="61"/>
  <c r="K23" i="61" s="1"/>
  <c r="K24" i="61" s="1"/>
  <c r="K25" i="61" s="1"/>
  <c r="K26" i="61" s="1"/>
  <c r="K27" i="61" s="1"/>
  <c r="K28" i="61" s="1"/>
  <c r="K29" i="61" s="1"/>
  <c r="K30" i="61" s="1"/>
  <c r="K31" i="61" s="1"/>
  <c r="K32" i="61" s="1"/>
  <c r="K33" i="61" s="1"/>
  <c r="K34" i="61" s="1"/>
  <c r="K35" i="61" s="1"/>
  <c r="K36" i="61" s="1"/>
  <c r="K37" i="61" s="1"/>
  <c r="K38" i="61" s="1"/>
  <c r="K39" i="61" s="1"/>
  <c r="K40" i="61" s="1"/>
  <c r="K41" i="61" s="1"/>
  <c r="K42" i="61" s="1"/>
  <c r="K43" i="61" s="1"/>
  <c r="K44" i="61" s="1"/>
  <c r="G61" i="61"/>
  <c r="AQ40" i="56"/>
  <c r="AP33" i="56"/>
  <c r="AP34" i="56"/>
  <c r="AP28" i="77"/>
  <c r="AD22" i="77" s="1"/>
  <c r="D20" i="46"/>
  <c r="E20" i="46" s="1"/>
  <c r="F21" i="46"/>
  <c r="C21" i="46" s="1"/>
  <c r="T21" i="46" s="1"/>
  <c r="G61" i="46"/>
  <c r="J168" i="56"/>
  <c r="O161" i="77"/>
  <c r="O4" i="5"/>
  <c r="R161" i="77" s="1"/>
  <c r="M4" i="5"/>
  <c r="X11" i="56" s="1"/>
  <c r="D168" i="56"/>
  <c r="D20" i="42"/>
  <c r="E3" i="31"/>
  <c r="E3" i="32" s="1"/>
  <c r="AB32" i="42"/>
  <c r="V33" i="42"/>
  <c r="J66" i="66"/>
  <c r="F116" i="56" s="1"/>
  <c r="L66" i="66"/>
  <c r="H66" i="66"/>
  <c r="F114" i="56" s="1"/>
  <c r="I66" i="66"/>
  <c r="F115" i="56" s="1"/>
  <c r="I84" i="66"/>
  <c r="I87" i="66"/>
  <c r="K66" i="66"/>
  <c r="W24" i="66"/>
  <c r="J18" i="5"/>
  <c r="O18" i="5" s="1"/>
  <c r="J16" i="5"/>
  <c r="K16" i="5" s="1"/>
  <c r="L16" i="5" s="1"/>
  <c r="M16" i="5" s="1"/>
  <c r="N16" i="5" s="1"/>
  <c r="M147" i="77"/>
  <c r="J14" i="5"/>
  <c r="O14" i="5" s="1"/>
  <c r="J17" i="5"/>
  <c r="K17" i="5" s="1"/>
  <c r="L17" i="5" s="1"/>
  <c r="M17" i="5" s="1"/>
  <c r="N17" i="5" s="1"/>
  <c r="J21" i="5"/>
  <c r="K21" i="5" s="1"/>
  <c r="L21" i="5" s="1"/>
  <c r="M21" i="5" s="1"/>
  <c r="N21" i="5" s="1"/>
  <c r="J15" i="5"/>
  <c r="O15" i="5" s="1"/>
  <c r="J19" i="5"/>
  <c r="K19" i="5" s="1"/>
  <c r="L19" i="5" s="1"/>
  <c r="M19" i="5" s="1"/>
  <c r="N19" i="5" s="1"/>
  <c r="J20" i="5"/>
  <c r="O20" i="5" s="1"/>
  <c r="J23" i="5"/>
  <c r="K23" i="5" s="1"/>
  <c r="L23" i="5" s="1"/>
  <c r="M23" i="5" s="1"/>
  <c r="N23" i="5" s="1"/>
  <c r="M101" i="66"/>
  <c r="N101" i="66" s="1"/>
  <c r="M104" i="66"/>
  <c r="N104" i="66" s="1"/>
  <c r="N98" i="66"/>
  <c r="O22" i="5"/>
  <c r="K22" i="5"/>
  <c r="L22" i="5" s="1"/>
  <c r="M22" i="5" s="1"/>
  <c r="N22" i="5" s="1"/>
  <c r="N97" i="66"/>
  <c r="M103" i="66"/>
  <c r="N103" i="66" s="1"/>
  <c r="M100" i="66"/>
  <c r="N100" i="66" s="1"/>
  <c r="M121" i="66"/>
  <c r="N121" i="66" s="1"/>
  <c r="M118" i="66"/>
  <c r="N118" i="66" s="1"/>
  <c r="N115" i="66"/>
  <c r="AO124" i="66"/>
  <c r="AO115" i="66"/>
  <c r="AO121" i="66"/>
  <c r="AO126" i="66"/>
  <c r="AO122" i="66"/>
  <c r="AO119" i="66"/>
  <c r="AO118" i="66"/>
  <c r="AO116" i="66"/>
  <c r="AO108" i="66"/>
  <c r="AO106" i="66"/>
  <c r="AO125" i="66"/>
  <c r="AO101" i="66"/>
  <c r="AO113" i="66"/>
  <c r="AO94" i="66"/>
  <c r="AO88" i="66"/>
  <c r="AO112" i="66"/>
  <c r="AO107" i="66"/>
  <c r="AO98" i="66"/>
  <c r="AO90" i="66"/>
  <c r="AO104" i="66"/>
  <c r="AO103" i="66"/>
  <c r="AO89" i="66"/>
  <c r="AO80" i="66"/>
  <c r="AO100" i="66"/>
  <c r="AO95" i="66"/>
  <c r="AO83" i="66"/>
  <c r="AO79" i="66"/>
  <c r="AO97" i="66"/>
  <c r="AO85" i="66"/>
  <c r="AO82" i="66"/>
  <c r="AO77" i="66"/>
  <c r="AO86" i="66"/>
  <c r="M122" i="66"/>
  <c r="N122" i="66" s="1"/>
  <c r="N116" i="66"/>
  <c r="M119" i="66"/>
  <c r="N119" i="66" s="1"/>
  <c r="H98" i="28"/>
  <c r="D98" i="28" s="1"/>
  <c r="F98" i="28"/>
  <c r="E98" i="28"/>
  <c r="H74" i="28"/>
  <c r="D74" i="28" s="1"/>
  <c r="F74" i="28"/>
  <c r="E74" i="28"/>
  <c r="H78" i="28"/>
  <c r="D78" i="28" s="1"/>
  <c r="E78" i="28"/>
  <c r="F78" i="28"/>
  <c r="H40" i="28"/>
  <c r="D40" i="28" s="1"/>
  <c r="F40" i="28"/>
  <c r="E40" i="28"/>
  <c r="H20" i="28"/>
  <c r="D20" i="28" s="1"/>
  <c r="E20" i="28"/>
  <c r="F20" i="28"/>
  <c r="H93" i="28"/>
  <c r="D93" i="28" s="1"/>
  <c r="F93" i="28"/>
  <c r="E93" i="28"/>
  <c r="H99" i="28"/>
  <c r="F99" i="28"/>
  <c r="E99" i="28"/>
  <c r="H12" i="28"/>
  <c r="D12" i="28" s="1"/>
  <c r="F12" i="28"/>
  <c r="E12" i="28"/>
  <c r="H60" i="28"/>
  <c r="D60" i="28" s="1"/>
  <c r="F60" i="28"/>
  <c r="E60" i="28"/>
  <c r="F79" i="28"/>
  <c r="C26" i="30" s="1"/>
  <c r="E79" i="28"/>
  <c r="H79" i="28"/>
  <c r="D79" i="28" s="1"/>
  <c r="H14" i="28"/>
  <c r="D14" i="28" s="1"/>
  <c r="E14" i="28"/>
  <c r="F14" i="28"/>
  <c r="H29" i="28"/>
  <c r="D29" i="28" s="1"/>
  <c r="D28" i="28" s="1"/>
  <c r="F29" i="28"/>
  <c r="E29" i="28"/>
  <c r="H23" i="28"/>
  <c r="D23" i="28" s="1"/>
  <c r="E23" i="28"/>
  <c r="F23" i="28"/>
  <c r="H77" i="28"/>
  <c r="D77" i="28" s="1"/>
  <c r="F77" i="28"/>
  <c r="E77" i="28"/>
  <c r="H45" i="28"/>
  <c r="D45" i="28" s="1"/>
  <c r="F45" i="28"/>
  <c r="E45" i="28"/>
  <c r="H10" i="28"/>
  <c r="D10" i="28" s="1"/>
  <c r="E10" i="28"/>
  <c r="F10" i="28"/>
  <c r="H104" i="28"/>
  <c r="D104" i="28" s="1"/>
  <c r="F104" i="28"/>
  <c r="E104" i="28"/>
  <c r="F91" i="28"/>
  <c r="E91" i="28"/>
  <c r="H91" i="28"/>
  <c r="D91" i="28" s="1"/>
  <c r="H59" i="28"/>
  <c r="D59" i="28" s="1"/>
  <c r="F59" i="28"/>
  <c r="C24" i="30" s="1"/>
  <c r="E59" i="28"/>
  <c r="H66" i="28"/>
  <c r="D66" i="28" s="1"/>
  <c r="F66" i="28"/>
  <c r="E66" i="28"/>
  <c r="E35" i="28"/>
  <c r="H35" i="28"/>
  <c r="H32" i="28"/>
  <c r="E32" i="28"/>
  <c r="H31" i="28"/>
  <c r="D31" i="28" s="1"/>
  <c r="E10" i="60" s="1"/>
  <c r="E31" i="28"/>
  <c r="H22" i="28"/>
  <c r="D22" i="28" s="1"/>
  <c r="F22" i="28"/>
  <c r="E22" i="28"/>
  <c r="H34" i="28"/>
  <c r="E34" i="28"/>
  <c r="H95" i="28"/>
  <c r="D95" i="28" s="1"/>
  <c r="F95" i="28"/>
  <c r="E95" i="28"/>
  <c r="H47" i="28"/>
  <c r="D47" i="28" s="1"/>
  <c r="F47" i="28"/>
  <c r="E47" i="28"/>
  <c r="H44" i="28"/>
  <c r="D44" i="28" s="1"/>
  <c r="F44" i="28"/>
  <c r="E44" i="28"/>
  <c r="H96" i="28"/>
  <c r="D96" i="28" s="1"/>
  <c r="F96" i="28"/>
  <c r="E96" i="28"/>
  <c r="E48" i="28"/>
  <c r="H48" i="28"/>
  <c r="D48" i="28" s="1"/>
  <c r="F48" i="28"/>
  <c r="H81" i="28"/>
  <c r="D81" i="28" s="1"/>
  <c r="F81" i="28"/>
  <c r="E81" i="28"/>
  <c r="E57" i="28"/>
  <c r="H57" i="28"/>
  <c r="D57" i="28" s="1"/>
  <c r="F57" i="28"/>
  <c r="H56" i="28"/>
  <c r="D56" i="28" s="1"/>
  <c r="F56" i="28"/>
  <c r="L103" i="28"/>
  <c r="E56" i="28"/>
  <c r="H86" i="28"/>
  <c r="D86" i="28" s="1"/>
  <c r="F86" i="28"/>
  <c r="E86" i="28"/>
  <c r="H19" i="28"/>
  <c r="D19" i="28" s="1"/>
  <c r="F19" i="28"/>
  <c r="C95" i="30" s="1"/>
  <c r="E19" i="28"/>
  <c r="H84" i="28"/>
  <c r="D84" i="28" s="1"/>
  <c r="F84" i="28"/>
  <c r="E84" i="28"/>
  <c r="H94" i="28"/>
  <c r="D94" i="28" s="1"/>
  <c r="E94" i="28"/>
  <c r="F94" i="28"/>
  <c r="E18" i="28"/>
  <c r="F18" i="28"/>
  <c r="H18" i="28"/>
  <c r="D18" i="28" s="1"/>
  <c r="H17" i="28"/>
  <c r="D17" i="28" s="1"/>
  <c r="E17" i="28"/>
  <c r="F17" i="28"/>
  <c r="H16" i="28"/>
  <c r="D16" i="28" s="1"/>
  <c r="F16" i="28"/>
  <c r="E16" i="28"/>
  <c r="H50" i="28"/>
  <c r="D50" i="28" s="1"/>
  <c r="F50" i="28"/>
  <c r="E50" i="28"/>
  <c r="L106" i="28"/>
  <c r="H68" i="28"/>
  <c r="D68" i="28" s="1"/>
  <c r="F68" i="28"/>
  <c r="E68" i="28"/>
  <c r="H36" i="28"/>
  <c r="D36" i="28" s="1"/>
  <c r="F36" i="28"/>
  <c r="E36" i="28"/>
  <c r="E30" i="28"/>
  <c r="H30" i="28"/>
  <c r="F30" i="28"/>
  <c r="F25" i="28"/>
  <c r="E25" i="28"/>
  <c r="H25" i="28"/>
  <c r="D25" i="28" s="1"/>
  <c r="F73" i="28"/>
  <c r="E73" i="28"/>
  <c r="H73" i="28"/>
  <c r="D73" i="28" s="1"/>
  <c r="F67" i="28"/>
  <c r="E67" i="28"/>
  <c r="H67" i="28"/>
  <c r="D67" i="28" s="1"/>
  <c r="L109" i="28"/>
  <c r="F109" i="28" s="1"/>
  <c r="H52" i="28"/>
  <c r="D52" i="28" s="1"/>
  <c r="F52" i="28"/>
  <c r="E52" i="28"/>
  <c r="L108" i="28"/>
  <c r="L110" i="28"/>
  <c r="H53" i="28"/>
  <c r="D53" i="28" s="1"/>
  <c r="F53" i="28"/>
  <c r="E53" i="28"/>
  <c r="H75" i="28"/>
  <c r="D75" i="28" s="1"/>
  <c r="E75" i="28"/>
  <c r="F75" i="28"/>
  <c r="H87" i="28"/>
  <c r="D87" i="28" s="1"/>
  <c r="F87" i="28"/>
  <c r="E87" i="28"/>
  <c r="L101" i="28"/>
  <c r="H54" i="28"/>
  <c r="D54" i="28" s="1"/>
  <c r="E54" i="28"/>
  <c r="F54" i="28"/>
  <c r="H100" i="28"/>
  <c r="D100" i="28" s="1"/>
  <c r="F100" i="28"/>
  <c r="E100" i="28"/>
  <c r="H9" i="28"/>
  <c r="D9" i="28" s="1"/>
  <c r="F9" i="28"/>
  <c r="E9" i="28"/>
  <c r="H63" i="28"/>
  <c r="D63" i="28" s="1"/>
  <c r="F63" i="28"/>
  <c r="E63" i="28"/>
  <c r="H13" i="28"/>
  <c r="D13" i="28" s="1"/>
  <c r="F13" i="28"/>
  <c r="E13" i="28"/>
  <c r="E82" i="28"/>
  <c r="H82" i="28"/>
  <c r="D82" i="28" s="1"/>
  <c r="F82" i="28"/>
  <c r="H33" i="28"/>
  <c r="D33" i="28" s="1"/>
  <c r="E33" i="28"/>
  <c r="F33" i="28"/>
  <c r="H27" i="28"/>
  <c r="E27" i="28"/>
  <c r="H37" i="28"/>
  <c r="D37" i="28" s="1"/>
  <c r="F37" i="28"/>
  <c r="E37" i="28"/>
  <c r="H80" i="28"/>
  <c r="D80" i="28" s="1"/>
  <c r="F80" i="28"/>
  <c r="E80" i="28"/>
  <c r="H46" i="28"/>
  <c r="D46" i="28" s="1"/>
  <c r="F46" i="28"/>
  <c r="E46" i="28"/>
  <c r="H39" i="28"/>
  <c r="D39" i="28" s="1"/>
  <c r="F39" i="28"/>
  <c r="C40" i="30" s="1"/>
  <c r="E39" i="28"/>
  <c r="H62" i="28"/>
  <c r="D62" i="28" s="1"/>
  <c r="F62" i="28"/>
  <c r="E62" i="28"/>
  <c r="E85" i="28"/>
  <c r="H85" i="28"/>
  <c r="D85" i="28" s="1"/>
  <c r="F85" i="28"/>
  <c r="F70" i="28"/>
  <c r="E70" i="28"/>
  <c r="H70" i="28"/>
  <c r="D70" i="28" s="1"/>
  <c r="F76" i="28"/>
  <c r="E76" i="28"/>
  <c r="H76" i="28"/>
  <c r="D76" i="28" s="1"/>
  <c r="H65" i="28"/>
  <c r="D65" i="28" s="1"/>
  <c r="F65" i="28"/>
  <c r="E65" i="28"/>
  <c r="H49" i="28"/>
  <c r="D49" i="28" s="1"/>
  <c r="F49" i="28"/>
  <c r="E49" i="28"/>
  <c r="H69" i="28"/>
  <c r="D69" i="28" s="1"/>
  <c r="F69" i="28"/>
  <c r="C25" i="30" s="1"/>
  <c r="E69" i="28"/>
  <c r="F15" i="28"/>
  <c r="E15" i="28"/>
  <c r="H15" i="28"/>
  <c r="D15" i="28" s="1"/>
  <c r="H83" i="28"/>
  <c r="D83" i="28" s="1"/>
  <c r="F83" i="28"/>
  <c r="E83" i="28"/>
  <c r="H72" i="28"/>
  <c r="D72" i="28" s="1"/>
  <c r="E72" i="28"/>
  <c r="F72" i="28"/>
  <c r="E88" i="28"/>
  <c r="H88" i="28"/>
  <c r="D88" i="28" s="1"/>
  <c r="F88" i="28"/>
  <c r="E11" i="28"/>
  <c r="H11" i="28"/>
  <c r="D11" i="28" s="1"/>
  <c r="F11" i="28"/>
  <c r="H58" i="28"/>
  <c r="D58" i="28" s="1"/>
  <c r="F58" i="28"/>
  <c r="E58" i="28"/>
  <c r="L105" i="28"/>
  <c r="L111" i="28"/>
  <c r="H24" i="28"/>
  <c r="D24" i="28" s="1"/>
  <c r="E24" i="28"/>
  <c r="F24" i="28"/>
  <c r="H97" i="28"/>
  <c r="D97" i="28" s="1"/>
  <c r="F97" i="28"/>
  <c r="E97" i="28"/>
  <c r="H38" i="28"/>
  <c r="D38" i="28" s="1"/>
  <c r="F38" i="28"/>
  <c r="E38" i="28"/>
  <c r="H92" i="28"/>
  <c r="D92" i="28" s="1"/>
  <c r="F92" i="28"/>
  <c r="E92" i="28"/>
  <c r="H89" i="28"/>
  <c r="D89" i="28" s="1"/>
  <c r="F89" i="28"/>
  <c r="C27" i="30" s="1"/>
  <c r="E89" i="28"/>
  <c r="F61" i="28"/>
  <c r="E61" i="28"/>
  <c r="H61" i="28"/>
  <c r="D61" i="28" s="1"/>
  <c r="H43" i="28"/>
  <c r="D43" i="28" s="1"/>
  <c r="F43" i="28"/>
  <c r="E43" i="28"/>
  <c r="H71" i="28"/>
  <c r="D71" i="28" s="1"/>
  <c r="F71" i="28"/>
  <c r="E71" i="28"/>
  <c r="L107" i="28"/>
  <c r="H51" i="28"/>
  <c r="D51" i="28" s="1"/>
  <c r="F51" i="28"/>
  <c r="E51" i="28"/>
  <c r="H42" i="28"/>
  <c r="D42" i="28" s="1"/>
  <c r="F42" i="28"/>
  <c r="E42" i="28"/>
  <c r="H55" i="28"/>
  <c r="D55" i="28" s="1"/>
  <c r="L102" i="28"/>
  <c r="F55" i="28"/>
  <c r="E55" i="28"/>
  <c r="H90" i="28"/>
  <c r="D90" i="28" s="1"/>
  <c r="F90" i="28"/>
  <c r="E90" i="28"/>
  <c r="F64" i="28"/>
  <c r="E64" i="28"/>
  <c r="H64" i="28"/>
  <c r="D64" i="28" s="1"/>
  <c r="O9" i="85" l="1"/>
  <c r="M82" i="66"/>
  <c r="N82" i="66" s="1"/>
  <c r="M85" i="66"/>
  <c r="N85" i="66" s="1"/>
  <c r="O9" i="102"/>
  <c r="K9" i="102"/>
  <c r="O9" i="91"/>
  <c r="O9" i="90"/>
  <c r="L67" i="77"/>
  <c r="C9" i="85"/>
  <c r="M120" i="66"/>
  <c r="N120" i="66" s="1"/>
  <c r="H29" i="56"/>
  <c r="M123" i="66"/>
  <c r="N123" i="66" s="1"/>
  <c r="I102" i="66"/>
  <c r="I123" i="66"/>
  <c r="I120" i="66"/>
  <c r="G9" i="102"/>
  <c r="C9" i="102"/>
  <c r="K9" i="91"/>
  <c r="G9" i="91"/>
  <c r="C9" i="91"/>
  <c r="C9" i="90"/>
  <c r="G9" i="90"/>
  <c r="K9" i="90"/>
  <c r="G9" i="85"/>
  <c r="K9" i="85"/>
  <c r="K45" i="61"/>
  <c r="K9" i="86"/>
  <c r="G36" i="60"/>
  <c r="E36" i="60"/>
  <c r="G9" i="86"/>
  <c r="C9" i="86"/>
  <c r="F22" i="61"/>
  <c r="D22" i="61" s="1"/>
  <c r="E22" i="61" s="1"/>
  <c r="K24" i="77"/>
  <c r="K26" i="77" s="1"/>
  <c r="AD40" i="77"/>
  <c r="S36" i="66"/>
  <c r="K32" i="77" s="1"/>
  <c r="K64" i="77" s="1"/>
  <c r="L64" i="77" s="1"/>
  <c r="F22" i="46"/>
  <c r="D22" i="46" s="1"/>
  <c r="E22" i="46" s="1"/>
  <c r="K22" i="46" s="1"/>
  <c r="C9" i="80"/>
  <c r="AA32" i="42"/>
  <c r="C32" i="42" s="1"/>
  <c r="D21" i="46"/>
  <c r="E21" i="46" s="1"/>
  <c r="K21" i="46" s="1"/>
  <c r="AD8" i="77"/>
  <c r="M161" i="77"/>
  <c r="U168" i="56"/>
  <c r="M168" i="56"/>
  <c r="K20" i="5"/>
  <c r="L20" i="5" s="1"/>
  <c r="M20" i="5" s="1"/>
  <c r="N20" i="5" s="1"/>
  <c r="K14" i="5"/>
  <c r="L14" i="5" s="1"/>
  <c r="J9" i="5"/>
  <c r="D173" i="56" s="1"/>
  <c r="I32" i="42"/>
  <c r="H32" i="42"/>
  <c r="G32" i="42"/>
  <c r="F32" i="42"/>
  <c r="W33" i="42"/>
  <c r="M33" i="42" s="1"/>
  <c r="B33" i="42" s="1"/>
  <c r="AB33" i="42" s="1"/>
  <c r="X33" i="42"/>
  <c r="Y33" i="42" s="1"/>
  <c r="O17" i="5"/>
  <c r="O16" i="5"/>
  <c r="O21" i="5"/>
  <c r="O23" i="5"/>
  <c r="O19" i="5"/>
  <c r="K18" i="5"/>
  <c r="L18" i="5" s="1"/>
  <c r="M18" i="5" s="1"/>
  <c r="N18" i="5" s="1"/>
  <c r="K15" i="5"/>
  <c r="L15" i="5" s="1"/>
  <c r="M15" i="5" s="1"/>
  <c r="N15" i="5" s="1"/>
  <c r="M105" i="66"/>
  <c r="N105" i="66" s="1"/>
  <c r="M102" i="66"/>
  <c r="N102" i="66" s="1"/>
  <c r="G9" i="80"/>
  <c r="K9" i="80"/>
  <c r="M87" i="66"/>
  <c r="N87" i="66" s="1"/>
  <c r="M84" i="66"/>
  <c r="N84" i="66" s="1"/>
  <c r="H109" i="28"/>
  <c r="E109" i="28"/>
  <c r="H107" i="28"/>
  <c r="F107" i="28"/>
  <c r="E107" i="28"/>
  <c r="B83" i="30"/>
  <c r="N69" i="28"/>
  <c r="I69" i="28" s="1"/>
  <c r="F25" i="30"/>
  <c r="B60" i="30"/>
  <c r="D111" i="28"/>
  <c r="D106" i="28"/>
  <c r="F111" i="28"/>
  <c r="E111" i="28"/>
  <c r="H111" i="28"/>
  <c r="H105" i="28"/>
  <c r="D105" i="28" s="1"/>
  <c r="F105" i="28"/>
  <c r="E105" i="28"/>
  <c r="D99" i="28"/>
  <c r="E103" i="28"/>
  <c r="H103" i="28"/>
  <c r="D103" i="28" s="1"/>
  <c r="F103" i="28"/>
  <c r="B70" i="30"/>
  <c r="F27" i="30"/>
  <c r="B89" i="30"/>
  <c r="N89" i="28"/>
  <c r="I89" i="28" s="1"/>
  <c r="D108" i="28"/>
  <c r="D109" i="28"/>
  <c r="H102" i="28"/>
  <c r="D102" i="28" s="1"/>
  <c r="F102" i="28"/>
  <c r="E102" i="28"/>
  <c r="E108" i="28"/>
  <c r="H108" i="28"/>
  <c r="F108" i="28"/>
  <c r="N79" i="28"/>
  <c r="I79" i="28" s="1"/>
  <c r="B65" i="30"/>
  <c r="F26" i="30"/>
  <c r="B86" i="30"/>
  <c r="F101" i="28"/>
  <c r="E101" i="28"/>
  <c r="H101" i="28"/>
  <c r="D101" i="28" s="1"/>
  <c r="D107" i="28"/>
  <c r="N39" i="28"/>
  <c r="I39" i="28" s="1"/>
  <c r="D110" i="28"/>
  <c r="H110" i="28"/>
  <c r="F110" i="28"/>
  <c r="E110" i="28"/>
  <c r="F106" i="28"/>
  <c r="E106" i="28"/>
  <c r="H106" i="28"/>
  <c r="C5" i="44"/>
  <c r="E6" i="38"/>
  <c r="N59" i="28"/>
  <c r="I59" i="28" s="1"/>
  <c r="B55" i="30"/>
  <c r="B80" i="30"/>
  <c r="F24" i="30"/>
  <c r="B23" i="42"/>
  <c r="G62" i="56" l="1"/>
  <c r="B104" i="66" s="1"/>
  <c r="K46" i="61"/>
  <c r="A8" i="86"/>
  <c r="J8" i="86" s="1"/>
  <c r="F23" i="61"/>
  <c r="F24" i="61" s="1"/>
  <c r="K29" i="77"/>
  <c r="G54" i="77"/>
  <c r="AM101" i="77" s="1"/>
  <c r="K25" i="77"/>
  <c r="F23" i="46"/>
  <c r="D23" i="46" s="1"/>
  <c r="E23" i="46" s="1"/>
  <c r="K23" i="46" s="1"/>
  <c r="C22" i="46"/>
  <c r="T22" i="46" s="1"/>
  <c r="K9" i="5"/>
  <c r="G166" i="77" s="1"/>
  <c r="L9" i="5"/>
  <c r="J173" i="56" s="1"/>
  <c r="D166" i="77"/>
  <c r="V34" i="42"/>
  <c r="I33" i="42"/>
  <c r="E33" i="42"/>
  <c r="H33" i="42"/>
  <c r="F33" i="42"/>
  <c r="M14" i="5"/>
  <c r="N9" i="5"/>
  <c r="M9" i="5"/>
  <c r="E6" i="40"/>
  <c r="E6" i="34"/>
  <c r="E6" i="43"/>
  <c r="F84" i="30"/>
  <c r="F83" i="30"/>
  <c r="F64" i="30"/>
  <c r="F63" i="30"/>
  <c r="F85" i="30"/>
  <c r="F60" i="30"/>
  <c r="F69" i="30"/>
  <c r="F68" i="30"/>
  <c r="F65" i="30"/>
  <c r="F88" i="30"/>
  <c r="F87" i="30"/>
  <c r="F86" i="30"/>
  <c r="F74" i="30"/>
  <c r="F73" i="30"/>
  <c r="F70" i="30"/>
  <c r="F91" i="30"/>
  <c r="F90" i="30"/>
  <c r="F89" i="30"/>
  <c r="F59" i="30"/>
  <c r="F58" i="30"/>
  <c r="F55" i="30"/>
  <c r="F82" i="30"/>
  <c r="F81" i="30"/>
  <c r="F80" i="30"/>
  <c r="B87" i="66" l="1"/>
  <c r="B131" i="66"/>
  <c r="B112" i="66"/>
  <c r="B94" i="66"/>
  <c r="B130" i="66"/>
  <c r="B113" i="66"/>
  <c r="B121" i="66"/>
  <c r="B95" i="66"/>
  <c r="B140" i="66"/>
  <c r="B122" i="66"/>
  <c r="B103" i="66"/>
  <c r="B139" i="66"/>
  <c r="B77" i="66"/>
  <c r="B86" i="66"/>
  <c r="B85" i="66"/>
  <c r="B76" i="66"/>
  <c r="R26" i="56"/>
  <c r="AD88" i="56"/>
  <c r="O109" i="56"/>
  <c r="AZ9" i="54" s="1"/>
  <c r="AB88" i="56"/>
  <c r="H132" i="66"/>
  <c r="P132" i="66" s="1"/>
  <c r="B132" i="66"/>
  <c r="B136" i="66"/>
  <c r="F142" i="66"/>
  <c r="B135" i="66"/>
  <c r="B137" i="66"/>
  <c r="B133" i="66"/>
  <c r="B138" i="66"/>
  <c r="B141" i="66"/>
  <c r="B134" i="66"/>
  <c r="B78" i="66"/>
  <c r="B120" i="66"/>
  <c r="B81" i="66"/>
  <c r="B102" i="66"/>
  <c r="B96" i="66"/>
  <c r="B105" i="66"/>
  <c r="B84" i="66"/>
  <c r="B114" i="66"/>
  <c r="B99" i="66"/>
  <c r="B123" i="66"/>
  <c r="B117" i="66"/>
  <c r="L109" i="56"/>
  <c r="M109" i="56" s="1"/>
  <c r="AB101" i="56" s="1"/>
  <c r="I109" i="56"/>
  <c r="F109" i="56"/>
  <c r="G109" i="56" s="1"/>
  <c r="X101" i="56" s="1"/>
  <c r="H76" i="66"/>
  <c r="P76" i="66" s="1"/>
  <c r="A8" i="85"/>
  <c r="A8" i="102"/>
  <c r="H94" i="66"/>
  <c r="P94" i="66" s="1"/>
  <c r="H96" i="66"/>
  <c r="P96" i="66" s="1"/>
  <c r="A8" i="91"/>
  <c r="A8" i="90"/>
  <c r="F88" i="66"/>
  <c r="A8" i="99"/>
  <c r="J8" i="99" s="1"/>
  <c r="J10" i="99" s="1"/>
  <c r="H112" i="66"/>
  <c r="P112" i="66" s="1"/>
  <c r="H114" i="66"/>
  <c r="P114" i="66" s="1"/>
  <c r="H77" i="66"/>
  <c r="P77" i="66" s="1"/>
  <c r="H113" i="66"/>
  <c r="P113" i="66" s="1"/>
  <c r="H78" i="66"/>
  <c r="P78" i="66" s="1"/>
  <c r="A8" i="83"/>
  <c r="B8" i="83" s="1"/>
  <c r="B10" i="83" s="1"/>
  <c r="A8" i="101"/>
  <c r="J8" i="101" s="1"/>
  <c r="H95" i="66"/>
  <c r="P95" i="66" s="1"/>
  <c r="Z88" i="56"/>
  <c r="AH190" i="56" s="1"/>
  <c r="X88" i="56"/>
  <c r="K47" i="61"/>
  <c r="B8" i="86"/>
  <c r="Q10" i="86" s="1"/>
  <c r="N16" i="86" s="1"/>
  <c r="F8" i="86"/>
  <c r="Q11" i="86" s="1"/>
  <c r="N20" i="86" s="1"/>
  <c r="F24" i="46"/>
  <c r="C24" i="46" s="1"/>
  <c r="T24" i="46" s="1"/>
  <c r="C23" i="46"/>
  <c r="T23" i="46" s="1"/>
  <c r="AS32" i="77"/>
  <c r="AR28" i="77" s="1"/>
  <c r="E133" i="77"/>
  <c r="F106" i="66"/>
  <c r="B106" i="66" s="1"/>
  <c r="D23" i="61"/>
  <c r="E23" i="61" s="1"/>
  <c r="B119" i="66"/>
  <c r="B79" i="66"/>
  <c r="B98" i="66"/>
  <c r="J77" i="56"/>
  <c r="B80" i="66"/>
  <c r="B101" i="66"/>
  <c r="B97" i="66"/>
  <c r="AS37" i="56"/>
  <c r="B82" i="66"/>
  <c r="AT109" i="56"/>
  <c r="B116" i="66"/>
  <c r="B83" i="66"/>
  <c r="B100" i="66"/>
  <c r="B118" i="66"/>
  <c r="F124" i="66"/>
  <c r="B124" i="66" s="1"/>
  <c r="M34" i="28"/>
  <c r="G34" i="28" s="1"/>
  <c r="D34" i="28" s="1"/>
  <c r="B115" i="66"/>
  <c r="E14" i="68"/>
  <c r="E13" i="69"/>
  <c r="AD78" i="77"/>
  <c r="AB100" i="77" s="1"/>
  <c r="AB71" i="77"/>
  <c r="R12" i="86"/>
  <c r="N23" i="86" s="1"/>
  <c r="Q12" i="86"/>
  <c r="N24" i="86" s="1"/>
  <c r="E140" i="56"/>
  <c r="K16" i="86"/>
  <c r="L16" i="86" s="1"/>
  <c r="K19" i="86"/>
  <c r="L19" i="86" s="1"/>
  <c r="K15" i="86"/>
  <c r="L15" i="86" s="1"/>
  <c r="K13" i="86"/>
  <c r="L13" i="86" s="1"/>
  <c r="K18" i="86"/>
  <c r="L18" i="86" s="1"/>
  <c r="K20" i="86"/>
  <c r="L20" i="86" s="1"/>
  <c r="K21" i="86"/>
  <c r="P12" i="86" s="1"/>
  <c r="K14" i="86"/>
  <c r="L14" i="86" s="1"/>
  <c r="K12" i="86"/>
  <c r="L12" i="86" s="1"/>
  <c r="K17" i="86"/>
  <c r="L17" i="86" s="1"/>
  <c r="G173" i="56"/>
  <c r="J166" i="77"/>
  <c r="X34" i="42"/>
  <c r="Y34" i="42" s="1"/>
  <c r="W34" i="42"/>
  <c r="M34" i="42" s="1"/>
  <c r="B34" i="42" s="1"/>
  <c r="F25" i="61"/>
  <c r="D24" i="61"/>
  <c r="E24" i="61" s="1"/>
  <c r="M173" i="56"/>
  <c r="M166" i="77"/>
  <c r="R173" i="56"/>
  <c r="O166" i="77"/>
  <c r="N14" i="5"/>
  <c r="O9" i="5"/>
  <c r="K89" i="66" l="1"/>
  <c r="K88" i="66"/>
  <c r="D8" i="85"/>
  <c r="P8" i="85"/>
  <c r="L8" i="85"/>
  <c r="H8" i="85"/>
  <c r="B8" i="85"/>
  <c r="C12" i="85" s="1"/>
  <c r="N8" i="85"/>
  <c r="P8" i="102"/>
  <c r="N8" i="102"/>
  <c r="D8" i="102"/>
  <c r="H8" i="102"/>
  <c r="L8" i="102"/>
  <c r="D8" i="91"/>
  <c r="L8" i="91"/>
  <c r="H8" i="91"/>
  <c r="H8" i="90"/>
  <c r="D8" i="90"/>
  <c r="L8" i="90"/>
  <c r="B8" i="90"/>
  <c r="C13" i="90" s="1"/>
  <c r="N8" i="90"/>
  <c r="P8" i="90"/>
  <c r="P8" i="91"/>
  <c r="N8" i="91"/>
  <c r="L78" i="66"/>
  <c r="L114" i="66"/>
  <c r="L132" i="66"/>
  <c r="L96" i="66"/>
  <c r="J109" i="56"/>
  <c r="Z101" i="56" s="1"/>
  <c r="AH198" i="56" s="1"/>
  <c r="P109" i="56"/>
  <c r="AD101" i="56" s="1"/>
  <c r="AZ8" i="54"/>
  <c r="M88" i="66"/>
  <c r="N88" i="66" s="1"/>
  <c r="M142" i="66"/>
  <c r="E142" i="66"/>
  <c r="B142" i="66"/>
  <c r="F143" i="66"/>
  <c r="AZ6" i="54"/>
  <c r="AL88" i="56" s="1"/>
  <c r="F8" i="102"/>
  <c r="G19" i="102" s="1"/>
  <c r="AZ7" i="54"/>
  <c r="F8" i="99"/>
  <c r="F10" i="99" s="1"/>
  <c r="B8" i="99"/>
  <c r="B10" i="99" s="1"/>
  <c r="M124" i="66"/>
  <c r="M125" i="66" s="1"/>
  <c r="F8" i="91"/>
  <c r="G20" i="91" s="1"/>
  <c r="B8" i="91"/>
  <c r="U10" i="91" s="1"/>
  <c r="R16" i="91" s="1"/>
  <c r="J8" i="91"/>
  <c r="K12" i="91" s="1"/>
  <c r="J8" i="102"/>
  <c r="B8" i="102"/>
  <c r="C18" i="102" s="1"/>
  <c r="F8" i="90"/>
  <c r="G15" i="90" s="1"/>
  <c r="B8" i="101"/>
  <c r="F8" i="85"/>
  <c r="G17" i="85" s="1"/>
  <c r="J8" i="83"/>
  <c r="K12" i="83" s="1"/>
  <c r="J8" i="90"/>
  <c r="K15" i="90" s="1"/>
  <c r="J8" i="85"/>
  <c r="K20" i="85" s="1"/>
  <c r="F8" i="83"/>
  <c r="F8" i="101"/>
  <c r="K48" i="61"/>
  <c r="C16" i="83"/>
  <c r="C14" i="83"/>
  <c r="C15" i="83"/>
  <c r="C12" i="83"/>
  <c r="C18" i="83"/>
  <c r="C17" i="83"/>
  <c r="C13" i="83"/>
  <c r="H98" i="66"/>
  <c r="L77" i="66"/>
  <c r="G13" i="86"/>
  <c r="H13" i="86" s="1"/>
  <c r="G16" i="86"/>
  <c r="H16" i="86" s="1"/>
  <c r="D24" i="46"/>
  <c r="E24" i="46" s="1"/>
  <c r="K24" i="46" s="1"/>
  <c r="F25" i="46"/>
  <c r="C25" i="46" s="1"/>
  <c r="T25" i="46" s="1"/>
  <c r="C17" i="86"/>
  <c r="D17" i="86" s="1"/>
  <c r="C13" i="86"/>
  <c r="D13" i="86" s="1"/>
  <c r="R10" i="86"/>
  <c r="N15" i="86" s="1"/>
  <c r="G12" i="86"/>
  <c r="H12" i="86" s="1"/>
  <c r="G14" i="86"/>
  <c r="H14" i="86" s="1"/>
  <c r="G15" i="86"/>
  <c r="H15" i="86" s="1"/>
  <c r="C19" i="86"/>
  <c r="D19" i="86" s="1"/>
  <c r="C15" i="86"/>
  <c r="D15" i="86" s="1"/>
  <c r="G19" i="86"/>
  <c r="H19" i="86" s="1"/>
  <c r="C14" i="86"/>
  <c r="D14" i="86" s="1"/>
  <c r="G18" i="86"/>
  <c r="H18" i="86" s="1"/>
  <c r="C20" i="86"/>
  <c r="D20" i="86" s="1"/>
  <c r="G21" i="86"/>
  <c r="P11" i="86" s="1"/>
  <c r="C12" i="86"/>
  <c r="D12" i="86" s="1"/>
  <c r="C18" i="86"/>
  <c r="D18" i="86" s="1"/>
  <c r="R11" i="86"/>
  <c r="N19" i="86" s="1"/>
  <c r="G20" i="86"/>
  <c r="H20" i="86" s="1"/>
  <c r="C16" i="86"/>
  <c r="D16" i="86" s="1"/>
  <c r="G17" i="86"/>
  <c r="H17" i="86" s="1"/>
  <c r="C21" i="86"/>
  <c r="P10" i="86" s="1"/>
  <c r="I88" i="66"/>
  <c r="I89" i="66" s="1"/>
  <c r="B88" i="66"/>
  <c r="M106" i="66"/>
  <c r="M107" i="66" s="1"/>
  <c r="H88" i="66"/>
  <c r="E106" i="66"/>
  <c r="K106" i="66" s="1"/>
  <c r="F107" i="66"/>
  <c r="B107" i="66" s="1"/>
  <c r="F108" i="66" s="1"/>
  <c r="E108" i="66" s="1"/>
  <c r="H79" i="66"/>
  <c r="P79" i="66" s="1"/>
  <c r="L76" i="66"/>
  <c r="O76" i="66" s="1"/>
  <c r="H117" i="66"/>
  <c r="H99" i="66"/>
  <c r="H81" i="66"/>
  <c r="H80" i="66"/>
  <c r="P80" i="66" s="1"/>
  <c r="E88" i="66"/>
  <c r="L95" i="66"/>
  <c r="H115" i="66"/>
  <c r="L112" i="66"/>
  <c r="F89" i="66"/>
  <c r="E89" i="66" s="1"/>
  <c r="E124" i="66"/>
  <c r="H124" i="66"/>
  <c r="F125" i="66"/>
  <c r="E125" i="66" s="1"/>
  <c r="F34" i="28"/>
  <c r="AG52" i="77"/>
  <c r="L113" i="66"/>
  <c r="H116" i="66"/>
  <c r="L94" i="66"/>
  <c r="O94" i="66" s="1"/>
  <c r="H106" i="66"/>
  <c r="H97" i="66"/>
  <c r="L21" i="86"/>
  <c r="J24" i="86" s="1"/>
  <c r="L24" i="86" s="1"/>
  <c r="D25" i="61"/>
  <c r="E25" i="61" s="1"/>
  <c r="F26" i="61"/>
  <c r="AB34" i="42"/>
  <c r="AA34" i="42" s="1"/>
  <c r="C34" i="42" s="1"/>
  <c r="V35" i="42"/>
  <c r="F34" i="42"/>
  <c r="I34" i="42"/>
  <c r="H34" i="42"/>
  <c r="G34" i="42"/>
  <c r="U173" i="56"/>
  <c r="R166" i="77"/>
  <c r="K143" i="66" l="1"/>
  <c r="K125" i="66"/>
  <c r="K142" i="66"/>
  <c r="K124" i="66"/>
  <c r="P106" i="66"/>
  <c r="P88" i="66"/>
  <c r="O96" i="66"/>
  <c r="Q96" i="66" s="1"/>
  <c r="O78" i="66"/>
  <c r="Q78" i="66" s="1"/>
  <c r="O114" i="66"/>
  <c r="Q114" i="66" s="1"/>
  <c r="O77" i="66"/>
  <c r="Q77" i="66" s="1"/>
  <c r="S77" i="66" s="1"/>
  <c r="P97" i="66"/>
  <c r="O112" i="66"/>
  <c r="O95" i="66"/>
  <c r="Q95" i="66" s="1"/>
  <c r="S95" i="66" s="1"/>
  <c r="P81" i="66"/>
  <c r="O113" i="66"/>
  <c r="Q113" i="66" s="1"/>
  <c r="S113" i="66" s="1"/>
  <c r="P115" i="66"/>
  <c r="P98" i="66"/>
  <c r="Q76" i="66"/>
  <c r="S76" i="66" s="1"/>
  <c r="P116" i="66"/>
  <c r="I132" i="66"/>
  <c r="S30" i="56"/>
  <c r="V30" i="56" s="1"/>
  <c r="S41" i="56"/>
  <c r="V41" i="56" s="1"/>
  <c r="X41" i="56" s="1"/>
  <c r="O12" i="90"/>
  <c r="P12" i="90" s="1"/>
  <c r="O18" i="90"/>
  <c r="P18" i="90" s="1"/>
  <c r="O15" i="90"/>
  <c r="P15" i="90" s="1"/>
  <c r="O19" i="90"/>
  <c r="P19" i="90" s="1"/>
  <c r="O21" i="90"/>
  <c r="O20" i="90"/>
  <c r="P20" i="90" s="1"/>
  <c r="O13" i="90"/>
  <c r="P13" i="90" s="1"/>
  <c r="O16" i="90"/>
  <c r="P16" i="90" s="1"/>
  <c r="O14" i="90"/>
  <c r="P14" i="90" s="1"/>
  <c r="O17" i="90"/>
  <c r="P17" i="90" s="1"/>
  <c r="O15" i="85"/>
  <c r="P15" i="85" s="1"/>
  <c r="O16" i="85"/>
  <c r="P16" i="85" s="1"/>
  <c r="O18" i="85"/>
  <c r="P18" i="85" s="1"/>
  <c r="O19" i="85"/>
  <c r="P19" i="85" s="1"/>
  <c r="O17" i="85"/>
  <c r="P17" i="85" s="1"/>
  <c r="O13" i="85"/>
  <c r="P13" i="85" s="1"/>
  <c r="O21" i="85"/>
  <c r="P21" i="85" s="1"/>
  <c r="O20" i="85"/>
  <c r="P20" i="85" s="1"/>
  <c r="O12" i="85"/>
  <c r="P12" i="85" s="1"/>
  <c r="O14" i="85"/>
  <c r="P14" i="85" s="1"/>
  <c r="S42" i="56"/>
  <c r="V42" i="56" s="1"/>
  <c r="O21" i="91"/>
  <c r="P21" i="91" s="1"/>
  <c r="O20" i="91"/>
  <c r="P20" i="91" s="1"/>
  <c r="O17" i="91"/>
  <c r="P17" i="91" s="1"/>
  <c r="O15" i="91"/>
  <c r="P15" i="91" s="1"/>
  <c r="O18" i="91"/>
  <c r="P18" i="91" s="1"/>
  <c r="O12" i="91"/>
  <c r="P12" i="91" s="1"/>
  <c r="O14" i="91"/>
  <c r="P14" i="91" s="1"/>
  <c r="O13" i="91"/>
  <c r="P13" i="91" s="1"/>
  <c r="O19" i="91"/>
  <c r="P19" i="91" s="1"/>
  <c r="O16" i="91"/>
  <c r="P16" i="91" s="1"/>
  <c r="C16" i="85"/>
  <c r="C18" i="85"/>
  <c r="C15" i="85"/>
  <c r="W10" i="85"/>
  <c r="C17" i="85"/>
  <c r="C20" i="85"/>
  <c r="C13" i="85"/>
  <c r="C19" i="85"/>
  <c r="C14" i="85"/>
  <c r="U10" i="85"/>
  <c r="C21" i="85"/>
  <c r="T10" i="85" s="1"/>
  <c r="C21" i="90"/>
  <c r="D21" i="90" s="1"/>
  <c r="S40" i="56"/>
  <c r="V40" i="56" s="1"/>
  <c r="U13" i="85"/>
  <c r="R27" i="85" s="1"/>
  <c r="H20" i="91"/>
  <c r="U13" i="91"/>
  <c r="R27" i="91" s="1"/>
  <c r="W13" i="85"/>
  <c r="R26" i="85" s="1"/>
  <c r="C18" i="90"/>
  <c r="D18" i="90" s="1"/>
  <c r="C17" i="90"/>
  <c r="D17" i="90" s="1"/>
  <c r="C15" i="90"/>
  <c r="D15" i="90" s="1"/>
  <c r="C14" i="90"/>
  <c r="D14" i="90" s="1"/>
  <c r="W13" i="91"/>
  <c r="R26" i="91" s="1"/>
  <c r="C20" i="90"/>
  <c r="D20" i="90" s="1"/>
  <c r="C19" i="90"/>
  <c r="D19" i="90" s="1"/>
  <c r="C12" i="90"/>
  <c r="D12" i="90" s="1"/>
  <c r="U10" i="90"/>
  <c r="R16" i="90" s="1"/>
  <c r="C16" i="90"/>
  <c r="D16" i="90" s="1"/>
  <c r="U13" i="102"/>
  <c r="R27" i="102" s="1"/>
  <c r="O15" i="102"/>
  <c r="P15" i="102" s="1"/>
  <c r="L12" i="91"/>
  <c r="W13" i="102"/>
  <c r="R26" i="102" s="1"/>
  <c r="W13" i="90"/>
  <c r="R26" i="90" s="1"/>
  <c r="U13" i="90"/>
  <c r="R27" i="90" s="1"/>
  <c r="O16" i="102"/>
  <c r="P16" i="102" s="1"/>
  <c r="O12" i="102"/>
  <c r="P12" i="102" s="1"/>
  <c r="O14" i="102"/>
  <c r="P14" i="102" s="1"/>
  <c r="O20" i="102"/>
  <c r="P20" i="102" s="1"/>
  <c r="O21" i="102"/>
  <c r="T13" i="102" s="1"/>
  <c r="O17" i="102"/>
  <c r="P17" i="102" s="1"/>
  <c r="O19" i="102"/>
  <c r="P19" i="102" s="1"/>
  <c r="O13" i="102"/>
  <c r="P13" i="102" s="1"/>
  <c r="O18" i="102"/>
  <c r="P18" i="102" s="1"/>
  <c r="K15" i="102"/>
  <c r="L15" i="102" s="1"/>
  <c r="F144" i="66"/>
  <c r="E144" i="66" s="1"/>
  <c r="D144" i="66"/>
  <c r="E21" i="68"/>
  <c r="L81" i="66"/>
  <c r="L99" i="66"/>
  <c r="E27" i="69"/>
  <c r="L117" i="66"/>
  <c r="O132" i="66"/>
  <c r="H19" i="102"/>
  <c r="G14" i="102"/>
  <c r="H14" i="102" s="1"/>
  <c r="W11" i="102"/>
  <c r="R19" i="102" s="1"/>
  <c r="G13" i="102"/>
  <c r="H13" i="102" s="1"/>
  <c r="G21" i="102"/>
  <c r="T11" i="102" s="1"/>
  <c r="G20" i="102"/>
  <c r="H20" i="102" s="1"/>
  <c r="G18" i="102"/>
  <c r="H18" i="102" s="1"/>
  <c r="G16" i="102"/>
  <c r="H16" i="102" s="1"/>
  <c r="D18" i="102"/>
  <c r="U11" i="102"/>
  <c r="R20" i="102" s="1"/>
  <c r="G12" i="102"/>
  <c r="H12" i="102" s="1"/>
  <c r="G17" i="102"/>
  <c r="H17" i="102" s="1"/>
  <c r="S38" i="56"/>
  <c r="V38" i="56" s="1"/>
  <c r="U38" i="56" s="1"/>
  <c r="G15" i="102"/>
  <c r="H15" i="102" s="1"/>
  <c r="N124" i="66"/>
  <c r="N125" i="66" s="1"/>
  <c r="E143" i="66"/>
  <c r="B143" i="66"/>
  <c r="M143" i="66"/>
  <c r="N142" i="66"/>
  <c r="N143" i="66" s="1"/>
  <c r="G12" i="91"/>
  <c r="S34" i="56"/>
  <c r="V34" i="56" s="1"/>
  <c r="X34" i="56" s="1"/>
  <c r="K18" i="91"/>
  <c r="L18" i="91" s="1"/>
  <c r="K15" i="91"/>
  <c r="L15" i="91" s="1"/>
  <c r="C17" i="91"/>
  <c r="D17" i="91" s="1"/>
  <c r="C21" i="91"/>
  <c r="T10" i="91" s="1"/>
  <c r="C13" i="91"/>
  <c r="D13" i="91" s="1"/>
  <c r="C14" i="91"/>
  <c r="D14" i="91" s="1"/>
  <c r="G18" i="91"/>
  <c r="H18" i="91" s="1"/>
  <c r="K20" i="91"/>
  <c r="L20" i="91" s="1"/>
  <c r="C18" i="91"/>
  <c r="D18" i="91" s="1"/>
  <c r="C12" i="91"/>
  <c r="D12" i="91" s="1"/>
  <c r="G14" i="91"/>
  <c r="H14" i="91" s="1"/>
  <c r="S36" i="56"/>
  <c r="V36" i="56" s="1"/>
  <c r="U36" i="56" s="1"/>
  <c r="G19" i="91"/>
  <c r="H19" i="91" s="1"/>
  <c r="S29" i="56"/>
  <c r="V29" i="56" s="1"/>
  <c r="U29" i="56" s="1"/>
  <c r="S35" i="56"/>
  <c r="V35" i="56" s="1"/>
  <c r="U35" i="56" s="1"/>
  <c r="W10" i="91"/>
  <c r="R15" i="91" s="1"/>
  <c r="G16" i="91"/>
  <c r="H16" i="91" s="1"/>
  <c r="G17" i="91"/>
  <c r="H17" i="91" s="1"/>
  <c r="G13" i="91"/>
  <c r="H13" i="91" s="1"/>
  <c r="G21" i="91"/>
  <c r="T11" i="91" s="1"/>
  <c r="K21" i="91"/>
  <c r="L21" i="91" s="1"/>
  <c r="U11" i="91"/>
  <c r="R20" i="91" s="1"/>
  <c r="K17" i="91"/>
  <c r="L17" i="91" s="1"/>
  <c r="K16" i="91"/>
  <c r="L16" i="91" s="1"/>
  <c r="U12" i="91"/>
  <c r="R24" i="91" s="1"/>
  <c r="K13" i="91"/>
  <c r="L13" i="91" s="1"/>
  <c r="K19" i="91"/>
  <c r="L19" i="91" s="1"/>
  <c r="K14" i="91"/>
  <c r="L14" i="91" s="1"/>
  <c r="S33" i="56"/>
  <c r="V33" i="56" s="1"/>
  <c r="U33" i="56" s="1"/>
  <c r="G15" i="91"/>
  <c r="H15" i="91" s="1"/>
  <c r="C19" i="91"/>
  <c r="D19" i="91" s="1"/>
  <c r="C20" i="91"/>
  <c r="D20" i="91" s="1"/>
  <c r="K19" i="102"/>
  <c r="L19" i="102" s="1"/>
  <c r="C15" i="91"/>
  <c r="D15" i="91" s="1"/>
  <c r="C16" i="91"/>
  <c r="D16" i="91" s="1"/>
  <c r="W11" i="91"/>
  <c r="R19" i="91" s="1"/>
  <c r="G18" i="85"/>
  <c r="G19" i="85"/>
  <c r="J10" i="83"/>
  <c r="S39" i="56"/>
  <c r="V39" i="56" s="1"/>
  <c r="U39" i="56" s="1"/>
  <c r="G13" i="85"/>
  <c r="S31" i="56"/>
  <c r="V31" i="56" s="1"/>
  <c r="X31" i="56" s="1"/>
  <c r="S28" i="56"/>
  <c r="V28" i="56" s="1"/>
  <c r="U28" i="56" s="1"/>
  <c r="W12" i="85"/>
  <c r="C15" i="102"/>
  <c r="D15" i="102" s="1"/>
  <c r="C16" i="102"/>
  <c r="D16" i="102" s="1"/>
  <c r="C21" i="102"/>
  <c r="D21" i="102" s="1"/>
  <c r="W11" i="85"/>
  <c r="C17" i="102"/>
  <c r="D17" i="102" s="1"/>
  <c r="C14" i="102"/>
  <c r="D14" i="102" s="1"/>
  <c r="W12" i="102"/>
  <c r="R23" i="102" s="1"/>
  <c r="K14" i="90"/>
  <c r="L14" i="90" s="1"/>
  <c r="G14" i="85"/>
  <c r="U11" i="85"/>
  <c r="W10" i="102"/>
  <c r="R15" i="102" s="1"/>
  <c r="U10" i="102"/>
  <c r="R16" i="102" s="1"/>
  <c r="C13" i="102"/>
  <c r="D13" i="102" s="1"/>
  <c r="K15" i="83"/>
  <c r="G16" i="85"/>
  <c r="U11" i="90"/>
  <c r="R20" i="90" s="1"/>
  <c r="K16" i="83"/>
  <c r="K17" i="83"/>
  <c r="G17" i="90"/>
  <c r="H17" i="90" s="1"/>
  <c r="K14" i="83"/>
  <c r="F10" i="83"/>
  <c r="G15" i="85"/>
  <c r="K17" i="85"/>
  <c r="G16" i="90"/>
  <c r="H16" i="90" s="1"/>
  <c r="K16" i="85"/>
  <c r="K21" i="85"/>
  <c r="T12" i="85" s="1"/>
  <c r="K16" i="102"/>
  <c r="L16" i="102" s="1"/>
  <c r="K19" i="85"/>
  <c r="K18" i="85"/>
  <c r="K14" i="102"/>
  <c r="L14" i="102" s="1"/>
  <c r="Q14" i="83"/>
  <c r="S37" i="56"/>
  <c r="V37" i="56" s="1"/>
  <c r="X37" i="56" s="1"/>
  <c r="K12" i="85"/>
  <c r="K17" i="102"/>
  <c r="L17" i="102" s="1"/>
  <c r="K15" i="85"/>
  <c r="G13" i="90"/>
  <c r="H13" i="90" s="1"/>
  <c r="K20" i="102"/>
  <c r="L20" i="102" s="1"/>
  <c r="G20" i="90"/>
  <c r="H20" i="90" s="1"/>
  <c r="L15" i="90"/>
  <c r="G21" i="90"/>
  <c r="H21" i="90" s="1"/>
  <c r="K12" i="102"/>
  <c r="L12" i="102" s="1"/>
  <c r="U12" i="102"/>
  <c r="R24" i="102" s="1"/>
  <c r="G14" i="90"/>
  <c r="H14" i="90" s="1"/>
  <c r="G18" i="90"/>
  <c r="H18" i="90" s="1"/>
  <c r="K18" i="83"/>
  <c r="K21" i="102"/>
  <c r="L21" i="102" s="1"/>
  <c r="K13" i="102"/>
  <c r="L13" i="102" s="1"/>
  <c r="W12" i="90"/>
  <c r="R23" i="90" s="1"/>
  <c r="K18" i="102"/>
  <c r="L18" i="102" s="1"/>
  <c r="C12" i="102"/>
  <c r="D12" i="102" s="1"/>
  <c r="G12" i="90"/>
  <c r="H12" i="90" s="1"/>
  <c r="D13" i="90"/>
  <c r="G21" i="85"/>
  <c r="T11" i="85" s="1"/>
  <c r="C20" i="102"/>
  <c r="D20" i="102" s="1"/>
  <c r="C19" i="102"/>
  <c r="D19" i="102" s="1"/>
  <c r="S32" i="56"/>
  <c r="V32" i="56" s="1"/>
  <c r="X32" i="56" s="1"/>
  <c r="W12" i="91"/>
  <c r="R23" i="91" s="1"/>
  <c r="G19" i="90"/>
  <c r="H19" i="90" s="1"/>
  <c r="W11" i="90"/>
  <c r="R19" i="90" s="1"/>
  <c r="K21" i="90"/>
  <c r="L21" i="90" s="1"/>
  <c r="K13" i="90"/>
  <c r="L13" i="90" s="1"/>
  <c r="K20" i="90"/>
  <c r="L20" i="90" s="1"/>
  <c r="K17" i="90"/>
  <c r="L17" i="90" s="1"/>
  <c r="K18" i="90"/>
  <c r="L18" i="90" s="1"/>
  <c r="K19" i="90"/>
  <c r="L19" i="90" s="1"/>
  <c r="G12" i="85"/>
  <c r="K13" i="85"/>
  <c r="K14" i="85"/>
  <c r="K16" i="90"/>
  <c r="L16" i="90" s="1"/>
  <c r="U12" i="85"/>
  <c r="G16" i="83"/>
  <c r="W10" i="90"/>
  <c r="R15" i="90" s="1"/>
  <c r="G13" i="83"/>
  <c r="U12" i="90"/>
  <c r="R24" i="90" s="1"/>
  <c r="G12" i="83"/>
  <c r="G20" i="85"/>
  <c r="K12" i="90"/>
  <c r="L12" i="90" s="1"/>
  <c r="G14" i="83"/>
  <c r="G15" i="83"/>
  <c r="G17" i="83"/>
  <c r="G18" i="83"/>
  <c r="H15" i="90"/>
  <c r="K13" i="83"/>
  <c r="P117" i="66"/>
  <c r="P99" i="66"/>
  <c r="H125" i="66"/>
  <c r="H122" i="66"/>
  <c r="H107" i="66"/>
  <c r="H121" i="66"/>
  <c r="H101" i="66"/>
  <c r="L88" i="66"/>
  <c r="H105" i="66"/>
  <c r="H120" i="66"/>
  <c r="K49" i="61"/>
  <c r="H104" i="66"/>
  <c r="H103" i="66"/>
  <c r="L79" i="66"/>
  <c r="J108" i="66"/>
  <c r="D25" i="46"/>
  <c r="E25" i="46" s="1"/>
  <c r="K25" i="46" s="1"/>
  <c r="F26" i="46"/>
  <c r="D26" i="46" s="1"/>
  <c r="E26" i="46" s="1"/>
  <c r="K26" i="46" s="1"/>
  <c r="D21" i="86"/>
  <c r="B24" i="86" s="1"/>
  <c r="D24" i="86" s="1"/>
  <c r="I106" i="66"/>
  <c r="I107" i="66" s="1"/>
  <c r="H21" i="86"/>
  <c r="F24" i="86" s="1"/>
  <c r="H24" i="86" s="1"/>
  <c r="N106" i="66"/>
  <c r="N107" i="66" s="1"/>
  <c r="N108" i="66" s="1"/>
  <c r="H89" i="66"/>
  <c r="P89" i="66" s="1"/>
  <c r="E107" i="66"/>
  <c r="K107" i="66" s="1"/>
  <c r="H82" i="66"/>
  <c r="H85" i="66"/>
  <c r="P85" i="66" s="1"/>
  <c r="H123" i="66"/>
  <c r="P124" i="66"/>
  <c r="H84" i="66"/>
  <c r="H87" i="66"/>
  <c r="L80" i="66"/>
  <c r="H102" i="66"/>
  <c r="H83" i="66"/>
  <c r="H119" i="66"/>
  <c r="H86" i="66"/>
  <c r="M89" i="66"/>
  <c r="H118" i="66"/>
  <c r="H100" i="66"/>
  <c r="B89" i="66"/>
  <c r="D90" i="66" s="1"/>
  <c r="I124" i="66"/>
  <c r="I125" i="66" s="1"/>
  <c r="B125" i="66"/>
  <c r="J25" i="86"/>
  <c r="K6" i="86"/>
  <c r="T24" i="77"/>
  <c r="L106" i="66"/>
  <c r="X35" i="42"/>
  <c r="Y35" i="42" s="1"/>
  <c r="I35" i="42" s="1"/>
  <c r="W35" i="42"/>
  <c r="M35" i="42" s="1"/>
  <c r="B35" i="42" s="1"/>
  <c r="AB35" i="42" s="1"/>
  <c r="D26" i="61"/>
  <c r="E26" i="61" s="1"/>
  <c r="F27" i="61"/>
  <c r="D108" i="66"/>
  <c r="F126" i="66"/>
  <c r="E126" i="66" s="1"/>
  <c r="M108" i="66"/>
  <c r="D126" i="66"/>
  <c r="N89" i="66"/>
  <c r="V76" i="66" l="1"/>
  <c r="P125" i="66"/>
  <c r="P107" i="66"/>
  <c r="V96" i="66"/>
  <c r="AC96" i="66" s="1"/>
  <c r="Z96" i="66"/>
  <c r="W96" i="66" s="1"/>
  <c r="AA113" i="66"/>
  <c r="X113" i="66" s="1"/>
  <c r="Z113" i="66"/>
  <c r="W113" i="66" s="1"/>
  <c r="T113" i="66"/>
  <c r="AA77" i="66"/>
  <c r="X77" i="66" s="1"/>
  <c r="Z77" i="66"/>
  <c r="W77" i="66" s="1"/>
  <c r="T77" i="66"/>
  <c r="AA95" i="66"/>
  <c r="X95" i="66" s="1"/>
  <c r="Z95" i="66"/>
  <c r="W95" i="66" s="1"/>
  <c r="T95" i="66"/>
  <c r="V113" i="66"/>
  <c r="AC113" i="66" s="1"/>
  <c r="V95" i="66"/>
  <c r="AC95" i="66" s="1"/>
  <c r="Z76" i="66"/>
  <c r="W76" i="66" s="1"/>
  <c r="T76" i="66"/>
  <c r="V77" i="66"/>
  <c r="AC77" i="66" s="1"/>
  <c r="AA114" i="66"/>
  <c r="X114" i="66" s="1"/>
  <c r="Z114" i="66"/>
  <c r="W114" i="66" s="1"/>
  <c r="T114" i="66"/>
  <c r="V114" i="66"/>
  <c r="AC114" i="66" s="1"/>
  <c r="AA78" i="66"/>
  <c r="X78" i="66" s="1"/>
  <c r="Z78" i="66"/>
  <c r="W78" i="66" s="1"/>
  <c r="T78" i="66"/>
  <c r="V78" i="66"/>
  <c r="AC78" i="66" s="1"/>
  <c r="AA96" i="66"/>
  <c r="X96" i="66" s="1"/>
  <c r="T96" i="66"/>
  <c r="AE114" i="66"/>
  <c r="AE78" i="66"/>
  <c r="AE96" i="66"/>
  <c r="AE76" i="66"/>
  <c r="AA76" i="66"/>
  <c r="X76" i="66" s="1"/>
  <c r="P118" i="66"/>
  <c r="P86" i="66"/>
  <c r="AE95" i="66"/>
  <c r="P83" i="66"/>
  <c r="P103" i="66"/>
  <c r="P104" i="66"/>
  <c r="P84" i="66"/>
  <c r="P87" i="66"/>
  <c r="O106" i="66"/>
  <c r="Q106" i="66" s="1"/>
  <c r="P82" i="66"/>
  <c r="P121" i="66"/>
  <c r="P101" i="66"/>
  <c r="AE77" i="66"/>
  <c r="AE113" i="66"/>
  <c r="P119" i="66"/>
  <c r="O88" i="66"/>
  <c r="Q88" i="66" s="1"/>
  <c r="P122" i="66"/>
  <c r="P100" i="66"/>
  <c r="U95" i="66"/>
  <c r="U77" i="66"/>
  <c r="AH78" i="66"/>
  <c r="AK78" i="66" s="1"/>
  <c r="U78" i="66"/>
  <c r="U113" i="66"/>
  <c r="U114" i="66"/>
  <c r="R96" i="66"/>
  <c r="U96" i="66"/>
  <c r="O79" i="66"/>
  <c r="Q79" i="66" s="1"/>
  <c r="AA79" i="66" s="1"/>
  <c r="O80" i="66"/>
  <c r="Q80" i="66" s="1"/>
  <c r="U76" i="66"/>
  <c r="K144" i="66"/>
  <c r="AN78" i="66"/>
  <c r="R78" i="66"/>
  <c r="AD78" i="66"/>
  <c r="P21" i="90"/>
  <c r="N24" i="90" s="1"/>
  <c r="P24" i="90" s="1"/>
  <c r="T13" i="90"/>
  <c r="T23" i="77"/>
  <c r="S78" i="66"/>
  <c r="R114" i="66"/>
  <c r="AN114" i="66"/>
  <c r="AN96" i="66"/>
  <c r="T10" i="90"/>
  <c r="P21" i="102"/>
  <c r="N24" i="102" s="1"/>
  <c r="P24" i="102" s="1"/>
  <c r="U41" i="56"/>
  <c r="W41" i="56"/>
  <c r="T13" i="85"/>
  <c r="U42" i="56"/>
  <c r="W42" i="56"/>
  <c r="X42" i="56"/>
  <c r="N24" i="85"/>
  <c r="P24" i="85" s="1"/>
  <c r="U40" i="56"/>
  <c r="X40" i="56"/>
  <c r="W40" i="56"/>
  <c r="T13" i="91"/>
  <c r="N24" i="91"/>
  <c r="P24" i="91" s="1"/>
  <c r="L105" i="66"/>
  <c r="L123" i="66"/>
  <c r="L87" i="66"/>
  <c r="I142" i="66"/>
  <c r="I143" i="66" s="1"/>
  <c r="H21" i="102"/>
  <c r="F24" i="102" s="1"/>
  <c r="H24" i="102" s="1"/>
  <c r="W38" i="56"/>
  <c r="X38" i="56"/>
  <c r="I134" i="66"/>
  <c r="I135" i="66" s="1"/>
  <c r="I133" i="66"/>
  <c r="D21" i="91"/>
  <c r="B24" i="91" s="1"/>
  <c r="D24" i="91" s="1"/>
  <c r="T12" i="91"/>
  <c r="W36" i="56"/>
  <c r="X36" i="56"/>
  <c r="X29" i="56"/>
  <c r="H21" i="91"/>
  <c r="W39" i="56"/>
  <c r="W29" i="56"/>
  <c r="J24" i="91"/>
  <c r="L24" i="91" s="1"/>
  <c r="X39" i="56"/>
  <c r="X28" i="56"/>
  <c r="T10" i="102"/>
  <c r="X33" i="56"/>
  <c r="U31" i="56"/>
  <c r="W34" i="56"/>
  <c r="W35" i="56"/>
  <c r="W37" i="56"/>
  <c r="T11" i="90"/>
  <c r="U37" i="56"/>
  <c r="X35" i="56"/>
  <c r="T12" i="90"/>
  <c r="B24" i="90"/>
  <c r="C6" i="90" s="1"/>
  <c r="U32" i="56"/>
  <c r="B24" i="102"/>
  <c r="D24" i="102" s="1"/>
  <c r="J24" i="102"/>
  <c r="L24" i="102" s="1"/>
  <c r="T12" i="102"/>
  <c r="U34" i="56"/>
  <c r="J24" i="90"/>
  <c r="L24" i="90" s="1"/>
  <c r="F24" i="90"/>
  <c r="H24" i="90" s="1"/>
  <c r="W30" i="56"/>
  <c r="U30" i="56"/>
  <c r="X30" i="56"/>
  <c r="L122" i="66"/>
  <c r="L121" i="66"/>
  <c r="L120" i="66"/>
  <c r="P120" i="66"/>
  <c r="P105" i="66"/>
  <c r="P102" i="66"/>
  <c r="L102" i="66"/>
  <c r="L84" i="66"/>
  <c r="O99" i="66"/>
  <c r="Q99" i="66" s="1"/>
  <c r="O117" i="66"/>
  <c r="Q117" i="66" s="1"/>
  <c r="P123" i="66"/>
  <c r="O81" i="66"/>
  <c r="Q81" i="66" s="1"/>
  <c r="L104" i="66"/>
  <c r="L101" i="66"/>
  <c r="J126" i="66"/>
  <c r="F93" i="56" s="1"/>
  <c r="K50" i="61"/>
  <c r="L103" i="66"/>
  <c r="H108" i="66"/>
  <c r="AH77" i="66"/>
  <c r="AK77" i="66" s="1"/>
  <c r="T22" i="77"/>
  <c r="AD77" i="66"/>
  <c r="R77" i="66"/>
  <c r="AN77" i="66"/>
  <c r="S114" i="66"/>
  <c r="AI114" i="66"/>
  <c r="AJ114" i="66" s="1"/>
  <c r="AH114" i="66" s="1"/>
  <c r="AK114" i="66" s="1"/>
  <c r="AD114" i="66"/>
  <c r="AI96" i="66"/>
  <c r="AJ96" i="66" s="1"/>
  <c r="AH96" i="66" s="1"/>
  <c r="AK96" i="66" s="1"/>
  <c r="AD96" i="66"/>
  <c r="S96" i="66"/>
  <c r="R113" i="66"/>
  <c r="AN113" i="66"/>
  <c r="AI113" i="66"/>
  <c r="AJ113" i="66" s="1"/>
  <c r="AH113" i="66" s="1"/>
  <c r="AK113" i="66" s="1"/>
  <c r="AD113" i="66"/>
  <c r="M90" i="66"/>
  <c r="J90" i="66"/>
  <c r="F27" i="46"/>
  <c r="D27" i="46" s="1"/>
  <c r="E27" i="46" s="1"/>
  <c r="K27" i="46" s="1"/>
  <c r="C26" i="46"/>
  <c r="T26" i="46" s="1"/>
  <c r="C6" i="86"/>
  <c r="B25" i="86"/>
  <c r="D25" i="86" s="1"/>
  <c r="G6" i="86"/>
  <c r="F25" i="86"/>
  <c r="H25" i="86" s="1"/>
  <c r="W33" i="56"/>
  <c r="W32" i="56"/>
  <c r="W31" i="56"/>
  <c r="L89" i="66"/>
  <c r="I108" i="66"/>
  <c r="I98" i="56" s="1"/>
  <c r="M126" i="66"/>
  <c r="N90" i="66"/>
  <c r="L85" i="66"/>
  <c r="L82" i="66"/>
  <c r="H90" i="66"/>
  <c r="I126" i="66"/>
  <c r="F98" i="56" s="1"/>
  <c r="H126" i="66"/>
  <c r="F90" i="66"/>
  <c r="E90" i="66" s="1"/>
  <c r="K90" i="66"/>
  <c r="N126" i="66"/>
  <c r="I90" i="66"/>
  <c r="AD76" i="66"/>
  <c r="T21" i="77"/>
  <c r="R76" i="66"/>
  <c r="AN76" i="66"/>
  <c r="AH76" i="66"/>
  <c r="AK76" i="66" s="1"/>
  <c r="L124" i="66"/>
  <c r="L83" i="66"/>
  <c r="L119" i="66"/>
  <c r="L118" i="66"/>
  <c r="AN95" i="66"/>
  <c r="L86" i="66"/>
  <c r="L100" i="66"/>
  <c r="AI95" i="66"/>
  <c r="AJ95" i="66" s="1"/>
  <c r="AH95" i="66" s="1"/>
  <c r="AK95" i="66" s="1"/>
  <c r="AD95" i="66"/>
  <c r="R95" i="66"/>
  <c r="J26" i="86"/>
  <c r="L25" i="86"/>
  <c r="L107" i="66"/>
  <c r="K108" i="66"/>
  <c r="K126" i="66"/>
  <c r="F35" i="42"/>
  <c r="H35" i="42"/>
  <c r="E35" i="42"/>
  <c r="V36" i="42"/>
  <c r="X36" i="42" s="1"/>
  <c r="D27" i="61"/>
  <c r="E27" i="61" s="1"/>
  <c r="F28" i="61"/>
  <c r="L125" i="66"/>
  <c r="Z88" i="66" l="1"/>
  <c r="W88" i="66" s="1"/>
  <c r="S88" i="66"/>
  <c r="Z106" i="66"/>
  <c r="W106" i="66" s="1"/>
  <c r="S106" i="66"/>
  <c r="P126" i="66"/>
  <c r="P108" i="66"/>
  <c r="P90" i="66"/>
  <c r="O92" i="56"/>
  <c r="P106" i="56"/>
  <c r="BI9" i="54" s="1"/>
  <c r="AE81" i="66"/>
  <c r="Z81" i="66"/>
  <c r="W81" i="66" s="1"/>
  <c r="AE117" i="66"/>
  <c r="Z117" i="66"/>
  <c r="W117" i="66" s="1"/>
  <c r="AA99" i="66"/>
  <c r="Z99" i="66"/>
  <c r="W99" i="66" s="1"/>
  <c r="V99" i="66"/>
  <c r="AC99" i="66" s="1"/>
  <c r="V117" i="66"/>
  <c r="AC117" i="66" s="1"/>
  <c r="V81" i="66"/>
  <c r="AC81" i="66" s="1"/>
  <c r="AE99" i="66"/>
  <c r="V80" i="66"/>
  <c r="AC80" i="66" s="1"/>
  <c r="AA80" i="66"/>
  <c r="X80" i="66" s="1"/>
  <c r="V106" i="66"/>
  <c r="AC106" i="66" s="1"/>
  <c r="AA106" i="66"/>
  <c r="X106" i="66" s="1"/>
  <c r="AE88" i="66"/>
  <c r="AA88" i="66"/>
  <c r="X88" i="66" s="1"/>
  <c r="T81" i="66"/>
  <c r="AA81" i="66"/>
  <c r="X81" i="66" s="1"/>
  <c r="O125" i="66"/>
  <c r="Q125" i="66" s="1"/>
  <c r="AA125" i="66" s="1"/>
  <c r="O124" i="66"/>
  <c r="Q124" i="66" s="1"/>
  <c r="T79" i="66"/>
  <c r="O89" i="66"/>
  <c r="Q89" i="66" s="1"/>
  <c r="S89" i="66" s="1"/>
  <c r="AA117" i="66"/>
  <c r="T117" i="66"/>
  <c r="T88" i="66"/>
  <c r="O107" i="66"/>
  <c r="Q107" i="66" s="1"/>
  <c r="S107" i="66" s="1"/>
  <c r="U80" i="66"/>
  <c r="T80" i="66"/>
  <c r="BD9" i="54"/>
  <c r="T99" i="66"/>
  <c r="T106" i="66"/>
  <c r="D5" i="66"/>
  <c r="I5" i="66" s="1"/>
  <c r="J5" i="66" s="1"/>
  <c r="V88" i="66"/>
  <c r="AC88" i="66" s="1"/>
  <c r="AE106" i="66"/>
  <c r="AV76" i="66"/>
  <c r="AV114" i="66"/>
  <c r="Z80" i="66"/>
  <c r="W80" i="66" s="1"/>
  <c r="AV96" i="66"/>
  <c r="AV95" i="66"/>
  <c r="AV78" i="66"/>
  <c r="AV77" i="66"/>
  <c r="AV113" i="66"/>
  <c r="U88" i="66"/>
  <c r="O85" i="66"/>
  <c r="Q85" i="66" s="1"/>
  <c r="AA85" i="66" s="1"/>
  <c r="O82" i="66"/>
  <c r="Q82" i="66" s="1"/>
  <c r="AA82" i="66" s="1"/>
  <c r="O122" i="66"/>
  <c r="Q122" i="66" s="1"/>
  <c r="AE122" i="66" s="1"/>
  <c r="Y114" i="66"/>
  <c r="U106" i="66"/>
  <c r="O103" i="66"/>
  <c r="Q103" i="66" s="1"/>
  <c r="AA103" i="66" s="1"/>
  <c r="O86" i="66"/>
  <c r="Q86" i="66" s="1"/>
  <c r="U81" i="66"/>
  <c r="O83" i="66"/>
  <c r="Q83" i="66" s="1"/>
  <c r="AA83" i="66" s="1"/>
  <c r="U79" i="66"/>
  <c r="O118" i="66"/>
  <c r="Q118" i="66" s="1"/>
  <c r="G19" i="62"/>
  <c r="D4" i="66"/>
  <c r="I4" i="66" s="1"/>
  <c r="J4" i="66" s="1"/>
  <c r="Z79" i="66"/>
  <c r="W79" i="66" s="1"/>
  <c r="O100" i="66"/>
  <c r="Q100" i="66" s="1"/>
  <c r="V100" i="66" s="1"/>
  <c r="O104" i="66"/>
  <c r="Q104" i="66" s="1"/>
  <c r="AA104" i="66" s="1"/>
  <c r="U117" i="66"/>
  <c r="O121" i="66"/>
  <c r="Q121" i="66" s="1"/>
  <c r="AE121" i="66" s="1"/>
  <c r="O101" i="66"/>
  <c r="Q101" i="66" s="1"/>
  <c r="AA101" i="66" s="1"/>
  <c r="O119" i="66"/>
  <c r="Q119" i="66" s="1"/>
  <c r="U99" i="66"/>
  <c r="AE95" i="56"/>
  <c r="AE98" i="56"/>
  <c r="AO25" i="66"/>
  <c r="AF78" i="66"/>
  <c r="AG78" i="66" s="1"/>
  <c r="AL78" i="66" s="1"/>
  <c r="BB34" i="56" s="1"/>
  <c r="Y96" i="66"/>
  <c r="Y78" i="66"/>
  <c r="N25" i="85"/>
  <c r="O6" i="85"/>
  <c r="O6" i="90"/>
  <c r="N25" i="90"/>
  <c r="N25" i="91"/>
  <c r="P25" i="91" s="1"/>
  <c r="O6" i="91"/>
  <c r="O6" i="102"/>
  <c r="N25" i="102"/>
  <c r="P25" i="102" s="1"/>
  <c r="AL96" i="66"/>
  <c r="AG96" i="66" s="1"/>
  <c r="AF114" i="66"/>
  <c r="AL114" i="66"/>
  <c r="BB13" i="56" s="1"/>
  <c r="F25" i="102"/>
  <c r="H25" i="102" s="1"/>
  <c r="G6" i="102"/>
  <c r="E25" i="68"/>
  <c r="J134" i="66"/>
  <c r="J135" i="66"/>
  <c r="J133" i="66"/>
  <c r="J144" i="66" s="1"/>
  <c r="I136" i="66"/>
  <c r="I139" i="66"/>
  <c r="H34" i="56"/>
  <c r="G18" i="62"/>
  <c r="I137" i="66"/>
  <c r="I140" i="66"/>
  <c r="BB26" i="56"/>
  <c r="B25" i="91"/>
  <c r="D25" i="91" s="1"/>
  <c r="C6" i="91"/>
  <c r="K6" i="91"/>
  <c r="J25" i="91"/>
  <c r="L25" i="91" s="1"/>
  <c r="B25" i="90"/>
  <c r="D25" i="90" s="1"/>
  <c r="J25" i="90"/>
  <c r="L25" i="90" s="1"/>
  <c r="K6" i="90"/>
  <c r="D24" i="90"/>
  <c r="G6" i="90"/>
  <c r="F25" i="90"/>
  <c r="H25" i="90" s="1"/>
  <c r="J25" i="102"/>
  <c r="L25" i="102" s="1"/>
  <c r="K6" i="102"/>
  <c r="B25" i="102"/>
  <c r="D25" i="102" s="1"/>
  <c r="C6" i="102"/>
  <c r="AN117" i="66"/>
  <c r="R117" i="66"/>
  <c r="AN99" i="66"/>
  <c r="R99" i="66"/>
  <c r="AN81" i="66"/>
  <c r="R81" i="66"/>
  <c r="AH81" i="66"/>
  <c r="AK81" i="66" s="1"/>
  <c r="AF96" i="66"/>
  <c r="BB14" i="56"/>
  <c r="O120" i="66"/>
  <c r="Q120" i="66" s="1"/>
  <c r="V120" i="66" s="1"/>
  <c r="O105" i="66"/>
  <c r="Q105" i="66" s="1"/>
  <c r="V105" i="66" s="1"/>
  <c r="O102" i="66"/>
  <c r="Q102" i="66" s="1"/>
  <c r="O84" i="66"/>
  <c r="Q84" i="66" s="1"/>
  <c r="O123" i="66"/>
  <c r="Q123" i="66" s="1"/>
  <c r="V123" i="66" s="1"/>
  <c r="O87" i="66"/>
  <c r="Q87" i="66" s="1"/>
  <c r="V87" i="66" s="1"/>
  <c r="Q112" i="66"/>
  <c r="Q94" i="66"/>
  <c r="S94" i="66" s="1"/>
  <c r="AJ27" i="66"/>
  <c r="K51" i="61"/>
  <c r="I86" i="56"/>
  <c r="Z89" i="56" s="1"/>
  <c r="AF77" i="66"/>
  <c r="AG77" i="66" s="1"/>
  <c r="AL77" i="66" s="1"/>
  <c r="AM77" i="66" s="1"/>
  <c r="Y77" i="66"/>
  <c r="G13" i="99"/>
  <c r="H13" i="99" s="1"/>
  <c r="G18" i="99"/>
  <c r="H18" i="99" s="1"/>
  <c r="G14" i="99"/>
  <c r="H14" i="99" s="1"/>
  <c r="G17" i="99"/>
  <c r="H17" i="99" s="1"/>
  <c r="G16" i="99"/>
  <c r="H16" i="99" s="1"/>
  <c r="G12" i="99"/>
  <c r="H12" i="99" s="1"/>
  <c r="G15" i="99"/>
  <c r="H15" i="99" s="1"/>
  <c r="G12" i="101"/>
  <c r="H12" i="101" s="1"/>
  <c r="G13" i="101"/>
  <c r="H13" i="101" s="1"/>
  <c r="G17" i="101"/>
  <c r="H17" i="101" s="1"/>
  <c r="F10" i="101"/>
  <c r="G16" i="101"/>
  <c r="H16" i="101" s="1"/>
  <c r="G18" i="101"/>
  <c r="H18" i="101" s="1"/>
  <c r="G14" i="101"/>
  <c r="H14" i="101" s="1"/>
  <c r="G15" i="101"/>
  <c r="H15" i="101" s="1"/>
  <c r="J10" i="101"/>
  <c r="AE80" i="66"/>
  <c r="X79" i="66"/>
  <c r="AE79" i="66"/>
  <c r="Y113" i="66"/>
  <c r="W24" i="77"/>
  <c r="S81" i="66"/>
  <c r="AL113" i="66"/>
  <c r="AG113" i="66" s="1"/>
  <c r="AF113" i="66"/>
  <c r="W23" i="77"/>
  <c r="AD79" i="66"/>
  <c r="AN79" i="66"/>
  <c r="AN80" i="66"/>
  <c r="R80" i="66"/>
  <c r="S80" i="66"/>
  <c r="AD80" i="66"/>
  <c r="AH80" i="66"/>
  <c r="AK80" i="66" s="1"/>
  <c r="W22" i="77"/>
  <c r="R79" i="66"/>
  <c r="S79" i="66"/>
  <c r="V79" i="66"/>
  <c r="AC79" i="66" s="1"/>
  <c r="AD81" i="66"/>
  <c r="W21" i="77"/>
  <c r="AH79" i="66"/>
  <c r="AK79" i="66" s="1"/>
  <c r="L93" i="56"/>
  <c r="AC96" i="56" s="1"/>
  <c r="BA8" i="54"/>
  <c r="BA7" i="54"/>
  <c r="I93" i="56"/>
  <c r="AA96" i="56" s="1"/>
  <c r="BF6" i="54"/>
  <c r="AH195" i="56"/>
  <c r="L26" i="66"/>
  <c r="AG57" i="77"/>
  <c r="AE133" i="56"/>
  <c r="AB126" i="77"/>
  <c r="C37" i="30"/>
  <c r="D4" i="61" s="1"/>
  <c r="F28" i="46"/>
  <c r="C28" i="46" s="1"/>
  <c r="T28" i="46" s="1"/>
  <c r="C27" i="46"/>
  <c r="T27" i="46" s="1"/>
  <c r="AC26" i="66"/>
  <c r="F86" i="56"/>
  <c r="X89" i="56" s="1"/>
  <c r="AJ26" i="66"/>
  <c r="L25" i="66"/>
  <c r="D26" i="66"/>
  <c r="L86" i="56"/>
  <c r="AB89" i="56" s="1"/>
  <c r="B26" i="86"/>
  <c r="D26" i="86" s="1"/>
  <c r="F26" i="86"/>
  <c r="H26" i="86" s="1"/>
  <c r="BD7" i="54"/>
  <c r="AA98" i="56"/>
  <c r="BD6" i="54"/>
  <c r="AC98" i="56"/>
  <c r="F92" i="56"/>
  <c r="Y98" i="56"/>
  <c r="AC28" i="66"/>
  <c r="I74" i="77"/>
  <c r="AD106" i="66"/>
  <c r="L90" i="66"/>
  <c r="M86" i="56"/>
  <c r="H74" i="77"/>
  <c r="M134" i="77"/>
  <c r="O138" i="77" s="1"/>
  <c r="M141" i="56"/>
  <c r="R145" i="56" s="1"/>
  <c r="AJ28" i="66"/>
  <c r="O143" i="77"/>
  <c r="L24" i="66"/>
  <c r="AB127" i="77"/>
  <c r="F25" i="69"/>
  <c r="R150" i="56"/>
  <c r="L92" i="56"/>
  <c r="M150" i="56"/>
  <c r="I19" i="69"/>
  <c r="M106" i="56"/>
  <c r="F24" i="69"/>
  <c r="AF76" i="66"/>
  <c r="AG76" i="66" s="1"/>
  <c r="AL76" i="66" s="1"/>
  <c r="AC95" i="56"/>
  <c r="M32" i="28"/>
  <c r="F32" i="28" s="1"/>
  <c r="AE134" i="56"/>
  <c r="M135" i="77"/>
  <c r="J19" i="68"/>
  <c r="G19" i="68" s="1"/>
  <c r="M142" i="56"/>
  <c r="C38" i="30" s="1"/>
  <c r="N36" i="28" s="1"/>
  <c r="I36" i="28" s="1"/>
  <c r="C34" i="30"/>
  <c r="D13" i="42" s="1"/>
  <c r="M143" i="77"/>
  <c r="L98" i="56"/>
  <c r="D27" i="66"/>
  <c r="L27" i="66"/>
  <c r="E32" i="69"/>
  <c r="AC76" i="66"/>
  <c r="Y76" i="66"/>
  <c r="AH88" i="66"/>
  <c r="AK88" i="66" s="1"/>
  <c r="R88" i="66"/>
  <c r="AN88" i="66"/>
  <c r="AD88" i="66"/>
  <c r="AL95" i="66"/>
  <c r="AM95" i="66" s="1"/>
  <c r="Y95" i="66"/>
  <c r="AF95" i="66"/>
  <c r="J106" i="56"/>
  <c r="AC25" i="66"/>
  <c r="I92" i="56"/>
  <c r="AA95" i="56"/>
  <c r="J27" i="86"/>
  <c r="L26" i="86"/>
  <c r="Y96" i="56"/>
  <c r="T36" i="77"/>
  <c r="BB35" i="56"/>
  <c r="BD8" i="54"/>
  <c r="Y95" i="56"/>
  <c r="AI106" i="66"/>
  <c r="AJ106" i="66" s="1"/>
  <c r="AH106" i="66" s="1"/>
  <c r="AK106" i="66" s="1"/>
  <c r="BF8" i="54"/>
  <c r="AJ25" i="66"/>
  <c r="G106" i="56"/>
  <c r="AN106" i="66"/>
  <c r="R106" i="66"/>
  <c r="L97" i="66"/>
  <c r="L115" i="66"/>
  <c r="L116" i="66"/>
  <c r="L98" i="66"/>
  <c r="AC27" i="66"/>
  <c r="BF7" i="54"/>
  <c r="W36" i="42"/>
  <c r="M36" i="42" s="1"/>
  <c r="B36" i="42" s="1"/>
  <c r="H13" i="83"/>
  <c r="F29" i="61"/>
  <c r="D28" i="61"/>
  <c r="E28" i="61" s="1"/>
  <c r="Y36" i="42"/>
  <c r="AL92" i="56" l="1"/>
  <c r="AA124" i="66"/>
  <c r="X124" i="66" s="1"/>
  <c r="S125" i="66"/>
  <c r="X125" i="66"/>
  <c r="AA112" i="66"/>
  <c r="S112" i="66"/>
  <c r="Z124" i="66"/>
  <c r="W124" i="66" s="1"/>
  <c r="S124" i="66"/>
  <c r="AA107" i="66"/>
  <c r="Z107" i="66"/>
  <c r="AA89" i="66"/>
  <c r="Z89" i="66"/>
  <c r="Z125" i="66"/>
  <c r="AA94" i="66"/>
  <c r="X94" i="66" s="1"/>
  <c r="Z94" i="66"/>
  <c r="W94" i="66" s="1"/>
  <c r="T94" i="66"/>
  <c r="V94" i="66"/>
  <c r="AC94" i="66" s="1"/>
  <c r="Z112" i="66"/>
  <c r="W112" i="66" s="1"/>
  <c r="T112" i="66"/>
  <c r="V112" i="66"/>
  <c r="AC112" i="66" s="1"/>
  <c r="AA105" i="66"/>
  <c r="X105" i="66" s="1"/>
  <c r="Z105" i="66"/>
  <c r="W105" i="66" s="1"/>
  <c r="AE87" i="66"/>
  <c r="Z87" i="66"/>
  <c r="W87" i="66" s="1"/>
  <c r="AE123" i="66"/>
  <c r="Z123" i="66"/>
  <c r="W123" i="66" s="1"/>
  <c r="AE105" i="66"/>
  <c r="AE100" i="66"/>
  <c r="V101" i="66"/>
  <c r="AC101" i="66" s="1"/>
  <c r="AE102" i="66"/>
  <c r="AA102" i="66"/>
  <c r="X102" i="66" s="1"/>
  <c r="V124" i="66"/>
  <c r="AC124" i="66" s="1"/>
  <c r="T86" i="66"/>
  <c r="AA86" i="66"/>
  <c r="X86" i="66" s="1"/>
  <c r="AE125" i="66"/>
  <c r="U100" i="66"/>
  <c r="AA100" i="66"/>
  <c r="X100" i="66" s="1"/>
  <c r="V122" i="66"/>
  <c r="AC122" i="66" s="1"/>
  <c r="AE120" i="66"/>
  <c r="T87" i="66"/>
  <c r="AA87" i="66"/>
  <c r="X87" i="66" s="1"/>
  <c r="V102" i="66"/>
  <c r="AC102" i="66" s="1"/>
  <c r="D70" i="66" a="1"/>
  <c r="D70" i="66" s="1"/>
  <c r="T84" i="66"/>
  <c r="AA84" i="66"/>
  <c r="X84" i="66" s="1"/>
  <c r="T89" i="66"/>
  <c r="AE89" i="66"/>
  <c r="V89" i="66"/>
  <c r="T107" i="66"/>
  <c r="AE107" i="66"/>
  <c r="V107" i="66"/>
  <c r="Z83" i="66"/>
  <c r="W83" i="66" s="1"/>
  <c r="T83" i="66"/>
  <c r="Z119" i="66"/>
  <c r="W119" i="66" s="1"/>
  <c r="AA119" i="66"/>
  <c r="X119" i="66" s="1"/>
  <c r="T119" i="66"/>
  <c r="Z101" i="66"/>
  <c r="W101" i="66" s="1"/>
  <c r="X101" i="66"/>
  <c r="T101" i="66"/>
  <c r="Z103" i="66"/>
  <c r="W103" i="66" s="1"/>
  <c r="T103" i="66"/>
  <c r="AE101" i="66"/>
  <c r="S122" i="66"/>
  <c r="Z122" i="66"/>
  <c r="W122" i="66" s="1"/>
  <c r="AA122" i="66"/>
  <c r="X122" i="66" s="1"/>
  <c r="T122" i="66"/>
  <c r="T125" i="66"/>
  <c r="U82" i="66"/>
  <c r="T82" i="66"/>
  <c r="O90" i="66"/>
  <c r="AE94" i="66"/>
  <c r="Z100" i="66"/>
  <c r="W100" i="66" s="1"/>
  <c r="T100" i="66"/>
  <c r="V121" i="66"/>
  <c r="AC121" i="66" s="1"/>
  <c r="AE112" i="66"/>
  <c r="AE119" i="66"/>
  <c r="X104" i="66"/>
  <c r="Z104" i="66"/>
  <c r="W104" i="66" s="1"/>
  <c r="T104" i="66"/>
  <c r="AA123" i="66"/>
  <c r="X123" i="66" s="1"/>
  <c r="T123" i="66"/>
  <c r="AE103" i="66"/>
  <c r="V119" i="66"/>
  <c r="AC119" i="66" s="1"/>
  <c r="Z118" i="66"/>
  <c r="W118" i="66" s="1"/>
  <c r="AA118" i="66"/>
  <c r="X118" i="66" s="1"/>
  <c r="T118" i="66"/>
  <c r="V103" i="66"/>
  <c r="AC103" i="66" s="1"/>
  <c r="AE104" i="66"/>
  <c r="T105" i="66"/>
  <c r="V104" i="66"/>
  <c r="AC104" i="66" s="1"/>
  <c r="Z121" i="66"/>
  <c r="W121" i="66" s="1"/>
  <c r="AA121" i="66"/>
  <c r="X121" i="66" s="1"/>
  <c r="T121" i="66"/>
  <c r="Z102" i="66"/>
  <c r="W102" i="66" s="1"/>
  <c r="T102" i="66"/>
  <c r="Z120" i="66"/>
  <c r="W120" i="66" s="1"/>
  <c r="AA120" i="66"/>
  <c r="X120" i="66" s="1"/>
  <c r="T120" i="66"/>
  <c r="V125" i="66"/>
  <c r="T124" i="66"/>
  <c r="AE124" i="66"/>
  <c r="AE118" i="66"/>
  <c r="X85" i="66"/>
  <c r="T85" i="66"/>
  <c r="V118" i="66"/>
  <c r="AC118" i="66" s="1"/>
  <c r="R101" i="66"/>
  <c r="AI101" i="66"/>
  <c r="AJ101" i="66" s="1"/>
  <c r="AH101" i="66"/>
  <c r="S101" i="66"/>
  <c r="AN101" i="66"/>
  <c r="AD101" i="66"/>
  <c r="N26" i="85"/>
  <c r="P26" i="85" s="1"/>
  <c r="P25" i="85"/>
  <c r="U119" i="66"/>
  <c r="U104" i="66"/>
  <c r="U122" i="66"/>
  <c r="U118" i="66"/>
  <c r="U101" i="66"/>
  <c r="AD121" i="66"/>
  <c r="AI121" i="66"/>
  <c r="AJ121" i="66" s="1"/>
  <c r="AH121" i="66" s="1"/>
  <c r="AK121" i="66" s="1"/>
  <c r="S121" i="66"/>
  <c r="AI122" i="66"/>
  <c r="AJ122" i="66" s="1"/>
  <c r="AH122" i="66" s="1"/>
  <c r="AK122" i="66" s="1"/>
  <c r="AV80" i="66"/>
  <c r="X82" i="66"/>
  <c r="Z82" i="66"/>
  <c r="W82" i="66" s="1"/>
  <c r="AV79" i="66"/>
  <c r="AN104" i="66"/>
  <c r="AV106" i="66"/>
  <c r="AI104" i="66"/>
  <c r="AJ104" i="66" s="1"/>
  <c r="AH104" i="66" s="1"/>
  <c r="AK104" i="66" s="1"/>
  <c r="AV81" i="66"/>
  <c r="AV88" i="66"/>
  <c r="R104" i="66"/>
  <c r="AD104" i="66"/>
  <c r="S104" i="66"/>
  <c r="U125" i="66"/>
  <c r="U124" i="66"/>
  <c r="U107" i="66"/>
  <c r="U103" i="66"/>
  <c r="AD86" i="66"/>
  <c r="U89" i="66"/>
  <c r="X83" i="66"/>
  <c r="U112" i="66"/>
  <c r="R122" i="66"/>
  <c r="AD122" i="66"/>
  <c r="AC123" i="66"/>
  <c r="U123" i="66"/>
  <c r="U83" i="66"/>
  <c r="U84" i="66"/>
  <c r="Z84" i="66"/>
  <c r="W84" i="66" s="1"/>
  <c r="O98" i="66"/>
  <c r="Q98" i="66" s="1"/>
  <c r="U102" i="66"/>
  <c r="U85" i="66"/>
  <c r="U105" i="66"/>
  <c r="Z85" i="66"/>
  <c r="W85" i="66" s="1"/>
  <c r="U94" i="66"/>
  <c r="R121" i="66"/>
  <c r="N132" i="66"/>
  <c r="Q132" i="66" s="1"/>
  <c r="U120" i="66"/>
  <c r="U86" i="66"/>
  <c r="AN122" i="66"/>
  <c r="U87" i="66"/>
  <c r="O116" i="66"/>
  <c r="Q116" i="66" s="1"/>
  <c r="O115" i="66"/>
  <c r="Q115" i="66" s="1"/>
  <c r="O97" i="66"/>
  <c r="Q97" i="66" s="1"/>
  <c r="AA97" i="66" s="1"/>
  <c r="AN121" i="66"/>
  <c r="U121" i="66"/>
  <c r="Z86" i="66"/>
  <c r="W86" i="66" s="1"/>
  <c r="AM78" i="66"/>
  <c r="T35" i="77"/>
  <c r="N26" i="90"/>
  <c r="P26" i="90" s="1"/>
  <c r="P25" i="90"/>
  <c r="Y81" i="66"/>
  <c r="N26" i="91"/>
  <c r="P26" i="91" s="1"/>
  <c r="N26" i="102"/>
  <c r="P26" i="102" s="1"/>
  <c r="F26" i="102"/>
  <c r="H26" i="102" s="1"/>
  <c r="AC105" i="66"/>
  <c r="AC87" i="66"/>
  <c r="AM114" i="66"/>
  <c r="AG114" i="66"/>
  <c r="R94" i="66"/>
  <c r="AD112" i="66"/>
  <c r="H130" i="66"/>
  <c r="P130" i="66" s="1"/>
  <c r="H131" i="66"/>
  <c r="P131" i="66" s="1"/>
  <c r="I138" i="66"/>
  <c r="I141" i="66"/>
  <c r="I144" i="66" s="1"/>
  <c r="O98" i="56" s="1"/>
  <c r="BF9" i="54"/>
  <c r="AL93" i="56" s="1"/>
  <c r="I50" i="62" s="1"/>
  <c r="J26" i="102"/>
  <c r="L26" i="102" s="1"/>
  <c r="B26" i="90"/>
  <c r="D26" i="90" s="1"/>
  <c r="J26" i="90"/>
  <c r="L26" i="90" s="1"/>
  <c r="F26" i="90"/>
  <c r="H26" i="90" s="1"/>
  <c r="B26" i="102"/>
  <c r="D26" i="102" s="1"/>
  <c r="Y117" i="66"/>
  <c r="AD94" i="66"/>
  <c r="R102" i="66"/>
  <c r="AH102" i="66"/>
  <c r="AK102" i="66" s="1"/>
  <c r="AN102" i="66"/>
  <c r="S105" i="66"/>
  <c r="AD105" i="66"/>
  <c r="AN105" i="66"/>
  <c r="AI105" i="66"/>
  <c r="AJ105" i="66" s="1"/>
  <c r="AH105" i="66" s="1"/>
  <c r="AK105" i="66" s="1"/>
  <c r="R105" i="66"/>
  <c r="R87" i="66"/>
  <c r="AH87" i="66"/>
  <c r="AK87" i="66" s="1"/>
  <c r="AN87" i="66"/>
  <c r="AI120" i="66"/>
  <c r="AJ120" i="66" s="1"/>
  <c r="AD120" i="66"/>
  <c r="S120" i="66"/>
  <c r="AN120" i="66"/>
  <c r="AC120" i="66"/>
  <c r="R120" i="66"/>
  <c r="AH120" i="66"/>
  <c r="AK120" i="66" s="1"/>
  <c r="AN123" i="66"/>
  <c r="R123" i="66"/>
  <c r="AD123" i="66"/>
  <c r="R84" i="66"/>
  <c r="AN84" i="66"/>
  <c r="AH84" i="66"/>
  <c r="AK84" i="66" s="1"/>
  <c r="V84" i="66"/>
  <c r="AC84" i="66" s="1"/>
  <c r="R112" i="66"/>
  <c r="Y99" i="66"/>
  <c r="AN94" i="66"/>
  <c r="AF81" i="66"/>
  <c r="AG81" i="66" s="1"/>
  <c r="AL81" i="66" s="1"/>
  <c r="BE34" i="56" s="1"/>
  <c r="AI112" i="66"/>
  <c r="AJ112" i="66" s="1"/>
  <c r="AH112" i="66" s="1"/>
  <c r="AK112" i="66" s="1"/>
  <c r="AN112" i="66"/>
  <c r="AI94" i="66"/>
  <c r="AJ94" i="66" s="1"/>
  <c r="AH94" i="66" s="1"/>
  <c r="AK94" i="66" s="1"/>
  <c r="X103" i="66"/>
  <c r="AZ96" i="66"/>
  <c r="AY96" i="66" s="1"/>
  <c r="AM96" i="66"/>
  <c r="F8" i="80"/>
  <c r="Q11" i="80" s="1"/>
  <c r="N20" i="80" s="1"/>
  <c r="AY7" i="54"/>
  <c r="BM7" i="54" s="1"/>
  <c r="AD103" i="66"/>
  <c r="AI103" i="66"/>
  <c r="AJ103" i="66" s="1"/>
  <c r="R103" i="66"/>
  <c r="S103" i="66"/>
  <c r="AN103" i="66"/>
  <c r="M87" i="56"/>
  <c r="J86" i="56"/>
  <c r="AH89" i="66"/>
  <c r="AK89" i="66" s="1"/>
  <c r="K52" i="61"/>
  <c r="T34" i="77"/>
  <c r="BB33" i="56"/>
  <c r="K12" i="99"/>
  <c r="L12" i="99" s="1"/>
  <c r="K15" i="99"/>
  <c r="L15" i="99" s="1"/>
  <c r="K18" i="99"/>
  <c r="L18" i="99" s="1"/>
  <c r="K14" i="99"/>
  <c r="L14" i="99" s="1"/>
  <c r="K17" i="99"/>
  <c r="L17" i="99" s="1"/>
  <c r="K13" i="99"/>
  <c r="L13" i="99" s="1"/>
  <c r="K16" i="99"/>
  <c r="L16" i="99" s="1"/>
  <c r="F24" i="101"/>
  <c r="V9" i="101"/>
  <c r="K12" i="101"/>
  <c r="L12" i="101" s="1"/>
  <c r="K14" i="101"/>
  <c r="L14" i="101" s="1"/>
  <c r="K18" i="101"/>
  <c r="L18" i="101" s="1"/>
  <c r="K13" i="101"/>
  <c r="L13" i="101" s="1"/>
  <c r="K17" i="101"/>
  <c r="L17" i="101" s="1"/>
  <c r="K15" i="101"/>
  <c r="L15" i="101" s="1"/>
  <c r="K16" i="101"/>
  <c r="L16" i="101" s="1"/>
  <c r="C12" i="99"/>
  <c r="D12" i="99" s="1"/>
  <c r="C15" i="99"/>
  <c r="D15" i="99" s="1"/>
  <c r="C18" i="99"/>
  <c r="D18" i="99" s="1"/>
  <c r="C17" i="99"/>
  <c r="D17" i="99" s="1"/>
  <c r="C13" i="99"/>
  <c r="D13" i="99" s="1"/>
  <c r="C14" i="99"/>
  <c r="D14" i="99" s="1"/>
  <c r="C16" i="99"/>
  <c r="D16" i="99" s="1"/>
  <c r="C16" i="101"/>
  <c r="D16" i="101" s="1"/>
  <c r="B10" i="101"/>
  <c r="C17" i="101"/>
  <c r="D17" i="101" s="1"/>
  <c r="C13" i="101"/>
  <c r="D13" i="101" s="1"/>
  <c r="C12" i="101"/>
  <c r="D12" i="101" s="1"/>
  <c r="C15" i="101"/>
  <c r="D15" i="101" s="1"/>
  <c r="C18" i="101"/>
  <c r="D18" i="101" s="1"/>
  <c r="C14" i="101"/>
  <c r="D14" i="101" s="1"/>
  <c r="AD85" i="66"/>
  <c r="F24" i="99"/>
  <c r="H24" i="99" s="1"/>
  <c r="BB23" i="56"/>
  <c r="BB12" i="56"/>
  <c r="Y79" i="66"/>
  <c r="AM113" i="66"/>
  <c r="Y80" i="66"/>
  <c r="AD102" i="66"/>
  <c r="AI102" i="66"/>
  <c r="AJ102" i="66" s="1"/>
  <c r="S102" i="66"/>
  <c r="AF80" i="66"/>
  <c r="AG80" i="66" s="1"/>
  <c r="AL80" i="66" s="1"/>
  <c r="AM80" i="66" s="1"/>
  <c r="AF79" i="66"/>
  <c r="AG79" i="66" s="1"/>
  <c r="AL79" i="66" s="1"/>
  <c r="S84" i="66"/>
  <c r="Z23" i="77"/>
  <c r="AE84" i="66"/>
  <c r="AD84" i="66"/>
  <c r="S123" i="66"/>
  <c r="AI123" i="66"/>
  <c r="AJ123" i="66" s="1"/>
  <c r="AH123" i="66" s="1"/>
  <c r="AK123" i="66" s="1"/>
  <c r="Z24" i="77"/>
  <c r="AB24" i="77"/>
  <c r="Z21" i="77"/>
  <c r="AE82" i="66"/>
  <c r="AH82" i="66"/>
  <c r="AK82" i="66" s="1"/>
  <c r="V82" i="66"/>
  <c r="AC82" i="66" s="1"/>
  <c r="R82" i="66"/>
  <c r="AD82" i="66"/>
  <c r="AN82" i="66"/>
  <c r="S82" i="66"/>
  <c r="AN100" i="66"/>
  <c r="AC100" i="66"/>
  <c r="AH100" i="66"/>
  <c r="AD100" i="66"/>
  <c r="AI100" i="66"/>
  <c r="AJ100" i="66" s="1"/>
  <c r="S100" i="66"/>
  <c r="R100" i="66"/>
  <c r="AH85" i="66"/>
  <c r="AK85" i="66" s="1"/>
  <c r="S85" i="66"/>
  <c r="AN85" i="66"/>
  <c r="V85" i="66"/>
  <c r="AE85" i="66"/>
  <c r="R85" i="66"/>
  <c r="AB21" i="77"/>
  <c r="AD83" i="66"/>
  <c r="S83" i="66"/>
  <c r="AH83" i="66"/>
  <c r="AK83" i="66" s="1"/>
  <c r="AE83" i="66"/>
  <c r="R83" i="66"/>
  <c r="V83" i="66"/>
  <c r="AN83" i="66"/>
  <c r="Z22" i="77"/>
  <c r="AD119" i="66"/>
  <c r="R119" i="66"/>
  <c r="AI119" i="66"/>
  <c r="AJ119" i="66" s="1"/>
  <c r="S119" i="66"/>
  <c r="AN119" i="66"/>
  <c r="AH119" i="66"/>
  <c r="AK119" i="66" s="1"/>
  <c r="S118" i="66"/>
  <c r="AI118" i="66"/>
  <c r="AJ118" i="66" s="1"/>
  <c r="AH118" i="66"/>
  <c r="AK118" i="66" s="1"/>
  <c r="AN118" i="66"/>
  <c r="AD118" i="66"/>
  <c r="R118" i="66"/>
  <c r="AE86" i="66"/>
  <c r="V86" i="66"/>
  <c r="AH86" i="66"/>
  <c r="AK86" i="66" s="1"/>
  <c r="AN86" i="66"/>
  <c r="R86" i="66"/>
  <c r="S86" i="66"/>
  <c r="AB22" i="77"/>
  <c r="BI8" i="54"/>
  <c r="F4" i="66"/>
  <c r="G4" i="66" s="1"/>
  <c r="AB23" i="77"/>
  <c r="BA6" i="54"/>
  <c r="BI7" i="54"/>
  <c r="BI6" i="54"/>
  <c r="AM94" i="56" s="1"/>
  <c r="S87" i="66"/>
  <c r="AD87" i="66"/>
  <c r="D14" i="83"/>
  <c r="G86" i="56"/>
  <c r="B8" i="80"/>
  <c r="C21" i="80" s="1"/>
  <c r="D21" i="80" s="1"/>
  <c r="AY8" i="54"/>
  <c r="BM8" i="54" s="1"/>
  <c r="D4" i="46"/>
  <c r="F29" i="46"/>
  <c r="C29" i="46" s="1"/>
  <c r="T29" i="46" s="1"/>
  <c r="D28" i="46"/>
  <c r="E28" i="46" s="1"/>
  <c r="K28" i="46" s="1"/>
  <c r="B27" i="86"/>
  <c r="D27" i="86" s="1"/>
  <c r="H50" i="62"/>
  <c r="F27" i="86"/>
  <c r="H27" i="86" s="1"/>
  <c r="L108" i="66"/>
  <c r="L126" i="66"/>
  <c r="L16" i="83"/>
  <c r="AY6" i="54"/>
  <c r="BM6" i="54" s="1"/>
  <c r="J8" i="80"/>
  <c r="R12" i="80" s="1"/>
  <c r="N23" i="80" s="1"/>
  <c r="AG54" i="77"/>
  <c r="AD79" i="77" s="1"/>
  <c r="L87" i="56"/>
  <c r="AB90" i="56" s="1"/>
  <c r="M145" i="56"/>
  <c r="AH194" i="56" s="1"/>
  <c r="M138" i="77"/>
  <c r="AG56" i="77" s="1"/>
  <c r="D7" i="66"/>
  <c r="I7" i="66" s="1"/>
  <c r="J7" i="66" s="1"/>
  <c r="AH192" i="56"/>
  <c r="C36" i="30"/>
  <c r="N35" i="28" s="1"/>
  <c r="I35" i="28" s="1"/>
  <c r="AD124" i="66"/>
  <c r="R124" i="66"/>
  <c r="AI124" i="66"/>
  <c r="AJ124" i="66" s="1"/>
  <c r="AH124" i="66" s="1"/>
  <c r="AK124" i="66" s="1"/>
  <c r="AN124" i="66"/>
  <c r="J3" i="66"/>
  <c r="F5" i="66"/>
  <c r="G5" i="66" s="1"/>
  <c r="G32" i="28"/>
  <c r="D32" i="28" s="1"/>
  <c r="AM76" i="66"/>
  <c r="T33" i="77"/>
  <c r="BB32" i="56"/>
  <c r="N32" i="28"/>
  <c r="I32" i="28" s="1"/>
  <c r="C35" i="30"/>
  <c r="N33" i="28" s="1"/>
  <c r="I33" i="28" s="1"/>
  <c r="D15" i="42"/>
  <c r="D7" i="46"/>
  <c r="BB22" i="56"/>
  <c r="AG95" i="66"/>
  <c r="AZ95" i="66" s="1"/>
  <c r="Y88" i="66"/>
  <c r="AF88" i="66"/>
  <c r="AG88" i="66" s="1"/>
  <c r="AL88" i="66" s="1"/>
  <c r="AM88" i="66" s="1"/>
  <c r="AI107" i="66"/>
  <c r="AJ107" i="66" s="1"/>
  <c r="AH107" i="66" s="1"/>
  <c r="J28" i="86"/>
  <c r="L27" i="86"/>
  <c r="Y106" i="66"/>
  <c r="L14" i="85"/>
  <c r="L20" i="85"/>
  <c r="R24" i="85"/>
  <c r="L16" i="85"/>
  <c r="L17" i="85"/>
  <c r="L12" i="85"/>
  <c r="L15" i="85"/>
  <c r="L19" i="85"/>
  <c r="L13" i="85"/>
  <c r="L18" i="85"/>
  <c r="R15" i="85"/>
  <c r="D13" i="85"/>
  <c r="D12" i="85"/>
  <c r="D16" i="85"/>
  <c r="D14" i="85"/>
  <c r="D19" i="85"/>
  <c r="R16" i="85"/>
  <c r="D17" i="85"/>
  <c r="D15" i="85"/>
  <c r="D18" i="85"/>
  <c r="D20" i="85"/>
  <c r="R19" i="85"/>
  <c r="R20" i="85"/>
  <c r="H14" i="85"/>
  <c r="H18" i="85"/>
  <c r="H12" i="85"/>
  <c r="H20" i="85"/>
  <c r="H19" i="85"/>
  <c r="H13" i="85"/>
  <c r="H16" i="85"/>
  <c r="H17" i="85"/>
  <c r="H15" i="85"/>
  <c r="X117" i="66"/>
  <c r="AV117" i="66" s="1"/>
  <c r="AL106" i="66"/>
  <c r="AG106" i="66" s="1"/>
  <c r="AZ106" i="66" s="1"/>
  <c r="AF106" i="66"/>
  <c r="H12" i="83"/>
  <c r="H18" i="83"/>
  <c r="H15" i="83"/>
  <c r="H17" i="83"/>
  <c r="H14" i="83"/>
  <c r="H16" i="83"/>
  <c r="F30" i="61"/>
  <c r="D29" i="61"/>
  <c r="E29" i="61" s="1"/>
  <c r="AC36" i="42"/>
  <c r="AD36" i="42" s="1"/>
  <c r="AC35" i="42"/>
  <c r="AD35" i="42" s="1"/>
  <c r="AA35" i="42" s="1"/>
  <c r="C35" i="42" s="1"/>
  <c r="AC32" i="42"/>
  <c r="AD32" i="42" s="1"/>
  <c r="D14" i="42"/>
  <c r="AC38" i="42"/>
  <c r="AD38" i="42" s="1"/>
  <c r="AC33" i="42"/>
  <c r="AD33" i="42" s="1"/>
  <c r="AA33" i="42" s="1"/>
  <c r="C33" i="42" s="1"/>
  <c r="AC34" i="42"/>
  <c r="AD34" i="42" s="1"/>
  <c r="G36" i="42"/>
  <c r="F36" i="42"/>
  <c r="I36" i="42"/>
  <c r="H36" i="42"/>
  <c r="AB36" i="42"/>
  <c r="AA36" i="42" s="1"/>
  <c r="C36" i="42" s="1"/>
  <c r="V37" i="42"/>
  <c r="AA126" i="66" l="1"/>
  <c r="X112" i="66"/>
  <c r="X126" i="66" s="1"/>
  <c r="AV104" i="66"/>
  <c r="Z132" i="66"/>
  <c r="W132" i="66" s="1"/>
  <c r="T132" i="66"/>
  <c r="V132" i="66"/>
  <c r="AC132" i="66" s="1"/>
  <c r="AA132" i="66"/>
  <c r="X132" i="66" s="1"/>
  <c r="AE132" i="66"/>
  <c r="AF101" i="66"/>
  <c r="AV121" i="66"/>
  <c r="AV101" i="66"/>
  <c r="V97" i="66"/>
  <c r="AE97" i="66"/>
  <c r="V98" i="66"/>
  <c r="AC98" i="66" s="1"/>
  <c r="AA98" i="66"/>
  <c r="X98" i="66" s="1"/>
  <c r="Y121" i="66"/>
  <c r="Z116" i="66"/>
  <c r="W116" i="66" s="1"/>
  <c r="AA116" i="66"/>
  <c r="X116" i="66" s="1"/>
  <c r="T116" i="66"/>
  <c r="Z115" i="66"/>
  <c r="W115" i="66" s="1"/>
  <c r="AA115" i="66"/>
  <c r="X115" i="66" s="1"/>
  <c r="T115" i="66"/>
  <c r="AE116" i="66"/>
  <c r="V116" i="66"/>
  <c r="AE115" i="66"/>
  <c r="O126" i="66"/>
  <c r="V115" i="66"/>
  <c r="AE98" i="66"/>
  <c r="Z98" i="66"/>
  <c r="W98" i="66" s="1"/>
  <c r="T98" i="66"/>
  <c r="O108" i="66"/>
  <c r="Z97" i="66"/>
  <c r="W97" i="66" s="1"/>
  <c r="T97" i="66"/>
  <c r="N27" i="85"/>
  <c r="P27" i="85" s="1"/>
  <c r="AF121" i="66"/>
  <c r="AL121" i="66"/>
  <c r="AM121" i="66" s="1"/>
  <c r="AV122" i="66"/>
  <c r="Y101" i="66"/>
  <c r="Y122" i="66"/>
  <c r="AF104" i="66"/>
  <c r="AD132" i="66"/>
  <c r="AN132" i="66"/>
  <c r="S132" i="66"/>
  <c r="AL122" i="66"/>
  <c r="AM122" i="66" s="1"/>
  <c r="AV102" i="66"/>
  <c r="AV83" i="66"/>
  <c r="AL104" i="66"/>
  <c r="AM104" i="66" s="1"/>
  <c r="AV103" i="66"/>
  <c r="AV100" i="66"/>
  <c r="AV87" i="66"/>
  <c r="AF86" i="66"/>
  <c r="AG86" i="66" s="1"/>
  <c r="AL86" i="66" s="1"/>
  <c r="BJ33" i="56" s="1"/>
  <c r="AV123" i="66"/>
  <c r="AV118" i="66"/>
  <c r="AV105" i="66"/>
  <c r="Y104" i="66"/>
  <c r="AV82" i="66"/>
  <c r="AV119" i="66"/>
  <c r="AV124" i="66"/>
  <c r="AV85" i="66"/>
  <c r="AV84" i="66"/>
  <c r="AV86" i="66"/>
  <c r="AV94" i="66"/>
  <c r="AV120" i="66"/>
  <c r="U98" i="66"/>
  <c r="R115" i="66"/>
  <c r="R132" i="66"/>
  <c r="U132" i="66"/>
  <c r="AI132" i="66"/>
  <c r="AJ132" i="66" s="1"/>
  <c r="AF122" i="66"/>
  <c r="U115" i="66"/>
  <c r="U97" i="66"/>
  <c r="U116" i="66"/>
  <c r="N27" i="90"/>
  <c r="P27" i="90" s="1"/>
  <c r="N27" i="91"/>
  <c r="P27" i="91" s="1"/>
  <c r="N27" i="102"/>
  <c r="P27" i="102" s="1"/>
  <c r="F27" i="102"/>
  <c r="H27" i="102" s="1"/>
  <c r="AF123" i="66"/>
  <c r="AL105" i="66"/>
  <c r="AG105" i="66" s="1"/>
  <c r="AF112" i="66"/>
  <c r="Y87" i="66"/>
  <c r="AL123" i="66"/>
  <c r="E70" i="66" a="1"/>
  <c r="E70" i="66" s="1"/>
  <c r="AS96" i="66" s="1"/>
  <c r="H142" i="66"/>
  <c r="P142" i="66" s="1"/>
  <c r="AO27" i="66"/>
  <c r="O93" i="56"/>
  <c r="AE96" i="56" s="1"/>
  <c r="F70" i="66" a="1"/>
  <c r="F70" i="66" s="1"/>
  <c r="AS132" i="66" s="1"/>
  <c r="B27" i="90"/>
  <c r="D27" i="90" s="1"/>
  <c r="J27" i="90"/>
  <c r="L27" i="90" s="1"/>
  <c r="J27" i="102"/>
  <c r="L27" i="102" s="1"/>
  <c r="M135" i="66"/>
  <c r="M134" i="66"/>
  <c r="N131" i="66"/>
  <c r="M133" i="66"/>
  <c r="N130" i="66"/>
  <c r="H135" i="66"/>
  <c r="BA9" i="54"/>
  <c r="AL89" i="56" s="1"/>
  <c r="H134" i="66"/>
  <c r="L131" i="66"/>
  <c r="H133" i="66"/>
  <c r="P133" i="66" s="1"/>
  <c r="L130" i="66"/>
  <c r="F27" i="90"/>
  <c r="H27" i="90" s="1"/>
  <c r="B27" i="102"/>
  <c r="D27" i="102" s="1"/>
  <c r="Q90" i="66"/>
  <c r="S90" i="66" s="1"/>
  <c r="AF94" i="66"/>
  <c r="Y84" i="66"/>
  <c r="Y102" i="66"/>
  <c r="Y123" i="66"/>
  <c r="AL120" i="66"/>
  <c r="BH13" i="56" s="1"/>
  <c r="Y105" i="66"/>
  <c r="Y94" i="66"/>
  <c r="Y103" i="66"/>
  <c r="G12" i="80"/>
  <c r="H12" i="80" s="1"/>
  <c r="AL112" i="66"/>
  <c r="AM112" i="66" s="1"/>
  <c r="AL94" i="66"/>
  <c r="BB21" i="56" s="1"/>
  <c r="AM81" i="66"/>
  <c r="AF105" i="66"/>
  <c r="BJ26" i="56"/>
  <c r="AF120" i="66"/>
  <c r="Y120" i="66"/>
  <c r="Y112" i="66"/>
  <c r="AF103" i="66"/>
  <c r="AF84" i="66"/>
  <c r="AG84" i="66" s="1"/>
  <c r="AL84" i="66" s="1"/>
  <c r="AM84" i="66" s="1"/>
  <c r="AF87" i="66"/>
  <c r="AG87" i="66" s="1"/>
  <c r="AL87" i="66" s="1"/>
  <c r="AM87" i="66" s="1"/>
  <c r="G16" i="80"/>
  <c r="H16" i="80" s="1"/>
  <c r="AS78" i="66"/>
  <c r="AS81" i="66"/>
  <c r="AS87" i="66"/>
  <c r="AS84" i="66"/>
  <c r="G18" i="80"/>
  <c r="H18" i="80" s="1"/>
  <c r="G15" i="80"/>
  <c r="H15" i="80" s="1"/>
  <c r="R11" i="80"/>
  <c r="N19" i="80" s="1"/>
  <c r="G17" i="80"/>
  <c r="H17" i="80" s="1"/>
  <c r="G13" i="80"/>
  <c r="H13" i="80" s="1"/>
  <c r="G19" i="80"/>
  <c r="H19" i="80" s="1"/>
  <c r="G21" i="80"/>
  <c r="H21" i="80" s="1"/>
  <c r="AF102" i="66"/>
  <c r="AL102" i="66"/>
  <c r="G20" i="80"/>
  <c r="H20" i="80" s="1"/>
  <c r="G14" i="80"/>
  <c r="H14" i="80" s="1"/>
  <c r="BJ35" i="56"/>
  <c r="F87" i="56"/>
  <c r="X90" i="56" s="1"/>
  <c r="J87" i="56"/>
  <c r="G50" i="62"/>
  <c r="W89" i="66"/>
  <c r="X89" i="66"/>
  <c r="R89" i="66"/>
  <c r="AD89" i="66"/>
  <c r="AN89" i="66"/>
  <c r="AN90" i="66" s="1"/>
  <c r="AC89" i="66"/>
  <c r="K53" i="61"/>
  <c r="F19" i="62"/>
  <c r="F18" i="62"/>
  <c r="J24" i="101"/>
  <c r="K6" i="101" s="1"/>
  <c r="H24" i="101"/>
  <c r="F25" i="101"/>
  <c r="G6" i="101"/>
  <c r="B24" i="101"/>
  <c r="J24" i="99"/>
  <c r="L24" i="99" s="1"/>
  <c r="F25" i="99"/>
  <c r="H25" i="99" s="1"/>
  <c r="G6" i="99"/>
  <c r="BE35" i="56"/>
  <c r="B24" i="99"/>
  <c r="D24" i="99" s="1"/>
  <c r="W36" i="77"/>
  <c r="W35" i="77"/>
  <c r="BE33" i="56"/>
  <c r="W34" i="77"/>
  <c r="AF100" i="66"/>
  <c r="Y82" i="66"/>
  <c r="Y118" i="66"/>
  <c r="AF82" i="66"/>
  <c r="AG82" i="66" s="1"/>
  <c r="AL82" i="66" s="1"/>
  <c r="Z33" i="77" s="1"/>
  <c r="AF119" i="66"/>
  <c r="AC85" i="66"/>
  <c r="AF118" i="66"/>
  <c r="Y86" i="66"/>
  <c r="AL118" i="66"/>
  <c r="BH11" i="56" s="1"/>
  <c r="Y83" i="66"/>
  <c r="AF83" i="66"/>
  <c r="AG83" i="66" s="1"/>
  <c r="AL83" i="66" s="1"/>
  <c r="Z34" i="77" s="1"/>
  <c r="AC83" i="66"/>
  <c r="Y119" i="66"/>
  <c r="AC86" i="66"/>
  <c r="AL119" i="66"/>
  <c r="AM119" i="66" s="1"/>
  <c r="Y100" i="66"/>
  <c r="AF85" i="66"/>
  <c r="AG85" i="66" s="1"/>
  <c r="AL85" i="66" s="1"/>
  <c r="AM85" i="66" s="1"/>
  <c r="AK90" i="66"/>
  <c r="Y85" i="66"/>
  <c r="AH90" i="66"/>
  <c r="F30" i="46"/>
  <c r="C30" i="46" s="1"/>
  <c r="T30" i="46" s="1"/>
  <c r="AS85" i="66"/>
  <c r="H77" i="77"/>
  <c r="AS79" i="66"/>
  <c r="AS86" i="66"/>
  <c r="AS76" i="66"/>
  <c r="AS77" i="66"/>
  <c r="AS83" i="66"/>
  <c r="AS88" i="66"/>
  <c r="R40" i="77"/>
  <c r="AS89" i="66"/>
  <c r="C14" i="80"/>
  <c r="D14" i="80" s="1"/>
  <c r="AS80" i="66"/>
  <c r="AS82" i="66"/>
  <c r="AB40" i="77"/>
  <c r="D15" i="83"/>
  <c r="D29" i="46"/>
  <c r="E29" i="46" s="1"/>
  <c r="K29" i="46" s="1"/>
  <c r="D16" i="83"/>
  <c r="D18" i="83"/>
  <c r="D13" i="83"/>
  <c r="D12" i="83"/>
  <c r="D17" i="83"/>
  <c r="C20" i="80"/>
  <c r="D20" i="80" s="1"/>
  <c r="C13" i="80"/>
  <c r="D13" i="80" s="1"/>
  <c r="C17" i="80"/>
  <c r="D17" i="80" s="1"/>
  <c r="C16" i="80"/>
  <c r="D16" i="80" s="1"/>
  <c r="C18" i="80"/>
  <c r="D18" i="80" s="1"/>
  <c r="C19" i="80"/>
  <c r="D19" i="80" s="1"/>
  <c r="P10" i="80"/>
  <c r="C15" i="80"/>
  <c r="D15" i="80" s="1"/>
  <c r="Q10" i="80"/>
  <c r="N16" i="80" s="1"/>
  <c r="R10" i="80"/>
  <c r="N15" i="80" s="1"/>
  <c r="C12" i="80"/>
  <c r="D12" i="80" s="1"/>
  <c r="B28" i="86"/>
  <c r="D28" i="86" s="1"/>
  <c r="F28" i="86"/>
  <c r="H28" i="86" s="1"/>
  <c r="K21" i="80"/>
  <c r="L21" i="80" s="1"/>
  <c r="K16" i="80"/>
  <c r="L16" i="80" s="1"/>
  <c r="L18" i="83"/>
  <c r="K19" i="80"/>
  <c r="L19" i="80" s="1"/>
  <c r="K17" i="80"/>
  <c r="L17" i="80" s="1"/>
  <c r="K20" i="80"/>
  <c r="L20" i="80" s="1"/>
  <c r="K18" i="80"/>
  <c r="L18" i="80" s="1"/>
  <c r="G87" i="56"/>
  <c r="L13" i="83"/>
  <c r="L17" i="83"/>
  <c r="Q12" i="80"/>
  <c r="N24" i="80" s="1"/>
  <c r="K15" i="80"/>
  <c r="L15" i="80" s="1"/>
  <c r="L14" i="83"/>
  <c r="L12" i="83"/>
  <c r="L15" i="83"/>
  <c r="K12" i="80"/>
  <c r="L12" i="80" s="1"/>
  <c r="I87" i="56"/>
  <c r="Z90" i="56" s="1"/>
  <c r="K13" i="80"/>
  <c r="L13" i="80" s="1"/>
  <c r="K14" i="80"/>
  <c r="L14" i="80" s="1"/>
  <c r="AN125" i="66"/>
  <c r="AD125" i="66"/>
  <c r="R125" i="66"/>
  <c r="AI125" i="66"/>
  <c r="AJ125" i="66" s="1"/>
  <c r="AH125" i="66" s="1"/>
  <c r="AK125" i="66" s="1"/>
  <c r="X99" i="66"/>
  <c r="AV99" i="66" s="1"/>
  <c r="Q126" i="66"/>
  <c r="Q108" i="66"/>
  <c r="S108" i="66" s="1"/>
  <c r="X97" i="66"/>
  <c r="F7" i="66"/>
  <c r="G7" i="66" s="1"/>
  <c r="D3" i="61"/>
  <c r="D5" i="61" s="1"/>
  <c r="AD107" i="66"/>
  <c r="X107" i="66"/>
  <c r="W107" i="66"/>
  <c r="D3" i="46"/>
  <c r="D5" i="46" s="1"/>
  <c r="D16" i="42"/>
  <c r="S26" i="42" s="1"/>
  <c r="S27" i="42" s="1"/>
  <c r="S28" i="42" s="1"/>
  <c r="S29" i="42" s="1"/>
  <c r="S30" i="42" s="1"/>
  <c r="S31" i="42" s="1"/>
  <c r="S32" i="42" s="1"/>
  <c r="S33" i="42" s="1"/>
  <c r="S34" i="42" s="1"/>
  <c r="S35" i="42" s="1"/>
  <c r="S36" i="42" s="1"/>
  <c r="S37" i="42" s="1"/>
  <c r="S38" i="42" s="1"/>
  <c r="S39" i="42" s="1"/>
  <c r="S40" i="42" s="1"/>
  <c r="R107" i="66"/>
  <c r="AN107" i="66"/>
  <c r="AC107" i="66"/>
  <c r="AF124" i="66"/>
  <c r="Y124" i="66"/>
  <c r="AL124" i="66"/>
  <c r="AM124" i="66" s="1"/>
  <c r="D16" i="46"/>
  <c r="L20" i="46" s="1"/>
  <c r="D9" i="46"/>
  <c r="AY95" i="66"/>
  <c r="AH103" i="66"/>
  <c r="AL103" i="66" s="1"/>
  <c r="AY106" i="66"/>
  <c r="J29" i="86"/>
  <c r="L28" i="86"/>
  <c r="AD97" i="66"/>
  <c r="AI115" i="66"/>
  <c r="AJ115" i="66" s="1"/>
  <c r="AH115" i="66" s="1"/>
  <c r="L21" i="85"/>
  <c r="J24" i="85" s="1"/>
  <c r="L24" i="85" s="1"/>
  <c r="D21" i="85"/>
  <c r="B24" i="85" s="1"/>
  <c r="D24" i="85" s="1"/>
  <c r="H21" i="85"/>
  <c r="F24" i="85" s="1"/>
  <c r="H24" i="85" s="1"/>
  <c r="S116" i="66"/>
  <c r="AD116" i="66"/>
  <c r="S115" i="66"/>
  <c r="AD115" i="66"/>
  <c r="S117" i="66"/>
  <c r="AD117" i="66"/>
  <c r="S97" i="66"/>
  <c r="S98" i="66"/>
  <c r="AD98" i="66"/>
  <c r="S99" i="66"/>
  <c r="AD99" i="66"/>
  <c r="AM106" i="66"/>
  <c r="R97" i="66"/>
  <c r="AN97" i="66"/>
  <c r="AI97" i="66"/>
  <c r="AI117" i="66"/>
  <c r="AJ117" i="66" s="1"/>
  <c r="AH117" i="66" s="1"/>
  <c r="AK117" i="66" s="1"/>
  <c r="AI116" i="66"/>
  <c r="AJ116" i="66" s="1"/>
  <c r="AH116" i="66" s="1"/>
  <c r="AK116" i="66" s="1"/>
  <c r="R116" i="66"/>
  <c r="AN116" i="66"/>
  <c r="AN115" i="66"/>
  <c r="AI99" i="66"/>
  <c r="AJ99" i="66" s="1"/>
  <c r="AH99" i="66" s="1"/>
  <c r="AK99" i="66" s="1"/>
  <c r="R98" i="66"/>
  <c r="AN98" i="66"/>
  <c r="AI98" i="66"/>
  <c r="AJ98" i="66" s="1"/>
  <c r="AH98" i="66" s="1"/>
  <c r="AK98" i="66" s="1"/>
  <c r="AK107" i="66"/>
  <c r="F24" i="83"/>
  <c r="H24" i="83" s="1"/>
  <c r="F31" i="61"/>
  <c r="D30" i="61"/>
  <c r="E30" i="61" s="1"/>
  <c r="AM79" i="66"/>
  <c r="BE32" i="56"/>
  <c r="W33" i="77"/>
  <c r="AC37" i="42"/>
  <c r="AD37" i="42" s="1"/>
  <c r="X37" i="42"/>
  <c r="W37" i="42"/>
  <c r="X38" i="42"/>
  <c r="AV112" i="66" l="1"/>
  <c r="V126" i="66"/>
  <c r="F106" i="56" s="1"/>
  <c r="S126" i="66"/>
  <c r="AA90" i="66"/>
  <c r="O97" i="56" s="1"/>
  <c r="Z90" i="66"/>
  <c r="T90" i="66"/>
  <c r="V90" i="66"/>
  <c r="AG62" i="77" s="1"/>
  <c r="AA108" i="66"/>
  <c r="Z108" i="66"/>
  <c r="T108" i="66"/>
  <c r="I108" i="56" s="1"/>
  <c r="V108" i="66"/>
  <c r="Z126" i="66"/>
  <c r="W126" i="66" s="1"/>
  <c r="T126" i="66"/>
  <c r="F108" i="56" s="1"/>
  <c r="AF63" i="77"/>
  <c r="AI71" i="56"/>
  <c r="AG121" i="66"/>
  <c r="N28" i="85"/>
  <c r="P28" i="85" s="1"/>
  <c r="Y132" i="66"/>
  <c r="AF132" i="66"/>
  <c r="F96" i="56"/>
  <c r="P135" i="66"/>
  <c r="AE126" i="66"/>
  <c r="M137" i="77"/>
  <c r="U137" i="77" s="1"/>
  <c r="AE90" i="66"/>
  <c r="O130" i="66"/>
  <c r="Q130" i="66" s="1"/>
  <c r="O131" i="66"/>
  <c r="Q131" i="66" s="1"/>
  <c r="AE108" i="66"/>
  <c r="P134" i="66"/>
  <c r="AV132" i="66"/>
  <c r="U126" i="66"/>
  <c r="AG122" i="66"/>
  <c r="BJ22" i="56"/>
  <c r="AG104" i="66"/>
  <c r="AZ104" i="66" s="1"/>
  <c r="AY104" i="66" s="1"/>
  <c r="AV89" i="66"/>
  <c r="AV90" i="66" s="1"/>
  <c r="AK52" i="77" s="1"/>
  <c r="AV115" i="66"/>
  <c r="AV98" i="66"/>
  <c r="AV107" i="66"/>
  <c r="AV116" i="66"/>
  <c r="AV97" i="66"/>
  <c r="U90" i="66"/>
  <c r="AD97" i="77" s="1"/>
  <c r="AH132" i="66"/>
  <c r="AK132" i="66" s="1"/>
  <c r="U108" i="66"/>
  <c r="N28" i="90"/>
  <c r="P28" i="90" s="1"/>
  <c r="M143" i="56"/>
  <c r="R144" i="56" s="1"/>
  <c r="AE132" i="56" s="1"/>
  <c r="L89" i="56"/>
  <c r="L180" i="56" s="1"/>
  <c r="H143" i="66"/>
  <c r="P143" i="66" s="1"/>
  <c r="N28" i="91"/>
  <c r="P28" i="91" s="1"/>
  <c r="F28" i="102"/>
  <c r="H28" i="102" s="1"/>
  <c r="N28" i="102"/>
  <c r="P28" i="102" s="1"/>
  <c r="BJ23" i="56"/>
  <c r="L142" i="66"/>
  <c r="AL99" i="66"/>
  <c r="AG99" i="66" s="1"/>
  <c r="L135" i="66"/>
  <c r="AF117" i="66"/>
  <c r="AL117" i="66"/>
  <c r="AG123" i="66"/>
  <c r="AM123" i="66"/>
  <c r="J28" i="90"/>
  <c r="L28" i="90" s="1"/>
  <c r="B28" i="90"/>
  <c r="D28" i="90" s="1"/>
  <c r="J28" i="102"/>
  <c r="L28" i="102" s="1"/>
  <c r="L22" i="66"/>
  <c r="M27" i="66" s="1"/>
  <c r="M136" i="77"/>
  <c r="AC118" i="77" s="1"/>
  <c r="AC123" i="77" s="1"/>
  <c r="F28" i="90"/>
  <c r="H28" i="90" s="1"/>
  <c r="O135" i="77"/>
  <c r="AJ54" i="77" s="1"/>
  <c r="N133" i="66"/>
  <c r="M136" i="66"/>
  <c r="N136" i="66" s="1"/>
  <c r="M139" i="66"/>
  <c r="AD88" i="77"/>
  <c r="M140" i="66"/>
  <c r="N140" i="66" s="1"/>
  <c r="N134" i="66"/>
  <c r="M137" i="66"/>
  <c r="N137" i="66" s="1"/>
  <c r="H139" i="66"/>
  <c r="P139" i="66" s="1"/>
  <c r="H136" i="66"/>
  <c r="P136" i="66" s="1"/>
  <c r="L133" i="66"/>
  <c r="M141" i="66"/>
  <c r="N141" i="66" s="1"/>
  <c r="N135" i="66"/>
  <c r="M138" i="66"/>
  <c r="N138" i="66" s="1"/>
  <c r="L134" i="66"/>
  <c r="H140" i="66"/>
  <c r="P140" i="66" s="1"/>
  <c r="H137" i="66"/>
  <c r="P137" i="66" s="1"/>
  <c r="AD90" i="66"/>
  <c r="M140" i="77" s="1"/>
  <c r="AD92" i="77" s="1"/>
  <c r="H138" i="66"/>
  <c r="P138" i="66" s="1"/>
  <c r="H141" i="66"/>
  <c r="B28" i="102"/>
  <c r="D28" i="102" s="1"/>
  <c r="R90" i="66"/>
  <c r="D23" i="66"/>
  <c r="F26" i="66" s="1"/>
  <c r="D30" i="66" s="1"/>
  <c r="AS90" i="66"/>
  <c r="BH14" i="56"/>
  <c r="AG120" i="66"/>
  <c r="AM120" i="66"/>
  <c r="AM105" i="66"/>
  <c r="AG94" i="66"/>
  <c r="AZ94" i="66" s="1"/>
  <c r="AY94" i="66" s="1"/>
  <c r="BB11" i="56"/>
  <c r="AZ105" i="66"/>
  <c r="AY105" i="66" s="1"/>
  <c r="AG112" i="66"/>
  <c r="Z36" i="77"/>
  <c r="P11" i="80"/>
  <c r="AM94" i="66"/>
  <c r="Z35" i="77"/>
  <c r="AS105" i="66"/>
  <c r="AS102" i="66"/>
  <c r="AS99" i="66"/>
  <c r="F24" i="80"/>
  <c r="F25" i="80" s="1"/>
  <c r="F26" i="80" s="1"/>
  <c r="H26" i="80" s="1"/>
  <c r="AS114" i="66"/>
  <c r="AS117" i="66"/>
  <c r="AS123" i="66"/>
  <c r="AS120" i="66"/>
  <c r="AF99" i="66"/>
  <c r="AG102" i="66"/>
  <c r="AM102" i="66"/>
  <c r="BJ14" i="56"/>
  <c r="W125" i="66"/>
  <c r="AV125" i="66" s="1"/>
  <c r="AF89" i="66"/>
  <c r="AG89" i="66" s="1"/>
  <c r="AL89" i="66" s="1"/>
  <c r="AM89" i="66" s="1"/>
  <c r="Y89" i="66"/>
  <c r="K54" i="61"/>
  <c r="L24" i="101"/>
  <c r="J25" i="101"/>
  <c r="L25" i="101" s="1"/>
  <c r="D24" i="101"/>
  <c r="B25" i="101"/>
  <c r="C6" i="101"/>
  <c r="H25" i="101"/>
  <c r="F26" i="101"/>
  <c r="F26" i="99"/>
  <c r="H26" i="99" s="1"/>
  <c r="K6" i="99"/>
  <c r="C6" i="99"/>
  <c r="B25" i="99"/>
  <c r="D25" i="99" s="1"/>
  <c r="J25" i="99"/>
  <c r="L25" i="99" s="1"/>
  <c r="J24" i="83"/>
  <c r="L24" i="83" s="1"/>
  <c r="AG119" i="66"/>
  <c r="X63" i="77"/>
  <c r="AD75" i="77"/>
  <c r="M89" i="56"/>
  <c r="AC97" i="56" s="1"/>
  <c r="AB36" i="77"/>
  <c r="BH35" i="56"/>
  <c r="AC90" i="66"/>
  <c r="BH34" i="56"/>
  <c r="AM82" i="66"/>
  <c r="BH32" i="56"/>
  <c r="AM118" i="66"/>
  <c r="AG118" i="66"/>
  <c r="AM83" i="66"/>
  <c r="AB34" i="77"/>
  <c r="BH33" i="56"/>
  <c r="AM86" i="66"/>
  <c r="AB33" i="77"/>
  <c r="BJ32" i="56"/>
  <c r="BH12" i="56"/>
  <c r="D30" i="46"/>
  <c r="E30" i="46" s="1"/>
  <c r="K30" i="46" s="1"/>
  <c r="F31" i="46"/>
  <c r="F32" i="46" s="1"/>
  <c r="L101" i="56"/>
  <c r="L99" i="56" s="1"/>
  <c r="R142" i="56"/>
  <c r="AK192" i="56" s="1"/>
  <c r="AF126" i="56"/>
  <c r="AC119" i="77"/>
  <c r="AB35" i="77"/>
  <c r="BJ34" i="56"/>
  <c r="B24" i="83"/>
  <c r="D24" i="83" s="1"/>
  <c r="F29" i="86"/>
  <c r="H29" i="86" s="1"/>
  <c r="B24" i="80"/>
  <c r="C6" i="80" s="1"/>
  <c r="B29" i="86"/>
  <c r="D29" i="86" s="1"/>
  <c r="R108" i="66"/>
  <c r="I89" i="56"/>
  <c r="I180" i="56" s="1"/>
  <c r="P12" i="80"/>
  <c r="AS97" i="66"/>
  <c r="J24" i="80"/>
  <c r="L24" i="80" s="1"/>
  <c r="AN126" i="66"/>
  <c r="G89" i="56" s="1"/>
  <c r="Y97" i="56" s="1"/>
  <c r="AF125" i="66"/>
  <c r="AC125" i="66"/>
  <c r="AL125" i="66"/>
  <c r="AG125" i="66" s="1"/>
  <c r="AN108" i="66"/>
  <c r="J89" i="56" s="1"/>
  <c r="AA97" i="56" s="1"/>
  <c r="AS126" i="66"/>
  <c r="R126" i="66"/>
  <c r="F89" i="56"/>
  <c r="F180" i="56" s="1"/>
  <c r="AJ23" i="66"/>
  <c r="AL27" i="66" s="1"/>
  <c r="Y107" i="66"/>
  <c r="AD126" i="66"/>
  <c r="G93" i="56" s="1"/>
  <c r="AL107" i="66"/>
  <c r="AM107" i="66" s="1"/>
  <c r="AF107" i="66"/>
  <c r="AC23" i="66"/>
  <c r="AE28" i="66" s="1"/>
  <c r="AD108" i="66"/>
  <c r="AG124" i="66"/>
  <c r="AK115" i="66"/>
  <c r="AK126" i="66" s="1"/>
  <c r="AH126" i="66"/>
  <c r="F101" i="56" s="1"/>
  <c r="AJ97" i="66"/>
  <c r="AI108" i="66"/>
  <c r="I99" i="56" s="1"/>
  <c r="T15" i="46"/>
  <c r="K20" i="46" s="1"/>
  <c r="AK103" i="66"/>
  <c r="BJ21" i="56"/>
  <c r="AF98" i="66"/>
  <c r="J30" i="86"/>
  <c r="L29" i="86"/>
  <c r="G6" i="85"/>
  <c r="F25" i="85"/>
  <c r="H25" i="85" s="1"/>
  <c r="C6" i="85"/>
  <c r="B25" i="85"/>
  <c r="D25" i="85" s="1"/>
  <c r="J25" i="85"/>
  <c r="L25" i="85" s="1"/>
  <c r="K6" i="85"/>
  <c r="Y98" i="66"/>
  <c r="AS98" i="66"/>
  <c r="AF97" i="66"/>
  <c r="AF116" i="66"/>
  <c r="AF115" i="66"/>
  <c r="AS121" i="66"/>
  <c r="AS118" i="66"/>
  <c r="AS119" i="66"/>
  <c r="AS124" i="66"/>
  <c r="AS122" i="66"/>
  <c r="AS113" i="66"/>
  <c r="AS112" i="66"/>
  <c r="AS125" i="66"/>
  <c r="Y97" i="66"/>
  <c r="AC97" i="66"/>
  <c r="AC108" i="66" s="1"/>
  <c r="AS106" i="66"/>
  <c r="AS100" i="66"/>
  <c r="AS104" i="66"/>
  <c r="AS95" i="66"/>
  <c r="AS107" i="66"/>
  <c r="AS103" i="66"/>
  <c r="AS101" i="66"/>
  <c r="AS94" i="66"/>
  <c r="AS108" i="66"/>
  <c r="AS116" i="66"/>
  <c r="Y115" i="66"/>
  <c r="AC115" i="66"/>
  <c r="AL98" i="66"/>
  <c r="AS115" i="66"/>
  <c r="AL116" i="66"/>
  <c r="AL115" i="66"/>
  <c r="Y116" i="66"/>
  <c r="AC116" i="66"/>
  <c r="F25" i="83"/>
  <c r="H25" i="83" s="1"/>
  <c r="G6" i="83"/>
  <c r="D31" i="61"/>
  <c r="E31" i="61" s="1"/>
  <c r="F32" i="61"/>
  <c r="AJ126" i="66"/>
  <c r="F100" i="56" s="1"/>
  <c r="AI126" i="66"/>
  <c r="F99" i="56" s="1"/>
  <c r="AA38" i="42"/>
  <c r="Y38" i="42"/>
  <c r="AA37" i="42"/>
  <c r="C37" i="42" s="1"/>
  <c r="Y37" i="42"/>
  <c r="M37" i="42"/>
  <c r="B37" i="42" s="1"/>
  <c r="S41" i="42"/>
  <c r="V131" i="66" l="1"/>
  <c r="AC131" i="66" s="1"/>
  <c r="S131" i="66"/>
  <c r="V130" i="66"/>
  <c r="S130" i="66"/>
  <c r="Z131" i="66"/>
  <c r="W131" i="66" s="1"/>
  <c r="T131" i="66"/>
  <c r="AA130" i="66"/>
  <c r="X130" i="66" s="1"/>
  <c r="Z130" i="66"/>
  <c r="W130" i="66" s="1"/>
  <c r="T130" i="66"/>
  <c r="M144" i="66"/>
  <c r="N29" i="85"/>
  <c r="P29" i="85" s="1"/>
  <c r="AA131" i="66"/>
  <c r="X131" i="66" s="1"/>
  <c r="P141" i="66"/>
  <c r="O142" i="66"/>
  <c r="AE131" i="66"/>
  <c r="AE130" i="66"/>
  <c r="H144" i="66"/>
  <c r="P144" i="66" s="1"/>
  <c r="X90" i="66"/>
  <c r="L96" i="56" s="1"/>
  <c r="U130" i="66"/>
  <c r="AL132" i="66"/>
  <c r="AM132" i="66" s="1"/>
  <c r="M92" i="56"/>
  <c r="BE6" i="54" s="1"/>
  <c r="M24" i="66"/>
  <c r="AF125" i="56"/>
  <c r="AF130" i="56" s="1"/>
  <c r="U131" i="66"/>
  <c r="N29" i="90"/>
  <c r="P29" i="90" s="1"/>
  <c r="D10" i="66"/>
  <c r="I10" i="66" s="1"/>
  <c r="J10" i="66" s="1"/>
  <c r="AK190" i="56"/>
  <c r="M27" i="28"/>
  <c r="F27" i="28" s="1"/>
  <c r="R143" i="56"/>
  <c r="R147" i="56"/>
  <c r="C33" i="30"/>
  <c r="D37" i="30" s="1"/>
  <c r="E11" i="60"/>
  <c r="AS34" i="54" s="1"/>
  <c r="F34" i="60" s="1"/>
  <c r="F35" i="60" s="1"/>
  <c r="F36" i="60" s="1"/>
  <c r="C4" i="5"/>
  <c r="L7" i="5" s="1"/>
  <c r="J164" i="77" s="1"/>
  <c r="AN4" i="54"/>
  <c r="AN9" i="54" s="1"/>
  <c r="AO9" i="54" s="1"/>
  <c r="L143" i="66"/>
  <c r="F29" i="102"/>
  <c r="H29" i="102" s="1"/>
  <c r="N29" i="91"/>
  <c r="P29" i="91" s="1"/>
  <c r="N29" i="102"/>
  <c r="P29" i="102" s="1"/>
  <c r="J29" i="90"/>
  <c r="L29" i="90" s="1"/>
  <c r="O137" i="77"/>
  <c r="AB125" i="77" s="1"/>
  <c r="B29" i="90"/>
  <c r="D29" i="90" s="1"/>
  <c r="AM117" i="66"/>
  <c r="AG117" i="66"/>
  <c r="L141" i="66"/>
  <c r="M26" i="66"/>
  <c r="M25" i="66"/>
  <c r="AS130" i="66"/>
  <c r="O136" i="77"/>
  <c r="AD74" i="77"/>
  <c r="O140" i="77"/>
  <c r="AJ52" i="77"/>
  <c r="AD89" i="77" s="1"/>
  <c r="AF89" i="77" s="1"/>
  <c r="J29" i="102"/>
  <c r="L29" i="102" s="1"/>
  <c r="F29" i="90"/>
  <c r="H29" i="90" s="1"/>
  <c r="M150" i="77"/>
  <c r="AE109" i="77" s="1"/>
  <c r="AS131" i="66"/>
  <c r="M93" i="56"/>
  <c r="BG6" i="54" s="1"/>
  <c r="AB96" i="56"/>
  <c r="L136" i="66"/>
  <c r="L139" i="66"/>
  <c r="M147" i="56"/>
  <c r="J23" i="68" s="1"/>
  <c r="O133" i="66"/>
  <c r="Q133" i="66" s="1"/>
  <c r="AA133" i="66" s="1"/>
  <c r="L137" i="66"/>
  <c r="L140" i="66"/>
  <c r="AD130" i="66"/>
  <c r="AI130" i="66"/>
  <c r="R130" i="66"/>
  <c r="AN130" i="66"/>
  <c r="O134" i="66"/>
  <c r="Q134" i="66" s="1"/>
  <c r="AA134" i="66" s="1"/>
  <c r="O135" i="66"/>
  <c r="Q135" i="66" s="1"/>
  <c r="N139" i="66"/>
  <c r="N144" i="66" s="1"/>
  <c r="L138" i="66"/>
  <c r="AN131" i="66"/>
  <c r="AI131" i="66"/>
  <c r="AJ131" i="66" s="1"/>
  <c r="AH131" i="66" s="1"/>
  <c r="R131" i="66"/>
  <c r="AD131" i="66"/>
  <c r="L108" i="56"/>
  <c r="BJ6" i="54" s="1"/>
  <c r="W90" i="66"/>
  <c r="M155" i="56" s="1"/>
  <c r="D8" i="66" s="1"/>
  <c r="I8" i="66" s="1"/>
  <c r="J8" i="66" s="1"/>
  <c r="B29" i="102"/>
  <c r="D29" i="102" s="1"/>
  <c r="M152" i="56"/>
  <c r="R155" i="56" s="1"/>
  <c r="L94" i="56"/>
  <c r="M145" i="77"/>
  <c r="AD99" i="77" s="1"/>
  <c r="AC125" i="77"/>
  <c r="D28" i="66"/>
  <c r="M144" i="56"/>
  <c r="X144" i="56" s="1"/>
  <c r="AP39" i="54"/>
  <c r="AP43" i="54" s="1"/>
  <c r="BB6" i="54"/>
  <c r="AB97" i="56"/>
  <c r="AB94" i="56" s="1"/>
  <c r="AC94" i="56" s="1"/>
  <c r="D34" i="30"/>
  <c r="D29" i="66"/>
  <c r="G29" i="66" s="1"/>
  <c r="M141" i="77"/>
  <c r="AC121" i="77" s="1"/>
  <c r="AC127" i="77" s="1"/>
  <c r="AB102" i="56"/>
  <c r="L107" i="56"/>
  <c r="AJ98" i="77"/>
  <c r="M99" i="56"/>
  <c r="D28" i="42"/>
  <c r="D12" i="46"/>
  <c r="AB95" i="56"/>
  <c r="AD96" i="77"/>
  <c r="AE128" i="77" s="1"/>
  <c r="F27" i="66"/>
  <c r="D31" i="66" s="1"/>
  <c r="M148" i="56"/>
  <c r="AK193" i="56" s="1"/>
  <c r="AB98" i="56"/>
  <c r="J20" i="68"/>
  <c r="E17" i="68" s="1"/>
  <c r="AB103" i="56"/>
  <c r="BO6" i="54" s="1"/>
  <c r="M144" i="77"/>
  <c r="O141" i="77" s="1"/>
  <c r="J19" i="69"/>
  <c r="H19" i="69" s="1"/>
  <c r="E19" i="69" s="1"/>
  <c r="M151" i="56"/>
  <c r="R148" i="56" s="1"/>
  <c r="L110" i="56"/>
  <c r="M110" i="56" s="1"/>
  <c r="L106" i="56"/>
  <c r="BH6" i="54" s="1"/>
  <c r="AH200" i="56"/>
  <c r="AG90" i="66"/>
  <c r="AF90" i="66"/>
  <c r="M149" i="56" s="1"/>
  <c r="X156" i="56" s="1"/>
  <c r="Y125" i="66"/>
  <c r="H25" i="80"/>
  <c r="G6" i="80"/>
  <c r="H24" i="80"/>
  <c r="F27" i="80"/>
  <c r="H27" i="80" s="1"/>
  <c r="W108" i="66"/>
  <c r="Z100" i="56" s="1"/>
  <c r="BP7" i="54" s="1"/>
  <c r="X108" i="66"/>
  <c r="I96" i="56" s="1"/>
  <c r="AZ99" i="66"/>
  <c r="AY99" i="66" s="1"/>
  <c r="AM99" i="66"/>
  <c r="F110" i="56"/>
  <c r="G110" i="56" s="1"/>
  <c r="X103" i="56"/>
  <c r="F95" i="56"/>
  <c r="X102" i="56"/>
  <c r="AB104" i="56"/>
  <c r="BN6" i="54" s="1"/>
  <c r="K55" i="61"/>
  <c r="AJ57" i="77"/>
  <c r="AM99" i="77"/>
  <c r="AC120" i="77"/>
  <c r="AC126" i="77" s="1"/>
  <c r="AL26" i="66"/>
  <c r="G92" i="56"/>
  <c r="BE8" i="54" s="1"/>
  <c r="Z96" i="56"/>
  <c r="E27" i="68" s="1"/>
  <c r="J93" i="56"/>
  <c r="AE26" i="66"/>
  <c r="J92" i="56"/>
  <c r="AN60" i="56"/>
  <c r="J26" i="101"/>
  <c r="J27" i="101" s="1"/>
  <c r="D25" i="101"/>
  <c r="B26" i="101"/>
  <c r="H26" i="101"/>
  <c r="F27" i="101"/>
  <c r="F27" i="99"/>
  <c r="H27" i="99" s="1"/>
  <c r="J26" i="99"/>
  <c r="L26" i="99" s="1"/>
  <c r="B26" i="99"/>
  <c r="D26" i="99" s="1"/>
  <c r="F97" i="56"/>
  <c r="S42" i="77"/>
  <c r="C31" i="46"/>
  <c r="T31" i="46" s="1"/>
  <c r="D31" i="46"/>
  <c r="E31" i="46" s="1"/>
  <c r="K31" i="46" s="1"/>
  <c r="Q77" i="56"/>
  <c r="AC42" i="77"/>
  <c r="F30" i="86"/>
  <c r="H30" i="86" s="1"/>
  <c r="B25" i="80"/>
  <c r="B26" i="80" s="1"/>
  <c r="D26" i="80" s="1"/>
  <c r="C6" i="83"/>
  <c r="B25" i="83"/>
  <c r="D25" i="83" s="1"/>
  <c r="BJ8" i="54"/>
  <c r="BH8" i="54"/>
  <c r="BG8" i="54"/>
  <c r="BJ7" i="54"/>
  <c r="I106" i="56"/>
  <c r="D24" i="80"/>
  <c r="B30" i="86"/>
  <c r="D30" i="86" s="1"/>
  <c r="K6" i="80"/>
  <c r="J25" i="80"/>
  <c r="J26" i="80" s="1"/>
  <c r="L26" i="80" s="1"/>
  <c r="AP37" i="54"/>
  <c r="AP41" i="54" s="1"/>
  <c r="AP38" i="54"/>
  <c r="AP42" i="54" s="1"/>
  <c r="K6" i="83"/>
  <c r="J25" i="83"/>
  <c r="L25" i="83" s="1"/>
  <c r="X98" i="56"/>
  <c r="AV126" i="66"/>
  <c r="AF126" i="66"/>
  <c r="AC126" i="66"/>
  <c r="Z98" i="56"/>
  <c r="BB7" i="54"/>
  <c r="Z103" i="56"/>
  <c r="AM125" i="66"/>
  <c r="AV108" i="66"/>
  <c r="G100" i="56"/>
  <c r="X97" i="56"/>
  <c r="X104" i="56" s="1"/>
  <c r="BB8" i="54"/>
  <c r="G99" i="56"/>
  <c r="F94" i="56"/>
  <c r="AL28" i="66"/>
  <c r="AJ31" i="66" s="1"/>
  <c r="AL29" i="66"/>
  <c r="AF108" i="66"/>
  <c r="X96" i="56"/>
  <c r="X95" i="56"/>
  <c r="I94" i="56"/>
  <c r="AE29" i="66"/>
  <c r="I110" i="56"/>
  <c r="J110" i="56" s="1"/>
  <c r="Z97" i="56"/>
  <c r="Z95" i="56"/>
  <c r="J99" i="56"/>
  <c r="AE27" i="66"/>
  <c r="AC31" i="66" s="1"/>
  <c r="AL126" i="66"/>
  <c r="AH97" i="66"/>
  <c r="AJ108" i="66"/>
  <c r="I100" i="56" s="1"/>
  <c r="J100" i="56" s="1"/>
  <c r="F107" i="56"/>
  <c r="AM103" i="66"/>
  <c r="AG103" i="66"/>
  <c r="AZ103" i="66" s="1"/>
  <c r="J31" i="86"/>
  <c r="L30" i="86"/>
  <c r="BE26" i="56"/>
  <c r="J26" i="85"/>
  <c r="L26" i="85" s="1"/>
  <c r="B26" i="85"/>
  <c r="D26" i="85" s="1"/>
  <c r="F26" i="85"/>
  <c r="H26" i="85" s="1"/>
  <c r="BE14" i="56"/>
  <c r="BJ13" i="56"/>
  <c r="BE13" i="56"/>
  <c r="AG116" i="66"/>
  <c r="BJ12" i="56"/>
  <c r="BE12" i="56"/>
  <c r="AM116" i="66"/>
  <c r="AG98" i="66"/>
  <c r="AZ98" i="66" s="1"/>
  <c r="AY98" i="66" s="1"/>
  <c r="AM98" i="66"/>
  <c r="BE22" i="56"/>
  <c r="AM115" i="66"/>
  <c r="AG115" i="66"/>
  <c r="BE11" i="56"/>
  <c r="BJ11" i="56"/>
  <c r="BE23" i="56"/>
  <c r="F26" i="83"/>
  <c r="H26" i="83" s="1"/>
  <c r="F33" i="61"/>
  <c r="D32" i="61"/>
  <c r="E32" i="61" s="1"/>
  <c r="C32" i="46"/>
  <c r="T32" i="46" s="1"/>
  <c r="D32" i="46"/>
  <c r="E32" i="46" s="1"/>
  <c r="F33" i="46"/>
  <c r="S42" i="42"/>
  <c r="F37" i="42"/>
  <c r="E37" i="42"/>
  <c r="I37" i="42"/>
  <c r="H37" i="42"/>
  <c r="AB37" i="42"/>
  <c r="V39" i="42"/>
  <c r="AJ55" i="77" l="1"/>
  <c r="N30" i="85"/>
  <c r="P30" i="85" s="1"/>
  <c r="AA135" i="66"/>
  <c r="X135" i="66" s="1"/>
  <c r="Z135" i="66"/>
  <c r="W135" i="66" s="1"/>
  <c r="AG132" i="66"/>
  <c r="V135" i="66"/>
  <c r="AC135" i="66" s="1"/>
  <c r="AE135" i="66"/>
  <c r="L97" i="56"/>
  <c r="AE134" i="66"/>
  <c r="V134" i="66"/>
  <c r="AC134" i="66" s="1"/>
  <c r="AF48" i="77"/>
  <c r="Z133" i="66"/>
  <c r="W133" i="66" s="1"/>
  <c r="L144" i="66"/>
  <c r="O143" i="66"/>
  <c r="Q143" i="66" s="1"/>
  <c r="S143" i="66" s="1"/>
  <c r="U135" i="66"/>
  <c r="T135" i="66"/>
  <c r="Z134" i="66"/>
  <c r="W134" i="66" s="1"/>
  <c r="T134" i="66"/>
  <c r="AE133" i="66"/>
  <c r="V133" i="66"/>
  <c r="AV130" i="66"/>
  <c r="N30" i="90"/>
  <c r="P30" i="90" s="1"/>
  <c r="AV131" i="66"/>
  <c r="F10" i="66"/>
  <c r="G10" i="66" s="1"/>
  <c r="U133" i="66"/>
  <c r="U134" i="66"/>
  <c r="Q142" i="66"/>
  <c r="S142" i="66" s="1"/>
  <c r="C75" i="30"/>
  <c r="D40" i="30"/>
  <c r="D38" i="30"/>
  <c r="C41" i="30" s="1"/>
  <c r="E41" i="30" s="1"/>
  <c r="AJ130" i="66"/>
  <c r="AC130" i="66"/>
  <c r="D36" i="30"/>
  <c r="C93" i="30" s="1"/>
  <c r="F27" i="42"/>
  <c r="J27" i="42" s="1"/>
  <c r="J28" i="42" s="1"/>
  <c r="T29" i="42" s="1"/>
  <c r="D27" i="42"/>
  <c r="D29" i="42" s="1"/>
  <c r="AN10" i="54"/>
  <c r="AO10" i="54" s="1"/>
  <c r="G27" i="28"/>
  <c r="D27" i="28" s="1"/>
  <c r="O7" i="5"/>
  <c r="U171" i="56" s="1"/>
  <c r="K7" i="5"/>
  <c r="G164" i="77" s="1"/>
  <c r="J7" i="5"/>
  <c r="D171" i="56" s="1"/>
  <c r="J171" i="56"/>
  <c r="AN11" i="54"/>
  <c r="AO11" i="54" s="1"/>
  <c r="N7" i="5"/>
  <c r="O164" i="77" s="1"/>
  <c r="N27" i="28"/>
  <c r="I27" i="28" s="1"/>
  <c r="D6" i="46"/>
  <c r="D11" i="46" s="1"/>
  <c r="H20" i="46" s="1"/>
  <c r="I20" i="46" s="1"/>
  <c r="J20" i="46" s="1"/>
  <c r="O26" i="46" s="1"/>
  <c r="D6" i="61"/>
  <c r="D10" i="61" s="1"/>
  <c r="S40" i="61" s="1"/>
  <c r="F26" i="60"/>
  <c r="D35" i="30"/>
  <c r="D26" i="60"/>
  <c r="M7" i="5"/>
  <c r="M171" i="56" s="1"/>
  <c r="AD93" i="77"/>
  <c r="AK195" i="56"/>
  <c r="F30" i="102"/>
  <c r="H30" i="102" s="1"/>
  <c r="X133" i="66"/>
  <c r="X134" i="66"/>
  <c r="N31" i="85"/>
  <c r="P31" i="85" s="1"/>
  <c r="N30" i="91"/>
  <c r="P30" i="91" s="1"/>
  <c r="N30" i="102"/>
  <c r="P30" i="102" s="1"/>
  <c r="J30" i="90"/>
  <c r="L30" i="90" s="1"/>
  <c r="B30" i="90"/>
  <c r="D30" i="90" s="1"/>
  <c r="L30" i="66"/>
  <c r="L31" i="66" s="1"/>
  <c r="L29" i="66"/>
  <c r="O86" i="56"/>
  <c r="P86" i="56" s="1"/>
  <c r="AO26" i="66"/>
  <c r="L28" i="66"/>
  <c r="M28" i="66" s="1"/>
  <c r="AO29" i="66"/>
  <c r="AF131" i="66"/>
  <c r="F30" i="90"/>
  <c r="H30" i="90" s="1"/>
  <c r="J30" i="102"/>
  <c r="L30" i="102" s="1"/>
  <c r="AO37" i="77"/>
  <c r="AF130" i="66"/>
  <c r="E23" i="68"/>
  <c r="E28" i="69"/>
  <c r="AF127" i="56"/>
  <c r="AF133" i="56" s="1"/>
  <c r="I28" i="69"/>
  <c r="AY107" i="56"/>
  <c r="AK131" i="66"/>
  <c r="AL131" i="66"/>
  <c r="AM131" i="66" s="1"/>
  <c r="Y131" i="66"/>
  <c r="B30" i="102"/>
  <c r="D30" i="102" s="1"/>
  <c r="O139" i="66"/>
  <c r="Q139" i="66" s="1"/>
  <c r="AA139" i="66" s="1"/>
  <c r="S135" i="66"/>
  <c r="R135" i="66"/>
  <c r="AN135" i="66"/>
  <c r="AI135" i="66"/>
  <c r="AJ135" i="66" s="1"/>
  <c r="AH135" i="66" s="1"/>
  <c r="AK135" i="66" s="1"/>
  <c r="AD135" i="66"/>
  <c r="AS135" i="66"/>
  <c r="O140" i="66"/>
  <c r="Q140" i="66" s="1"/>
  <c r="O136" i="66"/>
  <c r="Q136" i="66" s="1"/>
  <c r="AA136" i="66" s="1"/>
  <c r="I3" i="66"/>
  <c r="O141" i="66"/>
  <c r="Q141" i="66" s="1"/>
  <c r="AI133" i="66"/>
  <c r="AJ133" i="66" s="1"/>
  <c r="AH133" i="66" s="1"/>
  <c r="S133" i="66"/>
  <c r="AN133" i="66"/>
  <c r="R133" i="66"/>
  <c r="AD133" i="66"/>
  <c r="AS133" i="66"/>
  <c r="T133" i="66"/>
  <c r="Y130" i="66"/>
  <c r="C9" i="5"/>
  <c r="S134" i="66"/>
  <c r="AI134" i="66"/>
  <c r="AJ134" i="66" s="1"/>
  <c r="AH134" i="66" s="1"/>
  <c r="AK134" i="66" s="1"/>
  <c r="AN134" i="66"/>
  <c r="R134" i="66"/>
  <c r="AD134" i="66"/>
  <c r="AS134" i="66"/>
  <c r="AD95" i="77"/>
  <c r="AG60" i="77" s="1"/>
  <c r="O137" i="66"/>
  <c r="Q137" i="66" s="1"/>
  <c r="J10" i="5"/>
  <c r="D167" i="77" s="1"/>
  <c r="AF135" i="56"/>
  <c r="AL90" i="66"/>
  <c r="D71" i="66" s="1"/>
  <c r="AB100" i="56"/>
  <c r="BP6" i="54" s="1"/>
  <c r="M148" i="77"/>
  <c r="Y90" i="66"/>
  <c r="O138" i="66"/>
  <c r="Q138" i="66" s="1"/>
  <c r="L95" i="56"/>
  <c r="F8" i="66"/>
  <c r="G8" i="66" s="1"/>
  <c r="AC128" i="77"/>
  <c r="AC129" i="77" s="1"/>
  <c r="AD91" i="77"/>
  <c r="O148" i="77"/>
  <c r="AC29" i="66"/>
  <c r="AE30" i="66" s="1"/>
  <c r="AF132" i="56"/>
  <c r="L20" i="66"/>
  <c r="C39" i="30"/>
  <c r="N40" i="28" s="1"/>
  <c r="I40" i="28" s="1"/>
  <c r="F28" i="66"/>
  <c r="AJ29" i="66"/>
  <c r="AL30" i="66" s="1"/>
  <c r="D32" i="66"/>
  <c r="D33" i="66" s="1"/>
  <c r="E24" i="68"/>
  <c r="R152" i="56"/>
  <c r="AF128" i="56"/>
  <c r="AF134" i="56" s="1"/>
  <c r="J24" i="68"/>
  <c r="I29" i="69"/>
  <c r="E29" i="69"/>
  <c r="L103" i="56"/>
  <c r="BL6" i="54" s="1"/>
  <c r="M103" i="56"/>
  <c r="M142" i="77"/>
  <c r="U149" i="77" s="1"/>
  <c r="M149" i="77"/>
  <c r="O149" i="77" s="1"/>
  <c r="F28" i="80"/>
  <c r="F29" i="80" s="1"/>
  <c r="I97" i="56"/>
  <c r="Y108" i="66"/>
  <c r="I95" i="56"/>
  <c r="Y126" i="66"/>
  <c r="X100" i="56"/>
  <c r="BP8" i="54" s="1"/>
  <c r="S44" i="61"/>
  <c r="S45" i="61"/>
  <c r="S50" i="61"/>
  <c r="S56" i="61"/>
  <c r="S47" i="61"/>
  <c r="S51" i="61"/>
  <c r="S55" i="61"/>
  <c r="S46" i="61"/>
  <c r="S52" i="61"/>
  <c r="S53" i="61"/>
  <c r="S54" i="61"/>
  <c r="S48" i="61"/>
  <c r="S49" i="61"/>
  <c r="I44" i="61"/>
  <c r="I45" i="61"/>
  <c r="I46" i="61"/>
  <c r="I47" i="61"/>
  <c r="I48" i="61"/>
  <c r="I49" i="61"/>
  <c r="I50" i="61"/>
  <c r="I51" i="61"/>
  <c r="I52" i="61"/>
  <c r="I53" i="61"/>
  <c r="I55" i="61"/>
  <c r="K56" i="61"/>
  <c r="I54" i="61"/>
  <c r="AC122" i="77"/>
  <c r="L26" i="101"/>
  <c r="AC30" i="66"/>
  <c r="L27" i="101"/>
  <c r="J28" i="101"/>
  <c r="D26" i="101"/>
  <c r="B27" i="101"/>
  <c r="H27" i="101"/>
  <c r="F28" i="101"/>
  <c r="F28" i="99"/>
  <c r="H28" i="99" s="1"/>
  <c r="B27" i="99"/>
  <c r="D27" i="99" s="1"/>
  <c r="J27" i="99"/>
  <c r="L27" i="99" s="1"/>
  <c r="B27" i="80"/>
  <c r="B28" i="80" s="1"/>
  <c r="F31" i="86"/>
  <c r="H31" i="86" s="1"/>
  <c r="B26" i="83"/>
  <c r="D26" i="83" s="1"/>
  <c r="D25" i="80"/>
  <c r="B31" i="86"/>
  <c r="D31" i="86" s="1"/>
  <c r="BO8" i="54"/>
  <c r="BH7" i="54"/>
  <c r="BE7" i="54"/>
  <c r="BG7" i="54"/>
  <c r="BO7" i="54"/>
  <c r="AT14" i="54"/>
  <c r="F27" i="60"/>
  <c r="H27" i="60"/>
  <c r="E27" i="60"/>
  <c r="H26" i="60"/>
  <c r="L25" i="80"/>
  <c r="J26" i="83"/>
  <c r="L26" i="83" s="1"/>
  <c r="AP44" i="54"/>
  <c r="V44" i="56" s="1"/>
  <c r="X94" i="56"/>
  <c r="Y94" i="56" s="1"/>
  <c r="Z94" i="56"/>
  <c r="AA94" i="56" s="1"/>
  <c r="Z104" i="56"/>
  <c r="AG126" i="66"/>
  <c r="G103" i="56" s="1"/>
  <c r="AJ30" i="66"/>
  <c r="AJ32" i="66"/>
  <c r="AM126" i="66"/>
  <c r="G90" i="56" s="1"/>
  <c r="Y92" i="56" s="1"/>
  <c r="F71" i="66"/>
  <c r="AT132" i="66" s="1"/>
  <c r="AU132" i="66" s="1"/>
  <c r="AC32" i="66"/>
  <c r="F90" i="56"/>
  <c r="AK97" i="66"/>
  <c r="AK108" i="66" s="1"/>
  <c r="AH108" i="66"/>
  <c r="AL97" i="66"/>
  <c r="J32" i="86"/>
  <c r="L31" i="86"/>
  <c r="F27" i="85"/>
  <c r="H27" i="85" s="1"/>
  <c r="B27" i="85"/>
  <c r="D27" i="85" s="1"/>
  <c r="J27" i="85"/>
  <c r="L27" i="85" s="1"/>
  <c r="J27" i="80"/>
  <c r="L27" i="80" s="1"/>
  <c r="AY103" i="66"/>
  <c r="F27" i="83"/>
  <c r="H27" i="83" s="1"/>
  <c r="C33" i="46"/>
  <c r="T33" i="46" s="1"/>
  <c r="F34" i="46"/>
  <c r="D33" i="46"/>
  <c r="E33" i="46" s="1"/>
  <c r="D33" i="61"/>
  <c r="E33" i="61" s="1"/>
  <c r="F34" i="61"/>
  <c r="K32" i="46"/>
  <c r="AC39" i="42"/>
  <c r="AD39" i="42" s="1"/>
  <c r="X39" i="42"/>
  <c r="W39" i="42"/>
  <c r="S43" i="42"/>
  <c r="L41" i="28" a="1"/>
  <c r="AA143" i="66" l="1"/>
  <c r="X143" i="66" s="1"/>
  <c r="Z143" i="66"/>
  <c r="W143" i="66" s="1"/>
  <c r="AA142" i="66"/>
  <c r="X142" i="66" s="1"/>
  <c r="Z142" i="66"/>
  <c r="W142" i="66" s="1"/>
  <c r="V139" i="66"/>
  <c r="AA141" i="66"/>
  <c r="X141" i="66" s="1"/>
  <c r="Z141" i="66"/>
  <c r="W141" i="66" s="1"/>
  <c r="V141" i="66"/>
  <c r="AC141" i="66" s="1"/>
  <c r="AE141" i="66"/>
  <c r="V138" i="66"/>
  <c r="AA138" i="66"/>
  <c r="X138" i="66" s="1"/>
  <c r="AE138" i="66"/>
  <c r="V137" i="66"/>
  <c r="AC137" i="66" s="1"/>
  <c r="AA137" i="66"/>
  <c r="X137" i="66" s="1"/>
  <c r="AE136" i="66"/>
  <c r="V136" i="66"/>
  <c r="AC136" i="66" s="1"/>
  <c r="AE140" i="66"/>
  <c r="AA140" i="66"/>
  <c r="X140" i="66" s="1"/>
  <c r="AE139" i="66"/>
  <c r="T143" i="66"/>
  <c r="AE143" i="66"/>
  <c r="V143" i="66"/>
  <c r="R142" i="66"/>
  <c r="T142" i="66"/>
  <c r="V142" i="66"/>
  <c r="AC142" i="66" s="1"/>
  <c r="AE142" i="66"/>
  <c r="Z139" i="66"/>
  <c r="W139" i="66" s="1"/>
  <c r="X139" i="66"/>
  <c r="O144" i="66"/>
  <c r="T141" i="66"/>
  <c r="AE137" i="66"/>
  <c r="Z138" i="66"/>
  <c r="W138" i="66" s="1"/>
  <c r="Z136" i="66"/>
  <c r="W136" i="66" s="1"/>
  <c r="Z137" i="66"/>
  <c r="W137" i="66" s="1"/>
  <c r="Z140" i="66"/>
  <c r="W140" i="66" s="1"/>
  <c r="V140" i="66"/>
  <c r="AC140" i="66" s="1"/>
  <c r="U139" i="66"/>
  <c r="G3" i="66"/>
  <c r="K3" i="66" s="1"/>
  <c r="L3" i="66" s="1"/>
  <c r="AA112" i="77" s="1"/>
  <c r="N31" i="90"/>
  <c r="P31" i="90" s="1"/>
  <c r="AV135" i="66"/>
  <c r="AV133" i="66"/>
  <c r="AV134" i="66"/>
  <c r="U143" i="66"/>
  <c r="U141" i="66"/>
  <c r="AD142" i="66"/>
  <c r="U137" i="66"/>
  <c r="U140" i="66"/>
  <c r="U138" i="66"/>
  <c r="AS142" i="66"/>
  <c r="AI142" i="66"/>
  <c r="AJ142" i="66" s="1"/>
  <c r="AH142" i="66" s="1"/>
  <c r="AK142" i="66" s="1"/>
  <c r="U142" i="66"/>
  <c r="U136" i="66"/>
  <c r="AN142" i="66"/>
  <c r="D17" i="42"/>
  <c r="T28" i="42"/>
  <c r="AH130" i="66"/>
  <c r="J29" i="42"/>
  <c r="J30" i="42" s="1"/>
  <c r="J31" i="42" s="1"/>
  <c r="T32" i="42" s="1"/>
  <c r="K39" i="77"/>
  <c r="R164" i="77"/>
  <c r="D164" i="77"/>
  <c r="S23" i="61"/>
  <c r="H30" i="61"/>
  <c r="J30" i="61" s="1"/>
  <c r="G171" i="56"/>
  <c r="L41" i="28"/>
  <c r="F41" i="28" s="1"/>
  <c r="I39" i="61"/>
  <c r="I32" i="61"/>
  <c r="S38" i="61"/>
  <c r="H22" i="61"/>
  <c r="J22" i="61" s="1"/>
  <c r="H23" i="61"/>
  <c r="J23" i="61" s="1"/>
  <c r="I34" i="61"/>
  <c r="S20" i="61"/>
  <c r="S36" i="61"/>
  <c r="I27" i="61"/>
  <c r="I38" i="61"/>
  <c r="M164" i="77"/>
  <c r="H32" i="61"/>
  <c r="J32" i="61" s="1"/>
  <c r="AD90" i="77"/>
  <c r="S43" i="61"/>
  <c r="H31" i="61"/>
  <c r="J31" i="61" s="1"/>
  <c r="S29" i="61"/>
  <c r="R171" i="56"/>
  <c r="H28" i="61"/>
  <c r="J28" i="61" s="1"/>
  <c r="H21" i="61"/>
  <c r="J21" i="61" s="1"/>
  <c r="S30" i="61"/>
  <c r="I23" i="61"/>
  <c r="S21" i="61"/>
  <c r="S27" i="61"/>
  <c r="I41" i="61"/>
  <c r="P26" i="46"/>
  <c r="S32" i="61"/>
  <c r="S31" i="61"/>
  <c r="S24" i="61"/>
  <c r="S35" i="61"/>
  <c r="I33" i="61"/>
  <c r="I31" i="61"/>
  <c r="S41" i="61"/>
  <c r="S25" i="61"/>
  <c r="I36" i="61"/>
  <c r="S26" i="61"/>
  <c r="I37" i="61"/>
  <c r="I29" i="61"/>
  <c r="H26" i="61"/>
  <c r="J26" i="61" s="1"/>
  <c r="I30" i="61"/>
  <c r="I43" i="61"/>
  <c r="H33" i="61"/>
  <c r="J33" i="61" s="1"/>
  <c r="H24" i="61"/>
  <c r="J24" i="61" s="1"/>
  <c r="I35" i="61"/>
  <c r="S37" i="61"/>
  <c r="I22" i="61"/>
  <c r="I26" i="61"/>
  <c r="H27" i="61"/>
  <c r="J27" i="61" s="1"/>
  <c r="I21" i="61"/>
  <c r="S28" i="61"/>
  <c r="O27" i="61"/>
  <c r="D10" i="46"/>
  <c r="H22" i="46" s="1"/>
  <c r="I22" i="46" s="1"/>
  <c r="J22" i="46" s="1"/>
  <c r="I24" i="61"/>
  <c r="AO21" i="77"/>
  <c r="S34" i="61"/>
  <c r="O17" i="61"/>
  <c r="O18" i="61" s="1"/>
  <c r="O19" i="61" s="1"/>
  <c r="H29" i="61"/>
  <c r="J29" i="61" s="1"/>
  <c r="S33" i="61"/>
  <c r="S42" i="61"/>
  <c r="H25" i="61"/>
  <c r="J25" i="61" s="1"/>
  <c r="S22" i="61"/>
  <c r="D12" i="61"/>
  <c r="D13" i="61" s="1"/>
  <c r="I40" i="61"/>
  <c r="I28" i="61"/>
  <c r="I25" i="61"/>
  <c r="D11" i="61"/>
  <c r="H20" i="61" s="1"/>
  <c r="J20" i="61" s="1"/>
  <c r="G60" i="61" s="1"/>
  <c r="I42" i="61"/>
  <c r="S39" i="61"/>
  <c r="Q144" i="66"/>
  <c r="S144" i="66" s="1"/>
  <c r="F31" i="102"/>
  <c r="H31" i="102" s="1"/>
  <c r="AF133" i="66"/>
  <c r="X136" i="66"/>
  <c r="O87" i="56"/>
  <c r="AD90" i="56" s="1"/>
  <c r="P87" i="56"/>
  <c r="AS143" i="66"/>
  <c r="R143" i="66"/>
  <c r="AD143" i="66"/>
  <c r="AN143" i="66"/>
  <c r="AI143" i="66"/>
  <c r="AJ143" i="66" s="1"/>
  <c r="AH143" i="66" s="1"/>
  <c r="AK143" i="66" s="1"/>
  <c r="N32" i="85"/>
  <c r="P32" i="85" s="1"/>
  <c r="J31" i="90"/>
  <c r="L31" i="90" s="1"/>
  <c r="N31" i="91"/>
  <c r="P31" i="91" s="1"/>
  <c r="N31" i="102"/>
  <c r="P31" i="102" s="1"/>
  <c r="L32" i="66"/>
  <c r="L33" i="66" s="1"/>
  <c r="B31" i="90"/>
  <c r="D31" i="90" s="1"/>
  <c r="AL135" i="66"/>
  <c r="AM135" i="66" s="1"/>
  <c r="F31" i="90"/>
  <c r="H31" i="90" s="1"/>
  <c r="AD89" i="56"/>
  <c r="AY9" i="54"/>
  <c r="G70" i="66" a="1"/>
  <c r="G70" i="66" s="1"/>
  <c r="J31" i="102"/>
  <c r="L31" i="102" s="1"/>
  <c r="AD98" i="77"/>
  <c r="AJ59" i="77" s="1"/>
  <c r="AF134" i="66"/>
  <c r="AG131" i="66"/>
  <c r="K10" i="5"/>
  <c r="G174" i="56" s="1"/>
  <c r="F3" i="66"/>
  <c r="K2" i="66" s="1"/>
  <c r="L2" i="66" s="1"/>
  <c r="AH16" i="56" s="1"/>
  <c r="B31" i="102"/>
  <c r="D31" i="102" s="1"/>
  <c r="AT82" i="66"/>
  <c r="AU82" i="66" s="1"/>
  <c r="Y134" i="66"/>
  <c r="AT78" i="66"/>
  <c r="AU78" i="66" s="1"/>
  <c r="C6" i="5"/>
  <c r="M6" i="5" s="1"/>
  <c r="M163" i="77" s="1"/>
  <c r="L90" i="56"/>
  <c r="AB92" i="56" s="1"/>
  <c r="AT76" i="66"/>
  <c r="AU76" i="66" s="1"/>
  <c r="AK133" i="66"/>
  <c r="AL133" i="66"/>
  <c r="AT133" i="66" s="1"/>
  <c r="AU133" i="66" s="1"/>
  <c r="AC133" i="66"/>
  <c r="Y133" i="66"/>
  <c r="AL134" i="66"/>
  <c r="AT134" i="66" s="1"/>
  <c r="AU134" i="66" s="1"/>
  <c r="AF136" i="56"/>
  <c r="AT89" i="66"/>
  <c r="AU89" i="66" s="1"/>
  <c r="AN137" i="66"/>
  <c r="R137" i="66"/>
  <c r="AI137" i="66"/>
  <c r="AJ137" i="66" s="1"/>
  <c r="AH137" i="66"/>
  <c r="AK137" i="66" s="1"/>
  <c r="AD137" i="66"/>
  <c r="S137" i="66"/>
  <c r="AS137" i="66"/>
  <c r="T137" i="66"/>
  <c r="D174" i="56"/>
  <c r="AT83" i="66"/>
  <c r="AU83" i="66" s="1"/>
  <c r="AT79" i="66"/>
  <c r="AU79" i="66" s="1"/>
  <c r="AT86" i="66"/>
  <c r="AU86" i="66" s="1"/>
  <c r="AT85" i="66"/>
  <c r="AU85" i="66" s="1"/>
  <c r="AT80" i="66"/>
  <c r="AU80" i="66" s="1"/>
  <c r="S141" i="66"/>
  <c r="AN141" i="66"/>
  <c r="R141" i="66"/>
  <c r="AI141" i="66"/>
  <c r="AJ141" i="66" s="1"/>
  <c r="AD141" i="66"/>
  <c r="AS141" i="66"/>
  <c r="AT81" i="66"/>
  <c r="AU81" i="66" s="1"/>
  <c r="AT88" i="66"/>
  <c r="AU88" i="66" s="1"/>
  <c r="AN139" i="66"/>
  <c r="R139" i="66"/>
  <c r="AI139" i="66"/>
  <c r="AJ139" i="66" s="1"/>
  <c r="S139" i="66"/>
  <c r="AD139" i="66"/>
  <c r="AS139" i="66"/>
  <c r="T139" i="66"/>
  <c r="H78" i="77"/>
  <c r="AH136" i="66"/>
  <c r="AK136" i="66" s="1"/>
  <c r="S136" i="66"/>
  <c r="R136" i="66"/>
  <c r="AN136" i="66"/>
  <c r="AI136" i="66"/>
  <c r="AJ136" i="66" s="1"/>
  <c r="AD136" i="66"/>
  <c r="AS136" i="66"/>
  <c r="T136" i="66"/>
  <c r="AT77" i="66"/>
  <c r="AU77" i="66" s="1"/>
  <c r="AM90" i="66"/>
  <c r="M90" i="56" s="1"/>
  <c r="AC92" i="56" s="1"/>
  <c r="AT84" i="66"/>
  <c r="AU84" i="66" s="1"/>
  <c r="S138" i="66"/>
  <c r="AH138" i="66"/>
  <c r="AK138" i="66" s="1"/>
  <c r="R138" i="66"/>
  <c r="AD138" i="66"/>
  <c r="AI138" i="66"/>
  <c r="AJ138" i="66" s="1"/>
  <c r="AN138" i="66"/>
  <c r="AS138" i="66"/>
  <c r="T138" i="66"/>
  <c r="S140" i="66"/>
  <c r="AN140" i="66"/>
  <c r="AI140" i="66"/>
  <c r="AJ140" i="66" s="1"/>
  <c r="AH140" i="66" s="1"/>
  <c r="AK140" i="66" s="1"/>
  <c r="R140" i="66"/>
  <c r="AD140" i="66"/>
  <c r="AS140" i="66"/>
  <c r="T140" i="66"/>
  <c r="Y135" i="66"/>
  <c r="AT90" i="66"/>
  <c r="AU90" i="66" s="1"/>
  <c r="AF135" i="66"/>
  <c r="AT87" i="66"/>
  <c r="AU87" i="66" s="1"/>
  <c r="AT131" i="66"/>
  <c r="AU131" i="66" s="1"/>
  <c r="D39" i="30"/>
  <c r="D30" i="42"/>
  <c r="AF129" i="56"/>
  <c r="O145" i="77"/>
  <c r="H28" i="80"/>
  <c r="M151" i="77"/>
  <c r="AE110" i="77" s="1"/>
  <c r="AE108" i="77"/>
  <c r="AG108" i="77" s="1"/>
  <c r="O151" i="77"/>
  <c r="AT114" i="66"/>
  <c r="AU114" i="66" s="1"/>
  <c r="AT120" i="66"/>
  <c r="AU120" i="66" s="1"/>
  <c r="AT123" i="66"/>
  <c r="AU123" i="66" s="1"/>
  <c r="AT117" i="66"/>
  <c r="AU117" i="66" s="1"/>
  <c r="S50" i="46"/>
  <c r="S53" i="46"/>
  <c r="S51" i="46"/>
  <c r="S46" i="46"/>
  <c r="S44" i="46"/>
  <c r="S48" i="46"/>
  <c r="S49" i="46"/>
  <c r="S45" i="46"/>
  <c r="S54" i="46"/>
  <c r="S47" i="46"/>
  <c r="S55" i="46"/>
  <c r="S56" i="46"/>
  <c r="S52" i="46"/>
  <c r="I56" i="61"/>
  <c r="H63" i="61"/>
  <c r="H62" i="61"/>
  <c r="AC33" i="66"/>
  <c r="AC34" i="66" s="1"/>
  <c r="H28" i="101"/>
  <c r="F29" i="101"/>
  <c r="D27" i="101"/>
  <c r="B28" i="101"/>
  <c r="L28" i="101"/>
  <c r="J29" i="101"/>
  <c r="F29" i="99"/>
  <c r="H29" i="99" s="1"/>
  <c r="J28" i="99"/>
  <c r="L28" i="99" s="1"/>
  <c r="B28" i="99"/>
  <c r="D28" i="99" s="1"/>
  <c r="F28" i="83"/>
  <c r="F32" i="86"/>
  <c r="H32" i="86" s="1"/>
  <c r="D27" i="80"/>
  <c r="B32" i="86"/>
  <c r="D32" i="86" s="1"/>
  <c r="B27" i="83"/>
  <c r="D27" i="83" s="1"/>
  <c r="BN8" i="54"/>
  <c r="BC8" i="54"/>
  <c r="J27" i="83"/>
  <c r="L27" i="83" s="1"/>
  <c r="AK197" i="56"/>
  <c r="F84" i="56" s="1"/>
  <c r="E16" i="68"/>
  <c r="E16" i="69"/>
  <c r="BN7" i="54"/>
  <c r="AL96" i="56" s="1"/>
  <c r="F103" i="56"/>
  <c r="AJ33" i="66"/>
  <c r="X91" i="56" s="1"/>
  <c r="BK8" i="54" s="1"/>
  <c r="X92" i="56"/>
  <c r="AM97" i="66"/>
  <c r="BE21" i="56"/>
  <c r="AG97" i="66"/>
  <c r="AZ97" i="66" s="1"/>
  <c r="I101" i="56"/>
  <c r="I107" i="56"/>
  <c r="Z102" i="56"/>
  <c r="AH135" i="56" s="1"/>
  <c r="AL108" i="66"/>
  <c r="E71" i="66" s="1"/>
  <c r="I84" i="56" s="1"/>
  <c r="J33" i="86"/>
  <c r="L32" i="86"/>
  <c r="J28" i="80"/>
  <c r="L28" i="80" s="1"/>
  <c r="J28" i="85"/>
  <c r="L28" i="85" s="1"/>
  <c r="B28" i="85"/>
  <c r="D28" i="85" s="1"/>
  <c r="F28" i="85"/>
  <c r="H28" i="85" s="1"/>
  <c r="AT124" i="66"/>
  <c r="AU124" i="66" s="1"/>
  <c r="AT115" i="66"/>
  <c r="AU115" i="66" s="1"/>
  <c r="AT122" i="66"/>
  <c r="AU122" i="66" s="1"/>
  <c r="AT116" i="66"/>
  <c r="AU116" i="66" s="1"/>
  <c r="AT118" i="66"/>
  <c r="AU118" i="66" s="1"/>
  <c r="AT121" i="66"/>
  <c r="AU121" i="66" s="1"/>
  <c r="AT113" i="66"/>
  <c r="AU113" i="66" s="1"/>
  <c r="AT119" i="66"/>
  <c r="AU119" i="66" s="1"/>
  <c r="AT125" i="66"/>
  <c r="AU125" i="66" s="1"/>
  <c r="AT112" i="66"/>
  <c r="AU112" i="66" s="1"/>
  <c r="AT126" i="66"/>
  <c r="AU126" i="66" s="1"/>
  <c r="K33" i="46"/>
  <c r="C34" i="46"/>
  <c r="T34" i="46" s="1"/>
  <c r="F35" i="46"/>
  <c r="D34" i="46"/>
  <c r="E34" i="46" s="1"/>
  <c r="F35" i="61"/>
  <c r="D34" i="61"/>
  <c r="E34" i="61" s="1"/>
  <c r="H34" i="61" s="1"/>
  <c r="B29" i="80"/>
  <c r="D28" i="80"/>
  <c r="F30" i="80"/>
  <c r="H29" i="80"/>
  <c r="S44" i="42"/>
  <c r="M39" i="42"/>
  <c r="B39" i="42" s="1"/>
  <c r="Y39" i="42"/>
  <c r="Z144" i="66" l="1"/>
  <c r="T144" i="66"/>
  <c r="O108" i="56" s="1"/>
  <c r="BJ9" i="54" s="1"/>
  <c r="AL95" i="56" s="1"/>
  <c r="K14" i="62" s="1"/>
  <c r="B14" i="62" s="1"/>
  <c r="V144" i="66"/>
  <c r="L84" i="56"/>
  <c r="AH17" i="56"/>
  <c r="N32" i="90"/>
  <c r="P32" i="90" s="1"/>
  <c r="AH14" i="77"/>
  <c r="AE144" i="66"/>
  <c r="AQ26" i="66" s="1"/>
  <c r="AA144" i="66"/>
  <c r="X144" i="66" s="1"/>
  <c r="O96" i="56" s="1"/>
  <c r="AI144" i="66"/>
  <c r="O99" i="56" s="1"/>
  <c r="AN144" i="66"/>
  <c r="P89" i="56" s="1"/>
  <c r="AE97" i="56" s="1"/>
  <c r="AV137" i="66"/>
  <c r="AV141" i="66"/>
  <c r="AF142" i="66"/>
  <c r="AV140" i="66"/>
  <c r="AV139" i="66"/>
  <c r="Y142" i="66"/>
  <c r="AV142" i="66"/>
  <c r="AV138" i="66"/>
  <c r="AV143" i="66"/>
  <c r="AV136" i="66"/>
  <c r="U144" i="66"/>
  <c r="AL142" i="66"/>
  <c r="AM142" i="66" s="1"/>
  <c r="AJ144" i="66"/>
  <c r="O100" i="56" s="1"/>
  <c r="T31" i="42"/>
  <c r="T30" i="42"/>
  <c r="AK130" i="66"/>
  <c r="AL130" i="66"/>
  <c r="E41" i="28"/>
  <c r="H41" i="28"/>
  <c r="D41" i="28" s="1"/>
  <c r="S29" i="46"/>
  <c r="F60" i="46"/>
  <c r="S28" i="46"/>
  <c r="S26" i="46"/>
  <c r="S20" i="46"/>
  <c r="S21" i="46"/>
  <c r="H30" i="46"/>
  <c r="I30" i="46" s="1"/>
  <c r="J30" i="46" s="1"/>
  <c r="H21" i="46"/>
  <c r="I21" i="46" s="1"/>
  <c r="J21" i="46" s="1"/>
  <c r="H25" i="46"/>
  <c r="I25" i="46" s="1"/>
  <c r="J25" i="46" s="1"/>
  <c r="S40" i="46"/>
  <c r="S32" i="46"/>
  <c r="S34" i="46"/>
  <c r="S30" i="46"/>
  <c r="S35" i="46"/>
  <c r="H26" i="46"/>
  <c r="I26" i="46" s="1"/>
  <c r="J26" i="46" s="1"/>
  <c r="S22" i="46"/>
  <c r="H31" i="46"/>
  <c r="I31" i="46" s="1"/>
  <c r="J31" i="46" s="1"/>
  <c r="S41" i="46"/>
  <c r="H32" i="46"/>
  <c r="I32" i="46" s="1"/>
  <c r="J32" i="46" s="1"/>
  <c r="S27" i="46"/>
  <c r="S31" i="46"/>
  <c r="H24" i="46"/>
  <c r="I24" i="46" s="1"/>
  <c r="J24" i="46" s="1"/>
  <c r="G60" i="46"/>
  <c r="H23" i="46"/>
  <c r="I23" i="46" s="1"/>
  <c r="J23" i="46" s="1"/>
  <c r="H28" i="46"/>
  <c r="I28" i="46" s="1"/>
  <c r="J28" i="46" s="1"/>
  <c r="O27" i="46"/>
  <c r="H29" i="46"/>
  <c r="I29" i="46" s="1"/>
  <c r="J29" i="46" s="1"/>
  <c r="S25" i="46"/>
  <c r="S37" i="46"/>
  <c r="S23" i="46"/>
  <c r="S42" i="46"/>
  <c r="H33" i="46"/>
  <c r="I33" i="46" s="1"/>
  <c r="J33" i="46" s="1"/>
  <c r="S38" i="46"/>
  <c r="S24" i="46"/>
  <c r="S33" i="46"/>
  <c r="D13" i="46"/>
  <c r="H27" i="46"/>
  <c r="I27" i="46" s="1"/>
  <c r="J27" i="46" s="1"/>
  <c r="S39" i="46"/>
  <c r="S36" i="46"/>
  <c r="S43" i="46"/>
  <c r="F63" i="61"/>
  <c r="O26" i="61"/>
  <c r="F60" i="61"/>
  <c r="S58" i="61"/>
  <c r="S57" i="61"/>
  <c r="P26" i="61"/>
  <c r="F32" i="102"/>
  <c r="H32" i="102" s="1"/>
  <c r="J32" i="90"/>
  <c r="L32" i="90" s="1"/>
  <c r="AF139" i="66"/>
  <c r="AF138" i="66"/>
  <c r="AF140" i="66"/>
  <c r="AC143" i="66"/>
  <c r="Y143" i="66"/>
  <c r="AO23" i="66"/>
  <c r="AQ27" i="66" s="1"/>
  <c r="AF143" i="66"/>
  <c r="AL143" i="66"/>
  <c r="AT135" i="66"/>
  <c r="AU135" i="66" s="1"/>
  <c r="B32" i="90"/>
  <c r="D32" i="90" s="1"/>
  <c r="N33" i="85"/>
  <c r="P33" i="85" s="1"/>
  <c r="AD84" i="77"/>
  <c r="N32" i="91"/>
  <c r="P32" i="91" s="1"/>
  <c r="AB91" i="56"/>
  <c r="BK6" i="54" s="1"/>
  <c r="N32" i="102"/>
  <c r="P32" i="102" s="1"/>
  <c r="AG135" i="66"/>
  <c r="BM9" i="54"/>
  <c r="AL87" i="56" s="1"/>
  <c r="AL85" i="56"/>
  <c r="M12" i="62" s="1"/>
  <c r="F32" i="90"/>
  <c r="H32" i="90" s="1"/>
  <c r="J32" i="102"/>
  <c r="L32" i="102" s="1"/>
  <c r="L10" i="5"/>
  <c r="J167" i="77" s="1"/>
  <c r="G167" i="77"/>
  <c r="O89" i="56"/>
  <c r="B32" i="102"/>
  <c r="D32" i="102" s="1"/>
  <c r="AF136" i="66"/>
  <c r="AH13" i="77"/>
  <c r="N6" i="5"/>
  <c r="R170" i="56" s="1"/>
  <c r="AF141" i="66"/>
  <c r="J6" i="5"/>
  <c r="D163" i="77" s="1"/>
  <c r="AA111" i="77"/>
  <c r="O6" i="5"/>
  <c r="U170" i="56" s="1"/>
  <c r="AL138" i="66"/>
  <c r="AT138" i="66" s="1"/>
  <c r="AU138" i="66" s="1"/>
  <c r="Y139" i="66"/>
  <c r="K6" i="5"/>
  <c r="G163" i="77" s="1"/>
  <c r="L6" i="5"/>
  <c r="J163" i="77" s="1"/>
  <c r="AL136" i="66"/>
  <c r="AT136" i="66" s="1"/>
  <c r="AU136" i="66" s="1"/>
  <c r="Y141" i="66"/>
  <c r="BC6" i="54"/>
  <c r="AC139" i="66"/>
  <c r="M170" i="56"/>
  <c r="AJ61" i="77"/>
  <c r="AK199" i="56"/>
  <c r="AF137" i="66"/>
  <c r="AC138" i="66"/>
  <c r="Y138" i="66"/>
  <c r="AL137" i="66"/>
  <c r="Y140" i="66"/>
  <c r="R144" i="66"/>
  <c r="AD144" i="66"/>
  <c r="AS144" i="66"/>
  <c r="AH141" i="66"/>
  <c r="AL141" i="66" s="1"/>
  <c r="AM134" i="66"/>
  <c r="AG134" i="66"/>
  <c r="AH139" i="66"/>
  <c r="AL139" i="66" s="1"/>
  <c r="Y136" i="66"/>
  <c r="AG133" i="66"/>
  <c r="AM133" i="66"/>
  <c r="AL140" i="66"/>
  <c r="Y137" i="66"/>
  <c r="M152" i="77"/>
  <c r="AG110" i="77"/>
  <c r="AT96" i="66"/>
  <c r="AU96" i="66" s="1"/>
  <c r="AT105" i="66"/>
  <c r="AU105" i="66" s="1"/>
  <c r="AT102" i="66"/>
  <c r="AU102" i="66" s="1"/>
  <c r="AT99" i="66"/>
  <c r="AU99" i="66" s="1"/>
  <c r="H52" i="62"/>
  <c r="K52" i="62" s="1"/>
  <c r="A52" i="62" s="1"/>
  <c r="I57" i="61"/>
  <c r="I58" i="61"/>
  <c r="F62" i="61"/>
  <c r="Z91" i="56"/>
  <c r="BK7" i="54" s="1"/>
  <c r="F29" i="83"/>
  <c r="H29" i="83" s="1"/>
  <c r="H28" i="83"/>
  <c r="F30" i="99"/>
  <c r="H30" i="99" s="1"/>
  <c r="L29" i="101"/>
  <c r="J30" i="101"/>
  <c r="D28" i="101"/>
  <c r="B29" i="101"/>
  <c r="H29" i="101"/>
  <c r="F30" i="101"/>
  <c r="B29" i="99"/>
  <c r="D29" i="99" s="1"/>
  <c r="J29" i="99"/>
  <c r="L29" i="99" s="1"/>
  <c r="F33" i="86"/>
  <c r="H33" i="86" s="1"/>
  <c r="B33" i="86"/>
  <c r="D33" i="86" s="1"/>
  <c r="B28" i="83"/>
  <c r="D28" i="83" s="1"/>
  <c r="J28" i="83"/>
  <c r="L28" i="83" s="1"/>
  <c r="BL8" i="54"/>
  <c r="AJ34" i="66"/>
  <c r="AY97" i="66"/>
  <c r="J29" i="80"/>
  <c r="L29" i="80" s="1"/>
  <c r="I90" i="56"/>
  <c r="AM108" i="66"/>
  <c r="J90" i="56" s="1"/>
  <c r="AA92" i="56" s="1"/>
  <c r="J34" i="86"/>
  <c r="L33" i="86"/>
  <c r="F29" i="85"/>
  <c r="H29" i="85" s="1"/>
  <c r="B29" i="85"/>
  <c r="D29" i="85" s="1"/>
  <c r="J29" i="85"/>
  <c r="L29" i="85" s="1"/>
  <c r="K34" i="46"/>
  <c r="H34" i="46"/>
  <c r="I34" i="46" s="1"/>
  <c r="J34" i="46" s="1"/>
  <c r="J34" i="61"/>
  <c r="C35" i="46"/>
  <c r="T35" i="46" s="1"/>
  <c r="F36" i="46"/>
  <c r="D35" i="46"/>
  <c r="E35" i="46" s="1"/>
  <c r="D35" i="61"/>
  <c r="E35" i="61" s="1"/>
  <c r="H35" i="61" s="1"/>
  <c r="J35" i="61" s="1"/>
  <c r="F36" i="61"/>
  <c r="B30" i="80"/>
  <c r="D29" i="80"/>
  <c r="F31" i="80"/>
  <c r="H30" i="80"/>
  <c r="H39" i="42"/>
  <c r="G39" i="42"/>
  <c r="F39" i="42"/>
  <c r="I39" i="42"/>
  <c r="AB39" i="42"/>
  <c r="AA39" i="42" s="1"/>
  <c r="C39" i="42" s="1"/>
  <c r="M20" i="42"/>
  <c r="V40" i="42"/>
  <c r="S45" i="42"/>
  <c r="O12" i="62" l="1"/>
  <c r="K12" i="62"/>
  <c r="N12" i="62"/>
  <c r="P12" i="62"/>
  <c r="L12" i="62"/>
  <c r="BB9" i="54"/>
  <c r="AL90" i="56" s="1"/>
  <c r="O180" i="56"/>
  <c r="AH144" i="66"/>
  <c r="AL144" i="66" s="1"/>
  <c r="N33" i="90"/>
  <c r="P33" i="90" s="1"/>
  <c r="AT142" i="66"/>
  <c r="AU142" i="66" s="1"/>
  <c r="AG142" i="66"/>
  <c r="AM130" i="66"/>
  <c r="AG130" i="66"/>
  <c r="AT130" i="66"/>
  <c r="AU130" i="66" s="1"/>
  <c r="AV144" i="66"/>
  <c r="S57" i="46"/>
  <c r="O28" i="61"/>
  <c r="S58" i="46"/>
  <c r="J33" i="90"/>
  <c r="L33" i="90" s="1"/>
  <c r="F33" i="102"/>
  <c r="H33" i="102" s="1"/>
  <c r="P100" i="56"/>
  <c r="AF144" i="66"/>
  <c r="AQ29" i="66"/>
  <c r="AQ28" i="66"/>
  <c r="AO31" i="66" s="1"/>
  <c r="B33" i="90"/>
  <c r="D33" i="90" s="1"/>
  <c r="AT143" i="66"/>
  <c r="AU143" i="66" s="1"/>
  <c r="AM143" i="66"/>
  <c r="AG143" i="66"/>
  <c r="N34" i="85"/>
  <c r="P34" i="85" s="1"/>
  <c r="J33" i="102"/>
  <c r="L33" i="102" s="1"/>
  <c r="F33" i="90"/>
  <c r="H33" i="90" s="1"/>
  <c r="N33" i="91"/>
  <c r="P33" i="91" s="1"/>
  <c r="N33" i="102"/>
  <c r="P33" i="102" s="1"/>
  <c r="J174" i="56"/>
  <c r="M10" i="5"/>
  <c r="M174" i="56" s="1"/>
  <c r="AL86" i="56"/>
  <c r="AM141" i="66"/>
  <c r="AG141" i="66"/>
  <c r="P99" i="56"/>
  <c r="AD97" i="56"/>
  <c r="AD94" i="56" s="1"/>
  <c r="AE94" i="56" s="1"/>
  <c r="AD103" i="56"/>
  <c r="BO9" i="54" s="1"/>
  <c r="AL97" i="56" s="1"/>
  <c r="K20" i="62" s="1"/>
  <c r="B20" i="62" s="1"/>
  <c r="P93" i="56"/>
  <c r="BG9" i="54" s="1"/>
  <c r="AM93" i="56" s="1"/>
  <c r="AD96" i="56"/>
  <c r="O106" i="56"/>
  <c r="BH9" i="54" s="1"/>
  <c r="AL94" i="56" s="1"/>
  <c r="K24" i="62" s="1"/>
  <c r="B24" i="62" s="1"/>
  <c r="AD98" i="56"/>
  <c r="P92" i="56"/>
  <c r="BE9" i="54" s="1"/>
  <c r="AM92" i="56" s="1"/>
  <c r="K18" i="62" s="1"/>
  <c r="B18" i="62" s="1"/>
  <c r="AD95" i="56"/>
  <c r="B33" i="102"/>
  <c r="D33" i="102" s="1"/>
  <c r="O110" i="56"/>
  <c r="P110" i="56" s="1"/>
  <c r="W144" i="66"/>
  <c r="AD100" i="56" s="1"/>
  <c r="BP9" i="54" s="1"/>
  <c r="AO91" i="56" s="1"/>
  <c r="K33" i="62" s="1"/>
  <c r="B33" i="62" s="1"/>
  <c r="O94" i="56"/>
  <c r="D170" i="56"/>
  <c r="AC144" i="66"/>
  <c r="R163" i="77"/>
  <c r="AG138" i="66"/>
  <c r="O163" i="77"/>
  <c r="AM138" i="66"/>
  <c r="AG136" i="66"/>
  <c r="J170" i="56"/>
  <c r="AM136" i="66"/>
  <c r="G170" i="56"/>
  <c r="AG140" i="66"/>
  <c r="AM140" i="66"/>
  <c r="AT140" i="66"/>
  <c r="AU140" i="66" s="1"/>
  <c r="AK141" i="66"/>
  <c r="AM139" i="66"/>
  <c r="AG139" i="66"/>
  <c r="AT139" i="66"/>
  <c r="AU139" i="66" s="1"/>
  <c r="AK139" i="66"/>
  <c r="AK144" i="66" s="1"/>
  <c r="AG137" i="66"/>
  <c r="AM137" i="66"/>
  <c r="AT137" i="66"/>
  <c r="AU137" i="66" s="1"/>
  <c r="A21" i="62"/>
  <c r="G21" i="62" s="1"/>
  <c r="K21" i="62"/>
  <c r="B21" i="62" s="1"/>
  <c r="P28" i="61"/>
  <c r="F31" i="99"/>
  <c r="H31" i="99" s="1"/>
  <c r="F30" i="83"/>
  <c r="H30" i="83" s="1"/>
  <c r="H30" i="101"/>
  <c r="F31" i="101"/>
  <c r="D29" i="101"/>
  <c r="B30" i="101"/>
  <c r="L30" i="101"/>
  <c r="J31" i="101"/>
  <c r="J30" i="99"/>
  <c r="L30" i="99" s="1"/>
  <c r="B30" i="99"/>
  <c r="D30" i="99" s="1"/>
  <c r="F34" i="86"/>
  <c r="H34" i="86" s="1"/>
  <c r="B34" i="86"/>
  <c r="D34" i="86" s="1"/>
  <c r="B29" i="83"/>
  <c r="D29" i="83" s="1"/>
  <c r="J29" i="83"/>
  <c r="L29" i="83" s="1"/>
  <c r="J30" i="80"/>
  <c r="L30" i="80" s="1"/>
  <c r="BC7" i="54"/>
  <c r="Z92" i="56"/>
  <c r="J35" i="86"/>
  <c r="L34" i="86"/>
  <c r="J30" i="85"/>
  <c r="L30" i="85" s="1"/>
  <c r="B30" i="85"/>
  <c r="D30" i="85" s="1"/>
  <c r="F30" i="85"/>
  <c r="H30" i="85" s="1"/>
  <c r="K35" i="46"/>
  <c r="H35" i="46"/>
  <c r="I35" i="46" s="1"/>
  <c r="J35" i="46" s="1"/>
  <c r="F37" i="61"/>
  <c r="D36" i="61"/>
  <c r="E36" i="61" s="1"/>
  <c r="H36" i="61" s="1"/>
  <c r="C36" i="46"/>
  <c r="T36" i="46" s="1"/>
  <c r="F37" i="46"/>
  <c r="D36" i="46"/>
  <c r="E36" i="46" s="1"/>
  <c r="B31" i="80"/>
  <c r="D30" i="80"/>
  <c r="F32" i="80"/>
  <c r="H31" i="80"/>
  <c r="S46" i="42"/>
  <c r="AC40" i="42"/>
  <c r="AD40" i="42" s="1"/>
  <c r="W40" i="42"/>
  <c r="X40" i="42"/>
  <c r="A1" i="62" l="1"/>
  <c r="AO89" i="56"/>
  <c r="AM89" i="56"/>
  <c r="K17" i="62" s="1"/>
  <c r="B17" i="62" s="1"/>
  <c r="K32" i="62"/>
  <c r="B32" i="62" s="1"/>
  <c r="L8" i="75"/>
  <c r="H12" i="75" s="1"/>
  <c r="J22" i="75" s="1"/>
  <c r="AD102" i="56"/>
  <c r="AM90" i="56"/>
  <c r="K15" i="62"/>
  <c r="B15" i="62" s="1"/>
  <c r="N34" i="90"/>
  <c r="P34" i="90" s="1"/>
  <c r="B12" i="62"/>
  <c r="E22" i="68" s="1"/>
  <c r="AG144" i="66"/>
  <c r="J34" i="90"/>
  <c r="L34" i="90" s="1"/>
  <c r="F34" i="102"/>
  <c r="H34" i="102" s="1"/>
  <c r="AO32" i="66"/>
  <c r="AO30" i="66"/>
  <c r="B34" i="90"/>
  <c r="D34" i="90" s="1"/>
  <c r="J34" i="102"/>
  <c r="L34" i="102" s="1"/>
  <c r="F34" i="90"/>
  <c r="H34" i="90" s="1"/>
  <c r="N35" i="85"/>
  <c r="P35" i="85" s="1"/>
  <c r="N34" i="91"/>
  <c r="P34" i="91" s="1"/>
  <c r="N34" i="102"/>
  <c r="P34" i="102" s="1"/>
  <c r="N10" i="5"/>
  <c r="O167" i="77" s="1"/>
  <c r="M167" i="77"/>
  <c r="K19" i="62"/>
  <c r="B19" i="62" s="1"/>
  <c r="B34" i="102"/>
  <c r="D34" i="102" s="1"/>
  <c r="AT144" i="66"/>
  <c r="AU144" i="66" s="1"/>
  <c r="O101" i="56"/>
  <c r="O107" i="56"/>
  <c r="Y144" i="66"/>
  <c r="O95" i="56"/>
  <c r="AT141" i="66"/>
  <c r="AU141" i="66" s="1"/>
  <c r="F32" i="99"/>
  <c r="H32" i="99" s="1"/>
  <c r="F31" i="83"/>
  <c r="H31" i="83" s="1"/>
  <c r="L31" i="101"/>
  <c r="J32" i="101"/>
  <c r="D30" i="101"/>
  <c r="B31" i="101"/>
  <c r="H31" i="101"/>
  <c r="F32" i="101"/>
  <c r="B31" i="99"/>
  <c r="D31" i="99" s="1"/>
  <c r="J31" i="99"/>
  <c r="L31" i="99" s="1"/>
  <c r="B30" i="83"/>
  <c r="D30" i="83" s="1"/>
  <c r="F35" i="86"/>
  <c r="H35" i="86" s="1"/>
  <c r="B35" i="86"/>
  <c r="D35" i="86" s="1"/>
  <c r="J30" i="83"/>
  <c r="L30" i="83" s="1"/>
  <c r="J31" i="80"/>
  <c r="L31" i="80" s="1"/>
  <c r="J36" i="86"/>
  <c r="L35" i="86"/>
  <c r="F31" i="85"/>
  <c r="H31" i="85" s="1"/>
  <c r="B31" i="85"/>
  <c r="D31" i="85" s="1"/>
  <c r="J31" i="85"/>
  <c r="L31" i="85" s="1"/>
  <c r="J36" i="61"/>
  <c r="K36" i="46"/>
  <c r="H36" i="46"/>
  <c r="I36" i="46" s="1"/>
  <c r="F38" i="61"/>
  <c r="D37" i="61"/>
  <c r="E37" i="61" s="1"/>
  <c r="H37" i="61" s="1"/>
  <c r="J37" i="61" s="1"/>
  <c r="C37" i="46"/>
  <c r="T37" i="46" s="1"/>
  <c r="D37" i="46"/>
  <c r="E37" i="46" s="1"/>
  <c r="F38" i="46"/>
  <c r="B32" i="80"/>
  <c r="D31" i="80"/>
  <c r="F33" i="80"/>
  <c r="H32" i="80"/>
  <c r="AA40" i="42"/>
  <c r="C40" i="42" s="1"/>
  <c r="Y40" i="42"/>
  <c r="M40" i="42"/>
  <c r="B40" i="42" s="1"/>
  <c r="S47" i="42"/>
  <c r="A29" i="62" l="1"/>
  <c r="K50" i="62" s="1"/>
  <c r="A50" i="62" s="1"/>
  <c r="F29" i="62"/>
  <c r="K29" i="62"/>
  <c r="B29" i="62" s="1"/>
  <c r="M157" i="56"/>
  <c r="AO45" i="56" s="1"/>
  <c r="N35" i="90"/>
  <c r="P35" i="90" s="1"/>
  <c r="O8" i="75"/>
  <c r="E26" i="69"/>
  <c r="J35" i="90"/>
  <c r="L35" i="90" s="1"/>
  <c r="F35" i="102"/>
  <c r="H35" i="102" s="1"/>
  <c r="AO33" i="66"/>
  <c r="AD91" i="56" s="1"/>
  <c r="BK9" i="54" s="1"/>
  <c r="AO87" i="56" s="1"/>
  <c r="K13" i="62" s="1"/>
  <c r="B13" i="62" s="1"/>
  <c r="B35" i="90"/>
  <c r="D35" i="90" s="1"/>
  <c r="O10" i="5"/>
  <c r="U174" i="56" s="1"/>
  <c r="J35" i="102"/>
  <c r="L35" i="102" s="1"/>
  <c r="F35" i="90"/>
  <c r="H35" i="90" s="1"/>
  <c r="R174" i="56"/>
  <c r="N36" i="85"/>
  <c r="P36" i="85" s="1"/>
  <c r="N35" i="91"/>
  <c r="P35" i="91" s="1"/>
  <c r="N35" i="102"/>
  <c r="P35" i="102" s="1"/>
  <c r="B35" i="102"/>
  <c r="D35" i="102" s="1"/>
  <c r="H18" i="75"/>
  <c r="H17" i="75"/>
  <c r="H16" i="75"/>
  <c r="H19" i="75"/>
  <c r="J23" i="75"/>
  <c r="AM144" i="66"/>
  <c r="P90" i="56" s="1"/>
  <c r="AE92" i="56" s="1"/>
  <c r="O90" i="56"/>
  <c r="G71" i="66"/>
  <c r="O84" i="56" s="1"/>
  <c r="P103" i="56"/>
  <c r="O103" i="56"/>
  <c r="BL9" i="54" s="1"/>
  <c r="F33" i="99"/>
  <c r="H33" i="99" s="1"/>
  <c r="F32" i="83"/>
  <c r="H32" i="83" s="1"/>
  <c r="H32" i="101"/>
  <c r="F33" i="101"/>
  <c r="D31" i="101"/>
  <c r="B32" i="101"/>
  <c r="L32" i="101"/>
  <c r="J33" i="101"/>
  <c r="J32" i="99"/>
  <c r="L32" i="99" s="1"/>
  <c r="B32" i="99"/>
  <c r="D32" i="99" s="1"/>
  <c r="B31" i="83"/>
  <c r="D31" i="83" s="1"/>
  <c r="F36" i="86"/>
  <c r="H36" i="86" s="1"/>
  <c r="J31" i="83"/>
  <c r="L31" i="83" s="1"/>
  <c r="B36" i="86"/>
  <c r="D36" i="86" s="1"/>
  <c r="J32" i="80"/>
  <c r="L32" i="80" s="1"/>
  <c r="J37" i="86"/>
  <c r="L36" i="86"/>
  <c r="J32" i="85"/>
  <c r="L32" i="85" s="1"/>
  <c r="B32" i="85"/>
  <c r="D32" i="85" s="1"/>
  <c r="F32" i="85"/>
  <c r="H32" i="85" s="1"/>
  <c r="J36" i="46"/>
  <c r="C38" i="46"/>
  <c r="T38" i="46" s="1"/>
  <c r="D38" i="46"/>
  <c r="E38" i="46" s="1"/>
  <c r="F39" i="46"/>
  <c r="K37" i="46"/>
  <c r="H37" i="46"/>
  <c r="I37" i="46" s="1"/>
  <c r="J37" i="46" s="1"/>
  <c r="F39" i="61"/>
  <c r="D38" i="61"/>
  <c r="E38" i="61" s="1"/>
  <c r="H38" i="61" s="1"/>
  <c r="J38" i="61" s="1"/>
  <c r="B33" i="80"/>
  <c r="D32" i="80"/>
  <c r="F34" i="80"/>
  <c r="H33" i="80"/>
  <c r="S48" i="42"/>
  <c r="AB40" i="42"/>
  <c r="M21" i="42"/>
  <c r="V41" i="42"/>
  <c r="I40" i="42"/>
  <c r="F40" i="42"/>
  <c r="E40" i="42"/>
  <c r="H40" i="42"/>
  <c r="N36" i="90" l="1"/>
  <c r="P36" i="90" s="1"/>
  <c r="J36" i="90"/>
  <c r="L36" i="90" s="1"/>
  <c r="F36" i="102"/>
  <c r="H36" i="102" s="1"/>
  <c r="B36" i="90"/>
  <c r="D36" i="90" s="1"/>
  <c r="AO34" i="66"/>
  <c r="R167" i="77"/>
  <c r="F36" i="90"/>
  <c r="H36" i="90" s="1"/>
  <c r="J36" i="102"/>
  <c r="L36" i="102" s="1"/>
  <c r="N37" i="85"/>
  <c r="N36" i="91"/>
  <c r="P36" i="91" s="1"/>
  <c r="N36" i="102"/>
  <c r="P36" i="102" s="1"/>
  <c r="B36" i="102"/>
  <c r="D36" i="102" s="1"/>
  <c r="J20" i="75"/>
  <c r="J24" i="75" s="1"/>
  <c r="AD92" i="56"/>
  <c r="BC9" i="54"/>
  <c r="AL91" i="56" s="1"/>
  <c r="F34" i="99"/>
  <c r="H34" i="99" s="1"/>
  <c r="F33" i="83"/>
  <c r="H33" i="83" s="1"/>
  <c r="L33" i="101"/>
  <c r="J34" i="101"/>
  <c r="D32" i="101"/>
  <c r="B33" i="101"/>
  <c r="H33" i="101"/>
  <c r="F34" i="101"/>
  <c r="B33" i="99"/>
  <c r="D33" i="99" s="1"/>
  <c r="J33" i="99"/>
  <c r="L33" i="99" s="1"/>
  <c r="B32" i="83"/>
  <c r="D32" i="83" s="1"/>
  <c r="J32" i="83"/>
  <c r="L32" i="83" s="1"/>
  <c r="F37" i="86"/>
  <c r="H37" i="86" s="1"/>
  <c r="B37" i="86"/>
  <c r="D37" i="86" s="1"/>
  <c r="J33" i="80"/>
  <c r="L33" i="80" s="1"/>
  <c r="J38" i="86"/>
  <c r="L37" i="86"/>
  <c r="F33" i="85"/>
  <c r="H33" i="85" s="1"/>
  <c r="B33" i="85"/>
  <c r="D33" i="85" s="1"/>
  <c r="J33" i="85"/>
  <c r="L33" i="85" s="1"/>
  <c r="F40" i="61"/>
  <c r="D39" i="61"/>
  <c r="E39" i="61" s="1"/>
  <c r="H39" i="61" s="1"/>
  <c r="J39" i="61" s="1"/>
  <c r="C39" i="46"/>
  <c r="T39" i="46" s="1"/>
  <c r="F40" i="46"/>
  <c r="D39" i="46"/>
  <c r="E39" i="46" s="1"/>
  <c r="K38" i="46"/>
  <c r="H38" i="46"/>
  <c r="I38" i="46" s="1"/>
  <c r="J38" i="46" s="1"/>
  <c r="B34" i="80"/>
  <c r="D33" i="80"/>
  <c r="F35" i="80"/>
  <c r="H34" i="80"/>
  <c r="X41" i="42"/>
  <c r="AC41" i="42"/>
  <c r="AD41" i="42" s="1"/>
  <c r="W41" i="42"/>
  <c r="S49" i="42"/>
  <c r="N37" i="90" l="1"/>
  <c r="P37" i="90" s="1"/>
  <c r="B37" i="90"/>
  <c r="D37" i="90" s="1"/>
  <c r="F37" i="102"/>
  <c r="H37" i="102" s="1"/>
  <c r="J37" i="90"/>
  <c r="L37" i="90" s="1"/>
  <c r="J37" i="102"/>
  <c r="L37" i="102" s="1"/>
  <c r="F37" i="90"/>
  <c r="H37" i="90" s="1"/>
  <c r="N38" i="85"/>
  <c r="P37" i="85"/>
  <c r="N38" i="90"/>
  <c r="P38" i="90" s="1"/>
  <c r="N37" i="91"/>
  <c r="P37" i="91" s="1"/>
  <c r="N37" i="102"/>
  <c r="P37" i="102" s="1"/>
  <c r="B37" i="102"/>
  <c r="K16" i="62"/>
  <c r="B16" i="62" s="1"/>
  <c r="M8" i="75"/>
  <c r="J21" i="75" s="1"/>
  <c r="AM91" i="56"/>
  <c r="F35" i="99"/>
  <c r="H35" i="99" s="1"/>
  <c r="F34" i="83"/>
  <c r="H34" i="83" s="1"/>
  <c r="H34" i="101"/>
  <c r="F35" i="101"/>
  <c r="D33" i="101"/>
  <c r="B34" i="101"/>
  <c r="L34" i="101"/>
  <c r="J35" i="101"/>
  <c r="J34" i="99"/>
  <c r="L34" i="99" s="1"/>
  <c r="B34" i="99"/>
  <c r="D34" i="99" s="1"/>
  <c r="B33" i="83"/>
  <c r="D33" i="83" s="1"/>
  <c r="J33" i="83"/>
  <c r="L33" i="83" s="1"/>
  <c r="F38" i="86"/>
  <c r="H38" i="86" s="1"/>
  <c r="B38" i="86"/>
  <c r="D38" i="86" s="1"/>
  <c r="J34" i="80"/>
  <c r="L34" i="80" s="1"/>
  <c r="J39" i="86"/>
  <c r="L38" i="86"/>
  <c r="J34" i="85"/>
  <c r="L34" i="85" s="1"/>
  <c r="B34" i="85"/>
  <c r="D34" i="85" s="1"/>
  <c r="F34" i="85"/>
  <c r="H34" i="85" s="1"/>
  <c r="K39" i="46"/>
  <c r="H39" i="46"/>
  <c r="I39" i="46" s="1"/>
  <c r="J39" i="46" s="1"/>
  <c r="C40" i="46"/>
  <c r="T40" i="46" s="1"/>
  <c r="F41" i="46"/>
  <c r="D40" i="46"/>
  <c r="E40" i="46" s="1"/>
  <c r="F41" i="61"/>
  <c r="D40" i="61"/>
  <c r="E40" i="61" s="1"/>
  <c r="H40" i="61" s="1"/>
  <c r="J40" i="61" s="1"/>
  <c r="D34" i="80"/>
  <c r="B35" i="80"/>
  <c r="F36" i="80"/>
  <c r="H35" i="80"/>
  <c r="M41" i="42"/>
  <c r="B41" i="42" s="1"/>
  <c r="S50" i="42"/>
  <c r="Y41" i="42"/>
  <c r="J38" i="90" l="1"/>
  <c r="L38" i="90" s="1"/>
  <c r="F38" i="102"/>
  <c r="H38" i="102" s="1"/>
  <c r="B38" i="90"/>
  <c r="D38" i="90" s="1"/>
  <c r="J38" i="102"/>
  <c r="L38" i="102" s="1"/>
  <c r="F38" i="90"/>
  <c r="H38" i="90" s="1"/>
  <c r="N39" i="85"/>
  <c r="P38" i="85"/>
  <c r="N39" i="90"/>
  <c r="P39" i="90" s="1"/>
  <c r="N38" i="91"/>
  <c r="P38" i="91" s="1"/>
  <c r="N38" i="102"/>
  <c r="P38" i="102" s="1"/>
  <c r="D37" i="102"/>
  <c r="B38" i="102"/>
  <c r="F36" i="99"/>
  <c r="H36" i="99" s="1"/>
  <c r="F35" i="83"/>
  <c r="H35" i="83" s="1"/>
  <c r="D34" i="101"/>
  <c r="B35" i="101"/>
  <c r="L35" i="101"/>
  <c r="J36" i="101"/>
  <c r="H35" i="101"/>
  <c r="F36" i="101"/>
  <c r="B35" i="99"/>
  <c r="D35" i="99" s="1"/>
  <c r="J35" i="99"/>
  <c r="L35" i="99" s="1"/>
  <c r="B34" i="83"/>
  <c r="D34" i="83" s="1"/>
  <c r="J34" i="83"/>
  <c r="L34" i="83" s="1"/>
  <c r="F39" i="86"/>
  <c r="H39" i="86" s="1"/>
  <c r="B39" i="86"/>
  <c r="D39" i="86" s="1"/>
  <c r="J35" i="80"/>
  <c r="L35" i="80" s="1"/>
  <c r="J40" i="86"/>
  <c r="L39" i="86"/>
  <c r="F35" i="85"/>
  <c r="H35" i="85" s="1"/>
  <c r="B35" i="85"/>
  <c r="D35" i="85" s="1"/>
  <c r="J35" i="85"/>
  <c r="L35" i="85" s="1"/>
  <c r="C41" i="46"/>
  <c r="T41" i="46" s="1"/>
  <c r="F42" i="46"/>
  <c r="D41" i="46"/>
  <c r="E41" i="46" s="1"/>
  <c r="D41" i="61"/>
  <c r="E41" i="61" s="1"/>
  <c r="H41" i="61" s="1"/>
  <c r="J41" i="61" s="1"/>
  <c r="F42" i="61"/>
  <c r="K40" i="46"/>
  <c r="H40" i="46"/>
  <c r="I40" i="46" s="1"/>
  <c r="J40" i="46" s="1"/>
  <c r="D35" i="80"/>
  <c r="B36" i="80"/>
  <c r="F37" i="80"/>
  <c r="H36" i="80"/>
  <c r="I41" i="42"/>
  <c r="H41" i="42"/>
  <c r="F41" i="42"/>
  <c r="G41" i="42"/>
  <c r="S51" i="42"/>
  <c r="AB41" i="42"/>
  <c r="AA41" i="42" s="1"/>
  <c r="C41" i="42" s="1"/>
  <c r="V42" i="42"/>
  <c r="F39" i="102" l="1"/>
  <c r="H39" i="102" s="1"/>
  <c r="J39" i="90"/>
  <c r="L39" i="90" s="1"/>
  <c r="B39" i="90"/>
  <c r="D39" i="90" s="1"/>
  <c r="J39" i="102"/>
  <c r="L39" i="102" s="1"/>
  <c r="F39" i="90"/>
  <c r="H39" i="90" s="1"/>
  <c r="N40" i="85"/>
  <c r="P39" i="85"/>
  <c r="N40" i="90"/>
  <c r="P40" i="90" s="1"/>
  <c r="N39" i="91"/>
  <c r="P39" i="91" s="1"/>
  <c r="N39" i="102"/>
  <c r="P39" i="102" s="1"/>
  <c r="D38" i="102"/>
  <c r="B39" i="102"/>
  <c r="F37" i="99"/>
  <c r="H37" i="99" s="1"/>
  <c r="F36" i="83"/>
  <c r="H36" i="83" s="1"/>
  <c r="L36" i="101"/>
  <c r="J37" i="101"/>
  <c r="D35" i="101"/>
  <c r="B36" i="101"/>
  <c r="H36" i="101"/>
  <c r="F37" i="101"/>
  <c r="J36" i="99"/>
  <c r="L36" i="99" s="1"/>
  <c r="B36" i="99"/>
  <c r="D36" i="99" s="1"/>
  <c r="J35" i="83"/>
  <c r="L35" i="83" s="1"/>
  <c r="B35" i="83"/>
  <c r="F40" i="86"/>
  <c r="H40" i="86" s="1"/>
  <c r="B40" i="86"/>
  <c r="D40" i="86" s="1"/>
  <c r="J36" i="80"/>
  <c r="L36" i="80" s="1"/>
  <c r="J41" i="86"/>
  <c r="L40" i="86"/>
  <c r="J36" i="85"/>
  <c r="L36" i="85" s="1"/>
  <c r="B36" i="85"/>
  <c r="D36" i="85" s="1"/>
  <c r="F36" i="85"/>
  <c r="H36" i="85" s="1"/>
  <c r="D42" i="61"/>
  <c r="E42" i="61" s="1"/>
  <c r="H42" i="61" s="1"/>
  <c r="J42" i="61" s="1"/>
  <c r="F43" i="61"/>
  <c r="K41" i="46"/>
  <c r="H41" i="46"/>
  <c r="I41" i="46" s="1"/>
  <c r="J41" i="46" s="1"/>
  <c r="C42" i="46"/>
  <c r="T42" i="46" s="1"/>
  <c r="F43" i="46"/>
  <c r="D42" i="46"/>
  <c r="E42" i="46" s="1"/>
  <c r="D36" i="80"/>
  <c r="B37" i="80"/>
  <c r="F38" i="80"/>
  <c r="H37" i="80"/>
  <c r="X42" i="42"/>
  <c r="W42" i="42"/>
  <c r="AC42" i="42"/>
  <c r="AD42" i="42" s="1"/>
  <c r="S52" i="42"/>
  <c r="J40" i="90" l="1"/>
  <c r="L40" i="90" s="1"/>
  <c r="F40" i="102"/>
  <c r="H40" i="102" s="1"/>
  <c r="B40" i="90"/>
  <c r="D40" i="90" s="1"/>
  <c r="J40" i="102"/>
  <c r="L40" i="102" s="1"/>
  <c r="F40" i="90"/>
  <c r="H40" i="90" s="1"/>
  <c r="N41" i="85"/>
  <c r="P40" i="85"/>
  <c r="N41" i="90"/>
  <c r="P41" i="90" s="1"/>
  <c r="N40" i="91"/>
  <c r="P40" i="91" s="1"/>
  <c r="N40" i="102"/>
  <c r="P40" i="102" s="1"/>
  <c r="D39" i="102"/>
  <c r="B40" i="102"/>
  <c r="F38" i="99"/>
  <c r="H38" i="99" s="1"/>
  <c r="F37" i="83"/>
  <c r="H37" i="83" s="1"/>
  <c r="B36" i="83"/>
  <c r="D36" i="83" s="1"/>
  <c r="D35" i="83"/>
  <c r="H37" i="101"/>
  <c r="F38" i="101"/>
  <c r="D36" i="101"/>
  <c r="B37" i="101"/>
  <c r="L37" i="101"/>
  <c r="J38" i="101"/>
  <c r="B37" i="99"/>
  <c r="D37" i="99" s="1"/>
  <c r="J37" i="99"/>
  <c r="L37" i="99" s="1"/>
  <c r="F41" i="86"/>
  <c r="H41" i="86" s="1"/>
  <c r="J36" i="83"/>
  <c r="L36" i="83" s="1"/>
  <c r="B41" i="86"/>
  <c r="D41" i="86" s="1"/>
  <c r="J37" i="80"/>
  <c r="L37" i="80" s="1"/>
  <c r="J42" i="86"/>
  <c r="L41" i="86"/>
  <c r="F37" i="85"/>
  <c r="H37" i="85" s="1"/>
  <c r="B37" i="85"/>
  <c r="D37" i="85" s="1"/>
  <c r="J37" i="85"/>
  <c r="L37" i="85" s="1"/>
  <c r="K42" i="46"/>
  <c r="H42" i="46"/>
  <c r="I42" i="46" s="1"/>
  <c r="J42" i="46" s="1"/>
  <c r="D43" i="61"/>
  <c r="E43" i="61" s="1"/>
  <c r="H43" i="61" s="1"/>
  <c r="J43" i="61" s="1"/>
  <c r="F44" i="61"/>
  <c r="C43" i="46"/>
  <c r="T43" i="46" s="1"/>
  <c r="D43" i="46"/>
  <c r="E43" i="46" s="1"/>
  <c r="F44" i="46"/>
  <c r="D37" i="80"/>
  <c r="B38" i="80"/>
  <c r="F39" i="80"/>
  <c r="H38" i="80"/>
  <c r="S53" i="42"/>
  <c r="M42" i="42"/>
  <c r="B42" i="42" s="1"/>
  <c r="AA42" i="42"/>
  <c r="C42" i="42" s="1"/>
  <c r="Y42" i="42"/>
  <c r="J41" i="90" l="1"/>
  <c r="L41" i="90" s="1"/>
  <c r="F41" i="102"/>
  <c r="H41" i="102" s="1"/>
  <c r="B41" i="90"/>
  <c r="D41" i="90" s="1"/>
  <c r="J41" i="102"/>
  <c r="L41" i="102" s="1"/>
  <c r="F41" i="90"/>
  <c r="H41" i="90" s="1"/>
  <c r="N42" i="85"/>
  <c r="P41" i="85"/>
  <c r="N42" i="90"/>
  <c r="P42" i="90" s="1"/>
  <c r="N41" i="91"/>
  <c r="P41" i="91" s="1"/>
  <c r="N41" i="102"/>
  <c r="P41" i="102" s="1"/>
  <c r="D40" i="102"/>
  <c r="B41" i="102"/>
  <c r="F39" i="99"/>
  <c r="H39" i="99" s="1"/>
  <c r="F45" i="46"/>
  <c r="D44" i="46"/>
  <c r="E44" i="46" s="1"/>
  <c r="F45" i="61"/>
  <c r="D44" i="61"/>
  <c r="E44" i="61" s="1"/>
  <c r="H44" i="61" s="1"/>
  <c r="F38" i="83"/>
  <c r="H38" i="83" s="1"/>
  <c r="B37" i="83"/>
  <c r="D37" i="83" s="1"/>
  <c r="L38" i="101"/>
  <c r="J39" i="101"/>
  <c r="D37" i="101"/>
  <c r="B38" i="101"/>
  <c r="H38" i="101"/>
  <c r="F39" i="101"/>
  <c r="J38" i="99"/>
  <c r="L38" i="99" s="1"/>
  <c r="B38" i="99"/>
  <c r="D38" i="99" s="1"/>
  <c r="J37" i="83"/>
  <c r="L37" i="83" s="1"/>
  <c r="F42" i="86"/>
  <c r="H42" i="86" s="1"/>
  <c r="B42" i="86"/>
  <c r="D42" i="86" s="1"/>
  <c r="J38" i="80"/>
  <c r="L38" i="80" s="1"/>
  <c r="J43" i="86"/>
  <c r="L42" i="86"/>
  <c r="J38" i="85"/>
  <c r="L38" i="85" s="1"/>
  <c r="B38" i="85"/>
  <c r="D38" i="85" s="1"/>
  <c r="F38" i="85"/>
  <c r="H38" i="85" s="1"/>
  <c r="K43" i="46"/>
  <c r="H43" i="46"/>
  <c r="I43" i="46" s="1"/>
  <c r="J43" i="46" s="1"/>
  <c r="C44" i="46"/>
  <c r="T44" i="46" s="1"/>
  <c r="D38" i="80"/>
  <c r="B39" i="80"/>
  <c r="F40" i="80"/>
  <c r="H39" i="80"/>
  <c r="I42" i="42"/>
  <c r="H42" i="42"/>
  <c r="E42" i="42"/>
  <c r="F42" i="42"/>
  <c r="S54" i="42"/>
  <c r="AB42" i="42"/>
  <c r="V43" i="42"/>
  <c r="J42" i="90" l="1"/>
  <c r="L42" i="90" s="1"/>
  <c r="F42" i="102"/>
  <c r="H42" i="102" s="1"/>
  <c r="B42" i="90"/>
  <c r="D42" i="90" s="1"/>
  <c r="J42" i="102"/>
  <c r="L42" i="102" s="1"/>
  <c r="F42" i="90"/>
  <c r="H42" i="90" s="1"/>
  <c r="N43" i="85"/>
  <c r="P42" i="85"/>
  <c r="N43" i="90"/>
  <c r="P43" i="90" s="1"/>
  <c r="N42" i="91"/>
  <c r="P42" i="91" s="1"/>
  <c r="N42" i="102"/>
  <c r="P42" i="102" s="1"/>
  <c r="D41" i="102"/>
  <c r="B42" i="102"/>
  <c r="F40" i="99"/>
  <c r="H40" i="99" s="1"/>
  <c r="F39" i="83"/>
  <c r="H39" i="83" s="1"/>
  <c r="J44" i="61"/>
  <c r="D45" i="61"/>
  <c r="E45" i="61" s="1"/>
  <c r="H45" i="61" s="1"/>
  <c r="J45" i="61" s="1"/>
  <c r="F46" i="61"/>
  <c r="C45" i="46"/>
  <c r="T45" i="46" s="1"/>
  <c r="F46" i="46"/>
  <c r="D45" i="46"/>
  <c r="E45" i="46" s="1"/>
  <c r="B38" i="83"/>
  <c r="D38" i="83" s="1"/>
  <c r="D38" i="101"/>
  <c r="B39" i="101"/>
  <c r="H39" i="101"/>
  <c r="F40" i="101"/>
  <c r="L39" i="101"/>
  <c r="J40" i="101"/>
  <c r="B39" i="99"/>
  <c r="D39" i="99" s="1"/>
  <c r="J39" i="99"/>
  <c r="L39" i="99" s="1"/>
  <c r="F43" i="86"/>
  <c r="H43" i="86" s="1"/>
  <c r="J38" i="83"/>
  <c r="L38" i="83" s="1"/>
  <c r="B43" i="86"/>
  <c r="D43" i="86" s="1"/>
  <c r="J39" i="80"/>
  <c r="H44" i="46"/>
  <c r="I44" i="46" s="1"/>
  <c r="J44" i="46" s="1"/>
  <c r="K44" i="46"/>
  <c r="J44" i="86"/>
  <c r="L43" i="86"/>
  <c r="F39" i="85"/>
  <c r="H39" i="85" s="1"/>
  <c r="B39" i="85"/>
  <c r="D39" i="85" s="1"/>
  <c r="J39" i="85"/>
  <c r="L39" i="85" s="1"/>
  <c r="D39" i="80"/>
  <c r="B40" i="80"/>
  <c r="F41" i="80"/>
  <c r="H40" i="80"/>
  <c r="X43" i="42"/>
  <c r="W43" i="42"/>
  <c r="AC43" i="42"/>
  <c r="AD43" i="42" s="1"/>
  <c r="S55" i="42"/>
  <c r="J43" i="90" l="1"/>
  <c r="L43" i="90" s="1"/>
  <c r="F43" i="102"/>
  <c r="H43" i="102" s="1"/>
  <c r="B43" i="90"/>
  <c r="D43" i="90" s="1"/>
  <c r="J43" i="102"/>
  <c r="L43" i="102" s="1"/>
  <c r="F43" i="90"/>
  <c r="H43" i="90" s="1"/>
  <c r="N44" i="85"/>
  <c r="P43" i="85"/>
  <c r="N44" i="90"/>
  <c r="P44" i="90" s="1"/>
  <c r="N43" i="91"/>
  <c r="P43" i="91" s="1"/>
  <c r="N43" i="102"/>
  <c r="P43" i="102" s="1"/>
  <c r="D42" i="102"/>
  <c r="B43" i="102"/>
  <c r="F41" i="99"/>
  <c r="H41" i="99" s="1"/>
  <c r="F40" i="83"/>
  <c r="H40" i="83" s="1"/>
  <c r="K45" i="46"/>
  <c r="H45" i="46"/>
  <c r="C46" i="46"/>
  <c r="T46" i="46" s="1"/>
  <c r="F47" i="46"/>
  <c r="D46" i="46"/>
  <c r="E46" i="46" s="1"/>
  <c r="F47" i="61"/>
  <c r="D46" i="61"/>
  <c r="E46" i="61" s="1"/>
  <c r="H46" i="61" s="1"/>
  <c r="B39" i="83"/>
  <c r="D39" i="83" s="1"/>
  <c r="H40" i="101"/>
  <c r="F41" i="101"/>
  <c r="L40" i="101"/>
  <c r="J41" i="101"/>
  <c r="D39" i="101"/>
  <c r="B40" i="101"/>
  <c r="J40" i="99"/>
  <c r="L40" i="99" s="1"/>
  <c r="B40" i="99"/>
  <c r="D40" i="99" s="1"/>
  <c r="F44" i="86"/>
  <c r="H44" i="86" s="1"/>
  <c r="J39" i="83"/>
  <c r="L39" i="83" s="1"/>
  <c r="B44" i="86"/>
  <c r="D44" i="86" s="1"/>
  <c r="L39" i="80"/>
  <c r="J40" i="80"/>
  <c r="J45" i="86"/>
  <c r="L44" i="86"/>
  <c r="J40" i="85"/>
  <c r="L40" i="85" s="1"/>
  <c r="B40" i="85"/>
  <c r="D40" i="85" s="1"/>
  <c r="F40" i="85"/>
  <c r="H40" i="85" s="1"/>
  <c r="D40" i="80"/>
  <c r="B41" i="80"/>
  <c r="F42" i="80"/>
  <c r="H41" i="80"/>
  <c r="M43" i="42"/>
  <c r="B43" i="42" s="1"/>
  <c r="S56" i="42"/>
  <c r="Y43" i="42"/>
  <c r="J44" i="90" l="1"/>
  <c r="L44" i="90" s="1"/>
  <c r="F44" i="102"/>
  <c r="H44" i="102" s="1"/>
  <c r="B44" i="90"/>
  <c r="D44" i="90" s="1"/>
  <c r="J44" i="102"/>
  <c r="L44" i="102" s="1"/>
  <c r="F44" i="90"/>
  <c r="H44" i="90" s="1"/>
  <c r="N45" i="85"/>
  <c r="P44" i="85"/>
  <c r="N45" i="90"/>
  <c r="P45" i="90" s="1"/>
  <c r="N44" i="91"/>
  <c r="P44" i="91" s="1"/>
  <c r="N44" i="102"/>
  <c r="P44" i="102" s="1"/>
  <c r="D43" i="102"/>
  <c r="B44" i="102"/>
  <c r="F42" i="99"/>
  <c r="H42" i="99" s="1"/>
  <c r="F41" i="83"/>
  <c r="H41" i="83" s="1"/>
  <c r="J46" i="61"/>
  <c r="K46" i="46"/>
  <c r="H46" i="46"/>
  <c r="F48" i="61"/>
  <c r="D47" i="61"/>
  <c r="E47" i="61" s="1"/>
  <c r="H47" i="61" s="1"/>
  <c r="J47" i="61" s="1"/>
  <c r="C47" i="46"/>
  <c r="T47" i="46" s="1"/>
  <c r="F48" i="46"/>
  <c r="D47" i="46"/>
  <c r="E47" i="46" s="1"/>
  <c r="I45" i="46"/>
  <c r="J45" i="46" s="1"/>
  <c r="B40" i="83"/>
  <c r="D40" i="83" s="1"/>
  <c r="D40" i="101"/>
  <c r="B41" i="101"/>
  <c r="L41" i="101"/>
  <c r="J42" i="101"/>
  <c r="H41" i="101"/>
  <c r="F42" i="101"/>
  <c r="B41" i="99"/>
  <c r="D41" i="99" s="1"/>
  <c r="J41" i="99"/>
  <c r="L41" i="99" s="1"/>
  <c r="F45" i="86"/>
  <c r="H45" i="86" s="1"/>
  <c r="B45" i="86"/>
  <c r="D45" i="86" s="1"/>
  <c r="J40" i="83"/>
  <c r="L40" i="80"/>
  <c r="J41" i="80"/>
  <c r="J46" i="86"/>
  <c r="L45" i="86"/>
  <c r="F41" i="85"/>
  <c r="H41" i="85" s="1"/>
  <c r="B41" i="85"/>
  <c r="D41" i="85" s="1"/>
  <c r="J41" i="85"/>
  <c r="L41" i="85" s="1"/>
  <c r="D41" i="80"/>
  <c r="B42" i="80"/>
  <c r="F43" i="80"/>
  <c r="H42" i="80"/>
  <c r="I43" i="42"/>
  <c r="H43" i="42"/>
  <c r="G43" i="42"/>
  <c r="F43" i="42"/>
  <c r="S57" i="42"/>
  <c r="AB43" i="42"/>
  <c r="AA43" i="42" s="1"/>
  <c r="C43" i="42" s="1"/>
  <c r="V44" i="42"/>
  <c r="J45" i="90" l="1"/>
  <c r="L45" i="90" s="1"/>
  <c r="F45" i="102"/>
  <c r="H45" i="102" s="1"/>
  <c r="B45" i="90"/>
  <c r="D45" i="90" s="1"/>
  <c r="F45" i="90"/>
  <c r="H45" i="90" s="1"/>
  <c r="J45" i="102"/>
  <c r="L45" i="102" s="1"/>
  <c r="N46" i="85"/>
  <c r="P45" i="85"/>
  <c r="N46" i="90"/>
  <c r="P46" i="90" s="1"/>
  <c r="N45" i="91"/>
  <c r="P45" i="91" s="1"/>
  <c r="N45" i="102"/>
  <c r="P45" i="102" s="1"/>
  <c r="D44" i="102"/>
  <c r="B45" i="102"/>
  <c r="F43" i="99"/>
  <c r="H43" i="99" s="1"/>
  <c r="F42" i="83"/>
  <c r="H42" i="83" s="1"/>
  <c r="K47" i="46"/>
  <c r="H47" i="46"/>
  <c r="C48" i="46"/>
  <c r="T48" i="46" s="1"/>
  <c r="D48" i="46"/>
  <c r="E48" i="46" s="1"/>
  <c r="F49" i="46"/>
  <c r="D48" i="61"/>
  <c r="E48" i="61" s="1"/>
  <c r="H48" i="61" s="1"/>
  <c r="J48" i="61" s="1"/>
  <c r="F49" i="61"/>
  <c r="I46" i="46"/>
  <c r="J46" i="46" s="1"/>
  <c r="B41" i="83"/>
  <c r="D41" i="83" s="1"/>
  <c r="J41" i="83"/>
  <c r="L41" i="83" s="1"/>
  <c r="L40" i="83"/>
  <c r="H42" i="101"/>
  <c r="F43" i="101"/>
  <c r="L42" i="101"/>
  <c r="J43" i="101"/>
  <c r="D41" i="101"/>
  <c r="B42" i="101"/>
  <c r="F46" i="86"/>
  <c r="H46" i="86" s="1"/>
  <c r="J42" i="99"/>
  <c r="L42" i="99" s="1"/>
  <c r="B42" i="99"/>
  <c r="D42" i="99" s="1"/>
  <c r="B46" i="86"/>
  <c r="D46" i="86" s="1"/>
  <c r="J46" i="90"/>
  <c r="L46" i="90" s="1"/>
  <c r="L41" i="80"/>
  <c r="J42" i="80"/>
  <c r="J47" i="86"/>
  <c r="L46" i="86"/>
  <c r="J42" i="85"/>
  <c r="L42" i="85" s="1"/>
  <c r="B42" i="85"/>
  <c r="D42" i="85" s="1"/>
  <c r="F42" i="85"/>
  <c r="H42" i="85" s="1"/>
  <c r="D42" i="80"/>
  <c r="B43" i="80"/>
  <c r="F44" i="80"/>
  <c r="H43" i="80"/>
  <c r="S58" i="42"/>
  <c r="X44" i="42"/>
  <c r="W44" i="42"/>
  <c r="AC44" i="42"/>
  <c r="AD44" i="42" s="1"/>
  <c r="F46" i="102" l="1"/>
  <c r="H46" i="102" s="1"/>
  <c r="B46" i="90"/>
  <c r="D46" i="90" s="1"/>
  <c r="F46" i="90"/>
  <c r="H46" i="90" s="1"/>
  <c r="J46" i="102"/>
  <c r="L46" i="102" s="1"/>
  <c r="F47" i="102"/>
  <c r="H47" i="102" s="1"/>
  <c r="N47" i="85"/>
  <c r="P46" i="85"/>
  <c r="N47" i="90"/>
  <c r="P47" i="90" s="1"/>
  <c r="N46" i="91"/>
  <c r="P46" i="91" s="1"/>
  <c r="N46" i="102"/>
  <c r="P46" i="102" s="1"/>
  <c r="D45" i="102"/>
  <c r="B46" i="102"/>
  <c r="F44" i="99"/>
  <c r="H44" i="99" s="1"/>
  <c r="F43" i="83"/>
  <c r="H43" i="83" s="1"/>
  <c r="K48" i="46"/>
  <c r="H48" i="46"/>
  <c r="D49" i="61"/>
  <c r="E49" i="61" s="1"/>
  <c r="H49" i="61" s="1"/>
  <c r="J49" i="61" s="1"/>
  <c r="F50" i="61"/>
  <c r="C49" i="46"/>
  <c r="T49" i="46" s="1"/>
  <c r="D49" i="46"/>
  <c r="E49" i="46" s="1"/>
  <c r="F50" i="46"/>
  <c r="I47" i="46"/>
  <c r="J47" i="46" s="1"/>
  <c r="B42" i="83"/>
  <c r="D42" i="83" s="1"/>
  <c r="J42" i="83"/>
  <c r="L42" i="83" s="1"/>
  <c r="D42" i="101"/>
  <c r="B43" i="101"/>
  <c r="L43" i="101"/>
  <c r="J44" i="101"/>
  <c r="H43" i="101"/>
  <c r="F44" i="101"/>
  <c r="F47" i="86"/>
  <c r="H47" i="86" s="1"/>
  <c r="B47" i="86"/>
  <c r="D47" i="86" s="1"/>
  <c r="B43" i="99"/>
  <c r="D43" i="99" s="1"/>
  <c r="J43" i="99"/>
  <c r="L43" i="99" s="1"/>
  <c r="J47" i="90"/>
  <c r="L47" i="90" s="1"/>
  <c r="L42" i="80"/>
  <c r="J43" i="80"/>
  <c r="J48" i="86"/>
  <c r="L47" i="86"/>
  <c r="F43" i="85"/>
  <c r="H43" i="85" s="1"/>
  <c r="B43" i="85"/>
  <c r="D43" i="85" s="1"/>
  <c r="J43" i="85"/>
  <c r="L43" i="85" s="1"/>
  <c r="D43" i="80"/>
  <c r="B44" i="80"/>
  <c r="F45" i="80"/>
  <c r="H44" i="80"/>
  <c r="Y44" i="42"/>
  <c r="AA44" i="42"/>
  <c r="C44" i="42" s="1"/>
  <c r="M44" i="42"/>
  <c r="B44" i="42" s="1"/>
  <c r="S59" i="42"/>
  <c r="B47" i="90" l="1"/>
  <c r="D47" i="90" s="1"/>
  <c r="F47" i="90"/>
  <c r="H47" i="90" s="1"/>
  <c r="J47" i="102"/>
  <c r="L47" i="102" s="1"/>
  <c r="F48" i="102"/>
  <c r="H48" i="102" s="1"/>
  <c r="N48" i="85"/>
  <c r="P47" i="85"/>
  <c r="N48" i="90"/>
  <c r="P48" i="90" s="1"/>
  <c r="N47" i="91"/>
  <c r="P47" i="91" s="1"/>
  <c r="N47" i="102"/>
  <c r="P47" i="102" s="1"/>
  <c r="D46" i="102"/>
  <c r="B47" i="102"/>
  <c r="F45" i="99"/>
  <c r="H45" i="99" s="1"/>
  <c r="F44" i="83"/>
  <c r="H44" i="83" s="1"/>
  <c r="C50" i="46"/>
  <c r="T50" i="46" s="1"/>
  <c r="F51" i="46"/>
  <c r="D50" i="46"/>
  <c r="E50" i="46" s="1"/>
  <c r="K49" i="46"/>
  <c r="H49" i="46"/>
  <c r="F51" i="61"/>
  <c r="D50" i="61"/>
  <c r="E50" i="61" s="1"/>
  <c r="H50" i="61" s="1"/>
  <c r="J50" i="61" s="1"/>
  <c r="I48" i="46"/>
  <c r="J48" i="46" s="1"/>
  <c r="B43" i="83"/>
  <c r="D43" i="83" s="1"/>
  <c r="J43" i="83"/>
  <c r="L43" i="83" s="1"/>
  <c r="F48" i="86"/>
  <c r="H48" i="86" s="1"/>
  <c r="H44" i="101"/>
  <c r="F45" i="101"/>
  <c r="L44" i="101"/>
  <c r="J45" i="101"/>
  <c r="D43" i="101"/>
  <c r="B44" i="101"/>
  <c r="B48" i="86"/>
  <c r="D48" i="86" s="1"/>
  <c r="J44" i="99"/>
  <c r="L44" i="99" s="1"/>
  <c r="B44" i="99"/>
  <c r="D44" i="99" s="1"/>
  <c r="J48" i="90"/>
  <c r="L48" i="90" s="1"/>
  <c r="L43" i="80"/>
  <c r="J44" i="80"/>
  <c r="J49" i="86"/>
  <c r="L48" i="86"/>
  <c r="J44" i="85"/>
  <c r="L44" i="85" s="1"/>
  <c r="B44" i="85"/>
  <c r="D44" i="85" s="1"/>
  <c r="F44" i="85"/>
  <c r="H44" i="85" s="1"/>
  <c r="D44" i="80"/>
  <c r="B45" i="80"/>
  <c r="F46" i="80"/>
  <c r="H45" i="80"/>
  <c r="S60" i="42"/>
  <c r="AB44" i="42"/>
  <c r="V45" i="42"/>
  <c r="I44" i="42"/>
  <c r="H44" i="42"/>
  <c r="F44" i="42"/>
  <c r="E44" i="42"/>
  <c r="B48" i="90" l="1"/>
  <c r="D48" i="90" s="1"/>
  <c r="F48" i="90"/>
  <c r="H48" i="90" s="1"/>
  <c r="J48" i="102"/>
  <c r="L48" i="102" s="1"/>
  <c r="F49" i="102"/>
  <c r="H49" i="102" s="1"/>
  <c r="N49" i="85"/>
  <c r="P48" i="85"/>
  <c r="N49" i="90"/>
  <c r="P49" i="90" s="1"/>
  <c r="N48" i="91"/>
  <c r="P48" i="91" s="1"/>
  <c r="N48" i="102"/>
  <c r="P48" i="102" s="1"/>
  <c r="D47" i="102"/>
  <c r="B48" i="102"/>
  <c r="F46" i="99"/>
  <c r="H46" i="99" s="1"/>
  <c r="F45" i="83"/>
  <c r="H45" i="83" s="1"/>
  <c r="K50" i="46"/>
  <c r="H50" i="46"/>
  <c r="D51" i="61"/>
  <c r="E51" i="61" s="1"/>
  <c r="H51" i="61" s="1"/>
  <c r="J51" i="61" s="1"/>
  <c r="F52" i="61"/>
  <c r="I49" i="46"/>
  <c r="J49" i="46" s="1"/>
  <c r="C51" i="46"/>
  <c r="T51" i="46" s="1"/>
  <c r="D51" i="46"/>
  <c r="E51" i="46" s="1"/>
  <c r="F52" i="46"/>
  <c r="B44" i="83"/>
  <c r="D44" i="83" s="1"/>
  <c r="J44" i="83"/>
  <c r="L44" i="83" s="1"/>
  <c r="F49" i="86"/>
  <c r="H49" i="86" s="1"/>
  <c r="B49" i="86"/>
  <c r="D49" i="86" s="1"/>
  <c r="D44" i="101"/>
  <c r="B45" i="101"/>
  <c r="L45" i="101"/>
  <c r="J46" i="101"/>
  <c r="H45" i="101"/>
  <c r="F46" i="101"/>
  <c r="B45" i="99"/>
  <c r="D45" i="99" s="1"/>
  <c r="J45" i="99"/>
  <c r="L45" i="99" s="1"/>
  <c r="F49" i="90"/>
  <c r="H49" i="90" s="1"/>
  <c r="J49" i="90"/>
  <c r="L49" i="90" s="1"/>
  <c r="L44" i="80"/>
  <c r="J45" i="80"/>
  <c r="J50" i="86"/>
  <c r="L49" i="86"/>
  <c r="F45" i="85"/>
  <c r="H45" i="85" s="1"/>
  <c r="B45" i="85"/>
  <c r="D45" i="85" s="1"/>
  <c r="J45" i="85"/>
  <c r="L45" i="85" s="1"/>
  <c r="D45" i="80"/>
  <c r="B46" i="80"/>
  <c r="F47" i="80"/>
  <c r="H46" i="80"/>
  <c r="X45" i="42"/>
  <c r="W45" i="42"/>
  <c r="AC45" i="42"/>
  <c r="AD45" i="42" s="1"/>
  <c r="S61" i="42"/>
  <c r="B49" i="90" l="1"/>
  <c r="D49" i="90" s="1"/>
  <c r="J49" i="102"/>
  <c r="L49" i="102" s="1"/>
  <c r="F50" i="102"/>
  <c r="H50" i="102" s="1"/>
  <c r="N50" i="85"/>
  <c r="P49" i="85"/>
  <c r="N50" i="90"/>
  <c r="P50" i="90" s="1"/>
  <c r="N49" i="91"/>
  <c r="P49" i="91" s="1"/>
  <c r="N49" i="102"/>
  <c r="P49" i="102" s="1"/>
  <c r="D48" i="102"/>
  <c r="B49" i="102"/>
  <c r="F47" i="99"/>
  <c r="H47" i="99" s="1"/>
  <c r="F46" i="83"/>
  <c r="H46" i="83" s="1"/>
  <c r="B45" i="83"/>
  <c r="D45" i="83" s="1"/>
  <c r="F53" i="61"/>
  <c r="D52" i="61"/>
  <c r="E52" i="61" s="1"/>
  <c r="H52" i="61" s="1"/>
  <c r="J52" i="61" s="1"/>
  <c r="C52" i="46"/>
  <c r="T52" i="46" s="1"/>
  <c r="D52" i="46"/>
  <c r="E52" i="46" s="1"/>
  <c r="F53" i="46"/>
  <c r="I50" i="46"/>
  <c r="J50" i="46" s="1"/>
  <c r="K51" i="46"/>
  <c r="H51" i="46"/>
  <c r="F50" i="86"/>
  <c r="H50" i="86" s="1"/>
  <c r="J45" i="83"/>
  <c r="L45" i="83" s="1"/>
  <c r="B50" i="86"/>
  <c r="D50" i="86" s="1"/>
  <c r="H46" i="101"/>
  <c r="F47" i="101"/>
  <c r="L46" i="101"/>
  <c r="J47" i="101"/>
  <c r="D45" i="101"/>
  <c r="B46" i="101"/>
  <c r="J46" i="99"/>
  <c r="L46" i="99" s="1"/>
  <c r="B46" i="99"/>
  <c r="D46" i="99" s="1"/>
  <c r="F50" i="90"/>
  <c r="H50" i="90" s="1"/>
  <c r="J50" i="90"/>
  <c r="L50" i="90" s="1"/>
  <c r="L45" i="80"/>
  <c r="J46" i="80"/>
  <c r="J51" i="86"/>
  <c r="L50" i="86"/>
  <c r="J46" i="85"/>
  <c r="L46" i="85" s="1"/>
  <c r="B46" i="85"/>
  <c r="D46" i="85" s="1"/>
  <c r="F46" i="85"/>
  <c r="H46" i="85" s="1"/>
  <c r="D46" i="80"/>
  <c r="B47" i="80"/>
  <c r="F48" i="80"/>
  <c r="H47" i="80"/>
  <c r="M45" i="42"/>
  <c r="B45" i="42" s="1"/>
  <c r="S62" i="42"/>
  <c r="Y45" i="42"/>
  <c r="B50" i="90" l="1"/>
  <c r="D50" i="90" s="1"/>
  <c r="J50" i="102"/>
  <c r="L50" i="102" s="1"/>
  <c r="F51" i="102"/>
  <c r="H51" i="102" s="1"/>
  <c r="N51" i="85"/>
  <c r="P50" i="85"/>
  <c r="N51" i="90"/>
  <c r="P51" i="90" s="1"/>
  <c r="N50" i="91"/>
  <c r="P50" i="91" s="1"/>
  <c r="N50" i="102"/>
  <c r="P50" i="102" s="1"/>
  <c r="F48" i="99"/>
  <c r="H48" i="99" s="1"/>
  <c r="D49" i="102"/>
  <c r="B50" i="102"/>
  <c r="F47" i="83"/>
  <c r="H47" i="83" s="1"/>
  <c r="B46" i="83"/>
  <c r="D46" i="83" s="1"/>
  <c r="F51" i="86"/>
  <c r="H51" i="86" s="1"/>
  <c r="K52" i="46"/>
  <c r="H52" i="46"/>
  <c r="I51" i="46"/>
  <c r="J51" i="46" s="1"/>
  <c r="F54" i="61"/>
  <c r="D53" i="61"/>
  <c r="E53" i="61" s="1"/>
  <c r="H53" i="61" s="1"/>
  <c r="J53" i="61" s="1"/>
  <c r="C53" i="46"/>
  <c r="T53" i="46" s="1"/>
  <c r="F54" i="46"/>
  <c r="D53" i="46"/>
  <c r="E53" i="46" s="1"/>
  <c r="J46" i="83"/>
  <c r="L46" i="83" s="1"/>
  <c r="B51" i="86"/>
  <c r="D51" i="86" s="1"/>
  <c r="B51" i="90"/>
  <c r="D51" i="90" s="1"/>
  <c r="D46" i="101"/>
  <c r="B47" i="101"/>
  <c r="L47" i="101"/>
  <c r="J48" i="101"/>
  <c r="H47" i="101"/>
  <c r="F48" i="101"/>
  <c r="B47" i="99"/>
  <c r="D47" i="99" s="1"/>
  <c r="J47" i="99"/>
  <c r="L47" i="99" s="1"/>
  <c r="F51" i="90"/>
  <c r="H51" i="90" s="1"/>
  <c r="J51" i="90"/>
  <c r="L51" i="90" s="1"/>
  <c r="L46" i="80"/>
  <c r="J47" i="80"/>
  <c r="J52" i="86"/>
  <c r="L51" i="86"/>
  <c r="F47" i="85"/>
  <c r="H47" i="85" s="1"/>
  <c r="B47" i="85"/>
  <c r="D47" i="85" s="1"/>
  <c r="J47" i="85"/>
  <c r="L47" i="85" s="1"/>
  <c r="D47" i="80"/>
  <c r="B48" i="80"/>
  <c r="F49" i="80"/>
  <c r="H48" i="80"/>
  <c r="H45" i="42"/>
  <c r="G45" i="42"/>
  <c r="F45" i="42"/>
  <c r="I45" i="42"/>
  <c r="S63" i="42"/>
  <c r="AB45" i="42"/>
  <c r="AA45" i="42" s="1"/>
  <c r="C45" i="42" s="1"/>
  <c r="V46" i="42"/>
  <c r="J51" i="102" l="1"/>
  <c r="L51" i="102" s="1"/>
  <c r="F52" i="102"/>
  <c r="H52" i="102" s="1"/>
  <c r="F49" i="99"/>
  <c r="H49" i="99" s="1"/>
  <c r="N52" i="85"/>
  <c r="P51" i="85"/>
  <c r="N52" i="90"/>
  <c r="P52" i="90" s="1"/>
  <c r="N51" i="91"/>
  <c r="P51" i="91" s="1"/>
  <c r="N51" i="102"/>
  <c r="P51" i="102" s="1"/>
  <c r="D50" i="102"/>
  <c r="B51" i="102"/>
  <c r="F48" i="83"/>
  <c r="H48" i="83" s="1"/>
  <c r="B47" i="83"/>
  <c r="D47" i="83" s="1"/>
  <c r="F52" i="86"/>
  <c r="H52" i="86" s="1"/>
  <c r="K53" i="46"/>
  <c r="H53" i="46"/>
  <c r="D54" i="61"/>
  <c r="E54" i="61" s="1"/>
  <c r="H54" i="61" s="1"/>
  <c r="J54" i="61" s="1"/>
  <c r="F55" i="61"/>
  <c r="I52" i="46"/>
  <c r="J52" i="46" s="1"/>
  <c r="C54" i="46"/>
  <c r="T54" i="46" s="1"/>
  <c r="F55" i="46"/>
  <c r="D54" i="46"/>
  <c r="E54" i="46" s="1"/>
  <c r="J47" i="83"/>
  <c r="L47" i="83" s="1"/>
  <c r="B52" i="86"/>
  <c r="D52" i="86" s="1"/>
  <c r="B52" i="90"/>
  <c r="D52" i="90" s="1"/>
  <c r="H48" i="101"/>
  <c r="F49" i="101"/>
  <c r="L48" i="101"/>
  <c r="J49" i="101"/>
  <c r="D47" i="101"/>
  <c r="B48" i="101"/>
  <c r="J48" i="99"/>
  <c r="L48" i="99" s="1"/>
  <c r="B48" i="99"/>
  <c r="D48" i="99" s="1"/>
  <c r="F52" i="90"/>
  <c r="H52" i="90" s="1"/>
  <c r="J52" i="90"/>
  <c r="L52" i="90" s="1"/>
  <c r="L47" i="80"/>
  <c r="J48" i="80"/>
  <c r="J53" i="86"/>
  <c r="L52" i="86"/>
  <c r="J48" i="85"/>
  <c r="L48" i="85" s="1"/>
  <c r="B48" i="85"/>
  <c r="D48" i="85" s="1"/>
  <c r="F48" i="85"/>
  <c r="H48" i="85" s="1"/>
  <c r="D48" i="80"/>
  <c r="B49" i="80"/>
  <c r="F50" i="80"/>
  <c r="H49" i="80"/>
  <c r="W46" i="42"/>
  <c r="AC46" i="42"/>
  <c r="AD46" i="42" s="1"/>
  <c r="X46" i="42"/>
  <c r="S64" i="42"/>
  <c r="J52" i="102" l="1"/>
  <c r="L52" i="102" s="1"/>
  <c r="F53" i="102"/>
  <c r="H53" i="102" s="1"/>
  <c r="F50" i="99"/>
  <c r="H50" i="99" s="1"/>
  <c r="N53" i="85"/>
  <c r="P52" i="85"/>
  <c r="N53" i="90"/>
  <c r="P53" i="90" s="1"/>
  <c r="N52" i="91"/>
  <c r="P52" i="91" s="1"/>
  <c r="F49" i="83"/>
  <c r="H49" i="83" s="1"/>
  <c r="N52" i="102"/>
  <c r="P52" i="102" s="1"/>
  <c r="D51" i="102"/>
  <c r="B52" i="102"/>
  <c r="B48" i="83"/>
  <c r="D48" i="83" s="1"/>
  <c r="F53" i="86"/>
  <c r="H53" i="86" s="1"/>
  <c r="K54" i="46"/>
  <c r="H54" i="46"/>
  <c r="C55" i="46"/>
  <c r="T55" i="46" s="1"/>
  <c r="F56" i="46"/>
  <c r="D55" i="46"/>
  <c r="E55" i="46" s="1"/>
  <c r="D55" i="61"/>
  <c r="E55" i="61" s="1"/>
  <c r="H55" i="61" s="1"/>
  <c r="J55" i="61" s="1"/>
  <c r="F56" i="61"/>
  <c r="I53" i="46"/>
  <c r="J53" i="46" s="1"/>
  <c r="J48" i="83"/>
  <c r="L48" i="83" s="1"/>
  <c r="B53" i="90"/>
  <c r="D53" i="90" s="1"/>
  <c r="B53" i="86"/>
  <c r="D53" i="86" s="1"/>
  <c r="L49" i="101"/>
  <c r="J50" i="101"/>
  <c r="H49" i="101"/>
  <c r="F50" i="101"/>
  <c r="D48" i="101"/>
  <c r="B49" i="101"/>
  <c r="B49" i="99"/>
  <c r="D49" i="99" s="1"/>
  <c r="J49" i="99"/>
  <c r="L49" i="99" s="1"/>
  <c r="F53" i="90"/>
  <c r="H53" i="90" s="1"/>
  <c r="J53" i="90"/>
  <c r="L53" i="90" s="1"/>
  <c r="L48" i="80"/>
  <c r="J49" i="80"/>
  <c r="J54" i="86"/>
  <c r="L53" i="86"/>
  <c r="F49" i="85"/>
  <c r="H49" i="85" s="1"/>
  <c r="B49" i="85"/>
  <c r="D49" i="85" s="1"/>
  <c r="J49" i="85"/>
  <c r="L49" i="85" s="1"/>
  <c r="D49" i="80"/>
  <c r="B50" i="80"/>
  <c r="F51" i="80"/>
  <c r="H50" i="80"/>
  <c r="S65" i="42"/>
  <c r="AA46" i="42"/>
  <c r="C46" i="42" s="1"/>
  <c r="Y46" i="42"/>
  <c r="M46" i="42"/>
  <c r="B46" i="42" s="1"/>
  <c r="F54" i="102" l="1"/>
  <c r="H54" i="102" s="1"/>
  <c r="J53" i="102"/>
  <c r="F51" i="99"/>
  <c r="H51" i="99" s="1"/>
  <c r="N54" i="85"/>
  <c r="P53" i="85"/>
  <c r="F50" i="83"/>
  <c r="H50" i="83" s="1"/>
  <c r="N54" i="90"/>
  <c r="P54" i="90" s="1"/>
  <c r="N53" i="91"/>
  <c r="P53" i="91" s="1"/>
  <c r="N53" i="102"/>
  <c r="P53" i="102" s="1"/>
  <c r="D52" i="102"/>
  <c r="B53" i="102"/>
  <c r="B49" i="83"/>
  <c r="D49" i="83" s="1"/>
  <c r="F54" i="86"/>
  <c r="H54" i="86" s="1"/>
  <c r="K55" i="46"/>
  <c r="H55" i="46"/>
  <c r="D56" i="61"/>
  <c r="E56" i="61" s="1"/>
  <c r="H56" i="61" s="1"/>
  <c r="C56" i="46"/>
  <c r="T56" i="46" s="1"/>
  <c r="D56" i="46"/>
  <c r="E56" i="46" s="1"/>
  <c r="I54" i="46"/>
  <c r="J54" i="46" s="1"/>
  <c r="J49" i="83"/>
  <c r="L49" i="83" s="1"/>
  <c r="B54" i="86"/>
  <c r="D54" i="86" s="1"/>
  <c r="B54" i="90"/>
  <c r="D54" i="90" s="1"/>
  <c r="D49" i="101"/>
  <c r="B50" i="101"/>
  <c r="H50" i="101"/>
  <c r="F51" i="101"/>
  <c r="L50" i="101"/>
  <c r="J51" i="101"/>
  <c r="J50" i="99"/>
  <c r="L50" i="99" s="1"/>
  <c r="B50" i="99"/>
  <c r="D50" i="99" s="1"/>
  <c r="F54" i="90"/>
  <c r="H54" i="90" s="1"/>
  <c r="J54" i="90"/>
  <c r="L54" i="90" s="1"/>
  <c r="L49" i="80"/>
  <c r="J50" i="80"/>
  <c r="J55" i="86"/>
  <c r="L54" i="86"/>
  <c r="J50" i="85"/>
  <c r="L50" i="85" s="1"/>
  <c r="B50" i="85"/>
  <c r="D50" i="85" s="1"/>
  <c r="F50" i="85"/>
  <c r="H50" i="85" s="1"/>
  <c r="D50" i="80"/>
  <c r="B51" i="80"/>
  <c r="F52" i="80"/>
  <c r="H51" i="80"/>
  <c r="AB46" i="42"/>
  <c r="V47" i="42"/>
  <c r="F46" i="42"/>
  <c r="E46" i="42"/>
  <c r="I46" i="42"/>
  <c r="H46" i="42"/>
  <c r="S66" i="42"/>
  <c r="F55" i="102" l="1"/>
  <c r="H55" i="102" s="1"/>
  <c r="L53" i="102"/>
  <c r="J54" i="102"/>
  <c r="F52" i="99"/>
  <c r="H52" i="99" s="1"/>
  <c r="F51" i="83"/>
  <c r="H51" i="83" s="1"/>
  <c r="N55" i="85"/>
  <c r="P54" i="85"/>
  <c r="N55" i="90"/>
  <c r="P55" i="90" s="1"/>
  <c r="N54" i="91"/>
  <c r="P54" i="91" s="1"/>
  <c r="N54" i="102"/>
  <c r="P54" i="102" s="1"/>
  <c r="D53" i="102"/>
  <c r="B54" i="102"/>
  <c r="B50" i="83"/>
  <c r="D50" i="83" s="1"/>
  <c r="F55" i="86"/>
  <c r="H55" i="86" s="1"/>
  <c r="J50" i="83"/>
  <c r="L50" i="83" s="1"/>
  <c r="J56" i="61"/>
  <c r="H57" i="61"/>
  <c r="H58" i="61"/>
  <c r="K56" i="46"/>
  <c r="H56" i="46"/>
  <c r="I55" i="46"/>
  <c r="J55" i="46" s="1"/>
  <c r="B55" i="86"/>
  <c r="D55" i="86" s="1"/>
  <c r="B55" i="90"/>
  <c r="D55" i="90" s="1"/>
  <c r="L51" i="101"/>
  <c r="J52" i="101"/>
  <c r="H51" i="101"/>
  <c r="F52" i="101"/>
  <c r="D50" i="101"/>
  <c r="B51" i="101"/>
  <c r="B51" i="99"/>
  <c r="D51" i="99" s="1"/>
  <c r="J51" i="99"/>
  <c r="L51" i="99" s="1"/>
  <c r="F55" i="90"/>
  <c r="H55" i="90" s="1"/>
  <c r="J55" i="90"/>
  <c r="L55" i="90" s="1"/>
  <c r="L50" i="80"/>
  <c r="J51" i="80"/>
  <c r="J56" i="86"/>
  <c r="L55" i="86"/>
  <c r="F51" i="85"/>
  <c r="H51" i="85" s="1"/>
  <c r="B51" i="85"/>
  <c r="D51" i="85" s="1"/>
  <c r="J51" i="85"/>
  <c r="L51" i="85" s="1"/>
  <c r="D51" i="80"/>
  <c r="B52" i="80"/>
  <c r="F53" i="80"/>
  <c r="H52" i="80"/>
  <c r="S67" i="42"/>
  <c r="AC47" i="42"/>
  <c r="AD47" i="42" s="1"/>
  <c r="X47" i="42"/>
  <c r="W47" i="42"/>
  <c r="F56" i="102" l="1"/>
  <c r="H56" i="102" s="1"/>
  <c r="L54" i="102"/>
  <c r="J55" i="102"/>
  <c r="F53" i="99"/>
  <c r="H53" i="99" s="1"/>
  <c r="B51" i="83"/>
  <c r="D51" i="83" s="1"/>
  <c r="F52" i="83"/>
  <c r="H52" i="83" s="1"/>
  <c r="N56" i="85"/>
  <c r="P55" i="85"/>
  <c r="N56" i="90"/>
  <c r="P56" i="90" s="1"/>
  <c r="N55" i="91"/>
  <c r="P55" i="91" s="1"/>
  <c r="N55" i="102"/>
  <c r="P55" i="102" s="1"/>
  <c r="D54" i="102"/>
  <c r="B55" i="102"/>
  <c r="F56" i="86"/>
  <c r="H56" i="86" s="1"/>
  <c r="J51" i="83"/>
  <c r="L51" i="83" s="1"/>
  <c r="F57" i="102"/>
  <c r="H57" i="102" s="1"/>
  <c r="B56" i="90"/>
  <c r="D56" i="90" s="1"/>
  <c r="I56" i="46"/>
  <c r="J56" i="46" s="1"/>
  <c r="F63" i="46"/>
  <c r="G63" i="46"/>
  <c r="G62" i="46"/>
  <c r="F62" i="46"/>
  <c r="H57" i="46"/>
  <c r="H58" i="46"/>
  <c r="H63" i="46"/>
  <c r="H62" i="46"/>
  <c r="G63" i="61"/>
  <c r="G62" i="61"/>
  <c r="J57" i="61"/>
  <c r="O29" i="61" s="1"/>
  <c r="N27" i="61"/>
  <c r="J58" i="61"/>
  <c r="B56" i="86"/>
  <c r="D56" i="86" s="1"/>
  <c r="D51" i="101"/>
  <c r="B52" i="101"/>
  <c r="H52" i="101"/>
  <c r="F53" i="101"/>
  <c r="L52" i="101"/>
  <c r="J53" i="101"/>
  <c r="J52" i="99"/>
  <c r="L52" i="99" s="1"/>
  <c r="B52" i="99"/>
  <c r="D52" i="99" s="1"/>
  <c r="J56" i="90"/>
  <c r="L56" i="90" s="1"/>
  <c r="F56" i="90"/>
  <c r="H56" i="90" s="1"/>
  <c r="L51" i="80"/>
  <c r="J52" i="80"/>
  <c r="J57" i="86"/>
  <c r="L56" i="86"/>
  <c r="J52" i="85"/>
  <c r="L52" i="85" s="1"/>
  <c r="B52" i="85"/>
  <c r="D52" i="85" s="1"/>
  <c r="F52" i="85"/>
  <c r="H52" i="85" s="1"/>
  <c r="D52" i="80"/>
  <c r="B53" i="80"/>
  <c r="F54" i="80"/>
  <c r="H53" i="80"/>
  <c r="M47" i="42"/>
  <c r="B47" i="42" s="1"/>
  <c r="Y47" i="42"/>
  <c r="S68" i="42"/>
  <c r="L55" i="102" l="1"/>
  <c r="J56" i="102"/>
  <c r="F54" i="99"/>
  <c r="H54" i="99" s="1"/>
  <c r="F53" i="83"/>
  <c r="H53" i="83" s="1"/>
  <c r="B52" i="83"/>
  <c r="D52" i="83" s="1"/>
  <c r="N57" i="85"/>
  <c r="P56" i="85"/>
  <c r="N57" i="90"/>
  <c r="P57" i="90" s="1"/>
  <c r="N56" i="91"/>
  <c r="P56" i="91" s="1"/>
  <c r="N56" i="102"/>
  <c r="P56" i="102" s="1"/>
  <c r="D55" i="102"/>
  <c r="B56" i="102"/>
  <c r="F57" i="86"/>
  <c r="H57" i="86" s="1"/>
  <c r="J52" i="83"/>
  <c r="L52" i="83" s="1"/>
  <c r="B57" i="90"/>
  <c r="D57" i="90" s="1"/>
  <c r="F58" i="102"/>
  <c r="H58" i="102" s="1"/>
  <c r="O28" i="46"/>
  <c r="P28" i="46"/>
  <c r="J58" i="46"/>
  <c r="J57" i="46"/>
  <c r="O29" i="46" s="1"/>
  <c r="N27" i="46"/>
  <c r="I57" i="46"/>
  <c r="I58" i="46"/>
  <c r="B57" i="86"/>
  <c r="D57" i="86" s="1"/>
  <c r="L53" i="101"/>
  <c r="J54" i="101"/>
  <c r="H53" i="101"/>
  <c r="F54" i="101"/>
  <c r="D52" i="101"/>
  <c r="B53" i="101"/>
  <c r="B53" i="99"/>
  <c r="D53" i="99" s="1"/>
  <c r="J53" i="99"/>
  <c r="L53" i="99" s="1"/>
  <c r="J57" i="90"/>
  <c r="L57" i="90" s="1"/>
  <c r="F57" i="90"/>
  <c r="H57" i="90" s="1"/>
  <c r="L52" i="80"/>
  <c r="J53" i="80"/>
  <c r="J58" i="86"/>
  <c r="L57" i="86"/>
  <c r="F53" i="85"/>
  <c r="H53" i="85" s="1"/>
  <c r="B53" i="85"/>
  <c r="D53" i="85" s="1"/>
  <c r="J53" i="85"/>
  <c r="L53" i="85" s="1"/>
  <c r="D53" i="80"/>
  <c r="B54" i="80"/>
  <c r="F55" i="80"/>
  <c r="H54" i="80"/>
  <c r="S69" i="42"/>
  <c r="F47" i="42"/>
  <c r="I47" i="42"/>
  <c r="H47" i="42"/>
  <c r="G47" i="42"/>
  <c r="AB47" i="42"/>
  <c r="AA47" i="42" s="1"/>
  <c r="C47" i="42" s="1"/>
  <c r="V48" i="42"/>
  <c r="F55" i="99" l="1"/>
  <c r="H55" i="99" s="1"/>
  <c r="L56" i="102"/>
  <c r="J57" i="102"/>
  <c r="B53" i="83"/>
  <c r="D53" i="83" s="1"/>
  <c r="F54" i="83"/>
  <c r="H54" i="83" s="1"/>
  <c r="N58" i="85"/>
  <c r="P57" i="85"/>
  <c r="N58" i="90"/>
  <c r="P58" i="90" s="1"/>
  <c r="N57" i="91"/>
  <c r="P57" i="91" s="1"/>
  <c r="N57" i="102"/>
  <c r="P57" i="102" s="1"/>
  <c r="D56" i="102"/>
  <c r="B57" i="102"/>
  <c r="F58" i="86"/>
  <c r="H58" i="86" s="1"/>
  <c r="J53" i="83"/>
  <c r="L53" i="83" s="1"/>
  <c r="B58" i="90"/>
  <c r="D58" i="90" s="1"/>
  <c r="F59" i="102"/>
  <c r="H59" i="102" s="1"/>
  <c r="B58" i="86"/>
  <c r="D58" i="86" s="1"/>
  <c r="D53" i="101"/>
  <c r="B54" i="101"/>
  <c r="H54" i="101"/>
  <c r="F55" i="101"/>
  <c r="L54" i="101"/>
  <c r="J55" i="101"/>
  <c r="J54" i="99"/>
  <c r="L54" i="99" s="1"/>
  <c r="B54" i="99"/>
  <c r="D54" i="99" s="1"/>
  <c r="J58" i="90"/>
  <c r="L58" i="90" s="1"/>
  <c r="F58" i="90"/>
  <c r="H58" i="90" s="1"/>
  <c r="L53" i="80"/>
  <c r="J54" i="80"/>
  <c r="J59" i="86"/>
  <c r="L58" i="86"/>
  <c r="J54" i="85"/>
  <c r="L54" i="85" s="1"/>
  <c r="B54" i="85"/>
  <c r="D54" i="85" s="1"/>
  <c r="F54" i="85"/>
  <c r="H54" i="85" s="1"/>
  <c r="D54" i="80"/>
  <c r="B55" i="80"/>
  <c r="F56" i="80"/>
  <c r="H55" i="80"/>
  <c r="AC48" i="42"/>
  <c r="AD48" i="42" s="1"/>
  <c r="X48" i="42"/>
  <c r="W48" i="42"/>
  <c r="S70" i="42"/>
  <c r="F56" i="99" l="1"/>
  <c r="H56" i="99" s="1"/>
  <c r="L57" i="102"/>
  <c r="J58" i="102"/>
  <c r="B54" i="83"/>
  <c r="D54" i="83" s="1"/>
  <c r="F55" i="83"/>
  <c r="H55" i="83" s="1"/>
  <c r="N59" i="85"/>
  <c r="P58" i="85"/>
  <c r="N59" i="90"/>
  <c r="P59" i="90" s="1"/>
  <c r="N58" i="91"/>
  <c r="P58" i="91" s="1"/>
  <c r="N58" i="102"/>
  <c r="P58" i="102" s="1"/>
  <c r="D57" i="102"/>
  <c r="B58" i="102"/>
  <c r="F59" i="86"/>
  <c r="H59" i="86" s="1"/>
  <c r="J54" i="83"/>
  <c r="L54" i="83" s="1"/>
  <c r="B59" i="90"/>
  <c r="D59" i="90" s="1"/>
  <c r="F60" i="102"/>
  <c r="H60" i="102" s="1"/>
  <c r="B59" i="86"/>
  <c r="D59" i="86" s="1"/>
  <c r="L55" i="101"/>
  <c r="J56" i="101"/>
  <c r="H55" i="101"/>
  <c r="F56" i="101"/>
  <c r="D54" i="101"/>
  <c r="B55" i="101"/>
  <c r="B55" i="99"/>
  <c r="D55" i="99" s="1"/>
  <c r="J55" i="99"/>
  <c r="L55" i="99" s="1"/>
  <c r="J59" i="90"/>
  <c r="L59" i="90" s="1"/>
  <c r="F59" i="90"/>
  <c r="H59" i="90" s="1"/>
  <c r="L54" i="80"/>
  <c r="J55" i="80"/>
  <c r="J60" i="86"/>
  <c r="L59" i="86"/>
  <c r="F55" i="85"/>
  <c r="H55" i="85" s="1"/>
  <c r="B55" i="85"/>
  <c r="D55" i="85" s="1"/>
  <c r="J55" i="85"/>
  <c r="L55" i="85" s="1"/>
  <c r="D55" i="80"/>
  <c r="B56" i="80"/>
  <c r="F57" i="80"/>
  <c r="H56" i="80"/>
  <c r="S71" i="42"/>
  <c r="M48" i="42"/>
  <c r="B48" i="42" s="1"/>
  <c r="AA48" i="42"/>
  <c r="C48" i="42" s="1"/>
  <c r="Y48" i="42"/>
  <c r="F57" i="99" l="1"/>
  <c r="H57" i="99" s="1"/>
  <c r="L58" i="102"/>
  <c r="J59" i="102"/>
  <c r="B55" i="83"/>
  <c r="D55" i="83" s="1"/>
  <c r="F56" i="83"/>
  <c r="H56" i="83" s="1"/>
  <c r="N60" i="85"/>
  <c r="P59" i="85"/>
  <c r="N60" i="90"/>
  <c r="P60" i="90" s="1"/>
  <c r="N59" i="91"/>
  <c r="P59" i="91" s="1"/>
  <c r="N59" i="102"/>
  <c r="P59" i="102" s="1"/>
  <c r="D58" i="102"/>
  <c r="B59" i="102"/>
  <c r="F60" i="86"/>
  <c r="H60" i="86" s="1"/>
  <c r="J55" i="83"/>
  <c r="L55" i="83" s="1"/>
  <c r="B60" i="90"/>
  <c r="D60" i="90" s="1"/>
  <c r="F61" i="102"/>
  <c r="H61" i="102" s="1"/>
  <c r="B60" i="86"/>
  <c r="D60" i="86" s="1"/>
  <c r="D55" i="101"/>
  <c r="B56" i="101"/>
  <c r="H56" i="101"/>
  <c r="F57" i="101"/>
  <c r="L56" i="101"/>
  <c r="J57" i="101"/>
  <c r="J56" i="99"/>
  <c r="L56" i="99" s="1"/>
  <c r="B56" i="99"/>
  <c r="D56" i="99" s="1"/>
  <c r="J60" i="90"/>
  <c r="L60" i="90" s="1"/>
  <c r="F60" i="90"/>
  <c r="H60" i="90" s="1"/>
  <c r="L55" i="80"/>
  <c r="J56" i="80"/>
  <c r="J61" i="86"/>
  <c r="L60" i="86"/>
  <c r="J56" i="85"/>
  <c r="L56" i="85" s="1"/>
  <c r="B56" i="85"/>
  <c r="D56" i="85" s="1"/>
  <c r="F56" i="85"/>
  <c r="H56" i="85" s="1"/>
  <c r="D56" i="80"/>
  <c r="B57" i="80"/>
  <c r="F58" i="80"/>
  <c r="H57" i="80"/>
  <c r="E48" i="42"/>
  <c r="I48" i="42"/>
  <c r="H48" i="42"/>
  <c r="F48" i="42"/>
  <c r="AB48" i="42"/>
  <c r="V49" i="42"/>
  <c r="S72" i="42"/>
  <c r="F58" i="99" l="1"/>
  <c r="H58" i="99" s="1"/>
  <c r="L59" i="102"/>
  <c r="J60" i="102"/>
  <c r="B56" i="83"/>
  <c r="D56" i="83" s="1"/>
  <c r="F57" i="83"/>
  <c r="H57" i="83" s="1"/>
  <c r="N61" i="85"/>
  <c r="P60" i="85"/>
  <c r="N61" i="90"/>
  <c r="P61" i="90" s="1"/>
  <c r="N60" i="91"/>
  <c r="P60" i="91" s="1"/>
  <c r="N60" i="102"/>
  <c r="P60" i="102" s="1"/>
  <c r="D59" i="102"/>
  <c r="B60" i="102"/>
  <c r="F61" i="86"/>
  <c r="H61" i="86" s="1"/>
  <c r="J56" i="83"/>
  <c r="L56" i="83" s="1"/>
  <c r="B61" i="90"/>
  <c r="D61" i="90" s="1"/>
  <c r="B61" i="86"/>
  <c r="D61" i="86" s="1"/>
  <c r="F62" i="102"/>
  <c r="H62" i="102" s="1"/>
  <c r="L57" i="101"/>
  <c r="J58" i="101"/>
  <c r="H57" i="101"/>
  <c r="F58" i="101"/>
  <c r="D56" i="101"/>
  <c r="B57" i="101"/>
  <c r="B57" i="99"/>
  <c r="D57" i="99" s="1"/>
  <c r="J57" i="99"/>
  <c r="L57" i="99" s="1"/>
  <c r="J61" i="90"/>
  <c r="L61" i="90" s="1"/>
  <c r="F61" i="90"/>
  <c r="H61" i="90" s="1"/>
  <c r="L56" i="80"/>
  <c r="J57" i="80"/>
  <c r="J62" i="86"/>
  <c r="L61" i="86"/>
  <c r="F57" i="85"/>
  <c r="H57" i="85" s="1"/>
  <c r="B57" i="85"/>
  <c r="D57" i="85" s="1"/>
  <c r="J57" i="85"/>
  <c r="L57" i="85" s="1"/>
  <c r="D57" i="80"/>
  <c r="B58" i="80"/>
  <c r="F59" i="80"/>
  <c r="H58" i="80"/>
  <c r="AC49" i="42"/>
  <c r="AD49" i="42" s="1"/>
  <c r="X49" i="42"/>
  <c r="W49" i="42"/>
  <c r="S73" i="42"/>
  <c r="F59" i="99" l="1"/>
  <c r="H59" i="99" s="1"/>
  <c r="L60" i="102"/>
  <c r="J61" i="102"/>
  <c r="B57" i="83"/>
  <c r="D57" i="83" s="1"/>
  <c r="F58" i="83"/>
  <c r="H58" i="83" s="1"/>
  <c r="N62" i="85"/>
  <c r="P61" i="85"/>
  <c r="N62" i="90"/>
  <c r="P62" i="90" s="1"/>
  <c r="N61" i="91"/>
  <c r="P61" i="91" s="1"/>
  <c r="N61" i="102"/>
  <c r="P61" i="102" s="1"/>
  <c r="D60" i="102"/>
  <c r="B61" i="102"/>
  <c r="F62" i="86"/>
  <c r="H62" i="86" s="1"/>
  <c r="J57" i="83"/>
  <c r="L57" i="83" s="1"/>
  <c r="B62" i="90"/>
  <c r="D62" i="90" s="1"/>
  <c r="B62" i="86"/>
  <c r="D62" i="86" s="1"/>
  <c r="F63" i="102"/>
  <c r="H63" i="102" s="1"/>
  <c r="D57" i="101"/>
  <c r="B58" i="101"/>
  <c r="H58" i="101"/>
  <c r="F59" i="101"/>
  <c r="L58" i="101"/>
  <c r="J59" i="101"/>
  <c r="J58" i="99"/>
  <c r="L58" i="99" s="1"/>
  <c r="B58" i="99"/>
  <c r="D58" i="99" s="1"/>
  <c r="J62" i="90"/>
  <c r="L62" i="90" s="1"/>
  <c r="F62" i="90"/>
  <c r="H62" i="90" s="1"/>
  <c r="L57" i="80"/>
  <c r="J58" i="80"/>
  <c r="J63" i="86"/>
  <c r="L62" i="86"/>
  <c r="J58" i="85"/>
  <c r="L58" i="85" s="1"/>
  <c r="B58" i="85"/>
  <c r="D58" i="85" s="1"/>
  <c r="F58" i="85"/>
  <c r="H58" i="85" s="1"/>
  <c r="D58" i="80"/>
  <c r="B59" i="80"/>
  <c r="F60" i="80"/>
  <c r="H59" i="80"/>
  <c r="S74" i="42"/>
  <c r="Y49" i="42"/>
  <c r="M49" i="42"/>
  <c r="B49" i="42" s="1"/>
  <c r="F60" i="99" l="1"/>
  <c r="H60" i="99" s="1"/>
  <c r="L61" i="102"/>
  <c r="J62" i="102"/>
  <c r="B58" i="83"/>
  <c r="D58" i="83" s="1"/>
  <c r="F59" i="83"/>
  <c r="H59" i="83" s="1"/>
  <c r="N63" i="85"/>
  <c r="P62" i="85"/>
  <c r="N63" i="90"/>
  <c r="P63" i="90" s="1"/>
  <c r="N62" i="91"/>
  <c r="P62" i="91" s="1"/>
  <c r="N62" i="102"/>
  <c r="P62" i="102" s="1"/>
  <c r="D61" i="102"/>
  <c r="B62" i="102"/>
  <c r="F63" i="86"/>
  <c r="H63" i="86" s="1"/>
  <c r="J58" i="83"/>
  <c r="L58" i="83" s="1"/>
  <c r="B63" i="86"/>
  <c r="D63" i="86" s="1"/>
  <c r="B63" i="90"/>
  <c r="D63" i="90" s="1"/>
  <c r="F64" i="102"/>
  <c r="H64" i="102" s="1"/>
  <c r="L59" i="101"/>
  <c r="J60" i="101"/>
  <c r="H59" i="101"/>
  <c r="F60" i="101"/>
  <c r="D58" i="101"/>
  <c r="B59" i="101"/>
  <c r="B59" i="99"/>
  <c r="D59" i="99" s="1"/>
  <c r="J59" i="99"/>
  <c r="L59" i="99" s="1"/>
  <c r="J63" i="90"/>
  <c r="L63" i="90" s="1"/>
  <c r="F63" i="90"/>
  <c r="H63" i="90" s="1"/>
  <c r="L58" i="80"/>
  <c r="J59" i="80"/>
  <c r="J64" i="86"/>
  <c r="L63" i="86"/>
  <c r="F59" i="85"/>
  <c r="H59" i="85" s="1"/>
  <c r="B59" i="85"/>
  <c r="D59" i="85" s="1"/>
  <c r="J59" i="85"/>
  <c r="L59" i="85" s="1"/>
  <c r="D59" i="80"/>
  <c r="B60" i="80"/>
  <c r="F61" i="80"/>
  <c r="H60" i="80"/>
  <c r="AB49" i="42"/>
  <c r="AA49" i="42" s="1"/>
  <c r="C49" i="42" s="1"/>
  <c r="V50" i="42"/>
  <c r="I49" i="42"/>
  <c r="H49" i="42"/>
  <c r="G49" i="42"/>
  <c r="F49" i="42"/>
  <c r="S75" i="42"/>
  <c r="F61" i="99" l="1"/>
  <c r="H61" i="99" s="1"/>
  <c r="L62" i="102"/>
  <c r="J63" i="102"/>
  <c r="B59" i="83"/>
  <c r="D59" i="83" s="1"/>
  <c r="F60" i="83"/>
  <c r="H60" i="83" s="1"/>
  <c r="N64" i="85"/>
  <c r="P63" i="85"/>
  <c r="N64" i="90"/>
  <c r="P64" i="90" s="1"/>
  <c r="N63" i="91"/>
  <c r="P63" i="91" s="1"/>
  <c r="N63" i="102"/>
  <c r="P63" i="102" s="1"/>
  <c r="J59" i="83"/>
  <c r="L59" i="83" s="1"/>
  <c r="D62" i="102"/>
  <c r="B63" i="102"/>
  <c r="F64" i="86"/>
  <c r="H64" i="86" s="1"/>
  <c r="B64" i="90"/>
  <c r="D64" i="90" s="1"/>
  <c r="B64" i="86"/>
  <c r="D64" i="86" s="1"/>
  <c r="F65" i="102"/>
  <c r="H65" i="102" s="1"/>
  <c r="D59" i="101"/>
  <c r="B60" i="101"/>
  <c r="H60" i="101"/>
  <c r="F61" i="101"/>
  <c r="L60" i="101"/>
  <c r="J61" i="101"/>
  <c r="J60" i="99"/>
  <c r="L60" i="99" s="1"/>
  <c r="B60" i="99"/>
  <c r="D60" i="99" s="1"/>
  <c r="J64" i="90"/>
  <c r="L64" i="90" s="1"/>
  <c r="F64" i="90"/>
  <c r="H64" i="90" s="1"/>
  <c r="L59" i="80"/>
  <c r="J60" i="80"/>
  <c r="J65" i="86"/>
  <c r="L64" i="86"/>
  <c r="J60" i="85"/>
  <c r="L60" i="85" s="1"/>
  <c r="B60" i="85"/>
  <c r="D60" i="85" s="1"/>
  <c r="F60" i="85"/>
  <c r="H60" i="85" s="1"/>
  <c r="D60" i="80"/>
  <c r="B61" i="80"/>
  <c r="F62" i="80"/>
  <c r="H61" i="80"/>
  <c r="S76" i="42"/>
  <c r="AC50" i="42"/>
  <c r="AD50" i="42" s="1"/>
  <c r="X50" i="42"/>
  <c r="W50" i="42"/>
  <c r="F62" i="99" l="1"/>
  <c r="H62" i="99" s="1"/>
  <c r="B60" i="83"/>
  <c r="D60" i="83" s="1"/>
  <c r="L63" i="102"/>
  <c r="J64" i="102"/>
  <c r="F61" i="83"/>
  <c r="H61" i="83" s="1"/>
  <c r="N65" i="85"/>
  <c r="P64" i="85"/>
  <c r="N65" i="90"/>
  <c r="P65" i="90" s="1"/>
  <c r="N64" i="91"/>
  <c r="P64" i="91" s="1"/>
  <c r="F65" i="86"/>
  <c r="H65" i="86" s="1"/>
  <c r="J60" i="83"/>
  <c r="L60" i="83" s="1"/>
  <c r="N64" i="102"/>
  <c r="P64" i="102" s="1"/>
  <c r="D63" i="102"/>
  <c r="B64" i="102"/>
  <c r="B65" i="90"/>
  <c r="D65" i="90" s="1"/>
  <c r="B65" i="86"/>
  <c r="D65" i="86" s="1"/>
  <c r="F66" i="102"/>
  <c r="H66" i="102" s="1"/>
  <c r="L61" i="101"/>
  <c r="J62" i="101"/>
  <c r="H61" i="101"/>
  <c r="F62" i="101"/>
  <c r="D60" i="101"/>
  <c r="B61" i="101"/>
  <c r="B61" i="99"/>
  <c r="D61" i="99" s="1"/>
  <c r="J61" i="99"/>
  <c r="L61" i="99" s="1"/>
  <c r="J65" i="90"/>
  <c r="L65" i="90" s="1"/>
  <c r="F65" i="90"/>
  <c r="H65" i="90" s="1"/>
  <c r="L60" i="80"/>
  <c r="J61" i="80"/>
  <c r="J66" i="86"/>
  <c r="L65" i="86"/>
  <c r="F61" i="85"/>
  <c r="H61" i="85" s="1"/>
  <c r="B61" i="85"/>
  <c r="D61" i="85" s="1"/>
  <c r="J61" i="85"/>
  <c r="L61" i="85" s="1"/>
  <c r="D61" i="80"/>
  <c r="B62" i="80"/>
  <c r="F63" i="80"/>
  <c r="H62" i="80"/>
  <c r="M50" i="42"/>
  <c r="B50" i="42" s="1"/>
  <c r="Y50" i="42"/>
  <c r="AA50" i="42"/>
  <c r="C50" i="42" s="1"/>
  <c r="S77" i="42"/>
  <c r="F63" i="99" l="1"/>
  <c r="H63" i="99" s="1"/>
  <c r="B61" i="83"/>
  <c r="D61" i="83" s="1"/>
  <c r="L64" i="102"/>
  <c r="J65" i="102"/>
  <c r="F62" i="83"/>
  <c r="H62" i="83" s="1"/>
  <c r="F66" i="86"/>
  <c r="H66" i="86" s="1"/>
  <c r="J61" i="83"/>
  <c r="L61" i="83" s="1"/>
  <c r="N66" i="85"/>
  <c r="P65" i="85"/>
  <c r="N66" i="90"/>
  <c r="P66" i="90" s="1"/>
  <c r="N65" i="91"/>
  <c r="P65" i="91" s="1"/>
  <c r="N65" i="102"/>
  <c r="P65" i="102" s="1"/>
  <c r="D64" i="102"/>
  <c r="B65" i="102"/>
  <c r="B66" i="90"/>
  <c r="D66" i="90" s="1"/>
  <c r="B66" i="86"/>
  <c r="D66" i="86" s="1"/>
  <c r="F67" i="102"/>
  <c r="H67" i="102" s="1"/>
  <c r="D61" i="101"/>
  <c r="B62" i="101"/>
  <c r="H62" i="101"/>
  <c r="F63" i="101"/>
  <c r="L62" i="101"/>
  <c r="J63" i="101"/>
  <c r="J62" i="99"/>
  <c r="L62" i="99" s="1"/>
  <c r="B62" i="99"/>
  <c r="D62" i="99" s="1"/>
  <c r="J66" i="90"/>
  <c r="L66" i="90" s="1"/>
  <c r="F66" i="90"/>
  <c r="H66" i="90" s="1"/>
  <c r="L61" i="80"/>
  <c r="J62" i="80"/>
  <c r="J67" i="86"/>
  <c r="L66" i="86"/>
  <c r="J62" i="85"/>
  <c r="L62" i="85" s="1"/>
  <c r="B62" i="85"/>
  <c r="D62" i="85" s="1"/>
  <c r="F62" i="85"/>
  <c r="H62" i="85" s="1"/>
  <c r="D62" i="80"/>
  <c r="B63" i="80"/>
  <c r="F64" i="80"/>
  <c r="H63" i="80"/>
  <c r="S78" i="42"/>
  <c r="I50" i="42"/>
  <c r="H50" i="42"/>
  <c r="F50" i="42"/>
  <c r="E50" i="42"/>
  <c r="AB50" i="42"/>
  <c r="V51" i="42"/>
  <c r="F64" i="99" l="1"/>
  <c r="H64" i="99" s="1"/>
  <c r="B62" i="83"/>
  <c r="D62" i="83" s="1"/>
  <c r="L65" i="102"/>
  <c r="J66" i="102"/>
  <c r="F63" i="83"/>
  <c r="H63" i="83" s="1"/>
  <c r="J62" i="83"/>
  <c r="L62" i="83" s="1"/>
  <c r="F67" i="86"/>
  <c r="H67" i="86" s="1"/>
  <c r="N67" i="85"/>
  <c r="P66" i="85"/>
  <c r="N67" i="90"/>
  <c r="P67" i="90" s="1"/>
  <c r="N66" i="91"/>
  <c r="P66" i="91" s="1"/>
  <c r="N66" i="102"/>
  <c r="P66" i="102" s="1"/>
  <c r="D65" i="102"/>
  <c r="B66" i="102"/>
  <c r="B67" i="90"/>
  <c r="D67" i="90" s="1"/>
  <c r="B67" i="86"/>
  <c r="D67" i="86" s="1"/>
  <c r="F68" i="102"/>
  <c r="H68" i="102" s="1"/>
  <c r="L63" i="101"/>
  <c r="J64" i="101"/>
  <c r="H63" i="101"/>
  <c r="F64" i="101"/>
  <c r="D62" i="101"/>
  <c r="B63" i="101"/>
  <c r="B63" i="99"/>
  <c r="D63" i="99" s="1"/>
  <c r="J63" i="99"/>
  <c r="L63" i="99" s="1"/>
  <c r="J67" i="90"/>
  <c r="L67" i="90" s="1"/>
  <c r="F67" i="90"/>
  <c r="H67" i="90" s="1"/>
  <c r="L62" i="80"/>
  <c r="J63" i="80"/>
  <c r="J68" i="86"/>
  <c r="L67" i="86"/>
  <c r="F63" i="85"/>
  <c r="H63" i="85" s="1"/>
  <c r="B63" i="85"/>
  <c r="D63" i="85" s="1"/>
  <c r="J63" i="85"/>
  <c r="L63" i="85" s="1"/>
  <c r="D63" i="80"/>
  <c r="B64" i="80"/>
  <c r="F65" i="80"/>
  <c r="H64" i="80"/>
  <c r="AC51" i="42"/>
  <c r="AD51" i="42" s="1"/>
  <c r="X51" i="42"/>
  <c r="W51" i="42"/>
  <c r="S79" i="42"/>
  <c r="F65" i="99" l="1"/>
  <c r="H65" i="99" s="1"/>
  <c r="B63" i="83"/>
  <c r="D63" i="83" s="1"/>
  <c r="L66" i="102"/>
  <c r="J67" i="102"/>
  <c r="F64" i="83"/>
  <c r="H64" i="83" s="1"/>
  <c r="J63" i="83"/>
  <c r="L63" i="83" s="1"/>
  <c r="F68" i="86"/>
  <c r="H68" i="86" s="1"/>
  <c r="N68" i="85"/>
  <c r="P67" i="85"/>
  <c r="N68" i="90"/>
  <c r="P68" i="90" s="1"/>
  <c r="B68" i="90"/>
  <c r="D68" i="90" s="1"/>
  <c r="N67" i="91"/>
  <c r="P67" i="91" s="1"/>
  <c r="N67" i="102"/>
  <c r="P67" i="102" s="1"/>
  <c r="D66" i="102"/>
  <c r="B67" i="102"/>
  <c r="B68" i="86"/>
  <c r="D68" i="86" s="1"/>
  <c r="F69" i="102"/>
  <c r="H69" i="102" s="1"/>
  <c r="H64" i="101"/>
  <c r="F65" i="101"/>
  <c r="L64" i="101"/>
  <c r="J65" i="101"/>
  <c r="D63" i="101"/>
  <c r="B64" i="101"/>
  <c r="J64" i="99"/>
  <c r="L64" i="99" s="1"/>
  <c r="B64" i="99"/>
  <c r="D64" i="99" s="1"/>
  <c r="J68" i="90"/>
  <c r="L68" i="90" s="1"/>
  <c r="F68" i="90"/>
  <c r="H68" i="90" s="1"/>
  <c r="L63" i="80"/>
  <c r="J64" i="80"/>
  <c r="J69" i="86"/>
  <c r="L68" i="86"/>
  <c r="J64" i="85"/>
  <c r="L64" i="85" s="1"/>
  <c r="B64" i="85"/>
  <c r="D64" i="85" s="1"/>
  <c r="F64" i="85"/>
  <c r="H64" i="85" s="1"/>
  <c r="D64" i="80"/>
  <c r="B65" i="80"/>
  <c r="F66" i="80"/>
  <c r="H65" i="80"/>
  <c r="S80" i="42"/>
  <c r="Y51" i="42"/>
  <c r="M51" i="42"/>
  <c r="B51" i="42" s="1"/>
  <c r="F66" i="99" l="1"/>
  <c r="H66" i="99" s="1"/>
  <c r="B64" i="83"/>
  <c r="D64" i="83" s="1"/>
  <c r="L67" i="102"/>
  <c r="J68" i="102"/>
  <c r="F65" i="83"/>
  <c r="H65" i="83" s="1"/>
  <c r="J64" i="83"/>
  <c r="L64" i="83" s="1"/>
  <c r="F69" i="86"/>
  <c r="H69" i="86" s="1"/>
  <c r="B69" i="90"/>
  <c r="D69" i="90" s="1"/>
  <c r="N69" i="85"/>
  <c r="P68" i="85"/>
  <c r="N69" i="90"/>
  <c r="P69" i="90" s="1"/>
  <c r="N68" i="91"/>
  <c r="P68" i="91" s="1"/>
  <c r="N68" i="102"/>
  <c r="P68" i="102" s="1"/>
  <c r="D67" i="102"/>
  <c r="B68" i="102"/>
  <c r="B69" i="86"/>
  <c r="D69" i="86" s="1"/>
  <c r="F70" i="102"/>
  <c r="H70" i="102" s="1"/>
  <c r="D64" i="101"/>
  <c r="B65" i="101"/>
  <c r="L65" i="101"/>
  <c r="J66" i="101"/>
  <c r="H65" i="101"/>
  <c r="F66" i="101"/>
  <c r="J69" i="90"/>
  <c r="L69" i="90" s="1"/>
  <c r="B65" i="99"/>
  <c r="D65" i="99" s="1"/>
  <c r="F67" i="99"/>
  <c r="H67" i="99" s="1"/>
  <c r="J65" i="99"/>
  <c r="L65" i="99" s="1"/>
  <c r="F69" i="90"/>
  <c r="H69" i="90" s="1"/>
  <c r="L64" i="80"/>
  <c r="J65" i="80"/>
  <c r="J70" i="86"/>
  <c r="L69" i="86"/>
  <c r="F65" i="85"/>
  <c r="H65" i="85" s="1"/>
  <c r="B65" i="85"/>
  <c r="D65" i="85" s="1"/>
  <c r="J65" i="85"/>
  <c r="L65" i="85" s="1"/>
  <c r="D65" i="80"/>
  <c r="B66" i="80"/>
  <c r="F67" i="80"/>
  <c r="H66" i="80"/>
  <c r="I51" i="42"/>
  <c r="H51" i="42"/>
  <c r="G51" i="42"/>
  <c r="F51" i="42"/>
  <c r="AB51" i="42"/>
  <c r="AA51" i="42" s="1"/>
  <c r="C51" i="42" s="1"/>
  <c r="V52" i="42"/>
  <c r="S81" i="42"/>
  <c r="B65" i="83" l="1"/>
  <c r="D65" i="83" s="1"/>
  <c r="F66" i="83"/>
  <c r="H66" i="83" s="1"/>
  <c r="J65" i="83"/>
  <c r="L65" i="83" s="1"/>
  <c r="L68" i="102"/>
  <c r="J69" i="102"/>
  <c r="F70" i="86"/>
  <c r="H70" i="86" s="1"/>
  <c r="B70" i="90"/>
  <c r="D70" i="90" s="1"/>
  <c r="N70" i="85"/>
  <c r="P69" i="85"/>
  <c r="N70" i="90"/>
  <c r="P70" i="90" s="1"/>
  <c r="N69" i="91"/>
  <c r="P69" i="91" s="1"/>
  <c r="N69" i="102"/>
  <c r="P69" i="102" s="1"/>
  <c r="D68" i="102"/>
  <c r="B69" i="102"/>
  <c r="B70" i="86"/>
  <c r="D70" i="86" s="1"/>
  <c r="F71" i="102"/>
  <c r="H71" i="102" s="1"/>
  <c r="H66" i="101"/>
  <c r="F67" i="101"/>
  <c r="L66" i="101"/>
  <c r="J67" i="101"/>
  <c r="D65" i="101"/>
  <c r="B66" i="101"/>
  <c r="J70" i="90"/>
  <c r="L70" i="90" s="1"/>
  <c r="J66" i="99"/>
  <c r="L66" i="99" s="1"/>
  <c r="F68" i="99"/>
  <c r="H68" i="99" s="1"/>
  <c r="B66" i="99"/>
  <c r="D66" i="99" s="1"/>
  <c r="F70" i="90"/>
  <c r="H70" i="90" s="1"/>
  <c r="L65" i="80"/>
  <c r="J66" i="80"/>
  <c r="J71" i="86"/>
  <c r="L70" i="86"/>
  <c r="J66" i="85"/>
  <c r="L66" i="85" s="1"/>
  <c r="B66" i="85"/>
  <c r="D66" i="85" s="1"/>
  <c r="F66" i="85"/>
  <c r="H66" i="85" s="1"/>
  <c r="D66" i="80"/>
  <c r="B67" i="80"/>
  <c r="F67" i="83"/>
  <c r="H67" i="83" s="1"/>
  <c r="F68" i="80"/>
  <c r="H67" i="80"/>
  <c r="AC52" i="42"/>
  <c r="AD52" i="42" s="1"/>
  <c r="X52" i="42"/>
  <c r="W52" i="42"/>
  <c r="S82" i="42"/>
  <c r="B66" i="83" l="1"/>
  <c r="D66" i="83" s="1"/>
  <c r="J66" i="83"/>
  <c r="L66" i="83" s="1"/>
  <c r="F71" i="86"/>
  <c r="H71" i="86" s="1"/>
  <c r="L69" i="102"/>
  <c r="J70" i="102"/>
  <c r="B71" i="90"/>
  <c r="D71" i="90" s="1"/>
  <c r="N71" i="85"/>
  <c r="P70" i="85"/>
  <c r="N71" i="90"/>
  <c r="P71" i="90" s="1"/>
  <c r="N70" i="91"/>
  <c r="P70" i="91" s="1"/>
  <c r="N70" i="102"/>
  <c r="P70" i="102" s="1"/>
  <c r="D69" i="102"/>
  <c r="B70" i="102"/>
  <c r="B71" i="86"/>
  <c r="D71" i="86" s="1"/>
  <c r="F72" i="102"/>
  <c r="H72" i="102" s="1"/>
  <c r="J71" i="90"/>
  <c r="L71" i="90" s="1"/>
  <c r="D66" i="101"/>
  <c r="B67" i="101"/>
  <c r="L67" i="101"/>
  <c r="J68" i="101"/>
  <c r="H67" i="101"/>
  <c r="F68" i="101"/>
  <c r="B67" i="99"/>
  <c r="D67" i="99" s="1"/>
  <c r="F69" i="99"/>
  <c r="H69" i="99" s="1"/>
  <c r="J67" i="99"/>
  <c r="L67" i="99" s="1"/>
  <c r="F71" i="90"/>
  <c r="H71" i="90" s="1"/>
  <c r="L66" i="80"/>
  <c r="J67" i="80"/>
  <c r="B67" i="83"/>
  <c r="D67" i="83" s="1"/>
  <c r="J72" i="86"/>
  <c r="L71" i="86"/>
  <c r="F67" i="85"/>
  <c r="H67" i="85" s="1"/>
  <c r="B67" i="85"/>
  <c r="D67" i="85" s="1"/>
  <c r="J67" i="85"/>
  <c r="L67" i="85" s="1"/>
  <c r="D67" i="80"/>
  <c r="B68" i="80"/>
  <c r="F68" i="83"/>
  <c r="H68" i="83" s="1"/>
  <c r="F69" i="80"/>
  <c r="H68" i="80"/>
  <c r="M52" i="42"/>
  <c r="B52" i="42" s="1"/>
  <c r="AA52" i="42"/>
  <c r="C52" i="42" s="1"/>
  <c r="Y52" i="42"/>
  <c r="S83" i="42"/>
  <c r="J67" i="83" l="1"/>
  <c r="L67" i="83" s="1"/>
  <c r="F72" i="86"/>
  <c r="H72" i="86" s="1"/>
  <c r="L70" i="102"/>
  <c r="J71" i="102"/>
  <c r="B72" i="90"/>
  <c r="D72" i="90" s="1"/>
  <c r="N72" i="85"/>
  <c r="P71" i="85"/>
  <c r="N72" i="90"/>
  <c r="P72" i="90" s="1"/>
  <c r="N71" i="91"/>
  <c r="P71" i="91" s="1"/>
  <c r="N71" i="102"/>
  <c r="P71" i="102" s="1"/>
  <c r="D70" i="102"/>
  <c r="B71" i="102"/>
  <c r="B72" i="86"/>
  <c r="D72" i="86" s="1"/>
  <c r="F73" i="102"/>
  <c r="H73" i="102" s="1"/>
  <c r="J72" i="90"/>
  <c r="L72" i="90" s="1"/>
  <c r="H68" i="101"/>
  <c r="F69" i="101"/>
  <c r="L68" i="101"/>
  <c r="J69" i="101"/>
  <c r="D67" i="101"/>
  <c r="B68" i="101"/>
  <c r="J68" i="99"/>
  <c r="L68" i="99" s="1"/>
  <c r="F70" i="99"/>
  <c r="H70" i="99" s="1"/>
  <c r="B68" i="99"/>
  <c r="D68" i="99" s="1"/>
  <c r="F72" i="90"/>
  <c r="H72" i="90" s="1"/>
  <c r="L67" i="80"/>
  <c r="J68" i="80"/>
  <c r="B68" i="83"/>
  <c r="D68" i="83" s="1"/>
  <c r="J73" i="86"/>
  <c r="L72" i="86"/>
  <c r="J68" i="85"/>
  <c r="L68" i="85" s="1"/>
  <c r="B68" i="85"/>
  <c r="D68" i="85" s="1"/>
  <c r="F68" i="85"/>
  <c r="H68" i="85" s="1"/>
  <c r="D68" i="80"/>
  <c r="B69" i="80"/>
  <c r="F69" i="83"/>
  <c r="H69" i="83" s="1"/>
  <c r="F70" i="80"/>
  <c r="H69" i="80"/>
  <c r="S84" i="42"/>
  <c r="H52" i="42"/>
  <c r="F52" i="42"/>
  <c r="E52" i="42"/>
  <c r="I52" i="42"/>
  <c r="AB52" i="42"/>
  <c r="V53" i="42"/>
  <c r="J68" i="83" l="1"/>
  <c r="L68" i="83" s="1"/>
  <c r="F73" i="86"/>
  <c r="H73" i="86" s="1"/>
  <c r="L71" i="102"/>
  <c r="J72" i="102"/>
  <c r="B73" i="90"/>
  <c r="D73" i="90" s="1"/>
  <c r="N73" i="85"/>
  <c r="P72" i="85"/>
  <c r="N73" i="90"/>
  <c r="P73" i="90" s="1"/>
  <c r="N72" i="91"/>
  <c r="P72" i="91" s="1"/>
  <c r="N72" i="102"/>
  <c r="P72" i="102" s="1"/>
  <c r="D71" i="102"/>
  <c r="B72" i="102"/>
  <c r="B73" i="86"/>
  <c r="D73" i="86" s="1"/>
  <c r="F74" i="102"/>
  <c r="H74" i="102" s="1"/>
  <c r="J73" i="90"/>
  <c r="L73" i="90" s="1"/>
  <c r="D68" i="101"/>
  <c r="B69" i="101"/>
  <c r="L69" i="101"/>
  <c r="J70" i="101"/>
  <c r="H69" i="101"/>
  <c r="F70" i="101"/>
  <c r="B69" i="99"/>
  <c r="D69" i="99" s="1"/>
  <c r="F71" i="99"/>
  <c r="H71" i="99" s="1"/>
  <c r="J69" i="99"/>
  <c r="L69" i="99" s="1"/>
  <c r="F73" i="90"/>
  <c r="H73" i="90" s="1"/>
  <c r="L68" i="80"/>
  <c r="J69" i="80"/>
  <c r="B69" i="83"/>
  <c r="D69" i="83" s="1"/>
  <c r="J74" i="86"/>
  <c r="L73" i="86"/>
  <c r="F69" i="85"/>
  <c r="H69" i="85" s="1"/>
  <c r="B69" i="85"/>
  <c r="D69" i="85" s="1"/>
  <c r="J69" i="85"/>
  <c r="L69" i="85" s="1"/>
  <c r="D69" i="80"/>
  <c r="B70" i="80"/>
  <c r="F70" i="83"/>
  <c r="H70" i="83" s="1"/>
  <c r="F71" i="80"/>
  <c r="H70" i="80"/>
  <c r="AC53" i="42"/>
  <c r="AD53" i="42" s="1"/>
  <c r="W53" i="42"/>
  <c r="X53" i="42"/>
  <c r="S85" i="42"/>
  <c r="J69" i="83" l="1"/>
  <c r="L69" i="83" s="1"/>
  <c r="F74" i="86"/>
  <c r="H74" i="86" s="1"/>
  <c r="L72" i="102"/>
  <c r="J73" i="102"/>
  <c r="B74" i="90"/>
  <c r="D74" i="90" s="1"/>
  <c r="N74" i="85"/>
  <c r="P73" i="85"/>
  <c r="N74" i="90"/>
  <c r="P74" i="90" s="1"/>
  <c r="N73" i="91"/>
  <c r="P73" i="91" s="1"/>
  <c r="N73" i="102"/>
  <c r="P73" i="102" s="1"/>
  <c r="D72" i="102"/>
  <c r="B73" i="102"/>
  <c r="B74" i="86"/>
  <c r="D74" i="86" s="1"/>
  <c r="F75" i="102"/>
  <c r="H75" i="102" s="1"/>
  <c r="J74" i="90"/>
  <c r="L74" i="90" s="1"/>
  <c r="H70" i="101"/>
  <c r="F71" i="101"/>
  <c r="L70" i="101"/>
  <c r="J71" i="101"/>
  <c r="D69" i="101"/>
  <c r="B70" i="101"/>
  <c r="F74" i="90"/>
  <c r="H74" i="90" s="1"/>
  <c r="J70" i="99"/>
  <c r="L70" i="99" s="1"/>
  <c r="F72" i="99"/>
  <c r="H72" i="99" s="1"/>
  <c r="B70" i="99"/>
  <c r="D70" i="99" s="1"/>
  <c r="L69" i="80"/>
  <c r="J70" i="80"/>
  <c r="B70" i="83"/>
  <c r="D70" i="83" s="1"/>
  <c r="J75" i="86"/>
  <c r="L74" i="86"/>
  <c r="J70" i="85"/>
  <c r="L70" i="85" s="1"/>
  <c r="B70" i="85"/>
  <c r="D70" i="85" s="1"/>
  <c r="F70" i="85"/>
  <c r="H70" i="85" s="1"/>
  <c r="D70" i="80"/>
  <c r="B71" i="80"/>
  <c r="F71" i="83"/>
  <c r="H71" i="83" s="1"/>
  <c r="F72" i="80"/>
  <c r="H71" i="80"/>
  <c r="S86" i="42"/>
  <c r="M53" i="42"/>
  <c r="B53" i="42" s="1"/>
  <c r="Y53" i="42"/>
  <c r="J70" i="83" l="1"/>
  <c r="L70" i="83" s="1"/>
  <c r="F75" i="86"/>
  <c r="H75" i="86" s="1"/>
  <c r="L73" i="102"/>
  <c r="J74" i="102"/>
  <c r="B75" i="90"/>
  <c r="D75" i="90" s="1"/>
  <c r="N75" i="85"/>
  <c r="P74" i="85"/>
  <c r="N75" i="90"/>
  <c r="P75" i="90" s="1"/>
  <c r="N74" i="91"/>
  <c r="P74" i="91" s="1"/>
  <c r="N74" i="102"/>
  <c r="P74" i="102" s="1"/>
  <c r="B75" i="86"/>
  <c r="D75" i="86" s="1"/>
  <c r="D73" i="102"/>
  <c r="B74" i="102"/>
  <c r="F76" i="102"/>
  <c r="H76" i="102" s="1"/>
  <c r="J75" i="90"/>
  <c r="L75" i="90" s="1"/>
  <c r="D70" i="101"/>
  <c r="B71" i="101"/>
  <c r="L71" i="101"/>
  <c r="J72" i="101"/>
  <c r="H71" i="101"/>
  <c r="F72" i="101"/>
  <c r="F75" i="90"/>
  <c r="H75" i="90" s="1"/>
  <c r="B71" i="99"/>
  <c r="D71" i="99" s="1"/>
  <c r="F73" i="99"/>
  <c r="H73" i="99" s="1"/>
  <c r="J71" i="99"/>
  <c r="L71" i="99" s="1"/>
  <c r="L70" i="80"/>
  <c r="J71" i="80"/>
  <c r="B71" i="83"/>
  <c r="D71" i="83" s="1"/>
  <c r="J76" i="86"/>
  <c r="L75" i="86"/>
  <c r="F71" i="85"/>
  <c r="H71" i="85" s="1"/>
  <c r="B71" i="85"/>
  <c r="D71" i="85" s="1"/>
  <c r="J71" i="85"/>
  <c r="L71" i="85" s="1"/>
  <c r="D71" i="80"/>
  <c r="B72" i="80"/>
  <c r="F72" i="83"/>
  <c r="H72" i="83" s="1"/>
  <c r="F73" i="80"/>
  <c r="H72" i="80"/>
  <c r="I53" i="42"/>
  <c r="G53" i="42"/>
  <c r="F53" i="42"/>
  <c r="H53" i="42"/>
  <c r="AB53" i="42"/>
  <c r="AA53" i="42" s="1"/>
  <c r="C53" i="42" s="1"/>
  <c r="V54" i="42"/>
  <c r="S87" i="42"/>
  <c r="J71" i="83" l="1"/>
  <c r="L71" i="83" s="1"/>
  <c r="F76" i="86"/>
  <c r="H76" i="86" s="1"/>
  <c r="L74" i="102"/>
  <c r="J75" i="102"/>
  <c r="B76" i="90"/>
  <c r="D76" i="90" s="1"/>
  <c r="B76" i="86"/>
  <c r="D76" i="86" s="1"/>
  <c r="N76" i="85"/>
  <c r="P75" i="85"/>
  <c r="N76" i="90"/>
  <c r="P76" i="90" s="1"/>
  <c r="N75" i="91"/>
  <c r="P75" i="91" s="1"/>
  <c r="N75" i="102"/>
  <c r="P75" i="102" s="1"/>
  <c r="D74" i="102"/>
  <c r="B75" i="102"/>
  <c r="F77" i="102"/>
  <c r="H77" i="102" s="1"/>
  <c r="J76" i="90"/>
  <c r="L76" i="90" s="1"/>
  <c r="F76" i="90"/>
  <c r="H76" i="90" s="1"/>
  <c r="H72" i="101"/>
  <c r="F73" i="101"/>
  <c r="L72" i="101"/>
  <c r="J73" i="101"/>
  <c r="D71" i="101"/>
  <c r="B72" i="101"/>
  <c r="J72" i="99"/>
  <c r="L72" i="99" s="1"/>
  <c r="F74" i="99"/>
  <c r="H74" i="99" s="1"/>
  <c r="B72" i="99"/>
  <c r="D72" i="99" s="1"/>
  <c r="L71" i="80"/>
  <c r="J72" i="80"/>
  <c r="B72" i="83"/>
  <c r="D72" i="83" s="1"/>
  <c r="J77" i="86"/>
  <c r="L76" i="86"/>
  <c r="J72" i="85"/>
  <c r="L72" i="85" s="1"/>
  <c r="B72" i="85"/>
  <c r="D72" i="85" s="1"/>
  <c r="F72" i="85"/>
  <c r="H72" i="85" s="1"/>
  <c r="D72" i="80"/>
  <c r="B73" i="80"/>
  <c r="D73" i="80" s="1"/>
  <c r="F73" i="83"/>
  <c r="H73" i="83" s="1"/>
  <c r="F74" i="80"/>
  <c r="H73" i="80"/>
  <c r="S88" i="42"/>
  <c r="X54" i="42"/>
  <c r="AC54" i="42"/>
  <c r="AD54" i="42" s="1"/>
  <c r="W54" i="42"/>
  <c r="J72" i="83" l="1"/>
  <c r="L72" i="83" s="1"/>
  <c r="F77" i="86"/>
  <c r="H77" i="86" s="1"/>
  <c r="L75" i="102"/>
  <c r="J76" i="102"/>
  <c r="B77" i="90"/>
  <c r="D77" i="90" s="1"/>
  <c r="B77" i="86"/>
  <c r="D77" i="86" s="1"/>
  <c r="N77" i="85"/>
  <c r="P76" i="85"/>
  <c r="N77" i="90"/>
  <c r="P77" i="90" s="1"/>
  <c r="N76" i="91"/>
  <c r="P76" i="91" s="1"/>
  <c r="N76" i="102"/>
  <c r="P76" i="102" s="1"/>
  <c r="D75" i="102"/>
  <c r="B76" i="102"/>
  <c r="F78" i="102"/>
  <c r="H78" i="102" s="1"/>
  <c r="J77" i="90"/>
  <c r="L77" i="90" s="1"/>
  <c r="F77" i="90"/>
  <c r="H77" i="90" s="1"/>
  <c r="L73" i="101"/>
  <c r="J74" i="101"/>
  <c r="H73" i="101"/>
  <c r="F74" i="101"/>
  <c r="D72" i="101"/>
  <c r="B73" i="101"/>
  <c r="B73" i="99"/>
  <c r="D73" i="99" s="1"/>
  <c r="F75" i="99"/>
  <c r="H75" i="99" s="1"/>
  <c r="J73" i="99"/>
  <c r="L73" i="99" s="1"/>
  <c r="L72" i="80"/>
  <c r="J73" i="80"/>
  <c r="B73" i="83"/>
  <c r="D73" i="83" s="1"/>
  <c r="J78" i="86"/>
  <c r="L77" i="86"/>
  <c r="F73" i="85"/>
  <c r="H73" i="85" s="1"/>
  <c r="B73" i="85"/>
  <c r="D73" i="85" s="1"/>
  <c r="J73" i="85"/>
  <c r="L73" i="85" s="1"/>
  <c r="F74" i="83"/>
  <c r="H74" i="83" s="1"/>
  <c r="B74" i="80"/>
  <c r="D74" i="80" s="1"/>
  <c r="F75" i="80"/>
  <c r="H74" i="80"/>
  <c r="AA54" i="42"/>
  <c r="C54" i="42" s="1"/>
  <c r="Y54" i="42"/>
  <c r="M54" i="42"/>
  <c r="B54" i="42" s="1"/>
  <c r="S89" i="42"/>
  <c r="J73" i="83" l="1"/>
  <c r="L73" i="83" s="1"/>
  <c r="F78" i="86"/>
  <c r="H78" i="86" s="1"/>
  <c r="L76" i="102"/>
  <c r="J77" i="102"/>
  <c r="B78" i="90"/>
  <c r="D78" i="90" s="1"/>
  <c r="B78" i="86"/>
  <c r="D78" i="86" s="1"/>
  <c r="N78" i="85"/>
  <c r="P77" i="85"/>
  <c r="N78" i="90"/>
  <c r="P78" i="90" s="1"/>
  <c r="N77" i="91"/>
  <c r="P77" i="91" s="1"/>
  <c r="N77" i="102"/>
  <c r="P77" i="102" s="1"/>
  <c r="D76" i="102"/>
  <c r="B77" i="102"/>
  <c r="J78" i="90"/>
  <c r="L78" i="90" s="1"/>
  <c r="F79" i="102"/>
  <c r="H79" i="102" s="1"/>
  <c r="F78" i="90"/>
  <c r="H78" i="90" s="1"/>
  <c r="D73" i="101"/>
  <c r="B74" i="101"/>
  <c r="H74" i="101"/>
  <c r="F75" i="101"/>
  <c r="L74" i="101"/>
  <c r="J75" i="101"/>
  <c r="J74" i="99"/>
  <c r="L74" i="99" s="1"/>
  <c r="F76" i="99"/>
  <c r="H76" i="99" s="1"/>
  <c r="B74" i="99"/>
  <c r="D74" i="99" s="1"/>
  <c r="L73" i="80"/>
  <c r="J74" i="80"/>
  <c r="B74" i="83"/>
  <c r="D74" i="83" s="1"/>
  <c r="J79" i="86"/>
  <c r="L78" i="86"/>
  <c r="J74" i="85"/>
  <c r="L74" i="85" s="1"/>
  <c r="B74" i="85"/>
  <c r="D74" i="85" s="1"/>
  <c r="F74" i="85"/>
  <c r="H74" i="85" s="1"/>
  <c r="F75" i="83"/>
  <c r="H75" i="83" s="1"/>
  <c r="F76" i="80"/>
  <c r="H75" i="80"/>
  <c r="B75" i="80"/>
  <c r="D75" i="80" s="1"/>
  <c r="S90" i="42"/>
  <c r="AB54" i="42"/>
  <c r="V55" i="42"/>
  <c r="I54" i="42"/>
  <c r="H54" i="42"/>
  <c r="F54" i="42"/>
  <c r="E54" i="42"/>
  <c r="J74" i="83" l="1"/>
  <c r="L74" i="83" s="1"/>
  <c r="F79" i="86"/>
  <c r="H79" i="86" s="1"/>
  <c r="L77" i="102"/>
  <c r="J78" i="102"/>
  <c r="B79" i="90"/>
  <c r="D79" i="90" s="1"/>
  <c r="B79" i="86"/>
  <c r="D79" i="86" s="1"/>
  <c r="N79" i="85"/>
  <c r="P78" i="85"/>
  <c r="N79" i="90"/>
  <c r="P79" i="90" s="1"/>
  <c r="N78" i="91"/>
  <c r="P78" i="91" s="1"/>
  <c r="N78" i="102"/>
  <c r="P78" i="102" s="1"/>
  <c r="D77" i="102"/>
  <c r="B78" i="102"/>
  <c r="J79" i="90"/>
  <c r="L79" i="90" s="1"/>
  <c r="F79" i="90"/>
  <c r="H79" i="90" s="1"/>
  <c r="F80" i="102"/>
  <c r="H80" i="102" s="1"/>
  <c r="L75" i="101"/>
  <c r="J76" i="101"/>
  <c r="H75" i="101"/>
  <c r="F76" i="101"/>
  <c r="D74" i="101"/>
  <c r="B75" i="101"/>
  <c r="B75" i="99"/>
  <c r="D75" i="99" s="1"/>
  <c r="F77" i="99"/>
  <c r="H77" i="99" s="1"/>
  <c r="J75" i="99"/>
  <c r="L75" i="99" s="1"/>
  <c r="L74" i="80"/>
  <c r="J75" i="80"/>
  <c r="B75" i="83"/>
  <c r="D75" i="83" s="1"/>
  <c r="J75" i="83"/>
  <c r="L75" i="83" s="1"/>
  <c r="J80" i="86"/>
  <c r="L79" i="86"/>
  <c r="F75" i="85"/>
  <c r="H75" i="85" s="1"/>
  <c r="B75" i="85"/>
  <c r="D75" i="85" s="1"/>
  <c r="J75" i="85"/>
  <c r="L75" i="85" s="1"/>
  <c r="F76" i="83"/>
  <c r="H76" i="83" s="1"/>
  <c r="B76" i="80"/>
  <c r="D76" i="80" s="1"/>
  <c r="F77" i="80"/>
  <c r="H76" i="80"/>
  <c r="X55" i="42"/>
  <c r="W55" i="42"/>
  <c r="AC55" i="42"/>
  <c r="AD55" i="42" s="1"/>
  <c r="S91" i="42"/>
  <c r="F80" i="86" l="1"/>
  <c r="H80" i="86" s="1"/>
  <c r="L78" i="102"/>
  <c r="J79" i="102"/>
  <c r="B80" i="86"/>
  <c r="D80" i="86" s="1"/>
  <c r="B80" i="90"/>
  <c r="D80" i="90" s="1"/>
  <c r="N80" i="85"/>
  <c r="P79" i="85"/>
  <c r="N80" i="90"/>
  <c r="P80" i="90" s="1"/>
  <c r="N79" i="91"/>
  <c r="P79" i="91" s="1"/>
  <c r="N79" i="102"/>
  <c r="P79" i="102" s="1"/>
  <c r="D78" i="102"/>
  <c r="B79" i="102"/>
  <c r="J80" i="90"/>
  <c r="L80" i="90" s="1"/>
  <c r="F80" i="90"/>
  <c r="H80" i="90" s="1"/>
  <c r="F81" i="102"/>
  <c r="H81" i="102" s="1"/>
  <c r="D75" i="101"/>
  <c r="B76" i="101"/>
  <c r="H76" i="101"/>
  <c r="F77" i="101"/>
  <c r="L76" i="101"/>
  <c r="J77" i="101"/>
  <c r="J76" i="99"/>
  <c r="L76" i="99" s="1"/>
  <c r="F78" i="99"/>
  <c r="H78" i="99" s="1"/>
  <c r="B76" i="99"/>
  <c r="D76" i="99" s="1"/>
  <c r="L75" i="80"/>
  <c r="J76" i="80"/>
  <c r="B76" i="83"/>
  <c r="D76" i="83" s="1"/>
  <c r="J76" i="83"/>
  <c r="L76" i="83" s="1"/>
  <c r="J81" i="86"/>
  <c r="L80" i="86"/>
  <c r="J76" i="85"/>
  <c r="L76" i="85" s="1"/>
  <c r="B76" i="85"/>
  <c r="D76" i="85" s="1"/>
  <c r="F76" i="85"/>
  <c r="H76" i="85" s="1"/>
  <c r="F77" i="83"/>
  <c r="H77" i="83" s="1"/>
  <c r="F78" i="80"/>
  <c r="H77" i="80"/>
  <c r="B77" i="80"/>
  <c r="D77" i="80" s="1"/>
  <c r="M55" i="42"/>
  <c r="B55" i="42" s="1"/>
  <c r="S92" i="42"/>
  <c r="Y55" i="42"/>
  <c r="F81" i="86" l="1"/>
  <c r="H81" i="86" s="1"/>
  <c r="L79" i="102"/>
  <c r="J80" i="102"/>
  <c r="B81" i="86"/>
  <c r="D81" i="86" s="1"/>
  <c r="B81" i="90"/>
  <c r="D81" i="90" s="1"/>
  <c r="N81" i="85"/>
  <c r="P80" i="85"/>
  <c r="N81" i="90"/>
  <c r="P81" i="90" s="1"/>
  <c r="N80" i="91"/>
  <c r="P80" i="91" s="1"/>
  <c r="N80" i="102"/>
  <c r="P80" i="102" s="1"/>
  <c r="D79" i="102"/>
  <c r="B80" i="102"/>
  <c r="J81" i="90"/>
  <c r="L81" i="90" s="1"/>
  <c r="F81" i="90"/>
  <c r="H81" i="90" s="1"/>
  <c r="F82" i="102"/>
  <c r="H82" i="102" s="1"/>
  <c r="L77" i="101"/>
  <c r="J78" i="101"/>
  <c r="H77" i="101"/>
  <c r="F78" i="101"/>
  <c r="D76" i="101"/>
  <c r="B77" i="101"/>
  <c r="B77" i="99"/>
  <c r="D77" i="99" s="1"/>
  <c r="F79" i="99"/>
  <c r="H79" i="99" s="1"/>
  <c r="J77" i="99"/>
  <c r="L77" i="99" s="1"/>
  <c r="L76" i="80"/>
  <c r="J77" i="80"/>
  <c r="B77" i="83"/>
  <c r="D77" i="83" s="1"/>
  <c r="J77" i="83"/>
  <c r="L77" i="83" s="1"/>
  <c r="J82" i="86"/>
  <c r="L81" i="86"/>
  <c r="F77" i="85"/>
  <c r="H77" i="85" s="1"/>
  <c r="B77" i="85"/>
  <c r="D77" i="85" s="1"/>
  <c r="J77" i="85"/>
  <c r="L77" i="85" s="1"/>
  <c r="F78" i="83"/>
  <c r="H78" i="83" s="1"/>
  <c r="B78" i="80"/>
  <c r="D78" i="80" s="1"/>
  <c r="F79" i="80"/>
  <c r="H78" i="80"/>
  <c r="I55" i="42"/>
  <c r="H55" i="42"/>
  <c r="G55" i="42"/>
  <c r="F55" i="42"/>
  <c r="S93" i="42"/>
  <c r="AB55" i="42"/>
  <c r="AA55" i="42" s="1"/>
  <c r="C55" i="42" s="1"/>
  <c r="V56" i="42"/>
  <c r="F82" i="86" l="1"/>
  <c r="H82" i="86" s="1"/>
  <c r="L80" i="102"/>
  <c r="J81" i="102"/>
  <c r="B82" i="86"/>
  <c r="D82" i="86" s="1"/>
  <c r="B82" i="90"/>
  <c r="D82" i="90" s="1"/>
  <c r="N82" i="85"/>
  <c r="P81" i="85"/>
  <c r="N82" i="90"/>
  <c r="P82" i="90" s="1"/>
  <c r="N81" i="91"/>
  <c r="P81" i="91" s="1"/>
  <c r="N81" i="102"/>
  <c r="P81" i="102" s="1"/>
  <c r="D80" i="102"/>
  <c r="B81" i="102"/>
  <c r="J82" i="90"/>
  <c r="L82" i="90" s="1"/>
  <c r="F82" i="90"/>
  <c r="H82" i="90" s="1"/>
  <c r="F83" i="102"/>
  <c r="H83" i="102" s="1"/>
  <c r="D77" i="101"/>
  <c r="B78" i="101"/>
  <c r="H78" i="101"/>
  <c r="F79" i="101"/>
  <c r="L78" i="101"/>
  <c r="J79" i="101"/>
  <c r="J78" i="99"/>
  <c r="L78" i="99" s="1"/>
  <c r="F80" i="99"/>
  <c r="H80" i="99" s="1"/>
  <c r="B78" i="99"/>
  <c r="D78" i="99" s="1"/>
  <c r="L77" i="80"/>
  <c r="J78" i="80"/>
  <c r="B78" i="83"/>
  <c r="D78" i="83" s="1"/>
  <c r="J78" i="83"/>
  <c r="L78" i="83" s="1"/>
  <c r="J83" i="86"/>
  <c r="L82" i="86"/>
  <c r="J78" i="85"/>
  <c r="L78" i="85" s="1"/>
  <c r="B78" i="85"/>
  <c r="D78" i="85" s="1"/>
  <c r="F78" i="85"/>
  <c r="H78" i="85" s="1"/>
  <c r="F79" i="83"/>
  <c r="H79" i="83" s="1"/>
  <c r="F80" i="80"/>
  <c r="H79" i="80"/>
  <c r="B79" i="80"/>
  <c r="D79" i="80" s="1"/>
  <c r="S94" i="42"/>
  <c r="X56" i="42"/>
  <c r="W56" i="42"/>
  <c r="AC56" i="42"/>
  <c r="AD56" i="42" s="1"/>
  <c r="F83" i="86" l="1"/>
  <c r="H83" i="86" s="1"/>
  <c r="L81" i="102"/>
  <c r="J82" i="102"/>
  <c r="B83" i="86"/>
  <c r="D83" i="86" s="1"/>
  <c r="B83" i="90"/>
  <c r="D83" i="90" s="1"/>
  <c r="N83" i="85"/>
  <c r="P82" i="85"/>
  <c r="N83" i="90"/>
  <c r="P83" i="90" s="1"/>
  <c r="N82" i="91"/>
  <c r="P82" i="91" s="1"/>
  <c r="N82" i="102"/>
  <c r="P82" i="102" s="1"/>
  <c r="D81" i="102"/>
  <c r="B82" i="102"/>
  <c r="J83" i="90"/>
  <c r="L83" i="90" s="1"/>
  <c r="F83" i="90"/>
  <c r="H83" i="90" s="1"/>
  <c r="F84" i="102"/>
  <c r="H84" i="102" s="1"/>
  <c r="L79" i="101"/>
  <c r="J80" i="101"/>
  <c r="H79" i="101"/>
  <c r="F80" i="101"/>
  <c r="D78" i="101"/>
  <c r="B79" i="101"/>
  <c r="B79" i="99"/>
  <c r="D79" i="99" s="1"/>
  <c r="F81" i="99"/>
  <c r="H81" i="99" s="1"/>
  <c r="J79" i="99"/>
  <c r="L79" i="99" s="1"/>
  <c r="L78" i="80"/>
  <c r="J79" i="80"/>
  <c r="B79" i="83"/>
  <c r="D79" i="83" s="1"/>
  <c r="J79" i="83"/>
  <c r="L79" i="83" s="1"/>
  <c r="J84" i="86"/>
  <c r="L83" i="86"/>
  <c r="F79" i="85"/>
  <c r="H79" i="85" s="1"/>
  <c r="B79" i="85"/>
  <c r="D79" i="85" s="1"/>
  <c r="J79" i="85"/>
  <c r="L79" i="85" s="1"/>
  <c r="F80" i="83"/>
  <c r="H80" i="83" s="1"/>
  <c r="B80" i="80"/>
  <c r="D80" i="80" s="1"/>
  <c r="F81" i="80"/>
  <c r="H80" i="80"/>
  <c r="Y56" i="42"/>
  <c r="AA56" i="42"/>
  <c r="C56" i="42" s="1"/>
  <c r="M56" i="42"/>
  <c r="B56" i="42" s="1"/>
  <c r="S95" i="42"/>
  <c r="F84" i="86" l="1"/>
  <c r="H84" i="86" s="1"/>
  <c r="L82" i="102"/>
  <c r="J83" i="102"/>
  <c r="B84" i="86"/>
  <c r="D84" i="86" s="1"/>
  <c r="B84" i="90"/>
  <c r="D84" i="90" s="1"/>
  <c r="N84" i="85"/>
  <c r="P83" i="85"/>
  <c r="N84" i="90"/>
  <c r="P84" i="90" s="1"/>
  <c r="N83" i="91"/>
  <c r="P83" i="91" s="1"/>
  <c r="N83" i="102"/>
  <c r="P83" i="102" s="1"/>
  <c r="D82" i="102"/>
  <c r="B83" i="102"/>
  <c r="J84" i="90"/>
  <c r="L84" i="90" s="1"/>
  <c r="F84" i="90"/>
  <c r="H84" i="90" s="1"/>
  <c r="F85" i="102"/>
  <c r="H85" i="102" s="1"/>
  <c r="H80" i="101"/>
  <c r="F81" i="101"/>
  <c r="D79" i="101"/>
  <c r="B80" i="101"/>
  <c r="L80" i="101"/>
  <c r="J81" i="101"/>
  <c r="J80" i="99"/>
  <c r="L80" i="99" s="1"/>
  <c r="F82" i="99"/>
  <c r="H82" i="99" s="1"/>
  <c r="B80" i="99"/>
  <c r="D80" i="99" s="1"/>
  <c r="L79" i="80"/>
  <c r="J80" i="80"/>
  <c r="B80" i="83"/>
  <c r="D80" i="83" s="1"/>
  <c r="J80" i="83"/>
  <c r="L80" i="83" s="1"/>
  <c r="J85" i="86"/>
  <c r="L84" i="86"/>
  <c r="F85" i="86"/>
  <c r="H85" i="86" s="1"/>
  <c r="J80" i="85"/>
  <c r="L80" i="85" s="1"/>
  <c r="B80" i="85"/>
  <c r="D80" i="85" s="1"/>
  <c r="F80" i="85"/>
  <c r="H80" i="85" s="1"/>
  <c r="F81" i="83"/>
  <c r="H81" i="83" s="1"/>
  <c r="F82" i="80"/>
  <c r="H81" i="80"/>
  <c r="B81" i="80"/>
  <c r="D81" i="80" s="1"/>
  <c r="S96" i="42"/>
  <c r="AB56" i="42"/>
  <c r="V57" i="42"/>
  <c r="I56" i="42"/>
  <c r="H56" i="42"/>
  <c r="F56" i="42"/>
  <c r="E56" i="42"/>
  <c r="L83" i="102" l="1"/>
  <c r="J84" i="102"/>
  <c r="B85" i="86"/>
  <c r="D85" i="86" s="1"/>
  <c r="B85" i="90"/>
  <c r="D85" i="90" s="1"/>
  <c r="N85" i="85"/>
  <c r="P84" i="85"/>
  <c r="N85" i="90"/>
  <c r="P85" i="90" s="1"/>
  <c r="N84" i="91"/>
  <c r="P84" i="91" s="1"/>
  <c r="N84" i="102"/>
  <c r="P84" i="102" s="1"/>
  <c r="D83" i="102"/>
  <c r="B84" i="102"/>
  <c r="J85" i="90"/>
  <c r="L85" i="90" s="1"/>
  <c r="F85" i="90"/>
  <c r="H85" i="90" s="1"/>
  <c r="F86" i="102"/>
  <c r="H86" i="102" s="1"/>
  <c r="L81" i="101"/>
  <c r="J82" i="101"/>
  <c r="D80" i="101"/>
  <c r="B81" i="101"/>
  <c r="H81" i="101"/>
  <c r="F82" i="101"/>
  <c r="B81" i="99"/>
  <c r="D81" i="99" s="1"/>
  <c r="F83" i="99"/>
  <c r="H83" i="99" s="1"/>
  <c r="J81" i="99"/>
  <c r="L81" i="99" s="1"/>
  <c r="L80" i="80"/>
  <c r="J81" i="80"/>
  <c r="B81" i="83"/>
  <c r="D81" i="83" s="1"/>
  <c r="J81" i="83"/>
  <c r="L81" i="83" s="1"/>
  <c r="F86" i="86"/>
  <c r="H86" i="86" s="1"/>
  <c r="J86" i="86"/>
  <c r="L85" i="86"/>
  <c r="F81" i="85"/>
  <c r="H81" i="85" s="1"/>
  <c r="B81" i="85"/>
  <c r="D81" i="85" s="1"/>
  <c r="J81" i="85"/>
  <c r="L81" i="85" s="1"/>
  <c r="F82" i="83"/>
  <c r="H82" i="83" s="1"/>
  <c r="B82" i="80"/>
  <c r="D82" i="80" s="1"/>
  <c r="F83" i="80"/>
  <c r="H82" i="80"/>
  <c r="X57" i="42"/>
  <c r="W57" i="42"/>
  <c r="AC57" i="42"/>
  <c r="AD57" i="42" s="1"/>
  <c r="S97" i="42"/>
  <c r="L84" i="102" l="1"/>
  <c r="J85" i="102"/>
  <c r="B86" i="86"/>
  <c r="D86" i="86" s="1"/>
  <c r="B86" i="90"/>
  <c r="D86" i="90" s="1"/>
  <c r="N86" i="85"/>
  <c r="P85" i="85"/>
  <c r="N86" i="90"/>
  <c r="P86" i="90" s="1"/>
  <c r="N85" i="91"/>
  <c r="P85" i="91" s="1"/>
  <c r="N85" i="102"/>
  <c r="P85" i="102" s="1"/>
  <c r="J86" i="90"/>
  <c r="L86" i="90" s="1"/>
  <c r="D84" i="102"/>
  <c r="B85" i="102"/>
  <c r="F86" i="90"/>
  <c r="H86" i="90" s="1"/>
  <c r="F87" i="102"/>
  <c r="H87" i="102" s="1"/>
  <c r="D81" i="101"/>
  <c r="B82" i="101"/>
  <c r="H82" i="101"/>
  <c r="F83" i="101"/>
  <c r="L82" i="101"/>
  <c r="J83" i="101"/>
  <c r="J82" i="99"/>
  <c r="L82" i="99" s="1"/>
  <c r="F84" i="99"/>
  <c r="H84" i="99" s="1"/>
  <c r="B82" i="99"/>
  <c r="D82" i="99" s="1"/>
  <c r="L81" i="80"/>
  <c r="J82" i="80"/>
  <c r="B82" i="83"/>
  <c r="D82" i="83" s="1"/>
  <c r="J82" i="83"/>
  <c r="L82" i="83" s="1"/>
  <c r="J87" i="86"/>
  <c r="L86" i="86"/>
  <c r="F87" i="86"/>
  <c r="H87" i="86" s="1"/>
  <c r="J82" i="85"/>
  <c r="L82" i="85" s="1"/>
  <c r="B82" i="85"/>
  <c r="D82" i="85" s="1"/>
  <c r="F82" i="85"/>
  <c r="H82" i="85" s="1"/>
  <c r="F83" i="83"/>
  <c r="H83" i="83" s="1"/>
  <c r="F84" i="80"/>
  <c r="H83" i="80"/>
  <c r="B83" i="80"/>
  <c r="D83" i="80" s="1"/>
  <c r="M57" i="42"/>
  <c r="B57" i="42" s="1"/>
  <c r="S98" i="42"/>
  <c r="Y57" i="42"/>
  <c r="L85" i="102" l="1"/>
  <c r="J86" i="102"/>
  <c r="B87" i="86"/>
  <c r="D87" i="86" s="1"/>
  <c r="B87" i="90"/>
  <c r="D87" i="90" s="1"/>
  <c r="N87" i="85"/>
  <c r="P86" i="85"/>
  <c r="N87" i="90"/>
  <c r="P87" i="90" s="1"/>
  <c r="J87" i="90"/>
  <c r="L87" i="90" s="1"/>
  <c r="N86" i="91"/>
  <c r="P86" i="91" s="1"/>
  <c r="N86" i="102"/>
  <c r="P86" i="102" s="1"/>
  <c r="D85" i="102"/>
  <c r="B86" i="102"/>
  <c r="F87" i="90"/>
  <c r="H87" i="90" s="1"/>
  <c r="F88" i="102"/>
  <c r="H88" i="102" s="1"/>
  <c r="H83" i="101"/>
  <c r="F84" i="101"/>
  <c r="L83" i="101"/>
  <c r="J84" i="101"/>
  <c r="D82" i="101"/>
  <c r="B83" i="101"/>
  <c r="B83" i="99"/>
  <c r="D83" i="99" s="1"/>
  <c r="F85" i="99"/>
  <c r="H85" i="99" s="1"/>
  <c r="J83" i="99"/>
  <c r="L83" i="99" s="1"/>
  <c r="L82" i="80"/>
  <c r="J83" i="80"/>
  <c r="B83" i="83"/>
  <c r="D83" i="83" s="1"/>
  <c r="J83" i="83"/>
  <c r="L83" i="83" s="1"/>
  <c r="F88" i="86"/>
  <c r="H88" i="86" s="1"/>
  <c r="J88" i="86"/>
  <c r="L87" i="86"/>
  <c r="F83" i="85"/>
  <c r="H83" i="85" s="1"/>
  <c r="B83" i="85"/>
  <c r="D83" i="85" s="1"/>
  <c r="J83" i="85"/>
  <c r="L83" i="85" s="1"/>
  <c r="F84" i="83"/>
  <c r="H84" i="83" s="1"/>
  <c r="B84" i="80"/>
  <c r="D84" i="80" s="1"/>
  <c r="F85" i="80"/>
  <c r="H84" i="80"/>
  <c r="I57" i="42"/>
  <c r="H57" i="42"/>
  <c r="G57" i="42"/>
  <c r="F57" i="42"/>
  <c r="S99" i="42"/>
  <c r="AB57" i="42"/>
  <c r="AA57" i="42" s="1"/>
  <c r="C57" i="42" s="1"/>
  <c r="V58" i="42"/>
  <c r="B88" i="86" l="1"/>
  <c r="D88" i="86" s="1"/>
  <c r="L86" i="102"/>
  <c r="J87" i="102"/>
  <c r="B88" i="90"/>
  <c r="D88" i="90" s="1"/>
  <c r="N88" i="85"/>
  <c r="P87" i="85"/>
  <c r="J88" i="90"/>
  <c r="L88" i="90" s="1"/>
  <c r="N88" i="90"/>
  <c r="P88" i="90" s="1"/>
  <c r="N87" i="91"/>
  <c r="P87" i="91" s="1"/>
  <c r="N87" i="102"/>
  <c r="P87" i="102" s="1"/>
  <c r="D86" i="102"/>
  <c r="B87" i="102"/>
  <c r="F88" i="90"/>
  <c r="H88" i="90" s="1"/>
  <c r="F89" i="102"/>
  <c r="H89" i="102" s="1"/>
  <c r="D83" i="101"/>
  <c r="B84" i="101"/>
  <c r="L84" i="101"/>
  <c r="J85" i="101"/>
  <c r="H84" i="101"/>
  <c r="F85" i="101"/>
  <c r="J84" i="99"/>
  <c r="L84" i="99" s="1"/>
  <c r="F86" i="99"/>
  <c r="H86" i="99" s="1"/>
  <c r="B84" i="99"/>
  <c r="D84" i="99" s="1"/>
  <c r="L83" i="80"/>
  <c r="J84" i="80"/>
  <c r="B84" i="83"/>
  <c r="D84" i="83" s="1"/>
  <c r="J84" i="83"/>
  <c r="L84" i="83" s="1"/>
  <c r="J89" i="86"/>
  <c r="L88" i="86"/>
  <c r="F89" i="86"/>
  <c r="H89" i="86" s="1"/>
  <c r="J84" i="85"/>
  <c r="L84" i="85" s="1"/>
  <c r="B84" i="85"/>
  <c r="D84" i="85" s="1"/>
  <c r="F84" i="85"/>
  <c r="H84" i="85" s="1"/>
  <c r="F85" i="83"/>
  <c r="H85" i="83" s="1"/>
  <c r="F86" i="80"/>
  <c r="H85" i="80"/>
  <c r="B85" i="80"/>
  <c r="D85" i="80" s="1"/>
  <c r="S100" i="42"/>
  <c r="X58" i="42"/>
  <c r="W58" i="42"/>
  <c r="AC58" i="42"/>
  <c r="AD58" i="42" s="1"/>
  <c r="B89" i="86" l="1"/>
  <c r="D89" i="86" s="1"/>
  <c r="L87" i="102"/>
  <c r="J88" i="102"/>
  <c r="B89" i="90"/>
  <c r="D89" i="90" s="1"/>
  <c r="J89" i="90"/>
  <c r="L89" i="90" s="1"/>
  <c r="N89" i="85"/>
  <c r="P88" i="85"/>
  <c r="N89" i="90"/>
  <c r="P89" i="90" s="1"/>
  <c r="N88" i="91"/>
  <c r="P88" i="91" s="1"/>
  <c r="N88" i="102"/>
  <c r="P88" i="102" s="1"/>
  <c r="D87" i="102"/>
  <c r="B88" i="102"/>
  <c r="F89" i="90"/>
  <c r="H89" i="90" s="1"/>
  <c r="F90" i="102"/>
  <c r="H90" i="102" s="1"/>
  <c r="H85" i="101"/>
  <c r="F86" i="101"/>
  <c r="L85" i="101"/>
  <c r="J86" i="101"/>
  <c r="D84" i="101"/>
  <c r="B85" i="101"/>
  <c r="B85" i="99"/>
  <c r="D85" i="99" s="1"/>
  <c r="F87" i="99"/>
  <c r="H87" i="99" s="1"/>
  <c r="J85" i="99"/>
  <c r="L85" i="99" s="1"/>
  <c r="L84" i="80"/>
  <c r="J85" i="80"/>
  <c r="B85" i="83"/>
  <c r="D85" i="83" s="1"/>
  <c r="J85" i="83"/>
  <c r="L85" i="83" s="1"/>
  <c r="F90" i="86"/>
  <c r="H90" i="86" s="1"/>
  <c r="J90" i="86"/>
  <c r="L89" i="86"/>
  <c r="F85" i="85"/>
  <c r="H85" i="85" s="1"/>
  <c r="B85" i="85"/>
  <c r="D85" i="85" s="1"/>
  <c r="J85" i="85"/>
  <c r="L85" i="85" s="1"/>
  <c r="F86" i="83"/>
  <c r="H86" i="83" s="1"/>
  <c r="B86" i="80"/>
  <c r="D86" i="80" s="1"/>
  <c r="F87" i="80"/>
  <c r="H86" i="80"/>
  <c r="AA58" i="42"/>
  <c r="C58" i="42" s="1"/>
  <c r="Y58" i="42"/>
  <c r="M58" i="42"/>
  <c r="B58" i="42" s="1"/>
  <c r="S101" i="42"/>
  <c r="B90" i="86" l="1"/>
  <c r="D90" i="86" s="1"/>
  <c r="L88" i="102"/>
  <c r="J89" i="102"/>
  <c r="B90" i="90"/>
  <c r="D90" i="90" s="1"/>
  <c r="J90" i="90"/>
  <c r="L90" i="90" s="1"/>
  <c r="N90" i="85"/>
  <c r="P89" i="85"/>
  <c r="N90" i="90"/>
  <c r="P90" i="90" s="1"/>
  <c r="N89" i="91"/>
  <c r="P89" i="91" s="1"/>
  <c r="F90" i="90"/>
  <c r="H90" i="90" s="1"/>
  <c r="N89" i="102"/>
  <c r="P89" i="102" s="1"/>
  <c r="D88" i="102"/>
  <c r="B89" i="102"/>
  <c r="F91" i="102"/>
  <c r="H91" i="102" s="1"/>
  <c r="D85" i="101"/>
  <c r="B86" i="101"/>
  <c r="L86" i="101"/>
  <c r="J87" i="101"/>
  <c r="H86" i="101"/>
  <c r="F87" i="101"/>
  <c r="J86" i="99"/>
  <c r="L86" i="99" s="1"/>
  <c r="F88" i="99"/>
  <c r="H88" i="99" s="1"/>
  <c r="B86" i="99"/>
  <c r="D86" i="99" s="1"/>
  <c r="L85" i="80"/>
  <c r="J86" i="80"/>
  <c r="B86" i="83"/>
  <c r="D86" i="83" s="1"/>
  <c r="J86" i="83"/>
  <c r="L86" i="83" s="1"/>
  <c r="J91" i="86"/>
  <c r="L90" i="86"/>
  <c r="F91" i="86"/>
  <c r="H91" i="86" s="1"/>
  <c r="J86" i="85"/>
  <c r="L86" i="85" s="1"/>
  <c r="B86" i="85"/>
  <c r="D86" i="85" s="1"/>
  <c r="F86" i="85"/>
  <c r="H86" i="85" s="1"/>
  <c r="F87" i="83"/>
  <c r="H87" i="83" s="1"/>
  <c r="F88" i="80"/>
  <c r="H87" i="80"/>
  <c r="B87" i="80"/>
  <c r="D87" i="80" s="1"/>
  <c r="S102" i="42"/>
  <c r="AB58" i="42"/>
  <c r="V59" i="42"/>
  <c r="H58" i="42"/>
  <c r="F58" i="42"/>
  <c r="E58" i="42"/>
  <c r="I58" i="42"/>
  <c r="B91" i="86" l="1"/>
  <c r="D91" i="86" s="1"/>
  <c r="L89" i="102"/>
  <c r="J90" i="102"/>
  <c r="B91" i="90"/>
  <c r="D91" i="90" s="1"/>
  <c r="J91" i="90"/>
  <c r="L91" i="90" s="1"/>
  <c r="N91" i="85"/>
  <c r="P90" i="85"/>
  <c r="N91" i="90"/>
  <c r="P91" i="90" s="1"/>
  <c r="F91" i="90"/>
  <c r="H91" i="90" s="1"/>
  <c r="N90" i="91"/>
  <c r="P90" i="91" s="1"/>
  <c r="N90" i="102"/>
  <c r="P90" i="102" s="1"/>
  <c r="D89" i="102"/>
  <c r="B90" i="102"/>
  <c r="F92" i="102"/>
  <c r="H92" i="102" s="1"/>
  <c r="H87" i="101"/>
  <c r="F88" i="101"/>
  <c r="L87" i="101"/>
  <c r="J88" i="101"/>
  <c r="D86" i="101"/>
  <c r="B87" i="101"/>
  <c r="B87" i="99"/>
  <c r="D87" i="99" s="1"/>
  <c r="F89" i="99"/>
  <c r="H89" i="99" s="1"/>
  <c r="J87" i="99"/>
  <c r="L87" i="99" s="1"/>
  <c r="L86" i="80"/>
  <c r="J87" i="80"/>
  <c r="B87" i="83"/>
  <c r="D87" i="83" s="1"/>
  <c r="J87" i="83"/>
  <c r="L87" i="83" s="1"/>
  <c r="F92" i="86"/>
  <c r="H92" i="86" s="1"/>
  <c r="J92" i="86"/>
  <c r="L91" i="86"/>
  <c r="F87" i="85"/>
  <c r="H87" i="85" s="1"/>
  <c r="B87" i="85"/>
  <c r="D87" i="85" s="1"/>
  <c r="J87" i="85"/>
  <c r="L87" i="85" s="1"/>
  <c r="F88" i="83"/>
  <c r="H88" i="83" s="1"/>
  <c r="B88" i="80"/>
  <c r="D88" i="80" s="1"/>
  <c r="F89" i="80"/>
  <c r="H88" i="80"/>
  <c r="W59" i="42"/>
  <c r="AC59" i="42"/>
  <c r="AD59" i="42" s="1"/>
  <c r="X59" i="42"/>
  <c r="S103" i="42"/>
  <c r="B92" i="86" l="1"/>
  <c r="D92" i="86" s="1"/>
  <c r="L90" i="102"/>
  <c r="J91" i="102"/>
  <c r="B92" i="90"/>
  <c r="D92" i="90" s="1"/>
  <c r="J92" i="90"/>
  <c r="L92" i="90" s="1"/>
  <c r="N92" i="85"/>
  <c r="P91" i="85"/>
  <c r="F92" i="90"/>
  <c r="H92" i="90" s="1"/>
  <c r="N92" i="90"/>
  <c r="P92" i="90" s="1"/>
  <c r="N91" i="91"/>
  <c r="P91" i="91" s="1"/>
  <c r="N91" i="102"/>
  <c r="P91" i="102" s="1"/>
  <c r="D90" i="102"/>
  <c r="B91" i="102"/>
  <c r="F93" i="102"/>
  <c r="H93" i="102" s="1"/>
  <c r="L88" i="101"/>
  <c r="J89" i="101"/>
  <c r="D87" i="101"/>
  <c r="B88" i="101"/>
  <c r="H88" i="101"/>
  <c r="F89" i="101"/>
  <c r="J88" i="99"/>
  <c r="L88" i="99" s="1"/>
  <c r="F90" i="99"/>
  <c r="H90" i="99" s="1"/>
  <c r="B88" i="99"/>
  <c r="D88" i="99" s="1"/>
  <c r="L87" i="80"/>
  <c r="J88" i="80"/>
  <c r="B88" i="83"/>
  <c r="D88" i="83" s="1"/>
  <c r="J88" i="83"/>
  <c r="L88" i="83" s="1"/>
  <c r="J93" i="86"/>
  <c r="L92" i="86"/>
  <c r="F93" i="86"/>
  <c r="H93" i="86" s="1"/>
  <c r="J88" i="85"/>
  <c r="L88" i="85" s="1"/>
  <c r="B88" i="85"/>
  <c r="D88" i="85" s="1"/>
  <c r="F88" i="85"/>
  <c r="H88" i="85" s="1"/>
  <c r="F89" i="83"/>
  <c r="H89" i="83" s="1"/>
  <c r="F90" i="80"/>
  <c r="H89" i="80"/>
  <c r="B89" i="80"/>
  <c r="D89" i="80" s="1"/>
  <c r="Y59" i="42"/>
  <c r="M59" i="42"/>
  <c r="B59" i="42" s="1"/>
  <c r="S104" i="42"/>
  <c r="B93" i="86" l="1"/>
  <c r="D93" i="86" s="1"/>
  <c r="L91" i="102"/>
  <c r="J92" i="102"/>
  <c r="B93" i="90"/>
  <c r="D93" i="90" s="1"/>
  <c r="F93" i="90"/>
  <c r="H93" i="90" s="1"/>
  <c r="J93" i="90"/>
  <c r="L93" i="90" s="1"/>
  <c r="N93" i="85"/>
  <c r="P92" i="85"/>
  <c r="N93" i="90"/>
  <c r="P93" i="90" s="1"/>
  <c r="N92" i="91"/>
  <c r="P92" i="91" s="1"/>
  <c r="N92" i="102"/>
  <c r="P92" i="102" s="1"/>
  <c r="D91" i="102"/>
  <c r="B92" i="102"/>
  <c r="F94" i="102"/>
  <c r="H94" i="102" s="1"/>
  <c r="H89" i="101"/>
  <c r="F90" i="101"/>
  <c r="D88" i="101"/>
  <c r="B89" i="101"/>
  <c r="L89" i="101"/>
  <c r="J90" i="101"/>
  <c r="B89" i="99"/>
  <c r="D89" i="99" s="1"/>
  <c r="F91" i="99"/>
  <c r="H91" i="99" s="1"/>
  <c r="J89" i="99"/>
  <c r="L89" i="99" s="1"/>
  <c r="L88" i="80"/>
  <c r="J89" i="80"/>
  <c r="B89" i="83"/>
  <c r="D89" i="83" s="1"/>
  <c r="J89" i="83"/>
  <c r="L89" i="83" s="1"/>
  <c r="F94" i="86"/>
  <c r="H94" i="86" s="1"/>
  <c r="B94" i="86"/>
  <c r="D94" i="86" s="1"/>
  <c r="J94" i="86"/>
  <c r="L93" i="86"/>
  <c r="F89" i="85"/>
  <c r="H89" i="85" s="1"/>
  <c r="B89" i="85"/>
  <c r="D89" i="85" s="1"/>
  <c r="J89" i="85"/>
  <c r="L89" i="85" s="1"/>
  <c r="F90" i="83"/>
  <c r="H90" i="83" s="1"/>
  <c r="B90" i="80"/>
  <c r="D90" i="80" s="1"/>
  <c r="F91" i="80"/>
  <c r="H90" i="80"/>
  <c r="AB59" i="42"/>
  <c r="AA59" i="42" s="1"/>
  <c r="C59" i="42" s="1"/>
  <c r="V60" i="42"/>
  <c r="S105" i="42"/>
  <c r="G59" i="42"/>
  <c r="F59" i="42"/>
  <c r="I59" i="42"/>
  <c r="H59" i="42"/>
  <c r="L92" i="102" l="1"/>
  <c r="J93" i="102"/>
  <c r="B94" i="90"/>
  <c r="D94" i="90" s="1"/>
  <c r="J94" i="90"/>
  <c r="L94" i="90" s="1"/>
  <c r="F94" i="90"/>
  <c r="H94" i="90" s="1"/>
  <c r="N94" i="85"/>
  <c r="P93" i="85"/>
  <c r="N94" i="90"/>
  <c r="P94" i="90" s="1"/>
  <c r="N93" i="91"/>
  <c r="P93" i="91" s="1"/>
  <c r="N93" i="102"/>
  <c r="P93" i="102" s="1"/>
  <c r="D92" i="102"/>
  <c r="B93" i="102"/>
  <c r="F95" i="102"/>
  <c r="H95" i="102" s="1"/>
  <c r="L90" i="101"/>
  <c r="J91" i="101"/>
  <c r="D89" i="101"/>
  <c r="B90" i="101"/>
  <c r="H90" i="101"/>
  <c r="F91" i="101"/>
  <c r="J90" i="99"/>
  <c r="L90" i="99" s="1"/>
  <c r="F92" i="99"/>
  <c r="H92" i="99" s="1"/>
  <c r="B90" i="99"/>
  <c r="D90" i="99" s="1"/>
  <c r="L89" i="80"/>
  <c r="J90" i="80"/>
  <c r="B90" i="83"/>
  <c r="D90" i="83" s="1"/>
  <c r="J90" i="83"/>
  <c r="L90" i="83" s="1"/>
  <c r="J95" i="86"/>
  <c r="L94" i="86"/>
  <c r="B95" i="86"/>
  <c r="D95" i="86" s="1"/>
  <c r="F95" i="86"/>
  <c r="H95" i="86" s="1"/>
  <c r="J90" i="85"/>
  <c r="L90" i="85" s="1"/>
  <c r="B90" i="85"/>
  <c r="D90" i="85" s="1"/>
  <c r="F90" i="85"/>
  <c r="H90" i="85" s="1"/>
  <c r="F91" i="83"/>
  <c r="H91" i="83" s="1"/>
  <c r="F92" i="80"/>
  <c r="H91" i="80"/>
  <c r="B91" i="80"/>
  <c r="D91" i="80" s="1"/>
  <c r="AC60" i="42"/>
  <c r="AD60" i="42" s="1"/>
  <c r="X60" i="42"/>
  <c r="W60" i="42"/>
  <c r="S106" i="42"/>
  <c r="L93" i="102" l="1"/>
  <c r="J94" i="102"/>
  <c r="B95" i="90"/>
  <c r="D95" i="90" s="1"/>
  <c r="F95" i="90"/>
  <c r="H95" i="90" s="1"/>
  <c r="J95" i="90"/>
  <c r="L95" i="90" s="1"/>
  <c r="N95" i="85"/>
  <c r="P94" i="85"/>
  <c r="N95" i="90"/>
  <c r="P95" i="90" s="1"/>
  <c r="N94" i="91"/>
  <c r="P94" i="91" s="1"/>
  <c r="N94" i="102"/>
  <c r="P94" i="102" s="1"/>
  <c r="D93" i="102"/>
  <c r="B94" i="102"/>
  <c r="F96" i="102"/>
  <c r="H96" i="102" s="1"/>
  <c r="D90" i="101"/>
  <c r="B91" i="101"/>
  <c r="H91" i="101"/>
  <c r="F92" i="101"/>
  <c r="L91" i="101"/>
  <c r="J92" i="101"/>
  <c r="B91" i="99"/>
  <c r="D91" i="99" s="1"/>
  <c r="F93" i="99"/>
  <c r="H93" i="99" s="1"/>
  <c r="J91" i="99"/>
  <c r="L91" i="99" s="1"/>
  <c r="L90" i="80"/>
  <c r="J91" i="80"/>
  <c r="B91" i="83"/>
  <c r="D91" i="83" s="1"/>
  <c r="J91" i="83"/>
  <c r="L91" i="83" s="1"/>
  <c r="F96" i="86"/>
  <c r="H96" i="86" s="1"/>
  <c r="B96" i="86"/>
  <c r="D96" i="86" s="1"/>
  <c r="J96" i="86"/>
  <c r="L95" i="86"/>
  <c r="F91" i="85"/>
  <c r="H91" i="85" s="1"/>
  <c r="B91" i="85"/>
  <c r="D91" i="85" s="1"/>
  <c r="J91" i="85"/>
  <c r="L91" i="85" s="1"/>
  <c r="F92" i="83"/>
  <c r="H92" i="83" s="1"/>
  <c r="B92" i="80"/>
  <c r="D92" i="80" s="1"/>
  <c r="F93" i="80"/>
  <c r="H92" i="80"/>
  <c r="M60" i="42"/>
  <c r="B60" i="42" s="1"/>
  <c r="AA60" i="42"/>
  <c r="C60" i="42" s="1"/>
  <c r="Y60" i="42"/>
  <c r="S107" i="42"/>
  <c r="L94" i="102" l="1"/>
  <c r="J95" i="102"/>
  <c r="B96" i="90"/>
  <c r="D96" i="90" s="1"/>
  <c r="F96" i="90"/>
  <c r="H96" i="90" s="1"/>
  <c r="J96" i="90"/>
  <c r="L96" i="90" s="1"/>
  <c r="N96" i="85"/>
  <c r="P95" i="85"/>
  <c r="N96" i="90"/>
  <c r="P96" i="90" s="1"/>
  <c r="N95" i="91"/>
  <c r="P95" i="91" s="1"/>
  <c r="N95" i="102"/>
  <c r="P95" i="102" s="1"/>
  <c r="D94" i="102"/>
  <c r="B95" i="102"/>
  <c r="F97" i="102"/>
  <c r="H97" i="102" s="1"/>
  <c r="L92" i="101"/>
  <c r="J93" i="101"/>
  <c r="H92" i="101"/>
  <c r="F93" i="101"/>
  <c r="D91" i="101"/>
  <c r="B92" i="101"/>
  <c r="J92" i="99"/>
  <c r="L92" i="99" s="1"/>
  <c r="F94" i="99"/>
  <c r="H94" i="99" s="1"/>
  <c r="B92" i="99"/>
  <c r="D92" i="99" s="1"/>
  <c r="L91" i="80"/>
  <c r="J92" i="80"/>
  <c r="B92" i="83"/>
  <c r="D92" i="83" s="1"/>
  <c r="J92" i="83"/>
  <c r="L92" i="83" s="1"/>
  <c r="J97" i="86"/>
  <c r="L96" i="86"/>
  <c r="B97" i="86"/>
  <c r="D97" i="86" s="1"/>
  <c r="F97" i="86"/>
  <c r="H97" i="86" s="1"/>
  <c r="J92" i="85"/>
  <c r="L92" i="85" s="1"/>
  <c r="B92" i="85"/>
  <c r="D92" i="85" s="1"/>
  <c r="F92" i="85"/>
  <c r="H92" i="85" s="1"/>
  <c r="F93" i="83"/>
  <c r="H93" i="83" s="1"/>
  <c r="F94" i="80"/>
  <c r="H93" i="80"/>
  <c r="B93" i="80"/>
  <c r="D93" i="80" s="1"/>
  <c r="S108" i="42"/>
  <c r="F60" i="42"/>
  <c r="E60" i="42"/>
  <c r="I60" i="42"/>
  <c r="H60" i="42"/>
  <c r="AB60" i="42"/>
  <c r="V61" i="42"/>
  <c r="L95" i="102" l="1"/>
  <c r="J96" i="102"/>
  <c r="B97" i="90"/>
  <c r="D97" i="90" s="1"/>
  <c r="F97" i="90"/>
  <c r="H97" i="90" s="1"/>
  <c r="J97" i="90"/>
  <c r="L97" i="90" s="1"/>
  <c r="N97" i="85"/>
  <c r="P96" i="85"/>
  <c r="N97" i="90"/>
  <c r="P97" i="90" s="1"/>
  <c r="N96" i="91"/>
  <c r="P96" i="91" s="1"/>
  <c r="N96" i="102"/>
  <c r="P96" i="102" s="1"/>
  <c r="D95" i="102"/>
  <c r="B96" i="102"/>
  <c r="F98" i="102"/>
  <c r="H98" i="102" s="1"/>
  <c r="D92" i="101"/>
  <c r="B93" i="101"/>
  <c r="H93" i="101"/>
  <c r="F94" i="101"/>
  <c r="L93" i="101"/>
  <c r="J94" i="101"/>
  <c r="B93" i="99"/>
  <c r="D93" i="99" s="1"/>
  <c r="F95" i="99"/>
  <c r="H95" i="99" s="1"/>
  <c r="J93" i="99"/>
  <c r="L93" i="99" s="1"/>
  <c r="L92" i="80"/>
  <c r="J93" i="80"/>
  <c r="B93" i="83"/>
  <c r="D93" i="83" s="1"/>
  <c r="J93" i="83"/>
  <c r="L93" i="83" s="1"/>
  <c r="F98" i="86"/>
  <c r="H98" i="86" s="1"/>
  <c r="B98" i="86"/>
  <c r="D98" i="86" s="1"/>
  <c r="J98" i="86"/>
  <c r="L97" i="86"/>
  <c r="F93" i="85"/>
  <c r="H93" i="85" s="1"/>
  <c r="B93" i="85"/>
  <c r="D93" i="85" s="1"/>
  <c r="J93" i="85"/>
  <c r="L93" i="85" s="1"/>
  <c r="F94" i="83"/>
  <c r="H94" i="83" s="1"/>
  <c r="B94" i="80"/>
  <c r="D94" i="80" s="1"/>
  <c r="F95" i="80"/>
  <c r="H94" i="80"/>
  <c r="AC61" i="42"/>
  <c r="AD61" i="42" s="1"/>
  <c r="X61" i="42"/>
  <c r="W61" i="42"/>
  <c r="S109" i="42"/>
  <c r="L96" i="102" l="1"/>
  <c r="J97" i="102"/>
  <c r="B98" i="90"/>
  <c r="D98" i="90" s="1"/>
  <c r="F98" i="90"/>
  <c r="H98" i="90" s="1"/>
  <c r="J98" i="90"/>
  <c r="L98" i="90" s="1"/>
  <c r="N98" i="85"/>
  <c r="P97" i="85"/>
  <c r="N98" i="90"/>
  <c r="P98" i="90" s="1"/>
  <c r="N97" i="91"/>
  <c r="P97" i="91" s="1"/>
  <c r="N97" i="102"/>
  <c r="P97" i="102" s="1"/>
  <c r="D96" i="102"/>
  <c r="B97" i="102"/>
  <c r="F99" i="102"/>
  <c r="H99" i="102" s="1"/>
  <c r="L94" i="101"/>
  <c r="J95" i="101"/>
  <c r="H94" i="101"/>
  <c r="F95" i="101"/>
  <c r="D93" i="101"/>
  <c r="B94" i="101"/>
  <c r="J94" i="99"/>
  <c r="L94" i="99" s="1"/>
  <c r="F96" i="99"/>
  <c r="H96" i="99" s="1"/>
  <c r="B94" i="99"/>
  <c r="D94" i="99" s="1"/>
  <c r="L93" i="80"/>
  <c r="J94" i="80"/>
  <c r="B94" i="83"/>
  <c r="D94" i="83" s="1"/>
  <c r="J94" i="83"/>
  <c r="L94" i="83" s="1"/>
  <c r="J99" i="86"/>
  <c r="L98" i="86"/>
  <c r="B99" i="86"/>
  <c r="D99" i="86" s="1"/>
  <c r="F99" i="86"/>
  <c r="H99" i="86" s="1"/>
  <c r="J94" i="85"/>
  <c r="L94" i="85" s="1"/>
  <c r="B94" i="85"/>
  <c r="D94" i="85" s="1"/>
  <c r="F94" i="85"/>
  <c r="H94" i="85" s="1"/>
  <c r="F95" i="83"/>
  <c r="H95" i="83" s="1"/>
  <c r="F96" i="80"/>
  <c r="H95" i="80"/>
  <c r="B95" i="80"/>
  <c r="D95" i="80" s="1"/>
  <c r="M61" i="42"/>
  <c r="B61" i="42" s="1"/>
  <c r="Y61" i="42"/>
  <c r="S110" i="42"/>
  <c r="L97" i="102" l="1"/>
  <c r="J98" i="102"/>
  <c r="B99" i="90"/>
  <c r="D99" i="90" s="1"/>
  <c r="F99" i="90"/>
  <c r="H99" i="90" s="1"/>
  <c r="J99" i="90"/>
  <c r="L99" i="90" s="1"/>
  <c r="N99" i="85"/>
  <c r="P98" i="85"/>
  <c r="N99" i="90"/>
  <c r="P99" i="90" s="1"/>
  <c r="N98" i="91"/>
  <c r="P98" i="91" s="1"/>
  <c r="N98" i="102"/>
  <c r="P98" i="102" s="1"/>
  <c r="D97" i="102"/>
  <c r="B98" i="102"/>
  <c r="F100" i="102"/>
  <c r="H100" i="102" s="1"/>
  <c r="D94" i="101"/>
  <c r="B95" i="101"/>
  <c r="H95" i="101"/>
  <c r="F96" i="101"/>
  <c r="L95" i="101"/>
  <c r="J96" i="101"/>
  <c r="B95" i="99"/>
  <c r="D95" i="99" s="1"/>
  <c r="F97" i="99"/>
  <c r="H97" i="99" s="1"/>
  <c r="J95" i="99"/>
  <c r="L95" i="99" s="1"/>
  <c r="L94" i="80"/>
  <c r="J95" i="80"/>
  <c r="B95" i="83"/>
  <c r="D95" i="83" s="1"/>
  <c r="J95" i="83"/>
  <c r="L95" i="83" s="1"/>
  <c r="F100" i="86"/>
  <c r="H100" i="86" s="1"/>
  <c r="B100" i="86"/>
  <c r="D100" i="86" s="1"/>
  <c r="J100" i="86"/>
  <c r="L99" i="86"/>
  <c r="F95" i="85"/>
  <c r="H95" i="85" s="1"/>
  <c r="B95" i="85"/>
  <c r="D95" i="85" s="1"/>
  <c r="J95" i="85"/>
  <c r="L95" i="85" s="1"/>
  <c r="F96" i="83"/>
  <c r="H96" i="83" s="1"/>
  <c r="B96" i="80"/>
  <c r="D96" i="80" s="1"/>
  <c r="F97" i="80"/>
  <c r="H96" i="80"/>
  <c r="I61" i="42"/>
  <c r="H61" i="42"/>
  <c r="F61" i="42"/>
  <c r="G61" i="42"/>
  <c r="S111" i="42"/>
  <c r="AB61" i="42"/>
  <c r="AA61" i="42" s="1"/>
  <c r="C61" i="42" s="1"/>
  <c r="V62" i="42"/>
  <c r="L98" i="102" l="1"/>
  <c r="J99" i="102"/>
  <c r="B100" i="90"/>
  <c r="D100" i="90" s="1"/>
  <c r="F100" i="90"/>
  <c r="H100" i="90" s="1"/>
  <c r="J100" i="90"/>
  <c r="L100" i="90" s="1"/>
  <c r="N100" i="85"/>
  <c r="P99" i="85"/>
  <c r="N100" i="90"/>
  <c r="P100" i="90" s="1"/>
  <c r="N99" i="91"/>
  <c r="P99" i="91" s="1"/>
  <c r="N99" i="102"/>
  <c r="P99" i="102" s="1"/>
  <c r="D98" i="102"/>
  <c r="B99" i="102"/>
  <c r="D99" i="102" s="1"/>
  <c r="F101" i="102"/>
  <c r="H101" i="102" s="1"/>
  <c r="L96" i="101"/>
  <c r="J97" i="101"/>
  <c r="H96" i="101"/>
  <c r="F97" i="101"/>
  <c r="D95" i="101"/>
  <c r="B96" i="101"/>
  <c r="J96" i="99"/>
  <c r="L96" i="99" s="1"/>
  <c r="F98" i="99"/>
  <c r="H98" i="99" s="1"/>
  <c r="B96" i="99"/>
  <c r="D96" i="99" s="1"/>
  <c r="L95" i="80"/>
  <c r="J96" i="80"/>
  <c r="B96" i="83"/>
  <c r="D96" i="83" s="1"/>
  <c r="J96" i="83"/>
  <c r="L96" i="83" s="1"/>
  <c r="J101" i="86"/>
  <c r="L100" i="86"/>
  <c r="B101" i="86"/>
  <c r="D101" i="86" s="1"/>
  <c r="F101" i="86"/>
  <c r="H101" i="86" s="1"/>
  <c r="J96" i="85"/>
  <c r="L96" i="85" s="1"/>
  <c r="B96" i="85"/>
  <c r="D96" i="85" s="1"/>
  <c r="F96" i="85"/>
  <c r="H96" i="85" s="1"/>
  <c r="F97" i="83"/>
  <c r="H97" i="83" s="1"/>
  <c r="B97" i="80"/>
  <c r="D97" i="80" s="1"/>
  <c r="F98" i="80"/>
  <c r="H97" i="80"/>
  <c r="S112" i="42"/>
  <c r="X62" i="42"/>
  <c r="W62" i="42"/>
  <c r="AC62" i="42"/>
  <c r="AD62" i="42" s="1"/>
  <c r="B101" i="90" l="1"/>
  <c r="D101" i="90" s="1"/>
  <c r="L99" i="102"/>
  <c r="J100" i="102"/>
  <c r="F101" i="90"/>
  <c r="H101" i="90" s="1"/>
  <c r="J101" i="90"/>
  <c r="L101" i="90" s="1"/>
  <c r="N101" i="85"/>
  <c r="P100" i="85"/>
  <c r="N101" i="90"/>
  <c r="P101" i="90" s="1"/>
  <c r="N100" i="91"/>
  <c r="P100" i="91" s="1"/>
  <c r="N100" i="102"/>
  <c r="P100" i="102" s="1"/>
  <c r="F102" i="102"/>
  <c r="H102" i="102" s="1"/>
  <c r="D96" i="101"/>
  <c r="B97" i="101"/>
  <c r="H97" i="101"/>
  <c r="F98" i="101"/>
  <c r="L97" i="101"/>
  <c r="J98" i="101"/>
  <c r="B97" i="99"/>
  <c r="D97" i="99" s="1"/>
  <c r="F99" i="99"/>
  <c r="H99" i="99" s="1"/>
  <c r="J97" i="99"/>
  <c r="L97" i="99" s="1"/>
  <c r="L96" i="80"/>
  <c r="J97" i="80"/>
  <c r="B97" i="83"/>
  <c r="D97" i="83" s="1"/>
  <c r="J97" i="83"/>
  <c r="L97" i="83" s="1"/>
  <c r="F102" i="86"/>
  <c r="H102" i="86" s="1"/>
  <c r="B102" i="86"/>
  <c r="D102" i="86" s="1"/>
  <c r="J102" i="86"/>
  <c r="L101" i="86"/>
  <c r="F97" i="85"/>
  <c r="H97" i="85" s="1"/>
  <c r="B97" i="85"/>
  <c r="D97" i="85" s="1"/>
  <c r="J97" i="85"/>
  <c r="L97" i="85" s="1"/>
  <c r="F98" i="83"/>
  <c r="H98" i="83" s="1"/>
  <c r="F99" i="80"/>
  <c r="H98" i="80"/>
  <c r="B98" i="80"/>
  <c r="D98" i="80" s="1"/>
  <c r="Y62" i="42"/>
  <c r="AA62" i="42"/>
  <c r="C62" i="42" s="1"/>
  <c r="M62" i="42"/>
  <c r="B62" i="42" s="1"/>
  <c r="S113" i="42"/>
  <c r="B102" i="90" l="1"/>
  <c r="D102" i="90" s="1"/>
  <c r="L100" i="102"/>
  <c r="J101" i="102"/>
  <c r="F102" i="90"/>
  <c r="H102" i="90" s="1"/>
  <c r="J102" i="90"/>
  <c r="L102" i="90" s="1"/>
  <c r="N102" i="85"/>
  <c r="P101" i="85"/>
  <c r="N102" i="90"/>
  <c r="P102" i="90" s="1"/>
  <c r="N101" i="91"/>
  <c r="P101" i="91" s="1"/>
  <c r="N101" i="102"/>
  <c r="P101" i="102" s="1"/>
  <c r="F103" i="102"/>
  <c r="H103" i="102" s="1"/>
  <c r="L98" i="101"/>
  <c r="J99" i="101"/>
  <c r="H98" i="101"/>
  <c r="F99" i="101"/>
  <c r="D97" i="101"/>
  <c r="B98" i="101"/>
  <c r="J98" i="99"/>
  <c r="L98" i="99" s="1"/>
  <c r="F100" i="99"/>
  <c r="H100" i="99" s="1"/>
  <c r="B98" i="99"/>
  <c r="D98" i="99" s="1"/>
  <c r="L97" i="80"/>
  <c r="J98" i="80"/>
  <c r="B98" i="83"/>
  <c r="D98" i="83" s="1"/>
  <c r="J98" i="83"/>
  <c r="L98" i="83" s="1"/>
  <c r="J103" i="86"/>
  <c r="L102" i="86"/>
  <c r="B103" i="86"/>
  <c r="D103" i="86" s="1"/>
  <c r="F103" i="86"/>
  <c r="H103" i="86" s="1"/>
  <c r="J98" i="85"/>
  <c r="L98" i="85" s="1"/>
  <c r="B98" i="85"/>
  <c r="D98" i="85" s="1"/>
  <c r="F98" i="85"/>
  <c r="H98" i="85" s="1"/>
  <c r="F99" i="83"/>
  <c r="H99" i="83" s="1"/>
  <c r="B99" i="80"/>
  <c r="D99" i="80" s="1"/>
  <c r="F100" i="80"/>
  <c r="H99" i="80"/>
  <c r="S114" i="42"/>
  <c r="AB62" i="42"/>
  <c r="V63" i="42"/>
  <c r="I62" i="42"/>
  <c r="H62" i="42"/>
  <c r="F62" i="42"/>
  <c r="E62" i="42"/>
  <c r="B103" i="90" l="1"/>
  <c r="D103" i="90" s="1"/>
  <c r="F103" i="90"/>
  <c r="H103" i="90" s="1"/>
  <c r="L101" i="102"/>
  <c r="J102" i="102"/>
  <c r="J103" i="90"/>
  <c r="L103" i="90" s="1"/>
  <c r="N103" i="85"/>
  <c r="P102" i="85"/>
  <c r="N103" i="90"/>
  <c r="P103" i="90" s="1"/>
  <c r="N102" i="91"/>
  <c r="P102" i="91" s="1"/>
  <c r="N102" i="102"/>
  <c r="P102" i="102" s="1"/>
  <c r="F104" i="102"/>
  <c r="H104" i="102" s="1"/>
  <c r="D98" i="101"/>
  <c r="B99" i="101"/>
  <c r="H99" i="101"/>
  <c r="F100" i="101"/>
  <c r="L99" i="101"/>
  <c r="J100" i="101"/>
  <c r="B99" i="99"/>
  <c r="D99" i="99" s="1"/>
  <c r="F101" i="99"/>
  <c r="H101" i="99" s="1"/>
  <c r="J99" i="99"/>
  <c r="L99" i="99" s="1"/>
  <c r="L98" i="80"/>
  <c r="J99" i="80"/>
  <c r="B99" i="83"/>
  <c r="D99" i="83" s="1"/>
  <c r="J99" i="83"/>
  <c r="L99" i="83" s="1"/>
  <c r="F104" i="86"/>
  <c r="H104" i="86" s="1"/>
  <c r="B104" i="86"/>
  <c r="D104" i="86" s="1"/>
  <c r="J104" i="86"/>
  <c r="L103" i="86"/>
  <c r="F99" i="85"/>
  <c r="H99" i="85" s="1"/>
  <c r="B99" i="85"/>
  <c r="D99" i="85" s="1"/>
  <c r="J99" i="85"/>
  <c r="L99" i="85" s="1"/>
  <c r="F100" i="83"/>
  <c r="H100" i="83" s="1"/>
  <c r="F101" i="80"/>
  <c r="H100" i="80"/>
  <c r="B100" i="80"/>
  <c r="D100" i="80" s="1"/>
  <c r="X63" i="42"/>
  <c r="W63" i="42"/>
  <c r="AC63" i="42"/>
  <c r="AD63" i="42" s="1"/>
  <c r="S115" i="42"/>
  <c r="B104" i="90" l="1"/>
  <c r="D104" i="90" s="1"/>
  <c r="F104" i="90"/>
  <c r="H104" i="90" s="1"/>
  <c r="L102" i="102"/>
  <c r="J103" i="102"/>
  <c r="J104" i="90"/>
  <c r="L104" i="90" s="1"/>
  <c r="N104" i="85"/>
  <c r="P103" i="85"/>
  <c r="N104" i="90"/>
  <c r="P104" i="90" s="1"/>
  <c r="N103" i="91"/>
  <c r="P103" i="91" s="1"/>
  <c r="N103" i="102"/>
  <c r="P103" i="102" s="1"/>
  <c r="F105" i="102"/>
  <c r="H105" i="102" s="1"/>
  <c r="L100" i="101"/>
  <c r="J101" i="101"/>
  <c r="H100" i="101"/>
  <c r="F101" i="101"/>
  <c r="D99" i="101"/>
  <c r="B100" i="101"/>
  <c r="J100" i="99"/>
  <c r="L100" i="99" s="1"/>
  <c r="F102" i="99"/>
  <c r="H102" i="99" s="1"/>
  <c r="B100" i="99"/>
  <c r="D100" i="99" s="1"/>
  <c r="B105" i="90"/>
  <c r="D105" i="90" s="1"/>
  <c r="L99" i="80"/>
  <c r="J100" i="80"/>
  <c r="B100" i="83"/>
  <c r="D100" i="83" s="1"/>
  <c r="J100" i="83"/>
  <c r="L100" i="83" s="1"/>
  <c r="J105" i="86"/>
  <c r="L104" i="86"/>
  <c r="B105" i="86"/>
  <c r="D105" i="86" s="1"/>
  <c r="F105" i="86"/>
  <c r="H105" i="86" s="1"/>
  <c r="J100" i="85"/>
  <c r="L100" i="85" s="1"/>
  <c r="B100" i="85"/>
  <c r="D100" i="85" s="1"/>
  <c r="F100" i="85"/>
  <c r="H100" i="85" s="1"/>
  <c r="F101" i="83"/>
  <c r="H101" i="83" s="1"/>
  <c r="B101" i="80"/>
  <c r="D101" i="80" s="1"/>
  <c r="F102" i="80"/>
  <c r="H101" i="80"/>
  <c r="M63" i="42"/>
  <c r="B63" i="42" s="1"/>
  <c r="S116" i="42"/>
  <c r="Y63" i="42"/>
  <c r="F105" i="90" l="1"/>
  <c r="H105" i="90" s="1"/>
  <c r="L103" i="102"/>
  <c r="J104" i="102"/>
  <c r="J105" i="90"/>
  <c r="L105" i="90" s="1"/>
  <c r="N105" i="85"/>
  <c r="P104" i="85"/>
  <c r="N105" i="90"/>
  <c r="P105" i="90" s="1"/>
  <c r="N104" i="91"/>
  <c r="P104" i="91" s="1"/>
  <c r="N104" i="102"/>
  <c r="P104" i="102" s="1"/>
  <c r="F106" i="102"/>
  <c r="H106" i="102" s="1"/>
  <c r="D100" i="101"/>
  <c r="B101" i="101"/>
  <c r="H101" i="101"/>
  <c r="F102" i="101"/>
  <c r="L101" i="101"/>
  <c r="J102" i="101"/>
  <c r="B101" i="99"/>
  <c r="D101" i="99" s="1"/>
  <c r="F103" i="99"/>
  <c r="H103" i="99" s="1"/>
  <c r="J101" i="99"/>
  <c r="L101" i="99" s="1"/>
  <c r="B106" i="90"/>
  <c r="D106" i="90" s="1"/>
  <c r="L100" i="80"/>
  <c r="J101" i="80"/>
  <c r="B101" i="83"/>
  <c r="D101" i="83" s="1"/>
  <c r="J101" i="83"/>
  <c r="L101" i="83" s="1"/>
  <c r="F106" i="86"/>
  <c r="H106" i="86" s="1"/>
  <c r="B106" i="86"/>
  <c r="D106" i="86" s="1"/>
  <c r="J106" i="86"/>
  <c r="L105" i="86"/>
  <c r="F101" i="85"/>
  <c r="H101" i="85" s="1"/>
  <c r="B101" i="85"/>
  <c r="D101" i="85" s="1"/>
  <c r="J101" i="85"/>
  <c r="L101" i="85" s="1"/>
  <c r="F102" i="83"/>
  <c r="H102" i="83" s="1"/>
  <c r="F103" i="80"/>
  <c r="H102" i="80"/>
  <c r="B102" i="80"/>
  <c r="D102" i="80" s="1"/>
  <c r="S117" i="42"/>
  <c r="H63" i="42"/>
  <c r="G63" i="42"/>
  <c r="I63" i="42"/>
  <c r="F63" i="42"/>
  <c r="AB63" i="42"/>
  <c r="AA63" i="42" s="1"/>
  <c r="C63" i="42" s="1"/>
  <c r="V64" i="42"/>
  <c r="F106" i="90" l="1"/>
  <c r="H106" i="90" s="1"/>
  <c r="L104" i="102"/>
  <c r="J105" i="102"/>
  <c r="J106" i="90"/>
  <c r="L106" i="90" s="1"/>
  <c r="N106" i="85"/>
  <c r="P105" i="85"/>
  <c r="N106" i="90"/>
  <c r="P106" i="90" s="1"/>
  <c r="N105" i="91"/>
  <c r="P105" i="91" s="1"/>
  <c r="N105" i="102"/>
  <c r="P105" i="102" s="1"/>
  <c r="F107" i="102"/>
  <c r="H107" i="102" s="1"/>
  <c r="L102" i="101"/>
  <c r="J103" i="101"/>
  <c r="H102" i="101"/>
  <c r="F103" i="101"/>
  <c r="D101" i="101"/>
  <c r="B102" i="101"/>
  <c r="J102" i="99"/>
  <c r="L102" i="99" s="1"/>
  <c r="F104" i="99"/>
  <c r="H104" i="99" s="1"/>
  <c r="B102" i="99"/>
  <c r="D102" i="99" s="1"/>
  <c r="B107" i="90"/>
  <c r="D107" i="90" s="1"/>
  <c r="F107" i="90"/>
  <c r="H107" i="90" s="1"/>
  <c r="L101" i="80"/>
  <c r="J102" i="80"/>
  <c r="B102" i="83"/>
  <c r="D102" i="83" s="1"/>
  <c r="J102" i="83"/>
  <c r="L102" i="83" s="1"/>
  <c r="J107" i="86"/>
  <c r="L106" i="86"/>
  <c r="B107" i="86"/>
  <c r="D107" i="86" s="1"/>
  <c r="F107" i="86"/>
  <c r="H107" i="86" s="1"/>
  <c r="J102" i="85"/>
  <c r="L102" i="85" s="1"/>
  <c r="B102" i="85"/>
  <c r="D102" i="85" s="1"/>
  <c r="F102" i="85"/>
  <c r="H102" i="85" s="1"/>
  <c r="F103" i="83"/>
  <c r="H103" i="83" s="1"/>
  <c r="F104" i="80"/>
  <c r="H103" i="80"/>
  <c r="B103" i="80"/>
  <c r="D103" i="80" s="1"/>
  <c r="W64" i="42"/>
  <c r="X64" i="42"/>
  <c r="AC64" i="42"/>
  <c r="AD64" i="42" s="1"/>
  <c r="S118" i="42"/>
  <c r="L105" i="102" l="1"/>
  <c r="J106" i="102"/>
  <c r="J107" i="90"/>
  <c r="L107" i="90" s="1"/>
  <c r="N107" i="85"/>
  <c r="P106" i="85"/>
  <c r="N107" i="90"/>
  <c r="P107" i="90" s="1"/>
  <c r="N106" i="91"/>
  <c r="P106" i="91" s="1"/>
  <c r="N106" i="102"/>
  <c r="P106" i="102" s="1"/>
  <c r="F108" i="102"/>
  <c r="H108" i="102" s="1"/>
  <c r="D102" i="101"/>
  <c r="B103" i="101"/>
  <c r="H103" i="101"/>
  <c r="F104" i="101"/>
  <c r="L103" i="101"/>
  <c r="J104" i="101"/>
  <c r="B103" i="99"/>
  <c r="D103" i="99" s="1"/>
  <c r="F105" i="99"/>
  <c r="H105" i="99" s="1"/>
  <c r="J103" i="99"/>
  <c r="L103" i="99" s="1"/>
  <c r="F108" i="90"/>
  <c r="H108" i="90" s="1"/>
  <c r="B108" i="90"/>
  <c r="D108" i="90" s="1"/>
  <c r="L102" i="80"/>
  <c r="J103" i="80"/>
  <c r="B103" i="83"/>
  <c r="D103" i="83" s="1"/>
  <c r="J103" i="83"/>
  <c r="L103" i="83" s="1"/>
  <c r="F108" i="86"/>
  <c r="H108" i="86" s="1"/>
  <c r="B108" i="86"/>
  <c r="D108" i="86" s="1"/>
  <c r="J108" i="86"/>
  <c r="L107" i="86"/>
  <c r="F103" i="85"/>
  <c r="H103" i="85" s="1"/>
  <c r="B103" i="85"/>
  <c r="D103" i="85" s="1"/>
  <c r="J103" i="85"/>
  <c r="L103" i="85" s="1"/>
  <c r="F104" i="83"/>
  <c r="H104" i="83" s="1"/>
  <c r="B104" i="80"/>
  <c r="D104" i="80" s="1"/>
  <c r="F105" i="80"/>
  <c r="H104" i="80"/>
  <c r="S119" i="42"/>
  <c r="Y64" i="42"/>
  <c r="AA64" i="42"/>
  <c r="C64" i="42" s="1"/>
  <c r="M64" i="42"/>
  <c r="B64" i="42" s="1"/>
  <c r="J108" i="90" l="1"/>
  <c r="L108" i="90" s="1"/>
  <c r="L106" i="102"/>
  <c r="J107" i="102"/>
  <c r="N108" i="85"/>
  <c r="P107" i="85"/>
  <c r="N108" i="90"/>
  <c r="P108" i="90" s="1"/>
  <c r="N107" i="91"/>
  <c r="P107" i="91" s="1"/>
  <c r="N107" i="102"/>
  <c r="P107" i="102" s="1"/>
  <c r="F109" i="102"/>
  <c r="H109" i="102" s="1"/>
  <c r="L104" i="101"/>
  <c r="J105" i="101"/>
  <c r="H104" i="101"/>
  <c r="F105" i="101"/>
  <c r="D103" i="101"/>
  <c r="B104" i="101"/>
  <c r="J104" i="99"/>
  <c r="L104" i="99" s="1"/>
  <c r="F106" i="99"/>
  <c r="H106" i="99" s="1"/>
  <c r="B104" i="99"/>
  <c r="D104" i="99" s="1"/>
  <c r="B109" i="90"/>
  <c r="D109" i="90" s="1"/>
  <c r="F109" i="90"/>
  <c r="H109" i="90" s="1"/>
  <c r="L103" i="80"/>
  <c r="J104" i="80"/>
  <c r="B104" i="83"/>
  <c r="D104" i="83" s="1"/>
  <c r="J104" i="83"/>
  <c r="L104" i="83" s="1"/>
  <c r="J109" i="86"/>
  <c r="L108" i="86"/>
  <c r="B109" i="86"/>
  <c r="D109" i="86" s="1"/>
  <c r="F109" i="86"/>
  <c r="H109" i="86" s="1"/>
  <c r="J104" i="85"/>
  <c r="L104" i="85" s="1"/>
  <c r="B104" i="85"/>
  <c r="D104" i="85" s="1"/>
  <c r="F104" i="85"/>
  <c r="H104" i="85" s="1"/>
  <c r="F105" i="83"/>
  <c r="H105" i="83" s="1"/>
  <c r="F106" i="80"/>
  <c r="H105" i="80"/>
  <c r="B105" i="80"/>
  <c r="D105" i="80" s="1"/>
  <c r="AB64" i="42"/>
  <c r="V65" i="42"/>
  <c r="F64" i="42"/>
  <c r="I64" i="42"/>
  <c r="H64" i="42"/>
  <c r="E64" i="42"/>
  <c r="S120" i="42"/>
  <c r="J109" i="90" l="1"/>
  <c r="L109" i="90" s="1"/>
  <c r="L107" i="102"/>
  <c r="J108" i="102"/>
  <c r="N109" i="85"/>
  <c r="P108" i="85"/>
  <c r="N109" i="90"/>
  <c r="P109" i="90" s="1"/>
  <c r="N108" i="91"/>
  <c r="P108" i="91" s="1"/>
  <c r="N108" i="102"/>
  <c r="P108" i="102" s="1"/>
  <c r="F110" i="102"/>
  <c r="H110" i="102" s="1"/>
  <c r="D104" i="101"/>
  <c r="B105" i="101"/>
  <c r="H105" i="101"/>
  <c r="F106" i="101"/>
  <c r="L105" i="101"/>
  <c r="J106" i="101"/>
  <c r="B105" i="99"/>
  <c r="D105" i="99" s="1"/>
  <c r="F107" i="99"/>
  <c r="H107" i="99" s="1"/>
  <c r="J105" i="99"/>
  <c r="L105" i="99" s="1"/>
  <c r="F110" i="90"/>
  <c r="H110" i="90" s="1"/>
  <c r="B110" i="90"/>
  <c r="D110" i="90" s="1"/>
  <c r="L104" i="80"/>
  <c r="J105" i="80"/>
  <c r="B105" i="83"/>
  <c r="D105" i="83" s="1"/>
  <c r="J105" i="83"/>
  <c r="L105" i="83" s="1"/>
  <c r="F110" i="86"/>
  <c r="H110" i="86" s="1"/>
  <c r="B110" i="86"/>
  <c r="D110" i="86" s="1"/>
  <c r="J110" i="86"/>
  <c r="L109" i="86"/>
  <c r="F105" i="85"/>
  <c r="H105" i="85" s="1"/>
  <c r="B105" i="85"/>
  <c r="D105" i="85" s="1"/>
  <c r="J105" i="85"/>
  <c r="L105" i="85" s="1"/>
  <c r="F106" i="83"/>
  <c r="H106" i="83" s="1"/>
  <c r="B106" i="80"/>
  <c r="D106" i="80" s="1"/>
  <c r="F107" i="80"/>
  <c r="H106" i="80"/>
  <c r="S121" i="42"/>
  <c r="AC65" i="42"/>
  <c r="AD65" i="42" s="1"/>
  <c r="X65" i="42"/>
  <c r="W65" i="42"/>
  <c r="J110" i="90" l="1"/>
  <c r="L110" i="90" s="1"/>
  <c r="L108" i="102"/>
  <c r="J109" i="102"/>
  <c r="N110" i="85"/>
  <c r="P109" i="85"/>
  <c r="N110" i="90"/>
  <c r="P110" i="90" s="1"/>
  <c r="N109" i="91"/>
  <c r="P109" i="91" s="1"/>
  <c r="N109" i="102"/>
  <c r="P109" i="102" s="1"/>
  <c r="F111" i="102"/>
  <c r="H111" i="102" s="1"/>
  <c r="L106" i="101"/>
  <c r="J107" i="101"/>
  <c r="H106" i="101"/>
  <c r="F107" i="101"/>
  <c r="D105" i="101"/>
  <c r="B106" i="101"/>
  <c r="J106" i="99"/>
  <c r="L106" i="99" s="1"/>
  <c r="F108" i="99"/>
  <c r="H108" i="99" s="1"/>
  <c r="B106" i="99"/>
  <c r="D106" i="99" s="1"/>
  <c r="B111" i="90"/>
  <c r="D111" i="90" s="1"/>
  <c r="F111" i="90"/>
  <c r="H111" i="90" s="1"/>
  <c r="L105" i="80"/>
  <c r="J106" i="80"/>
  <c r="B106" i="83"/>
  <c r="D106" i="83" s="1"/>
  <c r="J106" i="83"/>
  <c r="L106" i="83" s="1"/>
  <c r="J111" i="86"/>
  <c r="L110" i="86"/>
  <c r="B111" i="86"/>
  <c r="D111" i="86" s="1"/>
  <c r="F111" i="86"/>
  <c r="H111" i="86" s="1"/>
  <c r="J106" i="85"/>
  <c r="L106" i="85" s="1"/>
  <c r="B106" i="85"/>
  <c r="D106" i="85" s="1"/>
  <c r="F106" i="85"/>
  <c r="H106" i="85" s="1"/>
  <c r="F107" i="83"/>
  <c r="H107" i="83" s="1"/>
  <c r="F108" i="80"/>
  <c r="H107" i="80"/>
  <c r="B107" i="80"/>
  <c r="D107" i="80" s="1"/>
  <c r="M65" i="42"/>
  <c r="B65" i="42" s="1"/>
  <c r="Y65" i="42"/>
  <c r="S122" i="42"/>
  <c r="J111" i="90" l="1"/>
  <c r="L111" i="90" s="1"/>
  <c r="L109" i="102"/>
  <c r="J110" i="102"/>
  <c r="N111" i="85"/>
  <c r="P110" i="85"/>
  <c r="N111" i="90"/>
  <c r="P111" i="90" s="1"/>
  <c r="N110" i="91"/>
  <c r="P110" i="91" s="1"/>
  <c r="N110" i="102"/>
  <c r="P110" i="102" s="1"/>
  <c r="F112" i="102"/>
  <c r="H112" i="102" s="1"/>
  <c r="D106" i="101"/>
  <c r="B107" i="101"/>
  <c r="H107" i="101"/>
  <c r="F108" i="101"/>
  <c r="L107" i="101"/>
  <c r="J108" i="101"/>
  <c r="B107" i="99"/>
  <c r="D107" i="99" s="1"/>
  <c r="F109" i="99"/>
  <c r="H109" i="99" s="1"/>
  <c r="J107" i="99"/>
  <c r="L107" i="99" s="1"/>
  <c r="F112" i="90"/>
  <c r="H112" i="90" s="1"/>
  <c r="B112" i="90"/>
  <c r="D112" i="90" s="1"/>
  <c r="L106" i="80"/>
  <c r="J107" i="80"/>
  <c r="B107" i="83"/>
  <c r="D107" i="83" s="1"/>
  <c r="J107" i="83"/>
  <c r="L107" i="83" s="1"/>
  <c r="F112" i="86"/>
  <c r="H112" i="86" s="1"/>
  <c r="B112" i="86"/>
  <c r="D112" i="86" s="1"/>
  <c r="J112" i="86"/>
  <c r="L111" i="86"/>
  <c r="F107" i="85"/>
  <c r="H107" i="85" s="1"/>
  <c r="B107" i="85"/>
  <c r="D107" i="85" s="1"/>
  <c r="J107" i="85"/>
  <c r="L107" i="85" s="1"/>
  <c r="F108" i="83"/>
  <c r="H108" i="83" s="1"/>
  <c r="B108" i="80"/>
  <c r="D108" i="80" s="1"/>
  <c r="F109" i="80"/>
  <c r="H108" i="80"/>
  <c r="S123" i="42"/>
  <c r="I65" i="42"/>
  <c r="F65" i="42"/>
  <c r="G65" i="42"/>
  <c r="H65" i="42"/>
  <c r="AB65" i="42"/>
  <c r="AA65" i="42" s="1"/>
  <c r="C65" i="42" s="1"/>
  <c r="V66" i="42"/>
  <c r="J112" i="90" l="1"/>
  <c r="L112" i="90" s="1"/>
  <c r="L110" i="102"/>
  <c r="J111" i="102"/>
  <c r="N112" i="85"/>
  <c r="P111" i="85"/>
  <c r="N112" i="90"/>
  <c r="P112" i="90" s="1"/>
  <c r="N111" i="91"/>
  <c r="P111" i="91" s="1"/>
  <c r="N111" i="102"/>
  <c r="P111" i="102" s="1"/>
  <c r="F113" i="102"/>
  <c r="H113" i="102" s="1"/>
  <c r="L108" i="101"/>
  <c r="J109" i="101"/>
  <c r="H108" i="101"/>
  <c r="F109" i="101"/>
  <c r="D107" i="101"/>
  <c r="B108" i="101"/>
  <c r="J108" i="99"/>
  <c r="L108" i="99" s="1"/>
  <c r="F110" i="99"/>
  <c r="H110" i="99" s="1"/>
  <c r="B108" i="99"/>
  <c r="D108" i="99" s="1"/>
  <c r="B113" i="90"/>
  <c r="D113" i="90" s="1"/>
  <c r="F113" i="90"/>
  <c r="H113" i="90" s="1"/>
  <c r="L107" i="80"/>
  <c r="J108" i="80"/>
  <c r="B108" i="83"/>
  <c r="D108" i="83" s="1"/>
  <c r="J108" i="83"/>
  <c r="L108" i="83" s="1"/>
  <c r="J113" i="86"/>
  <c r="L112" i="86"/>
  <c r="B113" i="86"/>
  <c r="D113" i="86" s="1"/>
  <c r="F113" i="86"/>
  <c r="H113" i="86" s="1"/>
  <c r="J108" i="85"/>
  <c r="L108" i="85" s="1"/>
  <c r="B108" i="85"/>
  <c r="D108" i="85" s="1"/>
  <c r="F108" i="85"/>
  <c r="H108" i="85" s="1"/>
  <c r="F109" i="83"/>
  <c r="H109" i="83" s="1"/>
  <c r="F110" i="80"/>
  <c r="H109" i="80"/>
  <c r="B109" i="80"/>
  <c r="D109" i="80" s="1"/>
  <c r="X66" i="42"/>
  <c r="AC66" i="42"/>
  <c r="AD66" i="42" s="1"/>
  <c r="W66" i="42"/>
  <c r="J113" i="90" l="1"/>
  <c r="L113" i="90" s="1"/>
  <c r="L111" i="102"/>
  <c r="J112" i="102"/>
  <c r="N113" i="85"/>
  <c r="P112" i="85"/>
  <c r="N113" i="90"/>
  <c r="P113" i="90" s="1"/>
  <c r="N112" i="91"/>
  <c r="P112" i="91" s="1"/>
  <c r="N112" i="102"/>
  <c r="P112" i="102" s="1"/>
  <c r="F114" i="102"/>
  <c r="H114" i="102" s="1"/>
  <c r="H109" i="101"/>
  <c r="F110" i="101"/>
  <c r="D108" i="101"/>
  <c r="B109" i="101"/>
  <c r="L109" i="101"/>
  <c r="J110" i="101"/>
  <c r="B109" i="99"/>
  <c r="D109" i="99" s="1"/>
  <c r="F111" i="99"/>
  <c r="H111" i="99" s="1"/>
  <c r="J109" i="99"/>
  <c r="L109" i="99" s="1"/>
  <c r="F114" i="90"/>
  <c r="H114" i="90" s="1"/>
  <c r="B114" i="90"/>
  <c r="D114" i="90" s="1"/>
  <c r="L108" i="80"/>
  <c r="J109" i="80"/>
  <c r="B109" i="83"/>
  <c r="D109" i="83" s="1"/>
  <c r="J109" i="83"/>
  <c r="L109" i="83" s="1"/>
  <c r="F114" i="86"/>
  <c r="H114" i="86" s="1"/>
  <c r="B114" i="86"/>
  <c r="D114" i="86" s="1"/>
  <c r="J114" i="86"/>
  <c r="L113" i="86"/>
  <c r="F109" i="85"/>
  <c r="H109" i="85" s="1"/>
  <c r="B109" i="85"/>
  <c r="D109" i="85" s="1"/>
  <c r="J109" i="85"/>
  <c r="L109" i="85" s="1"/>
  <c r="F110" i="83"/>
  <c r="H110" i="83" s="1"/>
  <c r="B110" i="80"/>
  <c r="D110" i="80" s="1"/>
  <c r="F111" i="80"/>
  <c r="H110" i="80"/>
  <c r="M66" i="42"/>
  <c r="B66" i="42" s="1"/>
  <c r="AA66" i="42"/>
  <c r="C66" i="42" s="1"/>
  <c r="Y66" i="42"/>
  <c r="J114" i="90" l="1"/>
  <c r="L114" i="90" s="1"/>
  <c r="L112" i="102"/>
  <c r="J113" i="102"/>
  <c r="N114" i="85"/>
  <c r="P113" i="85"/>
  <c r="N114" i="90"/>
  <c r="P114" i="90" s="1"/>
  <c r="N113" i="91"/>
  <c r="P113" i="91" s="1"/>
  <c r="N113" i="102"/>
  <c r="P113" i="102" s="1"/>
  <c r="F115" i="102"/>
  <c r="H115" i="102" s="1"/>
  <c r="L110" i="101"/>
  <c r="J111" i="101"/>
  <c r="D109" i="101"/>
  <c r="B110" i="101"/>
  <c r="H110" i="101"/>
  <c r="F111" i="101"/>
  <c r="J110" i="99"/>
  <c r="L110" i="99" s="1"/>
  <c r="F112" i="99"/>
  <c r="H112" i="99" s="1"/>
  <c r="B110" i="99"/>
  <c r="D110" i="99" s="1"/>
  <c r="B115" i="90"/>
  <c r="D115" i="90" s="1"/>
  <c r="F115" i="90"/>
  <c r="H115" i="90" s="1"/>
  <c r="L109" i="80"/>
  <c r="J110" i="80"/>
  <c r="B110" i="83"/>
  <c r="D110" i="83" s="1"/>
  <c r="J110" i="83"/>
  <c r="L110" i="83" s="1"/>
  <c r="J115" i="86"/>
  <c r="L114" i="86"/>
  <c r="B115" i="86"/>
  <c r="D115" i="86" s="1"/>
  <c r="F115" i="86"/>
  <c r="H115" i="86" s="1"/>
  <c r="J110" i="85"/>
  <c r="L110" i="85" s="1"/>
  <c r="B110" i="85"/>
  <c r="D110" i="85" s="1"/>
  <c r="F110" i="85"/>
  <c r="H110" i="85" s="1"/>
  <c r="F111" i="83"/>
  <c r="H111" i="83" s="1"/>
  <c r="F112" i="80"/>
  <c r="H111" i="80"/>
  <c r="B111" i="80"/>
  <c r="D111" i="80" s="1"/>
  <c r="H66" i="42"/>
  <c r="E66" i="42"/>
  <c r="I66" i="42"/>
  <c r="F66" i="42"/>
  <c r="AB66" i="42"/>
  <c r="V67" i="42"/>
  <c r="J115" i="90" l="1"/>
  <c r="L115" i="90" s="1"/>
  <c r="L113" i="102"/>
  <c r="J114" i="102"/>
  <c r="N115" i="85"/>
  <c r="P114" i="85"/>
  <c r="N115" i="90"/>
  <c r="P115" i="90" s="1"/>
  <c r="N114" i="91"/>
  <c r="P114" i="91" s="1"/>
  <c r="N114" i="102"/>
  <c r="P114" i="102" s="1"/>
  <c r="F116" i="102"/>
  <c r="H116" i="102" s="1"/>
  <c r="H111" i="101"/>
  <c r="F112" i="101"/>
  <c r="D110" i="101"/>
  <c r="B111" i="101"/>
  <c r="L111" i="101"/>
  <c r="J112" i="101"/>
  <c r="B111" i="99"/>
  <c r="D111" i="99" s="1"/>
  <c r="F113" i="99"/>
  <c r="H113" i="99" s="1"/>
  <c r="J111" i="99"/>
  <c r="L111" i="99" s="1"/>
  <c r="F116" i="90"/>
  <c r="H116" i="90" s="1"/>
  <c r="B116" i="90"/>
  <c r="D116" i="90" s="1"/>
  <c r="L110" i="80"/>
  <c r="J111" i="80"/>
  <c r="B111" i="83"/>
  <c r="D111" i="83" s="1"/>
  <c r="J111" i="83"/>
  <c r="L111" i="83" s="1"/>
  <c r="F116" i="86"/>
  <c r="H116" i="86" s="1"/>
  <c r="B116" i="86"/>
  <c r="D116" i="86" s="1"/>
  <c r="J116" i="86"/>
  <c r="L115" i="86"/>
  <c r="F111" i="85"/>
  <c r="H111" i="85" s="1"/>
  <c r="B111" i="85"/>
  <c r="D111" i="85" s="1"/>
  <c r="J111" i="85"/>
  <c r="L111" i="85" s="1"/>
  <c r="F112" i="83"/>
  <c r="H112" i="83" s="1"/>
  <c r="B112" i="80"/>
  <c r="D112" i="80" s="1"/>
  <c r="F113" i="80"/>
  <c r="H112" i="80"/>
  <c r="W67" i="42"/>
  <c r="AC67" i="42"/>
  <c r="AD67" i="42" s="1"/>
  <c r="X67" i="42"/>
  <c r="J116" i="90" l="1"/>
  <c r="L116" i="90" s="1"/>
  <c r="L114" i="102"/>
  <c r="J115" i="102"/>
  <c r="N116" i="85"/>
  <c r="P115" i="85"/>
  <c r="N116" i="90"/>
  <c r="P116" i="90" s="1"/>
  <c r="N115" i="91"/>
  <c r="P115" i="91" s="1"/>
  <c r="N115" i="102"/>
  <c r="P115" i="102" s="1"/>
  <c r="F117" i="102"/>
  <c r="H117" i="102" s="1"/>
  <c r="L112" i="101"/>
  <c r="J113" i="101"/>
  <c r="D111" i="101"/>
  <c r="B112" i="101"/>
  <c r="H112" i="101"/>
  <c r="F113" i="101"/>
  <c r="J112" i="99"/>
  <c r="L112" i="99" s="1"/>
  <c r="F114" i="99"/>
  <c r="H114" i="99" s="1"/>
  <c r="B112" i="99"/>
  <c r="D112" i="99" s="1"/>
  <c r="B117" i="90"/>
  <c r="D117" i="90" s="1"/>
  <c r="J117" i="90"/>
  <c r="L117" i="90" s="1"/>
  <c r="F117" i="90"/>
  <c r="H117" i="90" s="1"/>
  <c r="L111" i="80"/>
  <c r="J112" i="80"/>
  <c r="B112" i="83"/>
  <c r="D112" i="83" s="1"/>
  <c r="J112" i="83"/>
  <c r="L112" i="83" s="1"/>
  <c r="J117" i="86"/>
  <c r="L116" i="86"/>
  <c r="B117" i="86"/>
  <c r="D117" i="86" s="1"/>
  <c r="F117" i="86"/>
  <c r="H117" i="86" s="1"/>
  <c r="J112" i="85"/>
  <c r="L112" i="85" s="1"/>
  <c r="B112" i="85"/>
  <c r="D112" i="85" s="1"/>
  <c r="F112" i="85"/>
  <c r="H112" i="85" s="1"/>
  <c r="F113" i="83"/>
  <c r="H113" i="83" s="1"/>
  <c r="F114" i="80"/>
  <c r="H113" i="80"/>
  <c r="B113" i="80"/>
  <c r="D113" i="80" s="1"/>
  <c r="M67" i="42"/>
  <c r="B67" i="42" s="1"/>
  <c r="Y67" i="42"/>
  <c r="L115" i="102" l="1"/>
  <c r="J116" i="102"/>
  <c r="N117" i="85"/>
  <c r="P116" i="85"/>
  <c r="N117" i="90"/>
  <c r="P117" i="90" s="1"/>
  <c r="N116" i="91"/>
  <c r="P116" i="91" s="1"/>
  <c r="N116" i="102"/>
  <c r="P116" i="102" s="1"/>
  <c r="F118" i="102"/>
  <c r="H118" i="102" s="1"/>
  <c r="H113" i="101"/>
  <c r="F114" i="101"/>
  <c r="D112" i="101"/>
  <c r="B113" i="101"/>
  <c r="L113" i="101"/>
  <c r="J114" i="101"/>
  <c r="B113" i="99"/>
  <c r="D113" i="99" s="1"/>
  <c r="F115" i="99"/>
  <c r="H115" i="99" s="1"/>
  <c r="J113" i="99"/>
  <c r="L113" i="99" s="1"/>
  <c r="F118" i="90"/>
  <c r="H118" i="90" s="1"/>
  <c r="J118" i="90"/>
  <c r="L118" i="90" s="1"/>
  <c r="B118" i="90"/>
  <c r="D118" i="90" s="1"/>
  <c r="L112" i="80"/>
  <c r="J113" i="80"/>
  <c r="B113" i="83"/>
  <c r="D113" i="83" s="1"/>
  <c r="J113" i="83"/>
  <c r="L113" i="83" s="1"/>
  <c r="F118" i="86"/>
  <c r="H118" i="86" s="1"/>
  <c r="B118" i="86"/>
  <c r="D118" i="86" s="1"/>
  <c r="J118" i="86"/>
  <c r="L117" i="86"/>
  <c r="F113" i="85"/>
  <c r="H113" i="85" s="1"/>
  <c r="B113" i="85"/>
  <c r="D113" i="85" s="1"/>
  <c r="J113" i="85"/>
  <c r="L113" i="85" s="1"/>
  <c r="F114" i="83"/>
  <c r="H114" i="83" s="1"/>
  <c r="B114" i="80"/>
  <c r="D114" i="80" s="1"/>
  <c r="F115" i="80"/>
  <c r="H114" i="80"/>
  <c r="G67" i="42"/>
  <c r="I67" i="42"/>
  <c r="H67" i="42"/>
  <c r="F67" i="42"/>
  <c r="AB67" i="42"/>
  <c r="AA67" i="42" s="1"/>
  <c r="C67" i="42" s="1"/>
  <c r="V68" i="42"/>
  <c r="L116" i="102" l="1"/>
  <c r="J117" i="102"/>
  <c r="N118" i="85"/>
  <c r="P117" i="85"/>
  <c r="N118" i="90"/>
  <c r="P118" i="90" s="1"/>
  <c r="N117" i="91"/>
  <c r="P117" i="91" s="1"/>
  <c r="N117" i="102"/>
  <c r="P117" i="102" s="1"/>
  <c r="F119" i="102"/>
  <c r="H119" i="102" s="1"/>
  <c r="D113" i="101"/>
  <c r="B114" i="101"/>
  <c r="L114" i="101"/>
  <c r="J115" i="101"/>
  <c r="H114" i="101"/>
  <c r="F115" i="101"/>
  <c r="J114" i="99"/>
  <c r="L114" i="99" s="1"/>
  <c r="F116" i="99"/>
  <c r="H116" i="99" s="1"/>
  <c r="B114" i="99"/>
  <c r="D114" i="99" s="1"/>
  <c r="B119" i="90"/>
  <c r="D119" i="90" s="1"/>
  <c r="J119" i="90"/>
  <c r="L119" i="90" s="1"/>
  <c r="F119" i="90"/>
  <c r="H119" i="90" s="1"/>
  <c r="L113" i="80"/>
  <c r="J114" i="80"/>
  <c r="B114" i="83"/>
  <c r="D114" i="83" s="1"/>
  <c r="J114" i="83"/>
  <c r="L114" i="83" s="1"/>
  <c r="J119" i="86"/>
  <c r="L118" i="86"/>
  <c r="B119" i="86"/>
  <c r="D119" i="86" s="1"/>
  <c r="F119" i="86"/>
  <c r="H119" i="86" s="1"/>
  <c r="J114" i="85"/>
  <c r="L114" i="85" s="1"/>
  <c r="B114" i="85"/>
  <c r="D114" i="85" s="1"/>
  <c r="F114" i="85"/>
  <c r="H114" i="85" s="1"/>
  <c r="F115" i="83"/>
  <c r="H115" i="83" s="1"/>
  <c r="F116" i="80"/>
  <c r="H115" i="80"/>
  <c r="B115" i="80"/>
  <c r="D115" i="80" s="1"/>
  <c r="AC68" i="42"/>
  <c r="AD68" i="42" s="1"/>
  <c r="X68" i="42"/>
  <c r="W68" i="42"/>
  <c r="L117" i="102" l="1"/>
  <c r="J118" i="102"/>
  <c r="N119" i="85"/>
  <c r="P118" i="85"/>
  <c r="N119" i="90"/>
  <c r="P119" i="90" s="1"/>
  <c r="N118" i="91"/>
  <c r="P118" i="91" s="1"/>
  <c r="N118" i="102"/>
  <c r="P118" i="102" s="1"/>
  <c r="F120" i="102"/>
  <c r="H120" i="102" s="1"/>
  <c r="H115" i="101"/>
  <c r="F116" i="101"/>
  <c r="L115" i="101"/>
  <c r="J116" i="101"/>
  <c r="D114" i="101"/>
  <c r="B115" i="101"/>
  <c r="B115" i="99"/>
  <c r="D115" i="99" s="1"/>
  <c r="F117" i="99"/>
  <c r="H117" i="99" s="1"/>
  <c r="J115" i="99"/>
  <c r="L115" i="99" s="1"/>
  <c r="F120" i="90"/>
  <c r="H120" i="90" s="1"/>
  <c r="J120" i="90"/>
  <c r="L120" i="90" s="1"/>
  <c r="B120" i="90"/>
  <c r="D120" i="90" s="1"/>
  <c r="L114" i="80"/>
  <c r="J115" i="80"/>
  <c r="B115" i="83"/>
  <c r="D115" i="83" s="1"/>
  <c r="J115" i="83"/>
  <c r="L115" i="83" s="1"/>
  <c r="F120" i="86"/>
  <c r="H120" i="86" s="1"/>
  <c r="B120" i="86"/>
  <c r="D120" i="86" s="1"/>
  <c r="J120" i="86"/>
  <c r="L119" i="86"/>
  <c r="F115" i="85"/>
  <c r="H115" i="85" s="1"/>
  <c r="B115" i="85"/>
  <c r="D115" i="85" s="1"/>
  <c r="J115" i="85"/>
  <c r="L115" i="85" s="1"/>
  <c r="F116" i="83"/>
  <c r="H116" i="83" s="1"/>
  <c r="B116" i="80"/>
  <c r="D116" i="80" s="1"/>
  <c r="F117" i="80"/>
  <c r="H116" i="80"/>
  <c r="AA68" i="42"/>
  <c r="C68" i="42" s="1"/>
  <c r="Y68" i="42"/>
  <c r="M68" i="42"/>
  <c r="B68" i="42" s="1"/>
  <c r="L118" i="102" l="1"/>
  <c r="J119" i="102"/>
  <c r="N120" i="85"/>
  <c r="P119" i="85"/>
  <c r="N120" i="90"/>
  <c r="P120" i="90" s="1"/>
  <c r="N119" i="91"/>
  <c r="P119" i="91" s="1"/>
  <c r="N119" i="102"/>
  <c r="P119" i="102" s="1"/>
  <c r="F121" i="102"/>
  <c r="H121" i="102" s="1"/>
  <c r="D115" i="101"/>
  <c r="B116" i="101"/>
  <c r="L116" i="101"/>
  <c r="J117" i="101"/>
  <c r="H116" i="101"/>
  <c r="F117" i="101"/>
  <c r="J116" i="99"/>
  <c r="L116" i="99" s="1"/>
  <c r="F118" i="99"/>
  <c r="H118" i="99" s="1"/>
  <c r="B116" i="99"/>
  <c r="D116" i="99" s="1"/>
  <c r="B121" i="90"/>
  <c r="D121" i="90" s="1"/>
  <c r="J121" i="90"/>
  <c r="L121" i="90" s="1"/>
  <c r="F121" i="90"/>
  <c r="H121" i="90" s="1"/>
  <c r="L115" i="80"/>
  <c r="J116" i="80"/>
  <c r="B116" i="83"/>
  <c r="D116" i="83" s="1"/>
  <c r="J116" i="83"/>
  <c r="L116" i="83" s="1"/>
  <c r="J121" i="86"/>
  <c r="L120" i="86"/>
  <c r="B121" i="86"/>
  <c r="D121" i="86" s="1"/>
  <c r="F121" i="86"/>
  <c r="H121" i="86" s="1"/>
  <c r="J116" i="85"/>
  <c r="L116" i="85" s="1"/>
  <c r="B116" i="85"/>
  <c r="D116" i="85" s="1"/>
  <c r="F116" i="85"/>
  <c r="H116" i="85" s="1"/>
  <c r="F117" i="83"/>
  <c r="H117" i="83" s="1"/>
  <c r="F118" i="80"/>
  <c r="H117" i="80"/>
  <c r="B117" i="80"/>
  <c r="D117" i="80" s="1"/>
  <c r="AB68" i="42"/>
  <c r="V69" i="42"/>
  <c r="F68" i="42"/>
  <c r="I68" i="42"/>
  <c r="H68" i="42"/>
  <c r="E68" i="42"/>
  <c r="L119" i="102" l="1"/>
  <c r="J120" i="102"/>
  <c r="N121" i="85"/>
  <c r="P120" i="85"/>
  <c r="N121" i="90"/>
  <c r="P121" i="90" s="1"/>
  <c r="N120" i="91"/>
  <c r="P120" i="91" s="1"/>
  <c r="N120" i="102"/>
  <c r="P120" i="102" s="1"/>
  <c r="F122" i="102"/>
  <c r="H122" i="102" s="1"/>
  <c r="H117" i="101"/>
  <c r="F118" i="101"/>
  <c r="L117" i="101"/>
  <c r="J118" i="101"/>
  <c r="D116" i="101"/>
  <c r="B117" i="101"/>
  <c r="B117" i="99"/>
  <c r="D117" i="99" s="1"/>
  <c r="F119" i="99"/>
  <c r="H119" i="99" s="1"/>
  <c r="J117" i="99"/>
  <c r="L117" i="99" s="1"/>
  <c r="F122" i="90"/>
  <c r="H122" i="90" s="1"/>
  <c r="J122" i="90"/>
  <c r="L122" i="90" s="1"/>
  <c r="B122" i="90"/>
  <c r="D122" i="90" s="1"/>
  <c r="L116" i="80"/>
  <c r="J117" i="80"/>
  <c r="B117" i="83"/>
  <c r="D117" i="83" s="1"/>
  <c r="J117" i="83"/>
  <c r="L117" i="83" s="1"/>
  <c r="F122" i="86"/>
  <c r="H122" i="86" s="1"/>
  <c r="B122" i="86"/>
  <c r="D122" i="86" s="1"/>
  <c r="J122" i="86"/>
  <c r="L121" i="86"/>
  <c r="F117" i="85"/>
  <c r="H117" i="85" s="1"/>
  <c r="B117" i="85"/>
  <c r="D117" i="85" s="1"/>
  <c r="J117" i="85"/>
  <c r="L117" i="85" s="1"/>
  <c r="F118" i="83"/>
  <c r="H118" i="83" s="1"/>
  <c r="B118" i="80"/>
  <c r="D118" i="80" s="1"/>
  <c r="F119" i="80"/>
  <c r="H118" i="80"/>
  <c r="AC69" i="42"/>
  <c r="AD69" i="42" s="1"/>
  <c r="W69" i="42"/>
  <c r="X69" i="42"/>
  <c r="L120" i="102" l="1"/>
  <c r="J121" i="102"/>
  <c r="N122" i="85"/>
  <c r="P121" i="85"/>
  <c r="N122" i="90"/>
  <c r="P122" i="90" s="1"/>
  <c r="N121" i="91"/>
  <c r="P121" i="91" s="1"/>
  <c r="N121" i="102"/>
  <c r="P121" i="102" s="1"/>
  <c r="F123" i="102"/>
  <c r="H123" i="102" s="1"/>
  <c r="D117" i="101"/>
  <c r="B118" i="101"/>
  <c r="L118" i="101"/>
  <c r="J119" i="101"/>
  <c r="H118" i="101"/>
  <c r="F119" i="101"/>
  <c r="J118" i="99"/>
  <c r="L118" i="99" s="1"/>
  <c r="F120" i="99"/>
  <c r="H120" i="99" s="1"/>
  <c r="B118" i="99"/>
  <c r="D118" i="99" s="1"/>
  <c r="B123" i="90"/>
  <c r="D123" i="90" s="1"/>
  <c r="J123" i="90"/>
  <c r="L123" i="90" s="1"/>
  <c r="F123" i="90"/>
  <c r="H123" i="90" s="1"/>
  <c r="L117" i="80"/>
  <c r="J118" i="80"/>
  <c r="B118" i="83"/>
  <c r="D118" i="83" s="1"/>
  <c r="J118" i="83"/>
  <c r="L118" i="83" s="1"/>
  <c r="J123" i="86"/>
  <c r="L122" i="86"/>
  <c r="B123" i="86"/>
  <c r="D123" i="86" s="1"/>
  <c r="F123" i="86"/>
  <c r="H123" i="86" s="1"/>
  <c r="J118" i="85"/>
  <c r="L118" i="85" s="1"/>
  <c r="B118" i="85"/>
  <c r="D118" i="85" s="1"/>
  <c r="F118" i="85"/>
  <c r="H118" i="85" s="1"/>
  <c r="F119" i="83"/>
  <c r="H119" i="83" s="1"/>
  <c r="F120" i="80"/>
  <c r="H119" i="80"/>
  <c r="B119" i="80"/>
  <c r="D119" i="80" s="1"/>
  <c r="M69" i="42"/>
  <c r="B69" i="42" s="1"/>
  <c r="Y69" i="42"/>
  <c r="L121" i="102" l="1"/>
  <c r="J122" i="102"/>
  <c r="N123" i="85"/>
  <c r="P122" i="85"/>
  <c r="N123" i="90"/>
  <c r="P123" i="90" s="1"/>
  <c r="N122" i="91"/>
  <c r="P122" i="91" s="1"/>
  <c r="N122" i="102"/>
  <c r="P122" i="102" s="1"/>
  <c r="F124" i="102"/>
  <c r="H124" i="102" s="1"/>
  <c r="H119" i="101"/>
  <c r="F120" i="101"/>
  <c r="L119" i="101"/>
  <c r="J120" i="101"/>
  <c r="D118" i="101"/>
  <c r="B119" i="101"/>
  <c r="B119" i="99"/>
  <c r="D119" i="99" s="1"/>
  <c r="F121" i="99"/>
  <c r="H121" i="99" s="1"/>
  <c r="J119" i="99"/>
  <c r="L119" i="99" s="1"/>
  <c r="F124" i="90"/>
  <c r="H124" i="90" s="1"/>
  <c r="J124" i="90"/>
  <c r="L124" i="90" s="1"/>
  <c r="B124" i="90"/>
  <c r="D124" i="90" s="1"/>
  <c r="L118" i="80"/>
  <c r="J119" i="80"/>
  <c r="B119" i="83"/>
  <c r="D119" i="83" s="1"/>
  <c r="J119" i="83"/>
  <c r="L119" i="83" s="1"/>
  <c r="F124" i="86"/>
  <c r="H124" i="86" s="1"/>
  <c r="B124" i="86"/>
  <c r="D124" i="86" s="1"/>
  <c r="J124" i="86"/>
  <c r="L123" i="86"/>
  <c r="F119" i="85"/>
  <c r="H119" i="85" s="1"/>
  <c r="B119" i="85"/>
  <c r="D119" i="85" s="1"/>
  <c r="J119" i="85"/>
  <c r="L119" i="85" s="1"/>
  <c r="F120" i="83"/>
  <c r="H120" i="83" s="1"/>
  <c r="B120" i="80"/>
  <c r="D120" i="80" s="1"/>
  <c r="F121" i="80"/>
  <c r="H120" i="80"/>
  <c r="F69" i="42"/>
  <c r="I69" i="42"/>
  <c r="H69" i="42"/>
  <c r="G69" i="42"/>
  <c r="AB69" i="42"/>
  <c r="AA69" i="42" s="1"/>
  <c r="C69" i="42" s="1"/>
  <c r="V70" i="42"/>
  <c r="L122" i="102" l="1"/>
  <c r="J123" i="102"/>
  <c r="N124" i="85"/>
  <c r="P123" i="85"/>
  <c r="N124" i="90"/>
  <c r="P124" i="90" s="1"/>
  <c r="N123" i="91"/>
  <c r="P123" i="91" s="1"/>
  <c r="N123" i="102"/>
  <c r="P123" i="102" s="1"/>
  <c r="F125" i="102"/>
  <c r="H125" i="102" s="1"/>
  <c r="D119" i="101"/>
  <c r="B120" i="101"/>
  <c r="L120" i="101"/>
  <c r="J121" i="101"/>
  <c r="H120" i="101"/>
  <c r="F121" i="101"/>
  <c r="J120" i="99"/>
  <c r="L120" i="99" s="1"/>
  <c r="F122" i="99"/>
  <c r="H122" i="99" s="1"/>
  <c r="B120" i="99"/>
  <c r="D120" i="99" s="1"/>
  <c r="B125" i="90"/>
  <c r="D125" i="90" s="1"/>
  <c r="J125" i="90"/>
  <c r="L125" i="90" s="1"/>
  <c r="F125" i="90"/>
  <c r="H125" i="90" s="1"/>
  <c r="L119" i="80"/>
  <c r="J120" i="80"/>
  <c r="B120" i="83"/>
  <c r="D120" i="83" s="1"/>
  <c r="J120" i="83"/>
  <c r="L120" i="83" s="1"/>
  <c r="J125" i="86"/>
  <c r="L124" i="86"/>
  <c r="B125" i="86"/>
  <c r="D125" i="86" s="1"/>
  <c r="F125" i="86"/>
  <c r="H125" i="86" s="1"/>
  <c r="J120" i="85"/>
  <c r="L120" i="85" s="1"/>
  <c r="B120" i="85"/>
  <c r="D120" i="85" s="1"/>
  <c r="F120" i="85"/>
  <c r="H120" i="85" s="1"/>
  <c r="F121" i="83"/>
  <c r="H121" i="83" s="1"/>
  <c r="B121" i="80"/>
  <c r="D121" i="80" s="1"/>
  <c r="F122" i="80"/>
  <c r="H121" i="80"/>
  <c r="AC70" i="42"/>
  <c r="AD70" i="42" s="1"/>
  <c r="X70" i="42"/>
  <c r="W70" i="42"/>
  <c r="L123" i="102" l="1"/>
  <c r="J124" i="102"/>
  <c r="N125" i="85"/>
  <c r="P124" i="85"/>
  <c r="N125" i="90"/>
  <c r="P125" i="90" s="1"/>
  <c r="N124" i="91"/>
  <c r="P124" i="91" s="1"/>
  <c r="N124" i="102"/>
  <c r="P124" i="102" s="1"/>
  <c r="F126" i="102"/>
  <c r="H126" i="102" s="1"/>
  <c r="L121" i="101"/>
  <c r="J122" i="101"/>
  <c r="H121" i="101"/>
  <c r="F122" i="101"/>
  <c r="D120" i="101"/>
  <c r="B121" i="101"/>
  <c r="B121" i="99"/>
  <c r="D121" i="99" s="1"/>
  <c r="F123" i="99"/>
  <c r="H123" i="99" s="1"/>
  <c r="J121" i="99"/>
  <c r="L121" i="99" s="1"/>
  <c r="F126" i="90"/>
  <c r="H126" i="90" s="1"/>
  <c r="J126" i="90"/>
  <c r="L126" i="90" s="1"/>
  <c r="B126" i="90"/>
  <c r="D126" i="90" s="1"/>
  <c r="L120" i="80"/>
  <c r="J121" i="80"/>
  <c r="B121" i="83"/>
  <c r="D121" i="83" s="1"/>
  <c r="J121" i="83"/>
  <c r="L121" i="83" s="1"/>
  <c r="F126" i="86"/>
  <c r="H126" i="86" s="1"/>
  <c r="B126" i="86"/>
  <c r="D126" i="86" s="1"/>
  <c r="J126" i="86"/>
  <c r="L125" i="86"/>
  <c r="F121" i="85"/>
  <c r="H121" i="85" s="1"/>
  <c r="B121" i="85"/>
  <c r="D121" i="85" s="1"/>
  <c r="J121" i="85"/>
  <c r="L121" i="85" s="1"/>
  <c r="F122" i="83"/>
  <c r="H122" i="83" s="1"/>
  <c r="F123" i="80"/>
  <c r="H122" i="80"/>
  <c r="B122" i="80"/>
  <c r="D122" i="80" s="1"/>
  <c r="M70" i="42"/>
  <c r="B70" i="42" s="1"/>
  <c r="Y70" i="42"/>
  <c r="AA70" i="42"/>
  <c r="C70" i="42" s="1"/>
  <c r="L124" i="102" l="1"/>
  <c r="J125" i="102"/>
  <c r="N126" i="85"/>
  <c r="P125" i="85"/>
  <c r="N126" i="90"/>
  <c r="P126" i="90" s="1"/>
  <c r="N125" i="91"/>
  <c r="P125" i="91" s="1"/>
  <c r="N125" i="102"/>
  <c r="P125" i="102" s="1"/>
  <c r="F127" i="102"/>
  <c r="H127" i="102" s="1"/>
  <c r="H122" i="101"/>
  <c r="F123" i="101"/>
  <c r="D121" i="101"/>
  <c r="B122" i="101"/>
  <c r="L122" i="101"/>
  <c r="J123" i="101"/>
  <c r="J122" i="99"/>
  <c r="L122" i="99" s="1"/>
  <c r="F124" i="99"/>
  <c r="H124" i="99" s="1"/>
  <c r="B122" i="99"/>
  <c r="D122" i="99" s="1"/>
  <c r="B127" i="90"/>
  <c r="D127" i="90" s="1"/>
  <c r="J127" i="90"/>
  <c r="L127" i="90" s="1"/>
  <c r="F127" i="90"/>
  <c r="H127" i="90" s="1"/>
  <c r="L121" i="80"/>
  <c r="J122" i="80"/>
  <c r="B122" i="83"/>
  <c r="D122" i="83" s="1"/>
  <c r="J122" i="83"/>
  <c r="L122" i="83" s="1"/>
  <c r="J127" i="86"/>
  <c r="L126" i="86"/>
  <c r="B127" i="86"/>
  <c r="D127" i="86" s="1"/>
  <c r="F127" i="86"/>
  <c r="H127" i="86" s="1"/>
  <c r="J122" i="85"/>
  <c r="L122" i="85" s="1"/>
  <c r="B122" i="85"/>
  <c r="D122" i="85" s="1"/>
  <c r="F122" i="85"/>
  <c r="H122" i="85" s="1"/>
  <c r="F123" i="83"/>
  <c r="H123" i="83" s="1"/>
  <c r="B123" i="80"/>
  <c r="D123" i="80" s="1"/>
  <c r="F124" i="80"/>
  <c r="H123" i="80"/>
  <c r="I70" i="42"/>
  <c r="H70" i="42"/>
  <c r="E70" i="42"/>
  <c r="F70" i="42"/>
  <c r="AB70" i="42"/>
  <c r="V71" i="42"/>
  <c r="L125" i="102" l="1"/>
  <c r="J126" i="102"/>
  <c r="N127" i="85"/>
  <c r="P126" i="85"/>
  <c r="N127" i="90"/>
  <c r="P127" i="90" s="1"/>
  <c r="N126" i="91"/>
  <c r="P126" i="91" s="1"/>
  <c r="N126" i="102"/>
  <c r="P126" i="102" s="1"/>
  <c r="F128" i="102"/>
  <c r="H128" i="102" s="1"/>
  <c r="L123" i="101"/>
  <c r="J124" i="101"/>
  <c r="D122" i="101"/>
  <c r="B123" i="101"/>
  <c r="H123" i="101"/>
  <c r="F124" i="101"/>
  <c r="B123" i="99"/>
  <c r="D123" i="99" s="1"/>
  <c r="F125" i="99"/>
  <c r="H125" i="99" s="1"/>
  <c r="J123" i="99"/>
  <c r="L123" i="99" s="1"/>
  <c r="F128" i="90"/>
  <c r="H128" i="90" s="1"/>
  <c r="J128" i="90"/>
  <c r="L128" i="90" s="1"/>
  <c r="B128" i="90"/>
  <c r="D128" i="90" s="1"/>
  <c r="L122" i="80"/>
  <c r="J123" i="80"/>
  <c r="B123" i="83"/>
  <c r="D123" i="83" s="1"/>
  <c r="J123" i="83"/>
  <c r="L123" i="83" s="1"/>
  <c r="F128" i="86"/>
  <c r="H128" i="86" s="1"/>
  <c r="B128" i="86"/>
  <c r="D128" i="86" s="1"/>
  <c r="J128" i="86"/>
  <c r="L127" i="86"/>
  <c r="F123" i="85"/>
  <c r="H123" i="85" s="1"/>
  <c r="B123" i="85"/>
  <c r="D123" i="85" s="1"/>
  <c r="J123" i="85"/>
  <c r="L123" i="85" s="1"/>
  <c r="F124" i="83"/>
  <c r="H124" i="83" s="1"/>
  <c r="F125" i="80"/>
  <c r="H124" i="80"/>
  <c r="B124" i="80"/>
  <c r="D124" i="80" s="1"/>
  <c r="X71" i="42"/>
  <c r="AC71" i="42"/>
  <c r="AD71" i="42" s="1"/>
  <c r="W71" i="42"/>
  <c r="L126" i="102" l="1"/>
  <c r="J127" i="102"/>
  <c r="N128" i="85"/>
  <c r="P127" i="85"/>
  <c r="N128" i="90"/>
  <c r="P128" i="90" s="1"/>
  <c r="N127" i="91"/>
  <c r="P127" i="91" s="1"/>
  <c r="N127" i="102"/>
  <c r="P127" i="102" s="1"/>
  <c r="F129" i="102"/>
  <c r="H129" i="102" s="1"/>
  <c r="H124" i="101"/>
  <c r="F125" i="101"/>
  <c r="D123" i="101"/>
  <c r="B124" i="101"/>
  <c r="L124" i="101"/>
  <c r="J125" i="101"/>
  <c r="J124" i="99"/>
  <c r="L124" i="99" s="1"/>
  <c r="F126" i="99"/>
  <c r="H126" i="99" s="1"/>
  <c r="B124" i="99"/>
  <c r="D124" i="99" s="1"/>
  <c r="B129" i="90"/>
  <c r="D129" i="90" s="1"/>
  <c r="J129" i="90"/>
  <c r="L129" i="90" s="1"/>
  <c r="F129" i="90"/>
  <c r="H129" i="90" s="1"/>
  <c r="L123" i="80"/>
  <c r="J124" i="80"/>
  <c r="B124" i="83"/>
  <c r="D124" i="83" s="1"/>
  <c r="J124" i="83"/>
  <c r="L124" i="83" s="1"/>
  <c r="J129" i="86"/>
  <c r="L128" i="86"/>
  <c r="B129" i="86"/>
  <c r="D129" i="86" s="1"/>
  <c r="F129" i="86"/>
  <c r="H129" i="86" s="1"/>
  <c r="J124" i="85"/>
  <c r="L124" i="85" s="1"/>
  <c r="B124" i="85"/>
  <c r="D124" i="85" s="1"/>
  <c r="F124" i="85"/>
  <c r="H124" i="85" s="1"/>
  <c r="F125" i="83"/>
  <c r="H125" i="83" s="1"/>
  <c r="B125" i="80"/>
  <c r="D125" i="80" s="1"/>
  <c r="F126" i="80"/>
  <c r="H125" i="80"/>
  <c r="M71" i="42"/>
  <c r="B71" i="42" s="1"/>
  <c r="Y71" i="42"/>
  <c r="L127" i="102" l="1"/>
  <c r="J128" i="102"/>
  <c r="N129" i="85"/>
  <c r="P128" i="85"/>
  <c r="N129" i="90"/>
  <c r="P129" i="90" s="1"/>
  <c r="N128" i="91"/>
  <c r="P128" i="91" s="1"/>
  <c r="N128" i="102"/>
  <c r="P128" i="102" s="1"/>
  <c r="F130" i="102"/>
  <c r="H130" i="102" s="1"/>
  <c r="L125" i="101"/>
  <c r="J126" i="101"/>
  <c r="D124" i="101"/>
  <c r="B125" i="101"/>
  <c r="H125" i="101"/>
  <c r="F126" i="101"/>
  <c r="B125" i="99"/>
  <c r="D125" i="99" s="1"/>
  <c r="F127" i="99"/>
  <c r="H127" i="99" s="1"/>
  <c r="J125" i="99"/>
  <c r="L125" i="99" s="1"/>
  <c r="F130" i="90"/>
  <c r="H130" i="90" s="1"/>
  <c r="J130" i="90"/>
  <c r="L130" i="90" s="1"/>
  <c r="B130" i="90"/>
  <c r="D130" i="90" s="1"/>
  <c r="L124" i="80"/>
  <c r="J125" i="80"/>
  <c r="B125" i="83"/>
  <c r="D125" i="83" s="1"/>
  <c r="J125" i="83"/>
  <c r="L125" i="83" s="1"/>
  <c r="F130" i="86"/>
  <c r="H130" i="86" s="1"/>
  <c r="B130" i="86"/>
  <c r="D130" i="86" s="1"/>
  <c r="J130" i="86"/>
  <c r="L129" i="86"/>
  <c r="F125" i="85"/>
  <c r="H125" i="85" s="1"/>
  <c r="B125" i="85"/>
  <c r="D125" i="85" s="1"/>
  <c r="J125" i="85"/>
  <c r="L125" i="85" s="1"/>
  <c r="F126" i="83"/>
  <c r="H126" i="83" s="1"/>
  <c r="F127" i="80"/>
  <c r="H126" i="80"/>
  <c r="B126" i="80"/>
  <c r="D126" i="80" s="1"/>
  <c r="I71" i="42"/>
  <c r="H71" i="42"/>
  <c r="G71" i="42"/>
  <c r="F71" i="42"/>
  <c r="AB71" i="42"/>
  <c r="AA71" i="42" s="1"/>
  <c r="C71" i="42" s="1"/>
  <c r="V72" i="42"/>
  <c r="L128" i="102" l="1"/>
  <c r="J129" i="102"/>
  <c r="N130" i="85"/>
  <c r="P129" i="85"/>
  <c r="N130" i="90"/>
  <c r="P130" i="90" s="1"/>
  <c r="N129" i="91"/>
  <c r="P129" i="91" s="1"/>
  <c r="N129" i="102"/>
  <c r="P129" i="102" s="1"/>
  <c r="F131" i="102"/>
  <c r="H131" i="102" s="1"/>
  <c r="D125" i="101"/>
  <c r="B126" i="101"/>
  <c r="L126" i="101"/>
  <c r="J127" i="101"/>
  <c r="H126" i="101"/>
  <c r="F127" i="101"/>
  <c r="J126" i="99"/>
  <c r="L126" i="99" s="1"/>
  <c r="F128" i="99"/>
  <c r="H128" i="99" s="1"/>
  <c r="B126" i="99"/>
  <c r="D126" i="99" s="1"/>
  <c r="B131" i="90"/>
  <c r="D131" i="90" s="1"/>
  <c r="J131" i="90"/>
  <c r="L131" i="90" s="1"/>
  <c r="F131" i="90"/>
  <c r="H131" i="90" s="1"/>
  <c r="L125" i="80"/>
  <c r="J126" i="80"/>
  <c r="B126" i="83"/>
  <c r="D126" i="83" s="1"/>
  <c r="J126" i="83"/>
  <c r="L126" i="83" s="1"/>
  <c r="B131" i="86"/>
  <c r="D131" i="86" s="1"/>
  <c r="J131" i="86"/>
  <c r="L130" i="86"/>
  <c r="F131" i="86"/>
  <c r="H131" i="86" s="1"/>
  <c r="J126" i="85"/>
  <c r="L126" i="85" s="1"/>
  <c r="B126" i="85"/>
  <c r="D126" i="85" s="1"/>
  <c r="F126" i="85"/>
  <c r="H126" i="85" s="1"/>
  <c r="F127" i="83"/>
  <c r="H127" i="83" s="1"/>
  <c r="F128" i="80"/>
  <c r="H127" i="80"/>
  <c r="B127" i="80"/>
  <c r="D127" i="80" s="1"/>
  <c r="X72" i="42"/>
  <c r="W72" i="42"/>
  <c r="AC72" i="42"/>
  <c r="AD72" i="42" s="1"/>
  <c r="L129" i="102" l="1"/>
  <c r="J130" i="102"/>
  <c r="N131" i="85"/>
  <c r="P130" i="85"/>
  <c r="N131" i="90"/>
  <c r="P131" i="90" s="1"/>
  <c r="N130" i="91"/>
  <c r="P130" i="91" s="1"/>
  <c r="N130" i="102"/>
  <c r="P130" i="102" s="1"/>
  <c r="F132" i="102"/>
  <c r="H132" i="102" s="1"/>
  <c r="H127" i="101"/>
  <c r="F128" i="101"/>
  <c r="L127" i="101"/>
  <c r="J128" i="101"/>
  <c r="D126" i="101"/>
  <c r="B127" i="101"/>
  <c r="B127" i="99"/>
  <c r="D127" i="99" s="1"/>
  <c r="F129" i="99"/>
  <c r="H129" i="99" s="1"/>
  <c r="J127" i="99"/>
  <c r="L127" i="99" s="1"/>
  <c r="F132" i="90"/>
  <c r="H132" i="90" s="1"/>
  <c r="J132" i="90"/>
  <c r="L132" i="90" s="1"/>
  <c r="B132" i="90"/>
  <c r="D132" i="90" s="1"/>
  <c r="L126" i="80"/>
  <c r="J127" i="80"/>
  <c r="B127" i="83"/>
  <c r="D127" i="83" s="1"/>
  <c r="J127" i="83"/>
  <c r="L127" i="83" s="1"/>
  <c r="F132" i="86"/>
  <c r="H132" i="86" s="1"/>
  <c r="J132" i="86"/>
  <c r="L131" i="86"/>
  <c r="B132" i="86"/>
  <c r="D132" i="86" s="1"/>
  <c r="F127" i="85"/>
  <c r="H127" i="85" s="1"/>
  <c r="B127" i="85"/>
  <c r="D127" i="85" s="1"/>
  <c r="J127" i="85"/>
  <c r="L127" i="85" s="1"/>
  <c r="F128" i="83"/>
  <c r="H128" i="83" s="1"/>
  <c r="B128" i="80"/>
  <c r="D128" i="80" s="1"/>
  <c r="F129" i="80"/>
  <c r="H128" i="80"/>
  <c r="M72" i="42"/>
  <c r="B72" i="42" s="1"/>
  <c r="AA72" i="42"/>
  <c r="C72" i="42" s="1"/>
  <c r="Y72" i="42"/>
  <c r="L130" i="102" l="1"/>
  <c r="J131" i="102"/>
  <c r="N132" i="85"/>
  <c r="P131" i="85"/>
  <c r="N132" i="90"/>
  <c r="P132" i="90" s="1"/>
  <c r="N131" i="91"/>
  <c r="P131" i="91" s="1"/>
  <c r="N131" i="102"/>
  <c r="P131" i="102" s="1"/>
  <c r="F133" i="102"/>
  <c r="H133" i="102" s="1"/>
  <c r="L128" i="101"/>
  <c r="J129" i="101"/>
  <c r="H128" i="101"/>
  <c r="F129" i="101"/>
  <c r="D127" i="101"/>
  <c r="B128" i="101"/>
  <c r="J128" i="99"/>
  <c r="L128" i="99" s="1"/>
  <c r="F130" i="99"/>
  <c r="H130" i="99" s="1"/>
  <c r="B128" i="99"/>
  <c r="D128" i="99" s="1"/>
  <c r="B133" i="90"/>
  <c r="D133" i="90" s="1"/>
  <c r="J133" i="90"/>
  <c r="L133" i="90" s="1"/>
  <c r="F133" i="90"/>
  <c r="H133" i="90" s="1"/>
  <c r="L127" i="80"/>
  <c r="J128" i="80"/>
  <c r="B128" i="83"/>
  <c r="D128" i="83" s="1"/>
  <c r="J128" i="83"/>
  <c r="L128" i="83" s="1"/>
  <c r="B133" i="86"/>
  <c r="D133" i="86" s="1"/>
  <c r="J133" i="86"/>
  <c r="L132" i="86"/>
  <c r="F133" i="86"/>
  <c r="H133" i="86" s="1"/>
  <c r="J128" i="85"/>
  <c r="L128" i="85" s="1"/>
  <c r="B128" i="85"/>
  <c r="D128" i="85" s="1"/>
  <c r="F128" i="85"/>
  <c r="H128" i="85" s="1"/>
  <c r="F129" i="83"/>
  <c r="H129" i="83" s="1"/>
  <c r="F130" i="80"/>
  <c r="H129" i="80"/>
  <c r="B129" i="80"/>
  <c r="D129" i="80" s="1"/>
  <c r="H72" i="42"/>
  <c r="I72" i="42"/>
  <c r="F72" i="42"/>
  <c r="E72" i="42"/>
  <c r="AB72" i="42"/>
  <c r="V73" i="42"/>
  <c r="L131" i="102" l="1"/>
  <c r="J132" i="102"/>
  <c r="N133" i="85"/>
  <c r="P132" i="85"/>
  <c r="N133" i="90"/>
  <c r="P133" i="90" s="1"/>
  <c r="N132" i="91"/>
  <c r="P132" i="91" s="1"/>
  <c r="N132" i="102"/>
  <c r="P132" i="102" s="1"/>
  <c r="F134" i="102"/>
  <c r="H134" i="102" s="1"/>
  <c r="D128" i="101"/>
  <c r="B129" i="101"/>
  <c r="H129" i="101"/>
  <c r="F130" i="101"/>
  <c r="L129" i="101"/>
  <c r="J130" i="101"/>
  <c r="B129" i="99"/>
  <c r="D129" i="99" s="1"/>
  <c r="F131" i="99"/>
  <c r="H131" i="99" s="1"/>
  <c r="J129" i="99"/>
  <c r="L129" i="99" s="1"/>
  <c r="F134" i="90"/>
  <c r="H134" i="90" s="1"/>
  <c r="J134" i="90"/>
  <c r="L134" i="90" s="1"/>
  <c r="B134" i="90"/>
  <c r="D134" i="90" s="1"/>
  <c r="L128" i="80"/>
  <c r="J129" i="80"/>
  <c r="B129" i="83"/>
  <c r="D129" i="83" s="1"/>
  <c r="J129" i="83"/>
  <c r="L129" i="83" s="1"/>
  <c r="F134" i="86"/>
  <c r="H134" i="86" s="1"/>
  <c r="J134" i="86"/>
  <c r="L133" i="86"/>
  <c r="B134" i="86"/>
  <c r="D134" i="86" s="1"/>
  <c r="F129" i="85"/>
  <c r="H129" i="85" s="1"/>
  <c r="B129" i="85"/>
  <c r="D129" i="85" s="1"/>
  <c r="J129" i="85"/>
  <c r="L129" i="85" s="1"/>
  <c r="F130" i="83"/>
  <c r="H130" i="83" s="1"/>
  <c r="B130" i="80"/>
  <c r="D130" i="80" s="1"/>
  <c r="F131" i="80"/>
  <c r="H130" i="80"/>
  <c r="AC73" i="42"/>
  <c r="AD73" i="42" s="1"/>
  <c r="W73" i="42"/>
  <c r="X73" i="42"/>
  <c r="L132" i="102" l="1"/>
  <c r="J133" i="102"/>
  <c r="N134" i="85"/>
  <c r="P133" i="85"/>
  <c r="N134" i="90"/>
  <c r="P134" i="90" s="1"/>
  <c r="N133" i="91"/>
  <c r="P133" i="91" s="1"/>
  <c r="N133" i="102"/>
  <c r="P133" i="102" s="1"/>
  <c r="F135" i="102"/>
  <c r="H135" i="102" s="1"/>
  <c r="L130" i="101"/>
  <c r="J131" i="101"/>
  <c r="H130" i="101"/>
  <c r="F131" i="101"/>
  <c r="D129" i="101"/>
  <c r="B130" i="101"/>
  <c r="J130" i="99"/>
  <c r="L130" i="99" s="1"/>
  <c r="F132" i="99"/>
  <c r="H132" i="99" s="1"/>
  <c r="B130" i="99"/>
  <c r="D130" i="99" s="1"/>
  <c r="B135" i="90"/>
  <c r="D135" i="90" s="1"/>
  <c r="J135" i="90"/>
  <c r="L135" i="90" s="1"/>
  <c r="F135" i="90"/>
  <c r="H135" i="90" s="1"/>
  <c r="L129" i="80"/>
  <c r="J130" i="80"/>
  <c r="B130" i="83"/>
  <c r="D130" i="83" s="1"/>
  <c r="J130" i="83"/>
  <c r="L130" i="83" s="1"/>
  <c r="B135" i="86"/>
  <c r="D135" i="86" s="1"/>
  <c r="J135" i="86"/>
  <c r="L134" i="86"/>
  <c r="F135" i="86"/>
  <c r="H135" i="86" s="1"/>
  <c r="J130" i="85"/>
  <c r="L130" i="85" s="1"/>
  <c r="B130" i="85"/>
  <c r="D130" i="85" s="1"/>
  <c r="F130" i="85"/>
  <c r="H130" i="85" s="1"/>
  <c r="F131" i="83"/>
  <c r="H131" i="83" s="1"/>
  <c r="F132" i="80"/>
  <c r="H131" i="80"/>
  <c r="B131" i="80"/>
  <c r="D131" i="80" s="1"/>
  <c r="Y73" i="42"/>
  <c r="M73" i="42"/>
  <c r="B73" i="42" s="1"/>
  <c r="L133" i="102" l="1"/>
  <c r="J134" i="102"/>
  <c r="N135" i="85"/>
  <c r="P134" i="85"/>
  <c r="N135" i="90"/>
  <c r="P135" i="90" s="1"/>
  <c r="N134" i="91"/>
  <c r="P134" i="91" s="1"/>
  <c r="N134" i="102"/>
  <c r="P134" i="102" s="1"/>
  <c r="F136" i="102"/>
  <c r="H136" i="102" s="1"/>
  <c r="D130" i="101"/>
  <c r="B131" i="101"/>
  <c r="H131" i="101"/>
  <c r="F132" i="101"/>
  <c r="L131" i="101"/>
  <c r="J132" i="101"/>
  <c r="B131" i="99"/>
  <c r="D131" i="99" s="1"/>
  <c r="F133" i="99"/>
  <c r="H133" i="99" s="1"/>
  <c r="J131" i="99"/>
  <c r="L131" i="99" s="1"/>
  <c r="F136" i="90"/>
  <c r="H136" i="90" s="1"/>
  <c r="J136" i="90"/>
  <c r="L136" i="90" s="1"/>
  <c r="B136" i="90"/>
  <c r="D136" i="90" s="1"/>
  <c r="L130" i="80"/>
  <c r="J131" i="80"/>
  <c r="B131" i="83"/>
  <c r="D131" i="83" s="1"/>
  <c r="J131" i="83"/>
  <c r="L131" i="83" s="1"/>
  <c r="F136" i="86"/>
  <c r="H136" i="86" s="1"/>
  <c r="J136" i="86"/>
  <c r="L135" i="86"/>
  <c r="B136" i="86"/>
  <c r="D136" i="86" s="1"/>
  <c r="F131" i="85"/>
  <c r="H131" i="85" s="1"/>
  <c r="B131" i="85"/>
  <c r="D131" i="85" s="1"/>
  <c r="J131" i="85"/>
  <c r="L131" i="85" s="1"/>
  <c r="F132" i="83"/>
  <c r="H132" i="83" s="1"/>
  <c r="B132" i="80"/>
  <c r="D132" i="80" s="1"/>
  <c r="F133" i="80"/>
  <c r="H132" i="80"/>
  <c r="AB73" i="42"/>
  <c r="AA73" i="42" s="1"/>
  <c r="C73" i="42" s="1"/>
  <c r="V74" i="42"/>
  <c r="I73" i="42"/>
  <c r="G73" i="42"/>
  <c r="F73" i="42"/>
  <c r="H73" i="42"/>
  <c r="L134" i="102" l="1"/>
  <c r="J135" i="102"/>
  <c r="N136" i="85"/>
  <c r="P135" i="85"/>
  <c r="N136" i="90"/>
  <c r="P136" i="90" s="1"/>
  <c r="N135" i="91"/>
  <c r="P135" i="91" s="1"/>
  <c r="N135" i="102"/>
  <c r="P135" i="102" s="1"/>
  <c r="F137" i="102"/>
  <c r="H137" i="102" s="1"/>
  <c r="L132" i="101"/>
  <c r="J133" i="101"/>
  <c r="H132" i="101"/>
  <c r="F133" i="101"/>
  <c r="D131" i="101"/>
  <c r="B132" i="101"/>
  <c r="J132" i="99"/>
  <c r="L132" i="99" s="1"/>
  <c r="F134" i="99"/>
  <c r="H134" i="99" s="1"/>
  <c r="B132" i="99"/>
  <c r="D132" i="99" s="1"/>
  <c r="B137" i="90"/>
  <c r="D137" i="90" s="1"/>
  <c r="J137" i="90"/>
  <c r="L137" i="90" s="1"/>
  <c r="F137" i="90"/>
  <c r="H137" i="90" s="1"/>
  <c r="L131" i="80"/>
  <c r="J132" i="80"/>
  <c r="B132" i="83"/>
  <c r="D132" i="83" s="1"/>
  <c r="J132" i="83"/>
  <c r="L132" i="83" s="1"/>
  <c r="B137" i="86"/>
  <c r="D137" i="86" s="1"/>
  <c r="J137" i="86"/>
  <c r="L136" i="86"/>
  <c r="F137" i="86"/>
  <c r="H137" i="86" s="1"/>
  <c r="J132" i="85"/>
  <c r="L132" i="85" s="1"/>
  <c r="B132" i="85"/>
  <c r="D132" i="85" s="1"/>
  <c r="F132" i="85"/>
  <c r="H132" i="85" s="1"/>
  <c r="F133" i="83"/>
  <c r="H133" i="83" s="1"/>
  <c r="F134" i="80"/>
  <c r="H133" i="80"/>
  <c r="B133" i="80"/>
  <c r="D133" i="80" s="1"/>
  <c r="X74" i="42"/>
  <c r="AC74" i="42"/>
  <c r="AD74" i="42" s="1"/>
  <c r="W74" i="42"/>
  <c r="L135" i="102" l="1"/>
  <c r="J136" i="102"/>
  <c r="N137" i="85"/>
  <c r="P136" i="85"/>
  <c r="N137" i="90"/>
  <c r="P137" i="90" s="1"/>
  <c r="N136" i="91"/>
  <c r="P136" i="91" s="1"/>
  <c r="N136" i="102"/>
  <c r="P136" i="102" s="1"/>
  <c r="F138" i="102"/>
  <c r="H138" i="102" s="1"/>
  <c r="D132" i="101"/>
  <c r="B133" i="101"/>
  <c r="H133" i="101"/>
  <c r="F134" i="101"/>
  <c r="L133" i="101"/>
  <c r="J134" i="101"/>
  <c r="B133" i="99"/>
  <c r="D133" i="99" s="1"/>
  <c r="F135" i="99"/>
  <c r="H135" i="99" s="1"/>
  <c r="J133" i="99"/>
  <c r="L133" i="99" s="1"/>
  <c r="F138" i="90"/>
  <c r="H138" i="90" s="1"/>
  <c r="J138" i="90"/>
  <c r="L138" i="90" s="1"/>
  <c r="B138" i="90"/>
  <c r="D138" i="90" s="1"/>
  <c r="L132" i="80"/>
  <c r="J133" i="80"/>
  <c r="B133" i="83"/>
  <c r="D133" i="83" s="1"/>
  <c r="J133" i="83"/>
  <c r="L133" i="83" s="1"/>
  <c r="F138" i="86"/>
  <c r="H138" i="86" s="1"/>
  <c r="J138" i="86"/>
  <c r="L137" i="86"/>
  <c r="B138" i="86"/>
  <c r="D138" i="86" s="1"/>
  <c r="F133" i="85"/>
  <c r="H133" i="85" s="1"/>
  <c r="B133" i="85"/>
  <c r="D133" i="85" s="1"/>
  <c r="J133" i="85"/>
  <c r="L133" i="85" s="1"/>
  <c r="F134" i="83"/>
  <c r="H134" i="83" s="1"/>
  <c r="B134" i="80"/>
  <c r="D134" i="80" s="1"/>
  <c r="F135" i="80"/>
  <c r="H134" i="80"/>
  <c r="M74" i="42"/>
  <c r="B74" i="42" s="1"/>
  <c r="Y74" i="42"/>
  <c r="AA74" i="42"/>
  <c r="C74" i="42" s="1"/>
  <c r="L136" i="102" l="1"/>
  <c r="J137" i="102"/>
  <c r="N138" i="85"/>
  <c r="P137" i="85"/>
  <c r="N138" i="90"/>
  <c r="P138" i="90" s="1"/>
  <c r="N137" i="91"/>
  <c r="P137" i="91" s="1"/>
  <c r="N137" i="102"/>
  <c r="P137" i="102" s="1"/>
  <c r="F139" i="102"/>
  <c r="H139" i="102" s="1"/>
  <c r="H134" i="101"/>
  <c r="F135" i="101"/>
  <c r="D133" i="101"/>
  <c r="B134" i="101"/>
  <c r="L134" i="101"/>
  <c r="J135" i="101"/>
  <c r="J134" i="99"/>
  <c r="L134" i="99" s="1"/>
  <c r="F136" i="99"/>
  <c r="H136" i="99" s="1"/>
  <c r="B134" i="99"/>
  <c r="D134" i="99" s="1"/>
  <c r="B139" i="90"/>
  <c r="D139" i="90" s="1"/>
  <c r="J139" i="90"/>
  <c r="L139" i="90" s="1"/>
  <c r="F139" i="90"/>
  <c r="H139" i="90" s="1"/>
  <c r="L133" i="80"/>
  <c r="J134" i="80"/>
  <c r="B134" i="83"/>
  <c r="D134" i="83" s="1"/>
  <c r="J134" i="83"/>
  <c r="L134" i="83" s="1"/>
  <c r="B139" i="86"/>
  <c r="D139" i="86" s="1"/>
  <c r="J139" i="86"/>
  <c r="L138" i="86"/>
  <c r="F139" i="86"/>
  <c r="H139" i="86" s="1"/>
  <c r="J134" i="85"/>
  <c r="L134" i="85" s="1"/>
  <c r="B134" i="85"/>
  <c r="D134" i="85" s="1"/>
  <c r="F134" i="85"/>
  <c r="H134" i="85" s="1"/>
  <c r="F135" i="83"/>
  <c r="H135" i="83" s="1"/>
  <c r="F136" i="80"/>
  <c r="H135" i="80"/>
  <c r="B135" i="80"/>
  <c r="D135" i="80" s="1"/>
  <c r="I74" i="42"/>
  <c r="H74" i="42"/>
  <c r="F74" i="42"/>
  <c r="E74" i="42"/>
  <c r="AB74" i="42"/>
  <c r="V75" i="42"/>
  <c r="L137" i="102" l="1"/>
  <c r="J138" i="102"/>
  <c r="N139" i="85"/>
  <c r="P138" i="85"/>
  <c r="N139" i="90"/>
  <c r="P139" i="90" s="1"/>
  <c r="N138" i="91"/>
  <c r="P138" i="91" s="1"/>
  <c r="N138" i="102"/>
  <c r="P138" i="102" s="1"/>
  <c r="F140" i="102"/>
  <c r="H140" i="102" s="1"/>
  <c r="L135" i="101"/>
  <c r="J136" i="101"/>
  <c r="D134" i="101"/>
  <c r="B135" i="101"/>
  <c r="H135" i="101"/>
  <c r="F136" i="101"/>
  <c r="B135" i="99"/>
  <c r="D135" i="99" s="1"/>
  <c r="F137" i="99"/>
  <c r="H137" i="99" s="1"/>
  <c r="J135" i="99"/>
  <c r="L135" i="99" s="1"/>
  <c r="F140" i="90"/>
  <c r="H140" i="90" s="1"/>
  <c r="J140" i="90"/>
  <c r="L140" i="90" s="1"/>
  <c r="B140" i="90"/>
  <c r="D140" i="90" s="1"/>
  <c r="L134" i="80"/>
  <c r="J135" i="80"/>
  <c r="B135" i="83"/>
  <c r="D135" i="83" s="1"/>
  <c r="J135" i="83"/>
  <c r="L135" i="83" s="1"/>
  <c r="F140" i="86"/>
  <c r="H140" i="86" s="1"/>
  <c r="J140" i="86"/>
  <c r="L139" i="86"/>
  <c r="B140" i="86"/>
  <c r="D140" i="86" s="1"/>
  <c r="F135" i="85"/>
  <c r="H135" i="85" s="1"/>
  <c r="B135" i="85"/>
  <c r="D135" i="85" s="1"/>
  <c r="J135" i="85"/>
  <c r="L135" i="85" s="1"/>
  <c r="F136" i="83"/>
  <c r="H136" i="83" s="1"/>
  <c r="B136" i="80"/>
  <c r="D136" i="80" s="1"/>
  <c r="F137" i="80"/>
  <c r="H136" i="80"/>
  <c r="X75" i="42"/>
  <c r="W75" i="42"/>
  <c r="AC75" i="42"/>
  <c r="AD75" i="42" s="1"/>
  <c r="L138" i="102" l="1"/>
  <c r="J139" i="102"/>
  <c r="N140" i="85"/>
  <c r="P139" i="85"/>
  <c r="N140" i="90"/>
  <c r="P140" i="90" s="1"/>
  <c r="N139" i="91"/>
  <c r="P139" i="91" s="1"/>
  <c r="N139" i="102"/>
  <c r="P139" i="102" s="1"/>
  <c r="F141" i="102"/>
  <c r="H141" i="102" s="1"/>
  <c r="H136" i="101"/>
  <c r="F137" i="101"/>
  <c r="D135" i="101"/>
  <c r="B136" i="101"/>
  <c r="L136" i="101"/>
  <c r="J137" i="101"/>
  <c r="J136" i="99"/>
  <c r="L136" i="99" s="1"/>
  <c r="F138" i="99"/>
  <c r="H138" i="99" s="1"/>
  <c r="B136" i="99"/>
  <c r="D136" i="99" s="1"/>
  <c r="B141" i="90"/>
  <c r="D141" i="90" s="1"/>
  <c r="J141" i="90"/>
  <c r="L141" i="90" s="1"/>
  <c r="F141" i="90"/>
  <c r="H141" i="90" s="1"/>
  <c r="L135" i="80"/>
  <c r="J136" i="80"/>
  <c r="B136" i="83"/>
  <c r="D136" i="83" s="1"/>
  <c r="J136" i="83"/>
  <c r="L136" i="83" s="1"/>
  <c r="B141" i="86"/>
  <c r="D141" i="86" s="1"/>
  <c r="J141" i="86"/>
  <c r="L140" i="86"/>
  <c r="F141" i="86"/>
  <c r="H141" i="86" s="1"/>
  <c r="J136" i="85"/>
  <c r="L136" i="85" s="1"/>
  <c r="B136" i="85"/>
  <c r="D136" i="85" s="1"/>
  <c r="F136" i="85"/>
  <c r="H136" i="85" s="1"/>
  <c r="F137" i="83"/>
  <c r="H137" i="83" s="1"/>
  <c r="F138" i="80"/>
  <c r="H137" i="80"/>
  <c r="B137" i="80"/>
  <c r="D137" i="80" s="1"/>
  <c r="M75" i="42"/>
  <c r="B75" i="42" s="1"/>
  <c r="Y75" i="42"/>
  <c r="L139" i="102" l="1"/>
  <c r="J140" i="102"/>
  <c r="N141" i="85"/>
  <c r="P140" i="85"/>
  <c r="N141" i="90"/>
  <c r="P141" i="90" s="1"/>
  <c r="N140" i="91"/>
  <c r="P140" i="91" s="1"/>
  <c r="N140" i="102"/>
  <c r="P140" i="102" s="1"/>
  <c r="F142" i="102"/>
  <c r="H142" i="102" s="1"/>
  <c r="L137" i="101"/>
  <c r="J138" i="101"/>
  <c r="D136" i="101"/>
  <c r="B137" i="101"/>
  <c r="H137" i="101"/>
  <c r="F138" i="101"/>
  <c r="B137" i="99"/>
  <c r="D137" i="99" s="1"/>
  <c r="F139" i="99"/>
  <c r="H139" i="99" s="1"/>
  <c r="J137" i="99"/>
  <c r="L137" i="99" s="1"/>
  <c r="F142" i="90"/>
  <c r="H142" i="90" s="1"/>
  <c r="J142" i="90"/>
  <c r="L142" i="90" s="1"/>
  <c r="B142" i="90"/>
  <c r="D142" i="90" s="1"/>
  <c r="L136" i="80"/>
  <c r="J137" i="80"/>
  <c r="B137" i="83"/>
  <c r="D137" i="83" s="1"/>
  <c r="J137" i="83"/>
  <c r="L137" i="83" s="1"/>
  <c r="F142" i="86"/>
  <c r="H142" i="86" s="1"/>
  <c r="J142" i="86"/>
  <c r="L141" i="86"/>
  <c r="B142" i="86"/>
  <c r="D142" i="86" s="1"/>
  <c r="F137" i="85"/>
  <c r="H137" i="85" s="1"/>
  <c r="B137" i="85"/>
  <c r="D137" i="85" s="1"/>
  <c r="J137" i="85"/>
  <c r="L137" i="85" s="1"/>
  <c r="F138" i="83"/>
  <c r="H138" i="83" s="1"/>
  <c r="B138" i="80"/>
  <c r="D138" i="80" s="1"/>
  <c r="F139" i="80"/>
  <c r="H138" i="80"/>
  <c r="I75" i="42"/>
  <c r="H75" i="42"/>
  <c r="G75" i="42"/>
  <c r="F75" i="42"/>
  <c r="AB75" i="42"/>
  <c r="AA75" i="42" s="1"/>
  <c r="C75" i="42" s="1"/>
  <c r="V76" i="42"/>
  <c r="L140" i="102" l="1"/>
  <c r="J141" i="102"/>
  <c r="N142" i="85"/>
  <c r="P141" i="85"/>
  <c r="N142" i="90"/>
  <c r="P142" i="90" s="1"/>
  <c r="N141" i="91"/>
  <c r="P141" i="91" s="1"/>
  <c r="N141" i="102"/>
  <c r="P141" i="102" s="1"/>
  <c r="F143" i="102"/>
  <c r="H143" i="102" s="1"/>
  <c r="H138" i="101"/>
  <c r="F139" i="101"/>
  <c r="D137" i="101"/>
  <c r="B138" i="101"/>
  <c r="L138" i="101"/>
  <c r="J139" i="101"/>
  <c r="J138" i="99"/>
  <c r="L138" i="99" s="1"/>
  <c r="F140" i="99"/>
  <c r="H140" i="99" s="1"/>
  <c r="B138" i="99"/>
  <c r="D138" i="99" s="1"/>
  <c r="B143" i="90"/>
  <c r="D143" i="90" s="1"/>
  <c r="J143" i="90"/>
  <c r="L143" i="90" s="1"/>
  <c r="F143" i="90"/>
  <c r="H143" i="90" s="1"/>
  <c r="L137" i="80"/>
  <c r="J138" i="80"/>
  <c r="B138" i="83"/>
  <c r="D138" i="83" s="1"/>
  <c r="J138" i="83"/>
  <c r="L138" i="83" s="1"/>
  <c r="B143" i="86"/>
  <c r="D143" i="86" s="1"/>
  <c r="J143" i="86"/>
  <c r="L142" i="86"/>
  <c r="F143" i="86"/>
  <c r="H143" i="86" s="1"/>
  <c r="J138" i="85"/>
  <c r="L138" i="85" s="1"/>
  <c r="B138" i="85"/>
  <c r="D138" i="85" s="1"/>
  <c r="F138" i="85"/>
  <c r="H138" i="85" s="1"/>
  <c r="F139" i="83"/>
  <c r="H139" i="83" s="1"/>
  <c r="F140" i="80"/>
  <c r="H139" i="80"/>
  <c r="B139" i="80"/>
  <c r="D139" i="80" s="1"/>
  <c r="AC76" i="42"/>
  <c r="AD76" i="42" s="1"/>
  <c r="X76" i="42"/>
  <c r="W76" i="42"/>
  <c r="L141" i="102" l="1"/>
  <c r="J142" i="102"/>
  <c r="N143" i="85"/>
  <c r="P142" i="85"/>
  <c r="N143" i="90"/>
  <c r="P143" i="90" s="1"/>
  <c r="N142" i="91"/>
  <c r="P142" i="91" s="1"/>
  <c r="N142" i="102"/>
  <c r="P142" i="102" s="1"/>
  <c r="F144" i="102"/>
  <c r="H144" i="102" s="1"/>
  <c r="L139" i="101"/>
  <c r="J140" i="101"/>
  <c r="D138" i="101"/>
  <c r="B139" i="101"/>
  <c r="H139" i="101"/>
  <c r="F140" i="101"/>
  <c r="B139" i="99"/>
  <c r="D139" i="99" s="1"/>
  <c r="F141" i="99"/>
  <c r="H141" i="99" s="1"/>
  <c r="J139" i="99"/>
  <c r="L139" i="99" s="1"/>
  <c r="F144" i="90"/>
  <c r="H144" i="90" s="1"/>
  <c r="J144" i="90"/>
  <c r="L144" i="90" s="1"/>
  <c r="B144" i="90"/>
  <c r="D144" i="90" s="1"/>
  <c r="L138" i="80"/>
  <c r="J139" i="80"/>
  <c r="B139" i="83"/>
  <c r="D139" i="83" s="1"/>
  <c r="J139" i="83"/>
  <c r="L139" i="83" s="1"/>
  <c r="F144" i="86"/>
  <c r="H144" i="86" s="1"/>
  <c r="J144" i="86"/>
  <c r="L143" i="86"/>
  <c r="B144" i="86"/>
  <c r="D144" i="86" s="1"/>
  <c r="F139" i="85"/>
  <c r="H139" i="85" s="1"/>
  <c r="B139" i="85"/>
  <c r="D139" i="85" s="1"/>
  <c r="J139" i="85"/>
  <c r="L139" i="85" s="1"/>
  <c r="F140" i="83"/>
  <c r="H140" i="83" s="1"/>
  <c r="B140" i="80"/>
  <c r="D140" i="80" s="1"/>
  <c r="F141" i="80"/>
  <c r="H140" i="80"/>
  <c r="M76" i="42"/>
  <c r="B76" i="42" s="1"/>
  <c r="Y76" i="42"/>
  <c r="AA76" i="42"/>
  <c r="C76" i="42" s="1"/>
  <c r="L142" i="102" l="1"/>
  <c r="J143" i="102"/>
  <c r="N144" i="85"/>
  <c r="P143" i="85"/>
  <c r="N144" i="90"/>
  <c r="P144" i="90" s="1"/>
  <c r="N143" i="91"/>
  <c r="P143" i="91" s="1"/>
  <c r="N143" i="102"/>
  <c r="P143" i="102" s="1"/>
  <c r="F145" i="102"/>
  <c r="H145" i="102" s="1"/>
  <c r="H140" i="101"/>
  <c r="F141" i="101"/>
  <c r="D139" i="101"/>
  <c r="B140" i="101"/>
  <c r="L140" i="101"/>
  <c r="J141" i="101"/>
  <c r="J140" i="99"/>
  <c r="L140" i="99" s="1"/>
  <c r="F142" i="99"/>
  <c r="H142" i="99" s="1"/>
  <c r="B140" i="99"/>
  <c r="D140" i="99" s="1"/>
  <c r="B145" i="90"/>
  <c r="D145" i="90" s="1"/>
  <c r="J145" i="90"/>
  <c r="L145" i="90" s="1"/>
  <c r="F145" i="90"/>
  <c r="H145" i="90" s="1"/>
  <c r="L139" i="80"/>
  <c r="J140" i="80"/>
  <c r="B140" i="83"/>
  <c r="D140" i="83" s="1"/>
  <c r="J140" i="83"/>
  <c r="L140" i="83" s="1"/>
  <c r="B145" i="86"/>
  <c r="D145" i="86" s="1"/>
  <c r="J145" i="86"/>
  <c r="L144" i="86"/>
  <c r="F145" i="86"/>
  <c r="H145" i="86" s="1"/>
  <c r="J140" i="85"/>
  <c r="L140" i="85" s="1"/>
  <c r="B140" i="85"/>
  <c r="D140" i="85" s="1"/>
  <c r="F140" i="85"/>
  <c r="H140" i="85" s="1"/>
  <c r="F141" i="83"/>
  <c r="H141" i="83" s="1"/>
  <c r="F142" i="80"/>
  <c r="H141" i="80"/>
  <c r="B141" i="80"/>
  <c r="D141" i="80" s="1"/>
  <c r="I76" i="42"/>
  <c r="H76" i="42"/>
  <c r="E76" i="42"/>
  <c r="F76" i="42"/>
  <c r="AB76" i="42"/>
  <c r="V77" i="42"/>
  <c r="L143" i="102" l="1"/>
  <c r="J144" i="102"/>
  <c r="N145" i="85"/>
  <c r="P144" i="85"/>
  <c r="N145" i="90"/>
  <c r="P145" i="90" s="1"/>
  <c r="N144" i="91"/>
  <c r="P144" i="91" s="1"/>
  <c r="N144" i="102"/>
  <c r="P144" i="102" s="1"/>
  <c r="F146" i="102"/>
  <c r="H146" i="102" s="1"/>
  <c r="D140" i="101"/>
  <c r="B141" i="101"/>
  <c r="H141" i="101"/>
  <c r="F142" i="101"/>
  <c r="L141" i="101"/>
  <c r="J142" i="101"/>
  <c r="B141" i="99"/>
  <c r="D141" i="99" s="1"/>
  <c r="F143" i="99"/>
  <c r="H143" i="99" s="1"/>
  <c r="J141" i="99"/>
  <c r="L141" i="99" s="1"/>
  <c r="F146" i="90"/>
  <c r="H146" i="90" s="1"/>
  <c r="J146" i="90"/>
  <c r="L146" i="90" s="1"/>
  <c r="B146" i="90"/>
  <c r="D146" i="90" s="1"/>
  <c r="L140" i="80"/>
  <c r="J141" i="80"/>
  <c r="B141" i="83"/>
  <c r="D141" i="83" s="1"/>
  <c r="J141" i="83"/>
  <c r="L141" i="83" s="1"/>
  <c r="F146" i="86"/>
  <c r="H146" i="86" s="1"/>
  <c r="J146" i="86"/>
  <c r="L145" i="86"/>
  <c r="B146" i="86"/>
  <c r="D146" i="86" s="1"/>
  <c r="F141" i="85"/>
  <c r="H141" i="85" s="1"/>
  <c r="B141" i="85"/>
  <c r="D141" i="85" s="1"/>
  <c r="J141" i="85"/>
  <c r="L141" i="85" s="1"/>
  <c r="F142" i="83"/>
  <c r="H142" i="83" s="1"/>
  <c r="B142" i="80"/>
  <c r="D142" i="80" s="1"/>
  <c r="F143" i="80"/>
  <c r="H142" i="80"/>
  <c r="X77" i="42"/>
  <c r="AC77" i="42"/>
  <c r="AD77" i="42" s="1"/>
  <c r="W77" i="42"/>
  <c r="L144" i="102" l="1"/>
  <c r="J145" i="102"/>
  <c r="N146" i="85"/>
  <c r="P145" i="85"/>
  <c r="N146" i="90"/>
  <c r="P146" i="90" s="1"/>
  <c r="N145" i="91"/>
  <c r="P145" i="91" s="1"/>
  <c r="N145" i="102"/>
  <c r="P145" i="102" s="1"/>
  <c r="F147" i="102"/>
  <c r="H147" i="102" s="1"/>
  <c r="H142" i="101"/>
  <c r="F143" i="101"/>
  <c r="L142" i="101"/>
  <c r="J143" i="101"/>
  <c r="D141" i="101"/>
  <c r="B142" i="101"/>
  <c r="J142" i="99"/>
  <c r="L142" i="99" s="1"/>
  <c r="F144" i="99"/>
  <c r="H144" i="99" s="1"/>
  <c r="B142" i="99"/>
  <c r="D142" i="99" s="1"/>
  <c r="B147" i="90"/>
  <c r="D147" i="90" s="1"/>
  <c r="J147" i="90"/>
  <c r="L147" i="90" s="1"/>
  <c r="F147" i="90"/>
  <c r="H147" i="90" s="1"/>
  <c r="L141" i="80"/>
  <c r="J142" i="80"/>
  <c r="B142" i="83"/>
  <c r="D142" i="83" s="1"/>
  <c r="J142" i="83"/>
  <c r="L142" i="83" s="1"/>
  <c r="B147" i="86"/>
  <c r="D147" i="86" s="1"/>
  <c r="J147" i="86"/>
  <c r="L146" i="86"/>
  <c r="F147" i="86"/>
  <c r="H147" i="86" s="1"/>
  <c r="J142" i="85"/>
  <c r="L142" i="85" s="1"/>
  <c r="B142" i="85"/>
  <c r="D142" i="85" s="1"/>
  <c r="F142" i="85"/>
  <c r="H142" i="85" s="1"/>
  <c r="F143" i="83"/>
  <c r="H143" i="83" s="1"/>
  <c r="F144" i="80"/>
  <c r="H143" i="80"/>
  <c r="B143" i="80"/>
  <c r="D143" i="80" s="1"/>
  <c r="M77" i="42"/>
  <c r="B77" i="42" s="1"/>
  <c r="Y77" i="42"/>
  <c r="L145" i="102" l="1"/>
  <c r="J146" i="102"/>
  <c r="N147" i="85"/>
  <c r="P146" i="85"/>
  <c r="N147" i="90"/>
  <c r="P147" i="90" s="1"/>
  <c r="N146" i="91"/>
  <c r="P146" i="91" s="1"/>
  <c r="N146" i="102"/>
  <c r="P146" i="102" s="1"/>
  <c r="F148" i="102"/>
  <c r="H148" i="102" s="1"/>
  <c r="D142" i="101"/>
  <c r="B143" i="101"/>
  <c r="L143" i="101"/>
  <c r="J144" i="101"/>
  <c r="H143" i="101"/>
  <c r="F144" i="101"/>
  <c r="B143" i="99"/>
  <c r="D143" i="99" s="1"/>
  <c r="F145" i="99"/>
  <c r="H145" i="99" s="1"/>
  <c r="J143" i="99"/>
  <c r="L143" i="99" s="1"/>
  <c r="F148" i="90"/>
  <c r="H148" i="90" s="1"/>
  <c r="J148" i="90"/>
  <c r="L148" i="90" s="1"/>
  <c r="B148" i="90"/>
  <c r="D148" i="90" s="1"/>
  <c r="L142" i="80"/>
  <c r="J143" i="80"/>
  <c r="B143" i="83"/>
  <c r="D143" i="83" s="1"/>
  <c r="J143" i="83"/>
  <c r="L143" i="83" s="1"/>
  <c r="F148" i="86"/>
  <c r="H148" i="86" s="1"/>
  <c r="J148" i="86"/>
  <c r="L147" i="86"/>
  <c r="B148" i="86"/>
  <c r="D148" i="86" s="1"/>
  <c r="F143" i="85"/>
  <c r="H143" i="85" s="1"/>
  <c r="B143" i="85"/>
  <c r="D143" i="85" s="1"/>
  <c r="J143" i="85"/>
  <c r="L143" i="85" s="1"/>
  <c r="F144" i="83"/>
  <c r="H144" i="83" s="1"/>
  <c r="B144" i="80"/>
  <c r="D144" i="80" s="1"/>
  <c r="F145" i="80"/>
  <c r="H144" i="80"/>
  <c r="H77" i="42"/>
  <c r="I77" i="42"/>
  <c r="F77" i="42"/>
  <c r="G77" i="42"/>
  <c r="AB77" i="42"/>
  <c r="AA77" i="42" s="1"/>
  <c r="C77" i="42" s="1"/>
  <c r="V78" i="42"/>
  <c r="L146" i="102" l="1"/>
  <c r="J147" i="102"/>
  <c r="N148" i="85"/>
  <c r="N149" i="85" s="1"/>
  <c r="P147" i="85"/>
  <c r="N148" i="90"/>
  <c r="P148" i="90" s="1"/>
  <c r="N147" i="91"/>
  <c r="P147" i="91" s="1"/>
  <c r="N147" i="102"/>
  <c r="P147" i="102" s="1"/>
  <c r="F149" i="102"/>
  <c r="D6" i="102"/>
  <c r="B9" i="102" s="1"/>
  <c r="H144" i="101"/>
  <c r="F145" i="101"/>
  <c r="L144" i="101"/>
  <c r="J145" i="101"/>
  <c r="D143" i="101"/>
  <c r="B144" i="101"/>
  <c r="J144" i="99"/>
  <c r="L144" i="99" s="1"/>
  <c r="F146" i="99"/>
  <c r="H146" i="99" s="1"/>
  <c r="B144" i="99"/>
  <c r="D144" i="99" s="1"/>
  <c r="B149" i="90"/>
  <c r="D149" i="90" s="1"/>
  <c r="J149" i="90"/>
  <c r="L149" i="90" s="1"/>
  <c r="F149" i="90"/>
  <c r="H149" i="90" s="1"/>
  <c r="L143" i="80"/>
  <c r="J144" i="80"/>
  <c r="B144" i="83"/>
  <c r="D144" i="83" s="1"/>
  <c r="J144" i="83"/>
  <c r="L144" i="83" s="1"/>
  <c r="B149" i="86"/>
  <c r="D149" i="86" s="1"/>
  <c r="J149" i="86"/>
  <c r="L148" i="86"/>
  <c r="F149" i="86"/>
  <c r="H149" i="86" s="1"/>
  <c r="J144" i="85"/>
  <c r="L144" i="85" s="1"/>
  <c r="B144" i="85"/>
  <c r="D144" i="85" s="1"/>
  <c r="F144" i="85"/>
  <c r="H144" i="85" s="1"/>
  <c r="F145" i="83"/>
  <c r="H145" i="83" s="1"/>
  <c r="F146" i="80"/>
  <c r="H145" i="80"/>
  <c r="B145" i="80"/>
  <c r="D145" i="80" s="1"/>
  <c r="W78" i="42"/>
  <c r="AC78" i="42"/>
  <c r="AD78" i="42" s="1"/>
  <c r="X78" i="42"/>
  <c r="L147" i="102" l="1"/>
  <c r="J148" i="102"/>
  <c r="P149" i="85"/>
  <c r="N150" i="85"/>
  <c r="P148" i="85"/>
  <c r="N149" i="90"/>
  <c r="P149" i="90" s="1"/>
  <c r="N148" i="91"/>
  <c r="P148" i="91" s="1"/>
  <c r="N148" i="102"/>
  <c r="P148" i="102" s="1"/>
  <c r="H149" i="102"/>
  <c r="H6" i="102" s="1"/>
  <c r="B10" i="102"/>
  <c r="Y39" i="56" s="1"/>
  <c r="R14" i="102"/>
  <c r="B3" i="102" s="1"/>
  <c r="AA39" i="56" s="1"/>
  <c r="AO39" i="56" s="1"/>
  <c r="D144" i="101"/>
  <c r="B145" i="101"/>
  <c r="L145" i="101"/>
  <c r="J146" i="101"/>
  <c r="H145" i="101"/>
  <c r="F146" i="101"/>
  <c r="B145" i="99"/>
  <c r="D145" i="99" s="1"/>
  <c r="F147" i="99"/>
  <c r="H147" i="99" s="1"/>
  <c r="J145" i="99"/>
  <c r="L145" i="99" s="1"/>
  <c r="D6" i="90"/>
  <c r="B9" i="90" s="1"/>
  <c r="L144" i="80"/>
  <c r="J145" i="80"/>
  <c r="B145" i="83"/>
  <c r="D145" i="83" s="1"/>
  <c r="J145" i="83"/>
  <c r="L145" i="83" s="1"/>
  <c r="L149" i="86"/>
  <c r="F145" i="85"/>
  <c r="H145" i="85" s="1"/>
  <c r="B145" i="85"/>
  <c r="D145" i="85" s="1"/>
  <c r="J145" i="85"/>
  <c r="L145" i="85" s="1"/>
  <c r="F146" i="83"/>
  <c r="H146" i="83" s="1"/>
  <c r="B146" i="80"/>
  <c r="D146" i="80" s="1"/>
  <c r="F147" i="80"/>
  <c r="H146" i="80"/>
  <c r="AA78" i="42"/>
  <c r="C78" i="42" s="1"/>
  <c r="Y78" i="42"/>
  <c r="M78" i="42"/>
  <c r="B78" i="42" s="1"/>
  <c r="L148" i="102" l="1"/>
  <c r="J149" i="102"/>
  <c r="L149" i="102" s="1"/>
  <c r="N151" i="85"/>
  <c r="P150" i="85"/>
  <c r="P6" i="90"/>
  <c r="N149" i="91"/>
  <c r="P149" i="91" s="1"/>
  <c r="N149" i="102"/>
  <c r="P149" i="102" s="1"/>
  <c r="F9" i="102"/>
  <c r="F10" i="102" s="1"/>
  <c r="Y38" i="56" s="1"/>
  <c r="Z39" i="56"/>
  <c r="R18" i="102"/>
  <c r="F3" i="102" s="1"/>
  <c r="AA38" i="56" s="1"/>
  <c r="AO38" i="56" s="1"/>
  <c r="H146" i="101"/>
  <c r="F147" i="101"/>
  <c r="L146" i="101"/>
  <c r="J147" i="101"/>
  <c r="D145" i="101"/>
  <c r="B146" i="101"/>
  <c r="J146" i="99"/>
  <c r="L146" i="99" s="1"/>
  <c r="F148" i="99"/>
  <c r="H148" i="99" s="1"/>
  <c r="B146" i="99"/>
  <c r="D146" i="99" s="1"/>
  <c r="L145" i="80"/>
  <c r="J146" i="80"/>
  <c r="B146" i="83"/>
  <c r="D146" i="83" s="1"/>
  <c r="J146" i="83"/>
  <c r="L146" i="83" s="1"/>
  <c r="J146" i="85"/>
  <c r="L146" i="85" s="1"/>
  <c r="B146" i="85"/>
  <c r="D146" i="85" s="1"/>
  <c r="F146" i="85"/>
  <c r="H146" i="85" s="1"/>
  <c r="F147" i="83"/>
  <c r="H147" i="83" s="1"/>
  <c r="F148" i="80"/>
  <c r="H147" i="80"/>
  <c r="B147" i="80"/>
  <c r="D147" i="80" s="1"/>
  <c r="AB78" i="42"/>
  <c r="V79" i="42"/>
  <c r="E78" i="42"/>
  <c r="F78" i="42"/>
  <c r="I78" i="42"/>
  <c r="H78" i="42"/>
  <c r="L6" i="102" l="1"/>
  <c r="J9" i="102" s="1"/>
  <c r="J10" i="102" s="1"/>
  <c r="Y37" i="56" s="1"/>
  <c r="N152" i="85"/>
  <c r="P151" i="85"/>
  <c r="N9" i="90"/>
  <c r="N10" i="90" s="1"/>
  <c r="Y41" i="56" s="1"/>
  <c r="P6" i="102"/>
  <c r="R25" i="90"/>
  <c r="N3" i="90" s="1"/>
  <c r="P6" i="91"/>
  <c r="Z38" i="56"/>
  <c r="D146" i="101"/>
  <c r="B147" i="101"/>
  <c r="L147" i="101"/>
  <c r="J148" i="101"/>
  <c r="H147" i="101"/>
  <c r="F148" i="101"/>
  <c r="B147" i="99"/>
  <c r="D147" i="99" s="1"/>
  <c r="F149" i="99"/>
  <c r="H149" i="99" s="1"/>
  <c r="J147" i="99"/>
  <c r="L147" i="99" s="1"/>
  <c r="L146" i="80"/>
  <c r="J147" i="80"/>
  <c r="B147" i="83"/>
  <c r="D147" i="83" s="1"/>
  <c r="J147" i="83"/>
  <c r="L147" i="83" s="1"/>
  <c r="F147" i="85"/>
  <c r="H147" i="85" s="1"/>
  <c r="B147" i="85"/>
  <c r="D147" i="85" s="1"/>
  <c r="J147" i="85"/>
  <c r="L147" i="85" s="1"/>
  <c r="F148" i="83"/>
  <c r="H148" i="83" s="1"/>
  <c r="B148" i="80"/>
  <c r="D148" i="80" s="1"/>
  <c r="F149" i="80"/>
  <c r="H148" i="80"/>
  <c r="W79" i="42"/>
  <c r="AC79" i="42"/>
  <c r="AD79" i="42" s="1"/>
  <c r="X79" i="42"/>
  <c r="R22" i="102" l="1"/>
  <c r="J3" i="102" s="1"/>
  <c r="AA37" i="56" s="1"/>
  <c r="AO37" i="56" s="1"/>
  <c r="Z37" i="56" s="1"/>
  <c r="N153" i="85"/>
  <c r="P152" i="85"/>
  <c r="AA41" i="56"/>
  <c r="AO41" i="56" s="1"/>
  <c r="N9" i="102"/>
  <c r="N10" i="102" s="1"/>
  <c r="N9" i="91"/>
  <c r="N10" i="91" s="1"/>
  <c r="Y42" i="56" s="1"/>
  <c r="R25" i="102"/>
  <c r="N3" i="102" s="1"/>
  <c r="AO43" i="56" s="1"/>
  <c r="R25" i="91"/>
  <c r="N3" i="91" s="1"/>
  <c r="H148" i="101"/>
  <c r="F149" i="101"/>
  <c r="H149" i="101" s="1"/>
  <c r="L148" i="101"/>
  <c r="J149" i="101"/>
  <c r="L149" i="101" s="1"/>
  <c r="D147" i="101"/>
  <c r="B148" i="101"/>
  <c r="J148" i="99"/>
  <c r="L148" i="99" s="1"/>
  <c r="B148" i="99"/>
  <c r="D148" i="99" s="1"/>
  <c r="L147" i="80"/>
  <c r="J148" i="80"/>
  <c r="B148" i="83"/>
  <c r="D148" i="83" s="1"/>
  <c r="J148" i="83"/>
  <c r="L148" i="83" s="1"/>
  <c r="J148" i="85"/>
  <c r="L148" i="85" s="1"/>
  <c r="B148" i="85"/>
  <c r="D148" i="85" s="1"/>
  <c r="F148" i="85"/>
  <c r="H148" i="85" s="1"/>
  <c r="F149" i="83"/>
  <c r="H149" i="83" s="1"/>
  <c r="F150" i="80"/>
  <c r="H149" i="80"/>
  <c r="B149" i="80"/>
  <c r="D149" i="80" s="1"/>
  <c r="M79" i="42"/>
  <c r="B79" i="42" s="1"/>
  <c r="Y79" i="42"/>
  <c r="N154" i="85" l="1"/>
  <c r="P153" i="85"/>
  <c r="AA42" i="56"/>
  <c r="AO42" i="56" s="1"/>
  <c r="L6" i="101"/>
  <c r="J9" i="101" s="1"/>
  <c r="H6" i="101"/>
  <c r="F9" i="101" s="1"/>
  <c r="D148" i="101"/>
  <c r="B149" i="101"/>
  <c r="D149" i="101" s="1"/>
  <c r="B149" i="99"/>
  <c r="D149" i="99" s="1"/>
  <c r="J149" i="99"/>
  <c r="L149" i="99" s="1"/>
  <c r="L148" i="80"/>
  <c r="J149" i="80"/>
  <c r="B149" i="83"/>
  <c r="D149" i="83" s="1"/>
  <c r="J149" i="83"/>
  <c r="L149" i="83" s="1"/>
  <c r="F149" i="85"/>
  <c r="H149" i="85" s="1"/>
  <c r="B149" i="85"/>
  <c r="D149" i="85" s="1"/>
  <c r="J149" i="85"/>
  <c r="L149" i="85" s="1"/>
  <c r="F150" i="83"/>
  <c r="H150" i="83" s="1"/>
  <c r="B150" i="80"/>
  <c r="D150" i="80" s="1"/>
  <c r="F151" i="80"/>
  <c r="H150" i="80"/>
  <c r="I79" i="42"/>
  <c r="F79" i="42"/>
  <c r="H79" i="42"/>
  <c r="G79" i="42"/>
  <c r="AB79" i="42"/>
  <c r="AA79" i="42" s="1"/>
  <c r="C79" i="42" s="1"/>
  <c r="V80" i="42"/>
  <c r="N155" i="85" l="1"/>
  <c r="P154" i="85"/>
  <c r="N22" i="101"/>
  <c r="N8" i="101"/>
  <c r="O8" i="101" s="1"/>
  <c r="D6" i="101"/>
  <c r="N14" i="101" s="1"/>
  <c r="N7" i="101"/>
  <c r="O7" i="101" s="1"/>
  <c r="N18" i="101"/>
  <c r="L149" i="80"/>
  <c r="J150" i="80"/>
  <c r="B150" i="83"/>
  <c r="D150" i="83" s="1"/>
  <c r="J150" i="83"/>
  <c r="L150" i="83" s="1"/>
  <c r="J150" i="85"/>
  <c r="L150" i="85" s="1"/>
  <c r="B150" i="85"/>
  <c r="D150" i="85" s="1"/>
  <c r="F150" i="85"/>
  <c r="H150" i="85" s="1"/>
  <c r="F151" i="83"/>
  <c r="H151" i="83" s="1"/>
  <c r="F152" i="80"/>
  <c r="H151" i="80"/>
  <c r="B151" i="80"/>
  <c r="D151" i="80" s="1"/>
  <c r="X80" i="42"/>
  <c r="AC80" i="42"/>
  <c r="AD80" i="42" s="1"/>
  <c r="W80" i="42"/>
  <c r="N156" i="85" l="1"/>
  <c r="P155" i="85"/>
  <c r="J3" i="101"/>
  <c r="N10" i="101" s="1"/>
  <c r="N6" i="101"/>
  <c r="O6" i="101" s="1"/>
  <c r="B3" i="101" s="1"/>
  <c r="B9" i="101"/>
  <c r="F3" i="101"/>
  <c r="N11" i="101" s="1"/>
  <c r="L150" i="80"/>
  <c r="J151" i="80"/>
  <c r="B151" i="83"/>
  <c r="D151" i="83" s="1"/>
  <c r="J151" i="83"/>
  <c r="L151" i="83" s="1"/>
  <c r="F151" i="85"/>
  <c r="H151" i="85" s="1"/>
  <c r="B151" i="85"/>
  <c r="D151" i="85" s="1"/>
  <c r="J151" i="85"/>
  <c r="L151" i="85" s="1"/>
  <c r="F152" i="83"/>
  <c r="H152" i="83" s="1"/>
  <c r="B152" i="80"/>
  <c r="D152" i="80" s="1"/>
  <c r="F153" i="80"/>
  <c r="H152" i="80"/>
  <c r="M80" i="42"/>
  <c r="B80" i="42" s="1"/>
  <c r="AA80" i="42"/>
  <c r="C80" i="42" s="1"/>
  <c r="Y80" i="42"/>
  <c r="N157" i="85" l="1"/>
  <c r="P156" i="85"/>
  <c r="N12" i="101"/>
  <c r="L151" i="80"/>
  <c r="J152" i="80"/>
  <c r="B152" i="83"/>
  <c r="D152" i="83" s="1"/>
  <c r="J152" i="83"/>
  <c r="L152" i="83" s="1"/>
  <c r="J152" i="85"/>
  <c r="L152" i="85" s="1"/>
  <c r="B152" i="85"/>
  <c r="D152" i="85" s="1"/>
  <c r="F152" i="85"/>
  <c r="H152" i="85" s="1"/>
  <c r="F153" i="83"/>
  <c r="H153" i="83" s="1"/>
  <c r="F154" i="80"/>
  <c r="H153" i="80"/>
  <c r="B153" i="80"/>
  <c r="D153" i="80" s="1"/>
  <c r="H80" i="42"/>
  <c r="E80" i="42"/>
  <c r="I80" i="42"/>
  <c r="F80" i="42"/>
  <c r="AB80" i="42"/>
  <c r="V81" i="42"/>
  <c r="N158" i="85" l="1"/>
  <c r="P157" i="85"/>
  <c r="L152" i="80"/>
  <c r="J153" i="80"/>
  <c r="B153" i="83"/>
  <c r="D153" i="83" s="1"/>
  <c r="J153" i="83"/>
  <c r="L153" i="83" s="1"/>
  <c r="F153" i="85"/>
  <c r="H153" i="85" s="1"/>
  <c r="B153" i="85"/>
  <c r="D153" i="85" s="1"/>
  <c r="J153" i="85"/>
  <c r="L153" i="85" s="1"/>
  <c r="F154" i="83"/>
  <c r="H154" i="83" s="1"/>
  <c r="B154" i="80"/>
  <c r="D154" i="80" s="1"/>
  <c r="F155" i="80"/>
  <c r="H154" i="80"/>
  <c r="W81" i="42"/>
  <c r="AC81" i="42"/>
  <c r="AD81" i="42" s="1"/>
  <c r="X81" i="42"/>
  <c r="N159" i="85" l="1"/>
  <c r="P158" i="85"/>
  <c r="L153" i="80"/>
  <c r="J154" i="80"/>
  <c r="B154" i="83"/>
  <c r="D154" i="83" s="1"/>
  <c r="J154" i="83"/>
  <c r="L154" i="83" s="1"/>
  <c r="J154" i="85"/>
  <c r="L154" i="85" s="1"/>
  <c r="B154" i="85"/>
  <c r="D154" i="85" s="1"/>
  <c r="F154" i="85"/>
  <c r="H154" i="85" s="1"/>
  <c r="F155" i="83"/>
  <c r="H155" i="83" s="1"/>
  <c r="F156" i="80"/>
  <c r="H155" i="80"/>
  <c r="B155" i="80"/>
  <c r="D155" i="80" s="1"/>
  <c r="Y81" i="42"/>
  <c r="M81" i="42"/>
  <c r="B81" i="42" s="1"/>
  <c r="N160" i="85" l="1"/>
  <c r="P159" i="85"/>
  <c r="L154" i="80"/>
  <c r="J155" i="80"/>
  <c r="B155" i="83"/>
  <c r="D155" i="83" s="1"/>
  <c r="J155" i="83"/>
  <c r="L155" i="83" s="1"/>
  <c r="F155" i="85"/>
  <c r="H155" i="85" s="1"/>
  <c r="B155" i="85"/>
  <c r="D155" i="85" s="1"/>
  <c r="J155" i="85"/>
  <c r="L155" i="85" s="1"/>
  <c r="F156" i="83"/>
  <c r="H156" i="83" s="1"/>
  <c r="F157" i="80"/>
  <c r="H156" i="80"/>
  <c r="B156" i="80"/>
  <c r="D156" i="80" s="1"/>
  <c r="G81" i="42"/>
  <c r="H81" i="42"/>
  <c r="F81" i="42"/>
  <c r="I81" i="42"/>
  <c r="AB81" i="42"/>
  <c r="AA81" i="42" s="1"/>
  <c r="C81" i="42" s="1"/>
  <c r="V82" i="42"/>
  <c r="N161" i="85" l="1"/>
  <c r="P160" i="85"/>
  <c r="L155" i="80"/>
  <c r="J156" i="80"/>
  <c r="B156" i="83"/>
  <c r="D156" i="83" s="1"/>
  <c r="J156" i="83"/>
  <c r="L156" i="83" s="1"/>
  <c r="J156" i="85"/>
  <c r="L156" i="85" s="1"/>
  <c r="B156" i="85"/>
  <c r="D156" i="85" s="1"/>
  <c r="F156" i="85"/>
  <c r="H156" i="85" s="1"/>
  <c r="F157" i="83"/>
  <c r="H157" i="83" s="1"/>
  <c r="B157" i="80"/>
  <c r="D157" i="80" s="1"/>
  <c r="F158" i="80"/>
  <c r="H157" i="80"/>
  <c r="AC82" i="42"/>
  <c r="AD82" i="42" s="1"/>
  <c r="X82" i="42"/>
  <c r="W82" i="42"/>
  <c r="N162" i="85" l="1"/>
  <c r="P161" i="85"/>
  <c r="L156" i="80"/>
  <c r="J157" i="80"/>
  <c r="B157" i="83"/>
  <c r="D157" i="83" s="1"/>
  <c r="J157" i="83"/>
  <c r="L157" i="83" s="1"/>
  <c r="F157" i="85"/>
  <c r="H157" i="85" s="1"/>
  <c r="B157" i="85"/>
  <c r="D157" i="85" s="1"/>
  <c r="J157" i="85"/>
  <c r="L157" i="85" s="1"/>
  <c r="F158" i="83"/>
  <c r="H158" i="83" s="1"/>
  <c r="F159" i="80"/>
  <c r="H158" i="80"/>
  <c r="B158" i="80"/>
  <c r="D158" i="80" s="1"/>
  <c r="AA82" i="42"/>
  <c r="C82" i="42" s="1"/>
  <c r="Y82" i="42"/>
  <c r="M82" i="42"/>
  <c r="B82" i="42" s="1"/>
  <c r="N163" i="85" l="1"/>
  <c r="P162" i="85"/>
  <c r="L157" i="80"/>
  <c r="J158" i="80"/>
  <c r="B158" i="83"/>
  <c r="D158" i="83" s="1"/>
  <c r="J158" i="83"/>
  <c r="L158" i="83" s="1"/>
  <c r="J158" i="85"/>
  <c r="L158" i="85" s="1"/>
  <c r="B158" i="85"/>
  <c r="D158" i="85" s="1"/>
  <c r="F158" i="85"/>
  <c r="H158" i="85" s="1"/>
  <c r="F159" i="83"/>
  <c r="H159" i="83" s="1"/>
  <c r="B159" i="80"/>
  <c r="D159" i="80" s="1"/>
  <c r="F160" i="80"/>
  <c r="H159" i="80"/>
  <c r="AB82" i="42"/>
  <c r="V83" i="42"/>
  <c r="F82" i="42"/>
  <c r="I82" i="42"/>
  <c r="H82" i="42"/>
  <c r="E82" i="42"/>
  <c r="N164" i="85" l="1"/>
  <c r="P163" i="85"/>
  <c r="L158" i="80"/>
  <c r="J159" i="80"/>
  <c r="B159" i="83"/>
  <c r="D159" i="83" s="1"/>
  <c r="J159" i="83"/>
  <c r="L159" i="83" s="1"/>
  <c r="F159" i="85"/>
  <c r="H159" i="85" s="1"/>
  <c r="B159" i="85"/>
  <c r="D159" i="85" s="1"/>
  <c r="J159" i="85"/>
  <c r="L159" i="85" s="1"/>
  <c r="F160" i="83"/>
  <c r="H160" i="83" s="1"/>
  <c r="F161" i="80"/>
  <c r="H160" i="80"/>
  <c r="B160" i="80"/>
  <c r="D160" i="80" s="1"/>
  <c r="AC83" i="42"/>
  <c r="AD83" i="42" s="1"/>
  <c r="X83" i="42"/>
  <c r="W83" i="42"/>
  <c r="N165" i="85" l="1"/>
  <c r="P164" i="85"/>
  <c r="L159" i="80"/>
  <c r="J160" i="80"/>
  <c r="B160" i="83"/>
  <c r="D160" i="83" s="1"/>
  <c r="J160" i="83"/>
  <c r="L160" i="83" s="1"/>
  <c r="J160" i="85"/>
  <c r="L160" i="85" s="1"/>
  <c r="B160" i="85"/>
  <c r="D160" i="85" s="1"/>
  <c r="F160" i="85"/>
  <c r="H160" i="85" s="1"/>
  <c r="F161" i="83"/>
  <c r="H161" i="83" s="1"/>
  <c r="B161" i="80"/>
  <c r="D161" i="80" s="1"/>
  <c r="F162" i="80"/>
  <c r="H161" i="80"/>
  <c r="M83" i="42"/>
  <c r="B83" i="42" s="1"/>
  <c r="Y83" i="42"/>
  <c r="N166" i="85" l="1"/>
  <c r="P165" i="85"/>
  <c r="L160" i="80"/>
  <c r="J161" i="80"/>
  <c r="B161" i="83"/>
  <c r="D161" i="83" s="1"/>
  <c r="J161" i="83"/>
  <c r="L161" i="83" s="1"/>
  <c r="F161" i="85"/>
  <c r="H161" i="85" s="1"/>
  <c r="B161" i="85"/>
  <c r="D161" i="85" s="1"/>
  <c r="J161" i="85"/>
  <c r="L161" i="85" s="1"/>
  <c r="F162" i="83"/>
  <c r="H162" i="83" s="1"/>
  <c r="F163" i="80"/>
  <c r="H162" i="80"/>
  <c r="B162" i="80"/>
  <c r="D162" i="80" s="1"/>
  <c r="I83" i="42"/>
  <c r="H83" i="42"/>
  <c r="G83" i="42"/>
  <c r="F83" i="42"/>
  <c r="AB83" i="42"/>
  <c r="AA83" i="42" s="1"/>
  <c r="C83" i="42" s="1"/>
  <c r="V84" i="42"/>
  <c r="N167" i="85" l="1"/>
  <c r="P166" i="85"/>
  <c r="L161" i="80"/>
  <c r="J162" i="80"/>
  <c r="B162" i="83"/>
  <c r="D162" i="83" s="1"/>
  <c r="J162" i="83"/>
  <c r="L162" i="83" s="1"/>
  <c r="J162" i="85"/>
  <c r="L162" i="85" s="1"/>
  <c r="B162" i="85"/>
  <c r="D162" i="85" s="1"/>
  <c r="F162" i="85"/>
  <c r="H162" i="85" s="1"/>
  <c r="F163" i="83"/>
  <c r="H163" i="83" s="1"/>
  <c r="B163" i="80"/>
  <c r="D163" i="80" s="1"/>
  <c r="F164" i="80"/>
  <c r="H163" i="80"/>
  <c r="AC84" i="42"/>
  <c r="AD84" i="42" s="1"/>
  <c r="X84" i="42"/>
  <c r="W84" i="42"/>
  <c r="N168" i="85" l="1"/>
  <c r="P167" i="85"/>
  <c r="L162" i="80"/>
  <c r="J163" i="80"/>
  <c r="B163" i="83"/>
  <c r="D163" i="83" s="1"/>
  <c r="J163" i="83"/>
  <c r="L163" i="83" s="1"/>
  <c r="F163" i="85"/>
  <c r="H163" i="85" s="1"/>
  <c r="B163" i="85"/>
  <c r="D163" i="85" s="1"/>
  <c r="J163" i="85"/>
  <c r="L163" i="85" s="1"/>
  <c r="F164" i="83"/>
  <c r="H164" i="83" s="1"/>
  <c r="F165" i="80"/>
  <c r="H164" i="80"/>
  <c r="B164" i="80"/>
  <c r="D164" i="80" s="1"/>
  <c r="M84" i="42"/>
  <c r="B84" i="42" s="1"/>
  <c r="AA84" i="42"/>
  <c r="C84" i="42" s="1"/>
  <c r="Y84" i="42"/>
  <c r="N169" i="85" l="1"/>
  <c r="P168" i="85"/>
  <c r="L163" i="80"/>
  <c r="J164" i="80"/>
  <c r="B164" i="83"/>
  <c r="D164" i="83" s="1"/>
  <c r="J164" i="83"/>
  <c r="L164" i="83" s="1"/>
  <c r="J164" i="85"/>
  <c r="L164" i="85" s="1"/>
  <c r="B164" i="85"/>
  <c r="D164" i="85" s="1"/>
  <c r="F164" i="85"/>
  <c r="H164" i="85" s="1"/>
  <c r="F165" i="83"/>
  <c r="H165" i="83" s="1"/>
  <c r="B165" i="80"/>
  <c r="D165" i="80" s="1"/>
  <c r="F166" i="80"/>
  <c r="H165" i="80"/>
  <c r="I84" i="42"/>
  <c r="H84" i="42"/>
  <c r="F84" i="42"/>
  <c r="E84" i="42"/>
  <c r="AB84" i="42"/>
  <c r="V85" i="42"/>
  <c r="N170" i="85" l="1"/>
  <c r="P169" i="85"/>
  <c r="L164" i="80"/>
  <c r="J165" i="80"/>
  <c r="B165" i="83"/>
  <c r="D165" i="83" s="1"/>
  <c r="J165" i="83"/>
  <c r="L165" i="83" s="1"/>
  <c r="F165" i="85"/>
  <c r="H165" i="85" s="1"/>
  <c r="B165" i="85"/>
  <c r="D165" i="85" s="1"/>
  <c r="J165" i="85"/>
  <c r="L165" i="85" s="1"/>
  <c r="F166" i="83"/>
  <c r="H166" i="83" s="1"/>
  <c r="F167" i="80"/>
  <c r="H166" i="80"/>
  <c r="B166" i="80"/>
  <c r="D166" i="80" s="1"/>
  <c r="X85" i="42"/>
  <c r="AC85" i="42"/>
  <c r="AD85" i="42" s="1"/>
  <c r="W85" i="42"/>
  <c r="N171" i="85" l="1"/>
  <c r="P170" i="85"/>
  <c r="L165" i="80"/>
  <c r="J166" i="80"/>
  <c r="B166" i="83"/>
  <c r="D166" i="83" s="1"/>
  <c r="J166" i="83"/>
  <c r="L166" i="83" s="1"/>
  <c r="J166" i="85"/>
  <c r="L166" i="85" s="1"/>
  <c r="B166" i="85"/>
  <c r="D166" i="85" s="1"/>
  <c r="F166" i="85"/>
  <c r="H166" i="85" s="1"/>
  <c r="F167" i="83"/>
  <c r="H167" i="83" s="1"/>
  <c r="B167" i="80"/>
  <c r="D167" i="80" s="1"/>
  <c r="F168" i="80"/>
  <c r="H167" i="80"/>
  <c r="M85" i="42"/>
  <c r="B85" i="42" s="1"/>
  <c r="Y85" i="42"/>
  <c r="N172" i="85" l="1"/>
  <c r="P171" i="85"/>
  <c r="L166" i="80"/>
  <c r="J167" i="80"/>
  <c r="B167" i="83"/>
  <c r="D167" i="83" s="1"/>
  <c r="J167" i="83"/>
  <c r="L167" i="83" s="1"/>
  <c r="F167" i="85"/>
  <c r="H167" i="85" s="1"/>
  <c r="B167" i="85"/>
  <c r="D167" i="85" s="1"/>
  <c r="J167" i="85"/>
  <c r="L167" i="85" s="1"/>
  <c r="F168" i="83"/>
  <c r="H168" i="83" s="1"/>
  <c r="F169" i="80"/>
  <c r="H168" i="80"/>
  <c r="B168" i="80"/>
  <c r="D168" i="80" s="1"/>
  <c r="H85" i="42"/>
  <c r="G85" i="42"/>
  <c r="F85" i="42"/>
  <c r="I85" i="42"/>
  <c r="AB85" i="42"/>
  <c r="AA85" i="42" s="1"/>
  <c r="C85" i="42" s="1"/>
  <c r="V86" i="42"/>
  <c r="N173" i="85" l="1"/>
  <c r="P172" i="85"/>
  <c r="L167" i="80"/>
  <c r="J168" i="80"/>
  <c r="B168" i="83"/>
  <c r="D168" i="83" s="1"/>
  <c r="J168" i="83"/>
  <c r="L168" i="83" s="1"/>
  <c r="J168" i="85"/>
  <c r="L168" i="85" s="1"/>
  <c r="B168" i="85"/>
  <c r="D168" i="85" s="1"/>
  <c r="F168" i="85"/>
  <c r="H168" i="85" s="1"/>
  <c r="F169" i="83"/>
  <c r="H169" i="83" s="1"/>
  <c r="B169" i="80"/>
  <c r="D169" i="80" s="1"/>
  <c r="F170" i="80"/>
  <c r="H169" i="80"/>
  <c r="W86" i="42"/>
  <c r="AC86" i="42"/>
  <c r="AD86" i="42" s="1"/>
  <c r="X86" i="42"/>
  <c r="N174" i="85" l="1"/>
  <c r="P173" i="85"/>
  <c r="L168" i="80"/>
  <c r="J169" i="80"/>
  <c r="B169" i="83"/>
  <c r="D169" i="83" s="1"/>
  <c r="J169" i="83"/>
  <c r="L169" i="83" s="1"/>
  <c r="F169" i="85"/>
  <c r="H169" i="85" s="1"/>
  <c r="B169" i="85"/>
  <c r="D169" i="85" s="1"/>
  <c r="J169" i="85"/>
  <c r="L169" i="85" s="1"/>
  <c r="F170" i="83"/>
  <c r="H170" i="83" s="1"/>
  <c r="F171" i="80"/>
  <c r="H170" i="80"/>
  <c r="B170" i="80"/>
  <c r="D170" i="80" s="1"/>
  <c r="M86" i="42"/>
  <c r="B86" i="42" s="1"/>
  <c r="AA86" i="42"/>
  <c r="C86" i="42" s="1"/>
  <c r="Y86" i="42"/>
  <c r="N175" i="85" l="1"/>
  <c r="P174" i="85"/>
  <c r="L169" i="80"/>
  <c r="J170" i="80"/>
  <c r="B170" i="83"/>
  <c r="D170" i="83" s="1"/>
  <c r="J170" i="83"/>
  <c r="L170" i="83" s="1"/>
  <c r="J170" i="85"/>
  <c r="L170" i="85" s="1"/>
  <c r="B170" i="85"/>
  <c r="D170" i="85" s="1"/>
  <c r="F170" i="85"/>
  <c r="H170" i="85" s="1"/>
  <c r="F171" i="83"/>
  <c r="H171" i="83" s="1"/>
  <c r="B171" i="80"/>
  <c r="D171" i="80" s="1"/>
  <c r="F172" i="80"/>
  <c r="H171" i="80"/>
  <c r="I86" i="42"/>
  <c r="H86" i="42"/>
  <c r="F86" i="42"/>
  <c r="E86" i="42"/>
  <c r="AB86" i="42"/>
  <c r="V87" i="42"/>
  <c r="N176" i="85" l="1"/>
  <c r="P175" i="85"/>
  <c r="L170" i="80"/>
  <c r="J171" i="80"/>
  <c r="B171" i="83"/>
  <c r="D171" i="83" s="1"/>
  <c r="J171" i="83"/>
  <c r="L171" i="83" s="1"/>
  <c r="F171" i="85"/>
  <c r="H171" i="85" s="1"/>
  <c r="B171" i="85"/>
  <c r="D171" i="85" s="1"/>
  <c r="J171" i="85"/>
  <c r="L171" i="85" s="1"/>
  <c r="F172" i="83"/>
  <c r="H172" i="83" s="1"/>
  <c r="F173" i="80"/>
  <c r="H172" i="80"/>
  <c r="B172" i="80"/>
  <c r="D172" i="80" s="1"/>
  <c r="AC87" i="42"/>
  <c r="AD87" i="42" s="1"/>
  <c r="X87" i="42"/>
  <c r="W87" i="42"/>
  <c r="N177" i="85" l="1"/>
  <c r="P176" i="85"/>
  <c r="H6" i="99"/>
  <c r="F9" i="99" s="1"/>
  <c r="L171" i="80"/>
  <c r="J172" i="80"/>
  <c r="B172" i="83"/>
  <c r="D172" i="83" s="1"/>
  <c r="J172" i="83"/>
  <c r="L172" i="83" s="1"/>
  <c r="J172" i="85"/>
  <c r="L172" i="85" s="1"/>
  <c r="B172" i="85"/>
  <c r="D172" i="85" s="1"/>
  <c r="F172" i="85"/>
  <c r="H172" i="85" s="1"/>
  <c r="F173" i="83"/>
  <c r="H173" i="83" s="1"/>
  <c r="B173" i="80"/>
  <c r="D173" i="80" s="1"/>
  <c r="F174" i="80"/>
  <c r="H173" i="80"/>
  <c r="M87" i="42"/>
  <c r="B87" i="42" s="1"/>
  <c r="Y87" i="42"/>
  <c r="N178" i="85" l="1"/>
  <c r="P177" i="85"/>
  <c r="N7" i="99"/>
  <c r="O7" i="99" s="1"/>
  <c r="N18" i="99"/>
  <c r="L172" i="80"/>
  <c r="J173" i="80"/>
  <c r="B173" i="83"/>
  <c r="D173" i="83" s="1"/>
  <c r="J173" i="83"/>
  <c r="L173" i="83" s="1"/>
  <c r="F173" i="85"/>
  <c r="H173" i="85" s="1"/>
  <c r="B173" i="85"/>
  <c r="D173" i="85" s="1"/>
  <c r="J173" i="85"/>
  <c r="L173" i="85" s="1"/>
  <c r="F174" i="83"/>
  <c r="H174" i="83" s="1"/>
  <c r="F175" i="80"/>
  <c r="H174" i="80"/>
  <c r="B174" i="80"/>
  <c r="H87" i="42"/>
  <c r="F87" i="42"/>
  <c r="I87" i="42"/>
  <c r="G87" i="42"/>
  <c r="AB87" i="42"/>
  <c r="AA87" i="42" s="1"/>
  <c r="C87" i="42" s="1"/>
  <c r="V88" i="42"/>
  <c r="N179" i="85" l="1"/>
  <c r="P178" i="85"/>
  <c r="L6" i="99"/>
  <c r="J9" i="99" s="1"/>
  <c r="F3" i="99"/>
  <c r="N11" i="99" s="1"/>
  <c r="D6" i="99"/>
  <c r="B9" i="99" s="1"/>
  <c r="L173" i="80"/>
  <c r="J174" i="80"/>
  <c r="B174" i="83"/>
  <c r="D174" i="83" s="1"/>
  <c r="J174" i="83"/>
  <c r="L174" i="83" s="1"/>
  <c r="J174" i="85"/>
  <c r="L174" i="85" s="1"/>
  <c r="B174" i="85"/>
  <c r="D174" i="85" s="1"/>
  <c r="F174" i="85"/>
  <c r="H174" i="85" s="1"/>
  <c r="D174" i="80"/>
  <c r="B175" i="80"/>
  <c r="H6" i="83"/>
  <c r="F176" i="80"/>
  <c r="H175" i="80"/>
  <c r="W88" i="42"/>
  <c r="AC88" i="42"/>
  <c r="AD88" i="42" s="1"/>
  <c r="X88" i="42"/>
  <c r="N180" i="85" l="1"/>
  <c r="P179" i="85"/>
  <c r="N18" i="83"/>
  <c r="F9" i="83"/>
  <c r="N22" i="99"/>
  <c r="N6" i="99"/>
  <c r="O6" i="99" s="1"/>
  <c r="N14" i="99"/>
  <c r="N8" i="99"/>
  <c r="O8" i="99" s="1"/>
  <c r="D6" i="83"/>
  <c r="L6" i="83"/>
  <c r="J9" i="83" s="1"/>
  <c r="L174" i="80"/>
  <c r="J175" i="80"/>
  <c r="F175" i="85"/>
  <c r="H175" i="85" s="1"/>
  <c r="B175" i="85"/>
  <c r="D175" i="85" s="1"/>
  <c r="J175" i="85"/>
  <c r="L175" i="85" s="1"/>
  <c r="N7" i="83"/>
  <c r="O7" i="83" s="1"/>
  <c r="B176" i="80"/>
  <c r="D175" i="80"/>
  <c r="F177" i="80"/>
  <c r="H176" i="80"/>
  <c r="M88" i="42"/>
  <c r="B88" i="42" s="1"/>
  <c r="Y88" i="42"/>
  <c r="AA88" i="42"/>
  <c r="C88" i="42" s="1"/>
  <c r="N181" i="85" l="1"/>
  <c r="P180" i="85"/>
  <c r="N14" i="83"/>
  <c r="B9" i="83"/>
  <c r="N22" i="83"/>
  <c r="J3" i="99"/>
  <c r="N10" i="99" s="1"/>
  <c r="B3" i="99"/>
  <c r="N12" i="99" s="1"/>
  <c r="N6" i="83"/>
  <c r="O6" i="83" s="1"/>
  <c r="N8" i="83"/>
  <c r="O8" i="83" s="1"/>
  <c r="L175" i="80"/>
  <c r="J176" i="80"/>
  <c r="J176" i="85"/>
  <c r="L176" i="85" s="1"/>
  <c r="B176" i="85"/>
  <c r="D176" i="85" s="1"/>
  <c r="F176" i="85"/>
  <c r="H176" i="85" s="1"/>
  <c r="B177" i="80"/>
  <c r="D176" i="80"/>
  <c r="F178" i="80"/>
  <c r="H177" i="80"/>
  <c r="I88" i="42"/>
  <c r="E88" i="42"/>
  <c r="H88" i="42"/>
  <c r="F88" i="42"/>
  <c r="AB88" i="42"/>
  <c r="V89" i="42"/>
  <c r="N182" i="85" l="1"/>
  <c r="P181" i="85"/>
  <c r="J3" i="83"/>
  <c r="N10" i="83" s="1"/>
  <c r="B3" i="83"/>
  <c r="N12" i="83" s="1"/>
  <c r="L176" i="80"/>
  <c r="J177" i="80"/>
  <c r="F177" i="85"/>
  <c r="H177" i="85" s="1"/>
  <c r="B177" i="85"/>
  <c r="D177" i="85" s="1"/>
  <c r="J177" i="85"/>
  <c r="L177" i="85" s="1"/>
  <c r="B178" i="80"/>
  <c r="D177" i="80"/>
  <c r="F179" i="80"/>
  <c r="H178" i="80"/>
  <c r="X89" i="42"/>
  <c r="AC89" i="42"/>
  <c r="AD89" i="42" s="1"/>
  <c r="W89" i="42"/>
  <c r="N183" i="85" l="1"/>
  <c r="P182" i="85"/>
  <c r="L177" i="80"/>
  <c r="J178" i="80"/>
  <c r="J178" i="85"/>
  <c r="L178" i="85" s="1"/>
  <c r="B178" i="85"/>
  <c r="D178" i="85" s="1"/>
  <c r="F178" i="85"/>
  <c r="H178" i="85" s="1"/>
  <c r="B179" i="80"/>
  <c r="D178" i="80"/>
  <c r="F180" i="80"/>
  <c r="H179" i="80"/>
  <c r="M89" i="42"/>
  <c r="B89" i="42" s="1"/>
  <c r="Y89" i="42"/>
  <c r="N184" i="85" l="1"/>
  <c r="P183" i="85"/>
  <c r="L178" i="80"/>
  <c r="J179" i="80"/>
  <c r="B179" i="85"/>
  <c r="D179" i="85" s="1"/>
  <c r="F179" i="85"/>
  <c r="H179" i="85" s="1"/>
  <c r="J179" i="85"/>
  <c r="L179" i="85" s="1"/>
  <c r="B180" i="80"/>
  <c r="D179" i="80"/>
  <c r="F181" i="80"/>
  <c r="H180" i="80"/>
  <c r="H89" i="42"/>
  <c r="F89" i="42"/>
  <c r="I89" i="42"/>
  <c r="G89" i="42"/>
  <c r="AB89" i="42"/>
  <c r="AA89" i="42" s="1"/>
  <c r="C89" i="42" s="1"/>
  <c r="V90" i="42"/>
  <c r="N185" i="85" l="1"/>
  <c r="P184" i="85"/>
  <c r="L179" i="80"/>
  <c r="J180" i="80"/>
  <c r="J180" i="85"/>
  <c r="L180" i="85" s="1"/>
  <c r="F180" i="85"/>
  <c r="H180" i="85" s="1"/>
  <c r="B180" i="85"/>
  <c r="D180" i="85" s="1"/>
  <c r="B181" i="80"/>
  <c r="D180" i="80"/>
  <c r="F182" i="80"/>
  <c r="H181" i="80"/>
  <c r="W90" i="42"/>
  <c r="AC90" i="42"/>
  <c r="AD90" i="42" s="1"/>
  <c r="X90" i="42"/>
  <c r="N186" i="85" l="1"/>
  <c r="P185" i="85"/>
  <c r="L180" i="80"/>
  <c r="J181" i="80"/>
  <c r="B181" i="85"/>
  <c r="D181" i="85" s="1"/>
  <c r="F181" i="85"/>
  <c r="H181" i="85" s="1"/>
  <c r="J181" i="85"/>
  <c r="L181" i="85" s="1"/>
  <c r="B182" i="80"/>
  <c r="D181" i="80"/>
  <c r="F183" i="80"/>
  <c r="H182" i="80"/>
  <c r="AA90" i="42"/>
  <c r="C90" i="42" s="1"/>
  <c r="Y90" i="42"/>
  <c r="M90" i="42"/>
  <c r="B90" i="42" s="1"/>
  <c r="N187" i="85" l="1"/>
  <c r="P186" i="85"/>
  <c r="L181" i="80"/>
  <c r="J182" i="80"/>
  <c r="J182" i="85"/>
  <c r="L182" i="85" s="1"/>
  <c r="F182" i="85"/>
  <c r="H182" i="85" s="1"/>
  <c r="B182" i="85"/>
  <c r="D182" i="85" s="1"/>
  <c r="B183" i="80"/>
  <c r="D182" i="80"/>
  <c r="F184" i="80"/>
  <c r="H183" i="80"/>
  <c r="AB90" i="42"/>
  <c r="V91" i="42"/>
  <c r="E90" i="42"/>
  <c r="I90" i="42"/>
  <c r="H90" i="42"/>
  <c r="F90" i="42"/>
  <c r="N188" i="85" l="1"/>
  <c r="P187" i="85"/>
  <c r="L182" i="80"/>
  <c r="J183" i="80"/>
  <c r="B183" i="85"/>
  <c r="D183" i="85" s="1"/>
  <c r="F183" i="85"/>
  <c r="H183" i="85" s="1"/>
  <c r="J183" i="85"/>
  <c r="L183" i="85" s="1"/>
  <c r="B184" i="80"/>
  <c r="D183" i="80"/>
  <c r="F185" i="80"/>
  <c r="H184" i="80"/>
  <c r="AC91" i="42"/>
  <c r="AD91" i="42" s="1"/>
  <c r="W91" i="42"/>
  <c r="X91" i="42"/>
  <c r="N189" i="85" l="1"/>
  <c r="P188" i="85"/>
  <c r="L183" i="80"/>
  <c r="J184" i="80"/>
  <c r="J184" i="85"/>
  <c r="L184" i="85" s="1"/>
  <c r="F184" i="85"/>
  <c r="H184" i="85" s="1"/>
  <c r="B184" i="85"/>
  <c r="D184" i="85" s="1"/>
  <c r="B185" i="80"/>
  <c r="D184" i="80"/>
  <c r="F186" i="80"/>
  <c r="H185" i="80"/>
  <c r="M91" i="42"/>
  <c r="B91" i="42" s="1"/>
  <c r="Y91" i="42"/>
  <c r="N190" i="85" l="1"/>
  <c r="P189" i="85"/>
  <c r="L184" i="80"/>
  <c r="J185" i="80"/>
  <c r="B185" i="85"/>
  <c r="D185" i="85" s="1"/>
  <c r="F185" i="85"/>
  <c r="H185" i="85" s="1"/>
  <c r="J185" i="85"/>
  <c r="L185" i="85" s="1"/>
  <c r="B186" i="80"/>
  <c r="D185" i="80"/>
  <c r="F187" i="80"/>
  <c r="H186" i="80"/>
  <c r="I91" i="42"/>
  <c r="F91" i="42"/>
  <c r="H91" i="42"/>
  <c r="G91" i="42"/>
  <c r="AB91" i="42"/>
  <c r="AA91" i="42" s="1"/>
  <c r="C91" i="42" s="1"/>
  <c r="V92" i="42"/>
  <c r="N191" i="85" l="1"/>
  <c r="P190" i="85"/>
  <c r="L185" i="80"/>
  <c r="J186" i="80"/>
  <c r="J186" i="85"/>
  <c r="L186" i="85" s="1"/>
  <c r="F186" i="85"/>
  <c r="H186" i="85" s="1"/>
  <c r="B186" i="85"/>
  <c r="D186" i="85" s="1"/>
  <c r="B187" i="80"/>
  <c r="D186" i="80"/>
  <c r="F188" i="80"/>
  <c r="H187" i="80"/>
  <c r="X92" i="42"/>
  <c r="AC92" i="42"/>
  <c r="AD92" i="42" s="1"/>
  <c r="W92" i="42"/>
  <c r="N192" i="85" l="1"/>
  <c r="P191" i="85"/>
  <c r="L186" i="80"/>
  <c r="J187" i="80"/>
  <c r="B187" i="85"/>
  <c r="D187" i="85" s="1"/>
  <c r="F187" i="85"/>
  <c r="H187" i="85" s="1"/>
  <c r="J187" i="85"/>
  <c r="L187" i="85" s="1"/>
  <c r="B188" i="80"/>
  <c r="D187" i="80"/>
  <c r="F189" i="80"/>
  <c r="H188" i="80"/>
  <c r="M92" i="42"/>
  <c r="B92" i="42" s="1"/>
  <c r="AA92" i="42"/>
  <c r="C92" i="42" s="1"/>
  <c r="Y92" i="42"/>
  <c r="N193" i="85" l="1"/>
  <c r="P192" i="85"/>
  <c r="L187" i="80"/>
  <c r="J188" i="80"/>
  <c r="J188" i="85"/>
  <c r="L188" i="85" s="1"/>
  <c r="F188" i="85"/>
  <c r="H188" i="85" s="1"/>
  <c r="B188" i="85"/>
  <c r="D188" i="85" s="1"/>
  <c r="D188" i="80"/>
  <c r="B189" i="80"/>
  <c r="F190" i="80"/>
  <c r="H189" i="80"/>
  <c r="H92" i="42"/>
  <c r="E92" i="42"/>
  <c r="I92" i="42"/>
  <c r="F92" i="42"/>
  <c r="AB92" i="42"/>
  <c r="V93" i="42"/>
  <c r="N194" i="85" l="1"/>
  <c r="P193" i="85"/>
  <c r="L188" i="80"/>
  <c r="J189" i="80"/>
  <c r="B189" i="85"/>
  <c r="D189" i="85" s="1"/>
  <c r="F189" i="85"/>
  <c r="H189" i="85" s="1"/>
  <c r="J189" i="85"/>
  <c r="L189" i="85" s="1"/>
  <c r="B190" i="80"/>
  <c r="D189" i="80"/>
  <c r="F191" i="80"/>
  <c r="H190" i="80"/>
  <c r="W93" i="42"/>
  <c r="AC93" i="42"/>
  <c r="AD93" i="42" s="1"/>
  <c r="X93" i="42"/>
  <c r="N195" i="85" l="1"/>
  <c r="P194" i="85"/>
  <c r="L189" i="80"/>
  <c r="J190" i="80"/>
  <c r="J190" i="85"/>
  <c r="L190" i="85" s="1"/>
  <c r="F190" i="85"/>
  <c r="H190" i="85" s="1"/>
  <c r="B190" i="85"/>
  <c r="D190" i="85" s="1"/>
  <c r="D190" i="80"/>
  <c r="B191" i="80"/>
  <c r="F192" i="80"/>
  <c r="H191" i="80"/>
  <c r="M93" i="42"/>
  <c r="B93" i="42" s="1"/>
  <c r="Y93" i="42"/>
  <c r="N196" i="85" l="1"/>
  <c r="P195" i="85"/>
  <c r="L190" i="80"/>
  <c r="J191" i="80"/>
  <c r="B191" i="85"/>
  <c r="D191" i="85" s="1"/>
  <c r="F191" i="85"/>
  <c r="H191" i="85" s="1"/>
  <c r="J191" i="85"/>
  <c r="L191" i="85" s="1"/>
  <c r="B192" i="80"/>
  <c r="D191" i="80"/>
  <c r="F193" i="80"/>
  <c r="H192" i="80"/>
  <c r="G93" i="42"/>
  <c r="I93" i="42"/>
  <c r="H93" i="42"/>
  <c r="F93" i="42"/>
  <c r="AB93" i="42"/>
  <c r="AA93" i="42" s="1"/>
  <c r="C93" i="42" s="1"/>
  <c r="V94" i="42"/>
  <c r="N197" i="85" l="1"/>
  <c r="P196" i="85"/>
  <c r="L191" i="80"/>
  <c r="J192" i="80"/>
  <c r="J192" i="85"/>
  <c r="L192" i="85" s="1"/>
  <c r="F192" i="85"/>
  <c r="H192" i="85" s="1"/>
  <c r="B192" i="85"/>
  <c r="D192" i="85" s="1"/>
  <c r="B193" i="80"/>
  <c r="D192" i="80"/>
  <c r="F194" i="80"/>
  <c r="H193" i="80"/>
  <c r="AC94" i="42"/>
  <c r="AD94" i="42" s="1"/>
  <c r="W94" i="42"/>
  <c r="X94" i="42"/>
  <c r="N198" i="85" l="1"/>
  <c r="P197" i="85"/>
  <c r="L192" i="80"/>
  <c r="J193" i="80"/>
  <c r="B193" i="85"/>
  <c r="D193" i="85" s="1"/>
  <c r="F193" i="85"/>
  <c r="H193" i="85" s="1"/>
  <c r="J193" i="85"/>
  <c r="L193" i="85" s="1"/>
  <c r="B194" i="80"/>
  <c r="D193" i="80"/>
  <c r="F195" i="80"/>
  <c r="H194" i="80"/>
  <c r="AA94" i="42"/>
  <c r="C94" i="42" s="1"/>
  <c r="Y94" i="42"/>
  <c r="M94" i="42"/>
  <c r="B94" i="42" s="1"/>
  <c r="N199" i="85" l="1"/>
  <c r="P198" i="85"/>
  <c r="L193" i="80"/>
  <c r="J194" i="80"/>
  <c r="J194" i="85"/>
  <c r="L194" i="85" s="1"/>
  <c r="F194" i="85"/>
  <c r="H194" i="85" s="1"/>
  <c r="B194" i="85"/>
  <c r="D194" i="85" s="1"/>
  <c r="B195" i="80"/>
  <c r="D194" i="80"/>
  <c r="F196" i="80"/>
  <c r="H195" i="80"/>
  <c r="AB94" i="42"/>
  <c r="V95" i="42"/>
  <c r="F94" i="42"/>
  <c r="I94" i="42"/>
  <c r="H94" i="42"/>
  <c r="E94" i="42"/>
  <c r="N200" i="85" l="1"/>
  <c r="P199" i="85"/>
  <c r="L194" i="80"/>
  <c r="J195" i="80"/>
  <c r="B195" i="85"/>
  <c r="D195" i="85" s="1"/>
  <c r="F195" i="85"/>
  <c r="H195" i="85" s="1"/>
  <c r="J195" i="85"/>
  <c r="L195" i="85" s="1"/>
  <c r="B196" i="80"/>
  <c r="D195" i="80"/>
  <c r="F197" i="80"/>
  <c r="H196" i="80"/>
  <c r="AC95" i="42"/>
  <c r="AD95" i="42" s="1"/>
  <c r="X95" i="42"/>
  <c r="W95" i="42"/>
  <c r="N201" i="85" l="1"/>
  <c r="P200" i="85"/>
  <c r="L195" i="80"/>
  <c r="J196" i="80"/>
  <c r="J196" i="85"/>
  <c r="L196" i="85" s="1"/>
  <c r="F196" i="85"/>
  <c r="H196" i="85" s="1"/>
  <c r="B196" i="85"/>
  <c r="D196" i="85" s="1"/>
  <c r="D196" i="80"/>
  <c r="B197" i="80"/>
  <c r="F198" i="80"/>
  <c r="H197" i="80"/>
  <c r="M95" i="42"/>
  <c r="B95" i="42" s="1"/>
  <c r="Y95" i="42"/>
  <c r="N202" i="85" l="1"/>
  <c r="P201" i="85"/>
  <c r="L196" i="80"/>
  <c r="J197" i="80"/>
  <c r="B197" i="85"/>
  <c r="D197" i="85" s="1"/>
  <c r="F197" i="85"/>
  <c r="H197" i="85" s="1"/>
  <c r="J197" i="85"/>
  <c r="L197" i="85" s="1"/>
  <c r="D197" i="80"/>
  <c r="B198" i="80"/>
  <c r="F199" i="80"/>
  <c r="H198" i="80"/>
  <c r="I95" i="42"/>
  <c r="H95" i="42"/>
  <c r="G95" i="42"/>
  <c r="F95" i="42"/>
  <c r="AB95" i="42"/>
  <c r="AA95" i="42" s="1"/>
  <c r="C95" i="42" s="1"/>
  <c r="V96" i="42"/>
  <c r="N203" i="85" l="1"/>
  <c r="P202" i="85"/>
  <c r="L197" i="80"/>
  <c r="J198" i="80"/>
  <c r="J198" i="85"/>
  <c r="L198" i="85" s="1"/>
  <c r="F198" i="85"/>
  <c r="H198" i="85" s="1"/>
  <c r="B198" i="85"/>
  <c r="D198" i="85" s="1"/>
  <c r="B199" i="80"/>
  <c r="D198" i="80"/>
  <c r="F200" i="80"/>
  <c r="H199" i="80"/>
  <c r="AC96" i="42"/>
  <c r="AD96" i="42" s="1"/>
  <c r="X96" i="42"/>
  <c r="W96" i="42"/>
  <c r="N204" i="85" l="1"/>
  <c r="P203" i="85"/>
  <c r="L198" i="80"/>
  <c r="J199" i="80"/>
  <c r="B199" i="85"/>
  <c r="D199" i="85" s="1"/>
  <c r="F199" i="85"/>
  <c r="H199" i="85" s="1"/>
  <c r="J199" i="85"/>
  <c r="L199" i="85" s="1"/>
  <c r="B200" i="80"/>
  <c r="D199" i="80"/>
  <c r="F201" i="80"/>
  <c r="H200" i="80"/>
  <c r="M96" i="42"/>
  <c r="B96" i="42" s="1"/>
  <c r="AA96" i="42"/>
  <c r="C96" i="42" s="1"/>
  <c r="Y96" i="42"/>
  <c r="N205" i="85" l="1"/>
  <c r="P204" i="85"/>
  <c r="L199" i="80"/>
  <c r="J200" i="80"/>
  <c r="J200" i="85"/>
  <c r="L200" i="85" s="1"/>
  <c r="F200" i="85"/>
  <c r="H200" i="85" s="1"/>
  <c r="B200" i="85"/>
  <c r="D200" i="85" s="1"/>
  <c r="B201" i="80"/>
  <c r="D200" i="80"/>
  <c r="F202" i="80"/>
  <c r="H201" i="80"/>
  <c r="I96" i="42"/>
  <c r="H96" i="42"/>
  <c r="F96" i="42"/>
  <c r="E96" i="42"/>
  <c r="AB96" i="42"/>
  <c r="V97" i="42"/>
  <c r="N206" i="85" l="1"/>
  <c r="P205" i="85"/>
  <c r="L200" i="80"/>
  <c r="J201" i="80"/>
  <c r="B201" i="85"/>
  <c r="D201" i="85" s="1"/>
  <c r="F201" i="85"/>
  <c r="H201" i="85" s="1"/>
  <c r="J201" i="85"/>
  <c r="L201" i="85" s="1"/>
  <c r="B202" i="80"/>
  <c r="D201" i="80"/>
  <c r="F203" i="80"/>
  <c r="H202" i="80"/>
  <c r="X97" i="42"/>
  <c r="AC97" i="42"/>
  <c r="AD97" i="42" s="1"/>
  <c r="W97" i="42"/>
  <c r="N207" i="85" l="1"/>
  <c r="P206" i="85"/>
  <c r="L201" i="80"/>
  <c r="J202" i="80"/>
  <c r="J202" i="85"/>
  <c r="L202" i="85" s="1"/>
  <c r="F202" i="85"/>
  <c r="H202" i="85" s="1"/>
  <c r="B202" i="85"/>
  <c r="D202" i="85" s="1"/>
  <c r="D202" i="80"/>
  <c r="B203" i="80"/>
  <c r="F204" i="80"/>
  <c r="H203" i="80"/>
  <c r="M97" i="42"/>
  <c r="B97" i="42" s="1"/>
  <c r="Y97" i="42"/>
  <c r="N208" i="85" l="1"/>
  <c r="P207" i="85"/>
  <c r="L202" i="80"/>
  <c r="J203" i="80"/>
  <c r="F203" i="85"/>
  <c r="H203" i="85" s="1"/>
  <c r="B203" i="85"/>
  <c r="D203" i="85" s="1"/>
  <c r="J203" i="85"/>
  <c r="L203" i="85" s="1"/>
  <c r="B204" i="80"/>
  <c r="D203" i="80"/>
  <c r="F205" i="80"/>
  <c r="H204" i="80"/>
  <c r="H97" i="42"/>
  <c r="G97" i="42"/>
  <c r="F97" i="42"/>
  <c r="I97" i="42"/>
  <c r="AB97" i="42"/>
  <c r="AA97" i="42" s="1"/>
  <c r="C97" i="42" s="1"/>
  <c r="V98" i="42"/>
  <c r="N209" i="85" l="1"/>
  <c r="P208" i="85"/>
  <c r="L203" i="80"/>
  <c r="J204" i="80"/>
  <c r="J204" i="85"/>
  <c r="L204" i="85" s="1"/>
  <c r="B204" i="85"/>
  <c r="D204" i="85" s="1"/>
  <c r="F204" i="85"/>
  <c r="H204" i="85" s="1"/>
  <c r="B205" i="80"/>
  <c r="D204" i="80"/>
  <c r="F206" i="80"/>
  <c r="H205" i="80"/>
  <c r="W98" i="42"/>
  <c r="AC98" i="42"/>
  <c r="AD98" i="42" s="1"/>
  <c r="X98" i="42"/>
  <c r="N210" i="85" l="1"/>
  <c r="P209" i="85"/>
  <c r="L204" i="80"/>
  <c r="J205" i="80"/>
  <c r="B205" i="85"/>
  <c r="D205" i="85" s="1"/>
  <c r="F205" i="85"/>
  <c r="H205" i="85" s="1"/>
  <c r="J205" i="85"/>
  <c r="L205" i="85" s="1"/>
  <c r="B206" i="80"/>
  <c r="D205" i="80"/>
  <c r="F207" i="80"/>
  <c r="H206" i="80"/>
  <c r="AA98" i="42"/>
  <c r="C98" i="42" s="1"/>
  <c r="Y98" i="42"/>
  <c r="M98" i="42"/>
  <c r="B98" i="42" s="1"/>
  <c r="N211" i="85" l="1"/>
  <c r="P210" i="85"/>
  <c r="L205" i="80"/>
  <c r="J206" i="80"/>
  <c r="J206" i="85"/>
  <c r="L206" i="85" s="1"/>
  <c r="F206" i="85"/>
  <c r="H206" i="85" s="1"/>
  <c r="B206" i="85"/>
  <c r="D206" i="85" s="1"/>
  <c r="D206" i="80"/>
  <c r="B207" i="80"/>
  <c r="F208" i="80"/>
  <c r="H207" i="80"/>
  <c r="AB98" i="42"/>
  <c r="V99" i="42"/>
  <c r="I98" i="42"/>
  <c r="H98" i="42"/>
  <c r="F98" i="42"/>
  <c r="E98" i="42"/>
  <c r="N212" i="85" l="1"/>
  <c r="P211" i="85"/>
  <c r="L206" i="80"/>
  <c r="J207" i="80"/>
  <c r="B207" i="85"/>
  <c r="D207" i="85" s="1"/>
  <c r="F207" i="85"/>
  <c r="H207" i="85" s="1"/>
  <c r="J207" i="85"/>
  <c r="L207" i="85" s="1"/>
  <c r="D207" i="80"/>
  <c r="B208" i="80"/>
  <c r="F209" i="80"/>
  <c r="H208" i="80"/>
  <c r="AC99" i="42"/>
  <c r="AD99" i="42" s="1"/>
  <c r="X99" i="42"/>
  <c r="W99" i="42"/>
  <c r="N213" i="85" l="1"/>
  <c r="P212" i="85"/>
  <c r="L207" i="80"/>
  <c r="J208" i="80"/>
  <c r="J208" i="85"/>
  <c r="L208" i="85" s="1"/>
  <c r="F208" i="85"/>
  <c r="H208" i="85" s="1"/>
  <c r="B208" i="85"/>
  <c r="D208" i="85" s="1"/>
  <c r="B209" i="80"/>
  <c r="D208" i="80"/>
  <c r="F210" i="80"/>
  <c r="H209" i="80"/>
  <c r="M99" i="42"/>
  <c r="B99" i="42" s="1"/>
  <c r="Y99" i="42"/>
  <c r="N214" i="85" l="1"/>
  <c r="P213" i="85"/>
  <c r="L208" i="80"/>
  <c r="J209" i="80"/>
  <c r="B209" i="85"/>
  <c r="D209" i="85" s="1"/>
  <c r="F209" i="85"/>
  <c r="H209" i="85" s="1"/>
  <c r="J209" i="85"/>
  <c r="L209" i="85" s="1"/>
  <c r="B210" i="80"/>
  <c r="D209" i="80"/>
  <c r="F211" i="80"/>
  <c r="H210" i="80"/>
  <c r="H99" i="42"/>
  <c r="F99" i="42"/>
  <c r="I99" i="42"/>
  <c r="G99" i="42"/>
  <c r="AB99" i="42"/>
  <c r="AA99" i="42" s="1"/>
  <c r="C99" i="42" s="1"/>
  <c r="V100" i="42"/>
  <c r="N215" i="85" l="1"/>
  <c r="P214" i="85"/>
  <c r="L209" i="80"/>
  <c r="J210" i="80"/>
  <c r="J210" i="85"/>
  <c r="L210" i="85" s="1"/>
  <c r="F210" i="85"/>
  <c r="H210" i="85" s="1"/>
  <c r="B210" i="85"/>
  <c r="D210" i="85" s="1"/>
  <c r="D210" i="80"/>
  <c r="B211" i="80"/>
  <c r="F212" i="80"/>
  <c r="H211" i="80"/>
  <c r="W100" i="42"/>
  <c r="AC100" i="42"/>
  <c r="AD100" i="42" s="1"/>
  <c r="X100" i="42"/>
  <c r="N216" i="85" l="1"/>
  <c r="P215" i="85"/>
  <c r="L210" i="80"/>
  <c r="J211" i="80"/>
  <c r="B211" i="85"/>
  <c r="D211" i="85" s="1"/>
  <c r="F211" i="85"/>
  <c r="H211" i="85" s="1"/>
  <c r="J211" i="85"/>
  <c r="L211" i="85" s="1"/>
  <c r="D211" i="80"/>
  <c r="B212" i="80"/>
  <c r="F213" i="80"/>
  <c r="H212" i="80"/>
  <c r="M100" i="42"/>
  <c r="B100" i="42" s="1"/>
  <c r="Y100" i="42"/>
  <c r="AA100" i="42"/>
  <c r="C100" i="42" s="1"/>
  <c r="N217" i="85" l="1"/>
  <c r="P216" i="85"/>
  <c r="L211" i="80"/>
  <c r="J212" i="80"/>
  <c r="J212" i="85"/>
  <c r="L212" i="85" s="1"/>
  <c r="F212" i="85"/>
  <c r="H212" i="85" s="1"/>
  <c r="B212" i="85"/>
  <c r="D212" i="85" s="1"/>
  <c r="B213" i="80"/>
  <c r="D212" i="80"/>
  <c r="F214" i="80"/>
  <c r="H213" i="80"/>
  <c r="I100" i="42"/>
  <c r="E100" i="42"/>
  <c r="H100" i="42"/>
  <c r="F100" i="42"/>
  <c r="AB100" i="42"/>
  <c r="V101" i="42"/>
  <c r="N218" i="85" l="1"/>
  <c r="P217" i="85"/>
  <c r="L212" i="80"/>
  <c r="J213" i="80"/>
  <c r="B213" i="85"/>
  <c r="D213" i="85" s="1"/>
  <c r="F213" i="85"/>
  <c r="H213" i="85" s="1"/>
  <c r="J213" i="85"/>
  <c r="L213" i="85" s="1"/>
  <c r="B214" i="80"/>
  <c r="D213" i="80"/>
  <c r="F215" i="80"/>
  <c r="H214" i="80"/>
  <c r="X101" i="42"/>
  <c r="AC101" i="42"/>
  <c r="AD101" i="42" s="1"/>
  <c r="W101" i="42"/>
  <c r="N219" i="85" l="1"/>
  <c r="P218" i="85"/>
  <c r="L213" i="80"/>
  <c r="J214" i="80"/>
  <c r="J214" i="85"/>
  <c r="L214" i="85" s="1"/>
  <c r="F214" i="85"/>
  <c r="H214" i="85" s="1"/>
  <c r="B214" i="85"/>
  <c r="D214" i="85" s="1"/>
  <c r="D214" i="80"/>
  <c r="B215" i="80"/>
  <c r="F216" i="80"/>
  <c r="H215" i="80"/>
  <c r="M101" i="42"/>
  <c r="B101" i="42" s="1"/>
  <c r="Y101" i="42"/>
  <c r="N220" i="85" l="1"/>
  <c r="P219" i="85"/>
  <c r="L214" i="80"/>
  <c r="J215" i="80"/>
  <c r="B215" i="85"/>
  <c r="D215" i="85" s="1"/>
  <c r="F215" i="85"/>
  <c r="H215" i="85" s="1"/>
  <c r="J215" i="85"/>
  <c r="L215" i="85" s="1"/>
  <c r="B216" i="80"/>
  <c r="D215" i="80"/>
  <c r="F217" i="80"/>
  <c r="H216" i="80"/>
  <c r="H101" i="42"/>
  <c r="F101" i="42"/>
  <c r="I101" i="42"/>
  <c r="G101" i="42"/>
  <c r="AB101" i="42"/>
  <c r="AA101" i="42" s="1"/>
  <c r="C101" i="42" s="1"/>
  <c r="V102" i="42"/>
  <c r="N221" i="85" l="1"/>
  <c r="P220" i="85"/>
  <c r="L215" i="80"/>
  <c r="J216" i="80"/>
  <c r="J216" i="85"/>
  <c r="L216" i="85" s="1"/>
  <c r="F216" i="85"/>
  <c r="H216" i="85" s="1"/>
  <c r="B216" i="85"/>
  <c r="D216" i="85" s="1"/>
  <c r="B217" i="80"/>
  <c r="D216" i="80"/>
  <c r="F218" i="80"/>
  <c r="H217" i="80"/>
  <c r="W102" i="42"/>
  <c r="AC102" i="42"/>
  <c r="AD102" i="42" s="1"/>
  <c r="X102" i="42"/>
  <c r="N222" i="85" l="1"/>
  <c r="P221" i="85"/>
  <c r="L216" i="80"/>
  <c r="J217" i="80"/>
  <c r="B217" i="85"/>
  <c r="D217" i="85" s="1"/>
  <c r="F217" i="85"/>
  <c r="H217" i="85" s="1"/>
  <c r="J217" i="85"/>
  <c r="L217" i="85" s="1"/>
  <c r="B218" i="80"/>
  <c r="D217" i="80"/>
  <c r="F219" i="80"/>
  <c r="H218" i="80"/>
  <c r="M102" i="42"/>
  <c r="B102" i="42" s="1"/>
  <c r="AA102" i="42"/>
  <c r="C102" i="42" s="1"/>
  <c r="Y102" i="42"/>
  <c r="N223" i="85" l="1"/>
  <c r="P222" i="85"/>
  <c r="L217" i="80"/>
  <c r="J218" i="80"/>
  <c r="J218" i="85"/>
  <c r="L218" i="85" s="1"/>
  <c r="F218" i="85"/>
  <c r="H218" i="85" s="1"/>
  <c r="B218" i="85"/>
  <c r="D218" i="85" s="1"/>
  <c r="B219" i="80"/>
  <c r="D218" i="80"/>
  <c r="F220" i="80"/>
  <c r="H219" i="80"/>
  <c r="E102" i="42"/>
  <c r="I102" i="42"/>
  <c r="H102" i="42"/>
  <c r="F102" i="42"/>
  <c r="AB102" i="42"/>
  <c r="V103" i="42"/>
  <c r="N224" i="85" l="1"/>
  <c r="P224" i="85" s="1"/>
  <c r="P223" i="85"/>
  <c r="H6" i="90"/>
  <c r="F9" i="90" s="1"/>
  <c r="L6" i="90"/>
  <c r="J9" i="90" s="1"/>
  <c r="L218" i="80"/>
  <c r="J219" i="80"/>
  <c r="L6" i="86"/>
  <c r="H6" i="86"/>
  <c r="D6" i="86"/>
  <c r="B9" i="86" s="1"/>
  <c r="CJ7" i="56" s="1"/>
  <c r="B219" i="85"/>
  <c r="D219" i="85" s="1"/>
  <c r="F219" i="85"/>
  <c r="H219" i="85" s="1"/>
  <c r="J219" i="85"/>
  <c r="L219" i="85" s="1"/>
  <c r="D219" i="80"/>
  <c r="B220" i="80"/>
  <c r="F221" i="80"/>
  <c r="H220" i="80"/>
  <c r="AC103" i="42"/>
  <c r="AD103" i="42" s="1"/>
  <c r="W103" i="42"/>
  <c r="X103" i="42"/>
  <c r="P6" i="85" l="1"/>
  <c r="N9" i="85" s="1"/>
  <c r="N10" i="85" s="1"/>
  <c r="Y40" i="56" s="1"/>
  <c r="B10" i="90"/>
  <c r="Y33" i="56" s="1"/>
  <c r="R14" i="90"/>
  <c r="B3" i="90" s="1"/>
  <c r="J10" i="90"/>
  <c r="Y31" i="56" s="1"/>
  <c r="R22" i="90"/>
  <c r="J3" i="90" s="1"/>
  <c r="F10" i="90"/>
  <c r="Y32" i="56" s="1"/>
  <c r="R18" i="90"/>
  <c r="F3" i="90" s="1"/>
  <c r="L219" i="80"/>
  <c r="J220" i="80"/>
  <c r="N14" i="86"/>
  <c r="F9" i="86"/>
  <c r="CJ6" i="56" s="1"/>
  <c r="N18" i="86"/>
  <c r="F3" i="86" s="1"/>
  <c r="CK6" i="56" s="1"/>
  <c r="J9" i="86"/>
  <c r="CJ5" i="56" s="1"/>
  <c r="N22" i="86"/>
  <c r="J3" i="86" s="1"/>
  <c r="CK5" i="56" s="1"/>
  <c r="J220" i="85"/>
  <c r="L220" i="85" s="1"/>
  <c r="F220" i="85"/>
  <c r="H220" i="85" s="1"/>
  <c r="B220" i="85"/>
  <c r="D220" i="85" s="1"/>
  <c r="D220" i="80"/>
  <c r="B221" i="80"/>
  <c r="F222" i="80"/>
  <c r="H221" i="80"/>
  <c r="M103" i="42"/>
  <c r="B103" i="42" s="1"/>
  <c r="Y103" i="42"/>
  <c r="R25" i="85" l="1"/>
  <c r="N3" i="85" s="1"/>
  <c r="AA40" i="56" s="1"/>
  <c r="AA31" i="56"/>
  <c r="AA32" i="56"/>
  <c r="AO32" i="56" s="1"/>
  <c r="Z32" i="56" s="1"/>
  <c r="AA33" i="56"/>
  <c r="L220" i="80"/>
  <c r="J221" i="80"/>
  <c r="B3" i="86"/>
  <c r="CK7" i="56" s="1"/>
  <c r="B221" i="85"/>
  <c r="D221" i="85" s="1"/>
  <c r="F221" i="85"/>
  <c r="H221" i="85" s="1"/>
  <c r="J221" i="85"/>
  <c r="L221" i="85" s="1"/>
  <c r="B222" i="80"/>
  <c r="D221" i="80"/>
  <c r="F223" i="80"/>
  <c r="H222" i="80"/>
  <c r="I103" i="42"/>
  <c r="F103" i="42"/>
  <c r="H103" i="42"/>
  <c r="G103" i="42"/>
  <c r="AB103" i="42"/>
  <c r="AA103" i="42" s="1"/>
  <c r="C103" i="42" s="1"/>
  <c r="V104" i="42"/>
  <c r="AO40" i="56" l="1"/>
  <c r="O75" i="56"/>
  <c r="AO33" i="56"/>
  <c r="AO31" i="56"/>
  <c r="Z31" i="56" s="1"/>
  <c r="L221" i="80"/>
  <c r="J222" i="80"/>
  <c r="J222" i="85"/>
  <c r="L222" i="85" s="1"/>
  <c r="F222" i="85"/>
  <c r="H222" i="85" s="1"/>
  <c r="B222" i="85"/>
  <c r="D222" i="85" s="1"/>
  <c r="B223" i="80"/>
  <c r="D222" i="80"/>
  <c r="F224" i="80"/>
  <c r="H224" i="80" s="1"/>
  <c r="H223" i="80"/>
  <c r="X104" i="42"/>
  <c r="AC104" i="42"/>
  <c r="AD104" i="42" s="1"/>
  <c r="W104" i="42"/>
  <c r="Z42" i="56" l="1"/>
  <c r="Z41" i="56"/>
  <c r="Z33" i="56"/>
  <c r="H6" i="80"/>
  <c r="N18" i="80" s="1"/>
  <c r="F3" i="80" s="1"/>
  <c r="L222" i="80"/>
  <c r="J223" i="80"/>
  <c r="B223" i="85"/>
  <c r="D223" i="85" s="1"/>
  <c r="F223" i="85"/>
  <c r="H223" i="85" s="1"/>
  <c r="J223" i="85"/>
  <c r="L223" i="85" s="1"/>
  <c r="B224" i="80"/>
  <c r="D224" i="80" s="1"/>
  <c r="D223" i="80"/>
  <c r="F3" i="83"/>
  <c r="N11" i="83" s="1"/>
  <c r="M104" i="42"/>
  <c r="B104" i="42" s="1"/>
  <c r="AA104" i="42"/>
  <c r="C104" i="42" s="1"/>
  <c r="Y104" i="42"/>
  <c r="D6" i="80" l="1"/>
  <c r="N14" i="80" s="1"/>
  <c r="B3" i="80" s="1"/>
  <c r="L223" i="80"/>
  <c r="J224" i="80"/>
  <c r="L224" i="80" s="1"/>
  <c r="J224" i="85"/>
  <c r="F224" i="85"/>
  <c r="B224" i="85"/>
  <c r="D224" i="85" s="1"/>
  <c r="H104" i="42"/>
  <c r="E104" i="42"/>
  <c r="I104" i="42"/>
  <c r="F104" i="42"/>
  <c r="AB104" i="42"/>
  <c r="V105" i="42"/>
  <c r="L6" i="80" l="1"/>
  <c r="N22" i="80" s="1"/>
  <c r="J3" i="80" s="1"/>
  <c r="H224" i="85"/>
  <c r="H6" i="85" s="1"/>
  <c r="F9" i="85" s="1"/>
  <c r="L224" i="85"/>
  <c r="D6" i="85"/>
  <c r="B9" i="85" s="1"/>
  <c r="W105" i="42"/>
  <c r="AC105" i="42"/>
  <c r="AD105" i="42" s="1"/>
  <c r="X105" i="42"/>
  <c r="CJ4" i="56" l="1"/>
  <c r="B10" i="85"/>
  <c r="Y30" i="56" s="1"/>
  <c r="R18" i="85"/>
  <c r="F3" i="85" s="1"/>
  <c r="R14" i="85"/>
  <c r="B3" i="85" s="1"/>
  <c r="Y105" i="42"/>
  <c r="M105" i="42"/>
  <c r="B105" i="42" s="1"/>
  <c r="AA30" i="56" l="1"/>
  <c r="CJ3" i="56"/>
  <c r="F10" i="85"/>
  <c r="Y29" i="56" s="1"/>
  <c r="AA29" i="56" s="1"/>
  <c r="CK3" i="56"/>
  <c r="CK4" i="56"/>
  <c r="G105" i="42"/>
  <c r="I105" i="42"/>
  <c r="H105" i="42"/>
  <c r="F105" i="42"/>
  <c r="AB105" i="42"/>
  <c r="AA105" i="42" s="1"/>
  <c r="C105" i="42" s="1"/>
  <c r="V106" i="42"/>
  <c r="AO30" i="56" l="1"/>
  <c r="Z40" i="56" s="1"/>
  <c r="AC106" i="42"/>
  <c r="AD106" i="42" s="1"/>
  <c r="X106" i="42"/>
  <c r="W106" i="42"/>
  <c r="Z30" i="56" l="1"/>
  <c r="M106" i="42"/>
  <c r="B106" i="42" s="1"/>
  <c r="AA106" i="42"/>
  <c r="C106" i="42" s="1"/>
  <c r="Y106" i="42"/>
  <c r="F106" i="42" l="1"/>
  <c r="I106" i="42"/>
  <c r="H106" i="42"/>
  <c r="E106" i="42"/>
  <c r="AB106" i="42"/>
  <c r="V107" i="42"/>
  <c r="AC107" i="42" l="1"/>
  <c r="AD107" i="42" s="1"/>
  <c r="X107" i="42"/>
  <c r="W107" i="42"/>
  <c r="M107" i="42" l="1"/>
  <c r="B107" i="42" s="1"/>
  <c r="Y107" i="42"/>
  <c r="I107" i="42" l="1"/>
  <c r="H107" i="42"/>
  <c r="G107" i="42"/>
  <c r="F107" i="42"/>
  <c r="AB107" i="42"/>
  <c r="AA107" i="42" s="1"/>
  <c r="C107" i="42" s="1"/>
  <c r="V108" i="42"/>
  <c r="AC108" i="42" l="1"/>
  <c r="AD108" i="42" s="1"/>
  <c r="X108" i="42"/>
  <c r="W108" i="42"/>
  <c r="M108" i="42" l="1"/>
  <c r="B108" i="42" s="1"/>
  <c r="AA108" i="42"/>
  <c r="C108" i="42" s="1"/>
  <c r="Y108" i="42"/>
  <c r="I108" i="42" l="1"/>
  <c r="H108" i="42"/>
  <c r="F108" i="42"/>
  <c r="E108" i="42"/>
  <c r="AB108" i="42"/>
  <c r="V109" i="42"/>
  <c r="X109" i="42" l="1"/>
  <c r="AC109" i="42"/>
  <c r="AD109" i="42" s="1"/>
  <c r="W109" i="42"/>
  <c r="M109" i="42" l="1"/>
  <c r="B109" i="42" s="1"/>
  <c r="Y109" i="42"/>
  <c r="H109" i="42" l="1"/>
  <c r="G109" i="42"/>
  <c r="F109" i="42"/>
  <c r="I109" i="42"/>
  <c r="AB109" i="42"/>
  <c r="AA109" i="42" s="1"/>
  <c r="C109" i="42" s="1"/>
  <c r="V110" i="42"/>
  <c r="W110" i="42" l="1"/>
  <c r="AC110" i="42"/>
  <c r="AD110" i="42" s="1"/>
  <c r="X110" i="42"/>
  <c r="M110" i="42" l="1"/>
  <c r="B110" i="42" s="1"/>
  <c r="AA110" i="42"/>
  <c r="C110" i="42" s="1"/>
  <c r="Y110" i="42"/>
  <c r="I110" i="42" l="1"/>
  <c r="H110" i="42"/>
  <c r="F110" i="42"/>
  <c r="E110" i="42"/>
  <c r="AB110" i="42"/>
  <c r="V111" i="42"/>
  <c r="AC111" i="42" l="1"/>
  <c r="AD111" i="42" s="1"/>
  <c r="X111" i="42"/>
  <c r="W111" i="42"/>
  <c r="M111" i="42" l="1"/>
  <c r="B111" i="42" s="1"/>
  <c r="Y111" i="42"/>
  <c r="H111" i="42" l="1"/>
  <c r="F111" i="42"/>
  <c r="I111" i="42"/>
  <c r="G111" i="42"/>
  <c r="AB111" i="42"/>
  <c r="AA111" i="42" s="1"/>
  <c r="C111" i="42" s="1"/>
  <c r="V112" i="42"/>
  <c r="W112" i="42" l="1"/>
  <c r="AC112" i="42"/>
  <c r="AD112" i="42" s="1"/>
  <c r="X112" i="42"/>
  <c r="Y112" i="42" l="1"/>
  <c r="AA112" i="42"/>
  <c r="C112" i="42" s="1"/>
  <c r="M112" i="42"/>
  <c r="B112" i="42" s="1"/>
  <c r="AB112" i="42" l="1"/>
  <c r="V113" i="42"/>
  <c r="I112" i="42"/>
  <c r="E112" i="42"/>
  <c r="H112" i="42"/>
  <c r="F112" i="42"/>
  <c r="X113" i="42" l="1"/>
  <c r="AC113" i="42"/>
  <c r="AD113" i="42" s="1"/>
  <c r="W113" i="42"/>
  <c r="M113" i="42" l="1"/>
  <c r="B113" i="42" s="1"/>
  <c r="Y113" i="42"/>
  <c r="H113" i="42" l="1"/>
  <c r="F113" i="42"/>
  <c r="I113" i="42"/>
  <c r="G113" i="42"/>
  <c r="AB113" i="42"/>
  <c r="AA113" i="42" s="1"/>
  <c r="C113" i="42" s="1"/>
  <c r="V114" i="42"/>
  <c r="W114" i="42" l="1"/>
  <c r="AC114" i="42"/>
  <c r="AD114" i="42" s="1"/>
  <c r="X114" i="42"/>
  <c r="AA114" i="42" l="1"/>
  <c r="C114" i="42" s="1"/>
  <c r="Y114" i="42"/>
  <c r="M114" i="42"/>
  <c r="B114" i="42" s="1"/>
  <c r="AB114" i="42" l="1"/>
  <c r="V115" i="42"/>
  <c r="E114" i="42"/>
  <c r="I114" i="42"/>
  <c r="H114" i="42"/>
  <c r="F114" i="42"/>
  <c r="AC115" i="42" l="1"/>
  <c r="AD115" i="42" s="1"/>
  <c r="W115" i="42"/>
  <c r="X115" i="42"/>
  <c r="M115" i="42" l="1"/>
  <c r="B115" i="42" s="1"/>
  <c r="Y115" i="42"/>
  <c r="I115" i="42" l="1"/>
  <c r="F115" i="42"/>
  <c r="H115" i="42"/>
  <c r="G115" i="42"/>
  <c r="AB115" i="42"/>
  <c r="AA115" i="42" s="1"/>
  <c r="C115" i="42" s="1"/>
  <c r="V116" i="42"/>
  <c r="X116" i="42" l="1"/>
  <c r="AC116" i="42"/>
  <c r="AD116" i="42" s="1"/>
  <c r="W116" i="42"/>
  <c r="M116" i="42" l="1"/>
  <c r="B116" i="42" s="1"/>
  <c r="AA116" i="42"/>
  <c r="C116" i="42" s="1"/>
  <c r="Y116" i="42"/>
  <c r="H116" i="42" l="1"/>
  <c r="E116" i="42"/>
  <c r="I116" i="42"/>
  <c r="F116" i="42"/>
  <c r="AB116" i="42"/>
  <c r="V117" i="42"/>
  <c r="W117" i="42" l="1"/>
  <c r="AC117" i="42"/>
  <c r="AD117" i="42" s="1"/>
  <c r="X117" i="42"/>
  <c r="Y117" i="42" l="1"/>
  <c r="M117" i="42"/>
  <c r="B117" i="42" s="1"/>
  <c r="G117" i="42" l="1"/>
  <c r="I117" i="42"/>
  <c r="H117" i="42"/>
  <c r="F117" i="42"/>
  <c r="AB117" i="42"/>
  <c r="AA117" i="42" s="1"/>
  <c r="C117" i="42" s="1"/>
  <c r="V118" i="42"/>
  <c r="AC118" i="42" l="1"/>
  <c r="AD118" i="42" s="1"/>
  <c r="X118" i="42"/>
  <c r="W118" i="42"/>
  <c r="M118" i="42" l="1"/>
  <c r="B118" i="42" s="1"/>
  <c r="AA118" i="42"/>
  <c r="C118" i="42" s="1"/>
  <c r="Y118" i="42"/>
  <c r="F118" i="42" l="1"/>
  <c r="I118" i="42"/>
  <c r="H118" i="42"/>
  <c r="E118" i="42"/>
  <c r="AB118" i="42"/>
  <c r="V119" i="42"/>
  <c r="AC119" i="42" l="1"/>
  <c r="AD119" i="42" s="1"/>
  <c r="X119" i="42"/>
  <c r="W119" i="42"/>
  <c r="M119" i="42" l="1"/>
  <c r="B119" i="42" s="1"/>
  <c r="Y119" i="42"/>
  <c r="I119" i="42" l="1"/>
  <c r="H119" i="42"/>
  <c r="G119" i="42"/>
  <c r="F119" i="42"/>
  <c r="AB119" i="42"/>
  <c r="AA119" i="42" s="1"/>
  <c r="C119" i="42" s="1"/>
  <c r="V120" i="42"/>
  <c r="AC120" i="42" l="1"/>
  <c r="AD120" i="42" s="1"/>
  <c r="X120" i="42"/>
  <c r="W120" i="42"/>
  <c r="AA120" i="42" l="1"/>
  <c r="C120" i="42" s="1"/>
  <c r="Y120" i="42"/>
  <c r="M120" i="42"/>
  <c r="B120" i="42" s="1"/>
  <c r="AB120" i="42" l="1"/>
  <c r="V121" i="42"/>
  <c r="I120" i="42"/>
  <c r="H120" i="42"/>
  <c r="F120" i="42"/>
  <c r="E120" i="42"/>
  <c r="X121" i="42" l="1"/>
  <c r="AC121" i="42"/>
  <c r="AD121" i="42" s="1"/>
  <c r="W121" i="42"/>
  <c r="M121" i="42" l="1"/>
  <c r="B121" i="42" s="1"/>
  <c r="Y121" i="42"/>
  <c r="H121" i="42" l="1"/>
  <c r="G121" i="42"/>
  <c r="F121" i="42"/>
  <c r="I121" i="42"/>
  <c r="AB121" i="42"/>
  <c r="AA121" i="42" s="1"/>
  <c r="C121" i="42" s="1"/>
  <c r="V122" i="42"/>
  <c r="W122" i="42" l="1"/>
  <c r="AC122" i="42"/>
  <c r="AD122" i="42" s="1"/>
  <c r="X122" i="42"/>
  <c r="M122" i="42" l="1"/>
  <c r="B122" i="42" s="1"/>
  <c r="AA122" i="42"/>
  <c r="C122" i="42" s="1"/>
  <c r="Y122" i="42"/>
  <c r="I122" i="42" l="1"/>
  <c r="H122" i="42"/>
  <c r="F122" i="42"/>
  <c r="E122" i="42"/>
  <c r="AB122" i="42"/>
  <c r="V123" i="42"/>
  <c r="AC123" i="42" l="1"/>
  <c r="AD123" i="42" s="1"/>
  <c r="X123" i="42"/>
  <c r="W123" i="42"/>
  <c r="M123" i="42" l="1"/>
  <c r="B123" i="42" s="1"/>
  <c r="AE38" i="42"/>
  <c r="Z38" i="42" s="1"/>
  <c r="AE33" i="42"/>
  <c r="Z33" i="42" s="1"/>
  <c r="G33" i="42" s="1"/>
  <c r="AE32" i="42"/>
  <c r="Z32" i="42" s="1"/>
  <c r="E32" i="42" s="1"/>
  <c r="J32" i="42" s="1"/>
  <c r="Y123" i="42"/>
  <c r="H123" i="42" l="1"/>
  <c r="F123" i="42"/>
  <c r="I123" i="42"/>
  <c r="G123" i="42"/>
  <c r="J33" i="42"/>
  <c r="T33" i="42"/>
  <c r="AB123" i="42"/>
  <c r="AA123" i="42" s="1"/>
  <c r="C123" i="42" s="1"/>
  <c r="T34" i="42" l="1"/>
  <c r="AE34" i="42" l="1"/>
  <c r="Z34" i="42" s="1"/>
  <c r="E34" i="42" s="1"/>
  <c r="J34" i="42" s="1"/>
  <c r="AE35" i="42"/>
  <c r="Z35" i="42" s="1"/>
  <c r="G35" i="42" s="1"/>
  <c r="J35" i="42" l="1"/>
  <c r="T35" i="42"/>
  <c r="T36" i="42" l="1"/>
  <c r="AE36" i="42" l="1"/>
  <c r="Z36" i="42" s="1"/>
  <c r="E36" i="42" s="1"/>
  <c r="J36" i="42" s="1"/>
  <c r="AE37" i="42"/>
  <c r="Z37" i="42" s="1"/>
  <c r="G37" i="42" s="1"/>
  <c r="J37" i="42" l="1"/>
  <c r="T37" i="42"/>
  <c r="J38" i="42" l="1"/>
  <c r="T38" i="42"/>
  <c r="T39" i="42" l="1"/>
  <c r="AE39" i="42" l="1"/>
  <c r="Z39" i="42" s="1"/>
  <c r="E39" i="42" s="1"/>
  <c r="J39" i="42" s="1"/>
  <c r="AE40" i="42"/>
  <c r="Z40" i="42" s="1"/>
  <c r="G40" i="42" s="1"/>
  <c r="T40" i="42" l="1"/>
  <c r="J40" i="42"/>
  <c r="T41" i="42" l="1"/>
  <c r="AE41" i="42" l="1"/>
  <c r="Z41" i="42" s="1"/>
  <c r="E41" i="42" s="1"/>
  <c r="J41" i="42" s="1"/>
  <c r="AE42" i="42"/>
  <c r="Z42" i="42" s="1"/>
  <c r="G42" i="42" s="1"/>
  <c r="T42" i="42" l="1"/>
  <c r="J42" i="42"/>
  <c r="T43" i="42" l="1"/>
  <c r="AE43" i="42" l="1"/>
  <c r="Z43" i="42" s="1"/>
  <c r="E43" i="42" s="1"/>
  <c r="J43" i="42" s="1"/>
  <c r="AE44" i="42"/>
  <c r="Z44" i="42" s="1"/>
  <c r="G44" i="42" s="1"/>
  <c r="T44" i="42" l="1"/>
  <c r="J44" i="42"/>
  <c r="T45" i="42" l="1"/>
  <c r="AE45" i="42" l="1"/>
  <c r="Z45" i="42" s="1"/>
  <c r="E45" i="42" s="1"/>
  <c r="J45" i="42" s="1"/>
  <c r="AE46" i="42"/>
  <c r="Z46" i="42" s="1"/>
  <c r="G46" i="42" s="1"/>
  <c r="T46" i="42" l="1"/>
  <c r="J46" i="42"/>
  <c r="T47" i="42" l="1"/>
  <c r="AE47" i="42" l="1"/>
  <c r="Z47" i="42" s="1"/>
  <c r="E47" i="42" s="1"/>
  <c r="J47" i="42" s="1"/>
  <c r="AE48" i="42"/>
  <c r="Z48" i="42" s="1"/>
  <c r="G48" i="42" s="1"/>
  <c r="T48" i="42" l="1"/>
  <c r="J48" i="42"/>
  <c r="T49" i="42" l="1"/>
  <c r="AE49" i="42" l="1"/>
  <c r="Z49" i="42" s="1"/>
  <c r="E49" i="42" s="1"/>
  <c r="J49" i="42" s="1"/>
  <c r="AE50" i="42"/>
  <c r="Z50" i="42" s="1"/>
  <c r="G50" i="42" s="1"/>
  <c r="T50" i="42" l="1"/>
  <c r="J50" i="42"/>
  <c r="T51" i="42" l="1"/>
  <c r="AE51" i="42" l="1"/>
  <c r="Z51" i="42" s="1"/>
  <c r="E51" i="42" s="1"/>
  <c r="J51" i="42" s="1"/>
  <c r="AE52" i="42"/>
  <c r="Z52" i="42" s="1"/>
  <c r="G52" i="42" s="1"/>
  <c r="T52" i="42" l="1"/>
  <c r="J52" i="42"/>
  <c r="T53" i="42" l="1"/>
  <c r="AE53" i="42" l="1"/>
  <c r="Z53" i="42" s="1"/>
  <c r="E53" i="42" s="1"/>
  <c r="J53" i="42" s="1"/>
  <c r="AE54" i="42"/>
  <c r="Z54" i="42" s="1"/>
  <c r="G54" i="42" s="1"/>
  <c r="T54" i="42" l="1"/>
  <c r="J54" i="42"/>
  <c r="T55" i="42" l="1"/>
  <c r="AE55" i="42" l="1"/>
  <c r="Z55" i="42" s="1"/>
  <c r="E55" i="42" s="1"/>
  <c r="J55" i="42" s="1"/>
  <c r="AE56" i="42"/>
  <c r="Z56" i="42" s="1"/>
  <c r="G56" i="42" s="1"/>
  <c r="T56" i="42" l="1"/>
  <c r="J56" i="42"/>
  <c r="T57" i="42" l="1"/>
  <c r="AE57" i="42" l="1"/>
  <c r="Z57" i="42" s="1"/>
  <c r="E57" i="42" s="1"/>
  <c r="J57" i="42" s="1"/>
  <c r="AE58" i="42"/>
  <c r="Z58" i="42" s="1"/>
  <c r="G58" i="42" s="1"/>
  <c r="T58" i="42" l="1"/>
  <c r="J58" i="42"/>
  <c r="T59" i="42" l="1"/>
  <c r="AE59" i="42" l="1"/>
  <c r="Z59" i="42" s="1"/>
  <c r="E59" i="42" s="1"/>
  <c r="J59" i="42" s="1"/>
  <c r="AE60" i="42"/>
  <c r="Z60" i="42" s="1"/>
  <c r="G60" i="42" s="1"/>
  <c r="T60" i="42" l="1"/>
  <c r="J60" i="42"/>
  <c r="T61" i="42" l="1"/>
  <c r="AE61" i="42" l="1"/>
  <c r="Z61" i="42" s="1"/>
  <c r="E61" i="42" s="1"/>
  <c r="J61" i="42" s="1"/>
  <c r="AE62" i="42"/>
  <c r="Z62" i="42" s="1"/>
  <c r="G62" i="42" s="1"/>
  <c r="T62" i="42" l="1"/>
  <c r="J62" i="42"/>
  <c r="T63" i="42" l="1"/>
  <c r="AE63" i="42" l="1"/>
  <c r="Z63" i="42" s="1"/>
  <c r="E63" i="42" s="1"/>
  <c r="J63" i="42" s="1"/>
  <c r="AE64" i="42"/>
  <c r="Z64" i="42" s="1"/>
  <c r="G64" i="42" s="1"/>
  <c r="T64" i="42" l="1"/>
  <c r="J64" i="42"/>
  <c r="T65" i="42" l="1"/>
  <c r="AE65" i="42" l="1"/>
  <c r="Z65" i="42" s="1"/>
  <c r="E65" i="42" s="1"/>
  <c r="J65" i="42" s="1"/>
  <c r="AE66" i="42"/>
  <c r="Z66" i="42" s="1"/>
  <c r="G66" i="42" s="1"/>
  <c r="T66" i="42" l="1"/>
  <c r="J66" i="42"/>
  <c r="T67" i="42" l="1"/>
  <c r="AE67" i="42" l="1"/>
  <c r="Z67" i="42" s="1"/>
  <c r="E67" i="42" s="1"/>
  <c r="J67" i="42" s="1"/>
  <c r="AE68" i="42"/>
  <c r="Z68" i="42" s="1"/>
  <c r="G68" i="42" s="1"/>
  <c r="T68" i="42" l="1"/>
  <c r="J68" i="42"/>
  <c r="T69" i="42" l="1"/>
  <c r="AE69" i="42" l="1"/>
  <c r="Z69" i="42" s="1"/>
  <c r="E69" i="42" s="1"/>
  <c r="J69" i="42" s="1"/>
  <c r="AE70" i="42"/>
  <c r="Z70" i="42" s="1"/>
  <c r="G70" i="42" s="1"/>
  <c r="T70" i="42" l="1"/>
  <c r="J70" i="42"/>
  <c r="T71" i="42" l="1"/>
  <c r="AE71" i="42" l="1"/>
  <c r="Z71" i="42" s="1"/>
  <c r="E71" i="42" s="1"/>
  <c r="J71" i="42" s="1"/>
  <c r="AE72" i="42"/>
  <c r="Z72" i="42" s="1"/>
  <c r="G72" i="42" s="1"/>
  <c r="T72" i="42" l="1"/>
  <c r="J72" i="42"/>
  <c r="T73" i="42" l="1"/>
  <c r="AE73" i="42" l="1"/>
  <c r="Z73" i="42" s="1"/>
  <c r="E73" i="42" s="1"/>
  <c r="J73" i="42" s="1"/>
  <c r="AE74" i="42"/>
  <c r="Z74" i="42" s="1"/>
  <c r="G74" i="42" s="1"/>
  <c r="T74" i="42" l="1"/>
  <c r="J74" i="42"/>
  <c r="T75" i="42" l="1"/>
  <c r="AE75" i="42" l="1"/>
  <c r="Z75" i="42" s="1"/>
  <c r="E75" i="42" s="1"/>
  <c r="J75" i="42" s="1"/>
  <c r="AE76" i="42"/>
  <c r="Z76" i="42" s="1"/>
  <c r="G76" i="42" s="1"/>
  <c r="T76" i="42" l="1"/>
  <c r="J76" i="42"/>
  <c r="T77" i="42" l="1"/>
  <c r="AE77" i="42" l="1"/>
  <c r="Z77" i="42" s="1"/>
  <c r="E77" i="42" s="1"/>
  <c r="J77" i="42" s="1"/>
  <c r="AE78" i="42"/>
  <c r="Z78" i="42" s="1"/>
  <c r="G78" i="42" s="1"/>
  <c r="T78" i="42" l="1"/>
  <c r="J78" i="42"/>
  <c r="T79" i="42" l="1"/>
  <c r="AE79" i="42" l="1"/>
  <c r="Z79" i="42" s="1"/>
  <c r="E79" i="42" s="1"/>
  <c r="J79" i="42" s="1"/>
  <c r="AE80" i="42"/>
  <c r="Z80" i="42" s="1"/>
  <c r="G80" i="42" s="1"/>
  <c r="T80" i="42" l="1"/>
  <c r="J80" i="42"/>
  <c r="T81" i="42" l="1"/>
  <c r="AE81" i="42" l="1"/>
  <c r="Z81" i="42" s="1"/>
  <c r="E81" i="42" s="1"/>
  <c r="J81" i="42" s="1"/>
  <c r="AE82" i="42"/>
  <c r="Z82" i="42" s="1"/>
  <c r="G82" i="42" s="1"/>
  <c r="T82" i="42" l="1"/>
  <c r="J82" i="42"/>
  <c r="T83" i="42" l="1"/>
  <c r="AE84" i="42" l="1"/>
  <c r="Z84" i="42" s="1"/>
  <c r="G84" i="42" s="1"/>
  <c r="AE83" i="42"/>
  <c r="Z83" i="42" s="1"/>
  <c r="E83" i="42" s="1"/>
  <c r="J83" i="42" s="1"/>
  <c r="AG107" i="66"/>
  <c r="AL101" i="66"/>
  <c r="AM101" i="66" s="1"/>
  <c r="AK101" i="66"/>
  <c r="AL100" i="66"/>
  <c r="AM100" i="66" s="1"/>
  <c r="AK100" i="66"/>
  <c r="AZ107" i="66" l="1"/>
  <c r="AG108" i="66"/>
  <c r="I103" i="56" s="1"/>
  <c r="T84" i="42"/>
  <c r="J84" i="42"/>
  <c r="BH21" i="56"/>
  <c r="BH22" i="56"/>
  <c r="BH23" i="56"/>
  <c r="BH26" i="56"/>
  <c r="J103" i="56" l="1"/>
  <c r="AY107" i="66"/>
  <c r="AY108" i="66" s="1"/>
  <c r="AZ108" i="66"/>
  <c r="T85" i="42"/>
  <c r="AG101" i="66"/>
  <c r="AG100" i="66"/>
  <c r="BL7" i="54" l="1"/>
  <c r="AO88" i="56" s="1"/>
  <c r="AT107" i="66"/>
  <c r="AU107" i="66" s="1"/>
  <c r="AT97" i="66"/>
  <c r="AU97" i="66" s="1"/>
  <c r="AT104" i="66"/>
  <c r="AU104" i="66" s="1"/>
  <c r="AT108" i="66"/>
  <c r="AU108" i="66" s="1"/>
  <c r="AT106" i="66"/>
  <c r="AU106" i="66" s="1"/>
  <c r="AT95" i="66"/>
  <c r="AU95" i="66" s="1"/>
  <c r="AT103" i="66"/>
  <c r="AU103" i="66" s="1"/>
  <c r="AT94" i="66"/>
  <c r="AU94" i="66" s="1"/>
  <c r="AT100" i="66"/>
  <c r="AU100" i="66" s="1"/>
  <c r="AT98" i="66"/>
  <c r="AU98" i="66" s="1"/>
  <c r="AT101" i="66"/>
  <c r="AU101" i="66" s="1"/>
  <c r="AE85" i="42"/>
  <c r="Z85" i="42" s="1"/>
  <c r="E85" i="42" s="1"/>
  <c r="J85" i="42" s="1"/>
  <c r="AE86" i="42"/>
  <c r="Z86" i="42" s="1"/>
  <c r="G86" i="42" s="1"/>
  <c r="M156" i="56" l="1"/>
  <c r="T86" i="42"/>
  <c r="J86" i="42"/>
  <c r="R158" i="56" l="1"/>
  <c r="R156" i="56"/>
  <c r="M158" i="56"/>
  <c r="M159" i="56" s="1"/>
  <c r="N8" i="75"/>
  <c r="T87" i="42"/>
  <c r="C5" i="5" l="1"/>
  <c r="O5" i="5" s="1"/>
  <c r="AE88" i="42"/>
  <c r="Z88" i="42" s="1"/>
  <c r="G88" i="42" s="1"/>
  <c r="AE87" i="42"/>
  <c r="Z87" i="42" s="1"/>
  <c r="E87" i="42" s="1"/>
  <c r="J87" i="42" s="1"/>
  <c r="J5" i="5" l="1"/>
  <c r="D162" i="77" s="1"/>
  <c r="N5" i="5"/>
  <c r="R169" i="56" s="1"/>
  <c r="K5" i="5"/>
  <c r="G169" i="56" s="1"/>
  <c r="L5" i="5"/>
  <c r="J162" i="77" s="1"/>
  <c r="M5" i="5"/>
  <c r="M169" i="56" s="1"/>
  <c r="U169" i="56"/>
  <c r="R162" i="77"/>
  <c r="T88" i="42"/>
  <c r="J88" i="42"/>
  <c r="D169" i="56" l="1"/>
  <c r="O162" i="77"/>
  <c r="G162" i="77"/>
  <c r="J169" i="56"/>
  <c r="M162" i="77"/>
  <c r="T89" i="42"/>
  <c r="AE89" i="42" l="1"/>
  <c r="Z89" i="42" s="1"/>
  <c r="E89" i="42" s="1"/>
  <c r="J89" i="42" s="1"/>
  <c r="AE90" i="42"/>
  <c r="Z90" i="42" s="1"/>
  <c r="G90" i="42" s="1"/>
  <c r="T90" i="42" l="1"/>
  <c r="J90" i="42"/>
  <c r="T91" i="42" l="1"/>
  <c r="AE92" i="42" l="1"/>
  <c r="Z92" i="42" s="1"/>
  <c r="G92" i="42" s="1"/>
  <c r="AE91" i="42"/>
  <c r="Z91" i="42" s="1"/>
  <c r="E91" i="42" s="1"/>
  <c r="J91" i="42" s="1"/>
  <c r="T92" i="42" l="1"/>
  <c r="J92" i="42"/>
  <c r="T93" i="42" l="1"/>
  <c r="AE93" i="42" l="1"/>
  <c r="Z93" i="42" s="1"/>
  <c r="E93" i="42" s="1"/>
  <c r="J93" i="42" s="1"/>
  <c r="AE94" i="42"/>
  <c r="Z94" i="42" s="1"/>
  <c r="G94" i="42" s="1"/>
  <c r="T94" i="42" l="1"/>
  <c r="J94" i="42"/>
  <c r="T95" i="42" l="1"/>
  <c r="AE96" i="42" l="1"/>
  <c r="Z96" i="42" s="1"/>
  <c r="G96" i="42" s="1"/>
  <c r="AE95" i="42"/>
  <c r="Z95" i="42" s="1"/>
  <c r="E95" i="42" s="1"/>
  <c r="J95" i="42" s="1"/>
  <c r="T96" i="42" l="1"/>
  <c r="J96" i="42"/>
  <c r="T97" i="42" l="1"/>
  <c r="AE97" i="42" l="1"/>
  <c r="Z97" i="42" s="1"/>
  <c r="E97" i="42" s="1"/>
  <c r="J97" i="42" s="1"/>
  <c r="AE98" i="42"/>
  <c r="Z98" i="42" s="1"/>
  <c r="G98" i="42" s="1"/>
  <c r="T98" i="42" l="1"/>
  <c r="J98" i="42"/>
  <c r="T99" i="42" l="1"/>
  <c r="AE99" i="42" l="1"/>
  <c r="Z99" i="42" s="1"/>
  <c r="E99" i="42" s="1"/>
  <c r="J99" i="42" s="1"/>
  <c r="AE100" i="42"/>
  <c r="Z100" i="42" s="1"/>
  <c r="G100" i="42" s="1"/>
  <c r="T100" i="42" l="1"/>
  <c r="J100" i="42"/>
  <c r="T101" i="42" l="1"/>
  <c r="AE102" i="42" l="1"/>
  <c r="Z102" i="42" s="1"/>
  <c r="G102" i="42" s="1"/>
  <c r="AE101" i="42"/>
  <c r="Z101" i="42" s="1"/>
  <c r="E101" i="42" s="1"/>
  <c r="J101" i="42" s="1"/>
  <c r="T102" i="42" l="1"/>
  <c r="J102" i="42"/>
  <c r="T103" i="42" l="1"/>
  <c r="AE104" i="42" l="1"/>
  <c r="Z104" i="42" s="1"/>
  <c r="G104" i="42" s="1"/>
  <c r="AE103" i="42"/>
  <c r="Z103" i="42" s="1"/>
  <c r="E103" i="42" s="1"/>
  <c r="J103" i="42" s="1"/>
  <c r="T104" i="42" l="1"/>
  <c r="J104" i="42"/>
  <c r="T105" i="42" l="1"/>
  <c r="AE106" i="42" l="1"/>
  <c r="Z106" i="42" s="1"/>
  <c r="G106" i="42" s="1"/>
  <c r="AE105" i="42"/>
  <c r="Z105" i="42" s="1"/>
  <c r="E105" i="42" s="1"/>
  <c r="J105" i="42" s="1"/>
  <c r="T106" i="42" l="1"/>
  <c r="J106" i="42"/>
  <c r="B26" i="91"/>
  <c r="D26" i="91" s="1"/>
  <c r="J26" i="91"/>
  <c r="L26" i="91" s="1"/>
  <c r="T107" i="42" l="1"/>
  <c r="J27" i="91"/>
  <c r="L27" i="91" s="1"/>
  <c r="B27" i="91"/>
  <c r="D27" i="91" s="1"/>
  <c r="AE107" i="42" l="1"/>
  <c r="Z107" i="42" s="1"/>
  <c r="E107" i="42" s="1"/>
  <c r="J107" i="42" s="1"/>
  <c r="AE108" i="42"/>
  <c r="Z108" i="42" s="1"/>
  <c r="G108" i="42" s="1"/>
  <c r="J28" i="91"/>
  <c r="L28" i="91" s="1"/>
  <c r="B28" i="91"/>
  <c r="D28" i="91" s="1"/>
  <c r="T108" i="42" l="1"/>
  <c r="J108" i="42"/>
  <c r="J29" i="91"/>
  <c r="L29" i="91" s="1"/>
  <c r="B29" i="91"/>
  <c r="D29" i="91" s="1"/>
  <c r="T109" i="42" l="1"/>
  <c r="J30" i="91"/>
  <c r="L30" i="91" s="1"/>
  <c r="B30" i="91"/>
  <c r="D30" i="91" s="1"/>
  <c r="AE109" i="42" l="1"/>
  <c r="Z109" i="42" s="1"/>
  <c r="E109" i="42" s="1"/>
  <c r="J109" i="42" s="1"/>
  <c r="AE110" i="42"/>
  <c r="Z110" i="42" s="1"/>
  <c r="G110" i="42" s="1"/>
  <c r="J31" i="91"/>
  <c r="L31" i="91" s="1"/>
  <c r="B31" i="91"/>
  <c r="D31" i="91" s="1"/>
  <c r="T110" i="42" l="1"/>
  <c r="J110" i="42"/>
  <c r="J32" i="91"/>
  <c r="L32" i="91" s="1"/>
  <c r="B32" i="91"/>
  <c r="D32" i="91" s="1"/>
  <c r="T111" i="42" l="1"/>
  <c r="J33" i="91"/>
  <c r="L33" i="91" s="1"/>
  <c r="B33" i="91"/>
  <c r="D33" i="91" s="1"/>
  <c r="AE112" i="42" l="1"/>
  <c r="Z112" i="42" s="1"/>
  <c r="G112" i="42" s="1"/>
  <c r="AE111" i="42"/>
  <c r="Z111" i="42" s="1"/>
  <c r="E111" i="42" s="1"/>
  <c r="J111" i="42" s="1"/>
  <c r="J34" i="91"/>
  <c r="L34" i="91" s="1"/>
  <c r="B34" i="91"/>
  <c r="D34" i="91" s="1"/>
  <c r="T112" i="42" l="1"/>
  <c r="J112" i="42"/>
  <c r="J35" i="91"/>
  <c r="L35" i="91" s="1"/>
  <c r="B35" i="91"/>
  <c r="D35" i="91" s="1"/>
  <c r="T113" i="42" l="1"/>
  <c r="J36" i="91"/>
  <c r="L36" i="91" s="1"/>
  <c r="B36" i="91"/>
  <c r="D36" i="91" s="1"/>
  <c r="AE114" i="42" l="1"/>
  <c r="Z114" i="42" s="1"/>
  <c r="G114" i="42" s="1"/>
  <c r="AE113" i="42"/>
  <c r="Z113" i="42" s="1"/>
  <c r="E113" i="42" s="1"/>
  <c r="J113" i="42" s="1"/>
  <c r="J37" i="91"/>
  <c r="L37" i="91" s="1"/>
  <c r="B37" i="91"/>
  <c r="D37" i="91" s="1"/>
  <c r="T114" i="42" l="1"/>
  <c r="J114" i="42"/>
  <c r="J38" i="91"/>
  <c r="L38" i="91" s="1"/>
  <c r="B38" i="91"/>
  <c r="D38" i="91" s="1"/>
  <c r="T115" i="42" l="1"/>
  <c r="J39" i="91"/>
  <c r="L39" i="91" s="1"/>
  <c r="B39" i="91"/>
  <c r="D39" i="91" s="1"/>
  <c r="AE115" i="42" l="1"/>
  <c r="Z115" i="42" s="1"/>
  <c r="E115" i="42" s="1"/>
  <c r="J115" i="42" s="1"/>
  <c r="AE116" i="42"/>
  <c r="Z116" i="42" s="1"/>
  <c r="G116" i="42" s="1"/>
  <c r="J40" i="91"/>
  <c r="L40" i="91" s="1"/>
  <c r="B40" i="91"/>
  <c r="D40" i="91" s="1"/>
  <c r="T116" i="42" l="1"/>
  <c r="J116" i="42"/>
  <c r="J41" i="91"/>
  <c r="L41" i="91" s="1"/>
  <c r="B41" i="91"/>
  <c r="D41" i="91" s="1"/>
  <c r="T117" i="42" l="1"/>
  <c r="J42" i="91"/>
  <c r="L42" i="91" s="1"/>
  <c r="B42" i="91"/>
  <c r="D42" i="91" s="1"/>
  <c r="AE118" i="42" l="1"/>
  <c r="Z118" i="42" s="1"/>
  <c r="G118" i="42" s="1"/>
  <c r="AE117" i="42"/>
  <c r="Z117" i="42" s="1"/>
  <c r="E117" i="42" s="1"/>
  <c r="J117" i="42" s="1"/>
  <c r="J43" i="91"/>
  <c r="L43" i="91" s="1"/>
  <c r="B43" i="91"/>
  <c r="D43" i="91" s="1"/>
  <c r="T118" i="42" l="1"/>
  <c r="J118" i="42"/>
  <c r="J44" i="91"/>
  <c r="L44" i="91" s="1"/>
  <c r="B44" i="91"/>
  <c r="D44" i="91" s="1"/>
  <c r="T119" i="42" l="1"/>
  <c r="J45" i="91"/>
  <c r="L45" i="91" s="1"/>
  <c r="B45" i="91"/>
  <c r="D45" i="91" s="1"/>
  <c r="AE119" i="42" l="1"/>
  <c r="Z119" i="42" s="1"/>
  <c r="E119" i="42" s="1"/>
  <c r="J119" i="42" s="1"/>
  <c r="AE120" i="42"/>
  <c r="Z120" i="42" s="1"/>
  <c r="G120" i="42" s="1"/>
  <c r="J46" i="91"/>
  <c r="L46" i="91" s="1"/>
  <c r="B46" i="91"/>
  <c r="D46" i="91" s="1"/>
  <c r="T120" i="42" l="1"/>
  <c r="J120" i="42"/>
  <c r="J47" i="91"/>
  <c r="L47" i="91" s="1"/>
  <c r="B47" i="91"/>
  <c r="D47" i="91" s="1"/>
  <c r="T121" i="42" l="1"/>
  <c r="J48" i="91"/>
  <c r="L48" i="91" s="1"/>
  <c r="B48" i="91"/>
  <c r="D48" i="91" s="1"/>
  <c r="AE122" i="42" l="1"/>
  <c r="Z122" i="42" s="1"/>
  <c r="G122" i="42" s="1"/>
  <c r="AE121" i="42"/>
  <c r="Z121" i="42" s="1"/>
  <c r="E121" i="42" s="1"/>
  <c r="J121" i="42" s="1"/>
  <c r="J49" i="91"/>
  <c r="L49" i="91" s="1"/>
  <c r="B49" i="91"/>
  <c r="D49" i="91" s="1"/>
  <c r="T122" i="42" l="1"/>
  <c r="J122" i="42"/>
  <c r="J50" i="91"/>
  <c r="L50" i="91" s="1"/>
  <c r="B50" i="91"/>
  <c r="D50" i="91" s="1"/>
  <c r="T123" i="42" l="1"/>
  <c r="AE123" i="42" s="1"/>
  <c r="Z123" i="42" s="1"/>
  <c r="E123" i="42" s="1"/>
  <c r="J123" i="42" s="1"/>
  <c r="J51" i="91"/>
  <c r="L51" i="91" s="1"/>
  <c r="B51" i="91"/>
  <c r="D51" i="91" s="1"/>
  <c r="J52" i="91" l="1"/>
  <c r="L52" i="91" s="1"/>
  <c r="B52" i="91"/>
  <c r="D52" i="91" s="1"/>
  <c r="J53" i="91" l="1"/>
  <c r="L53" i="91" s="1"/>
  <c r="B53" i="91"/>
  <c r="D53" i="91" s="1"/>
  <c r="J54" i="91" l="1"/>
  <c r="L54" i="91" s="1"/>
  <c r="B54" i="91"/>
  <c r="D54" i="91" s="1"/>
  <c r="J55" i="91" l="1"/>
  <c r="L55" i="91" s="1"/>
  <c r="B55" i="91"/>
  <c r="D55" i="91" s="1"/>
  <c r="J56" i="91" l="1"/>
  <c r="L56" i="91" s="1"/>
  <c r="B56" i="91"/>
  <c r="D56" i="91" s="1"/>
  <c r="J57" i="91" l="1"/>
  <c r="L57" i="91" s="1"/>
  <c r="B57" i="91"/>
  <c r="D57" i="91" s="1"/>
  <c r="J58" i="91" l="1"/>
  <c r="L58" i="91" s="1"/>
  <c r="B58" i="91"/>
  <c r="D58" i="91" s="1"/>
  <c r="J59" i="91" l="1"/>
  <c r="L59" i="91" s="1"/>
  <c r="B59" i="91"/>
  <c r="D59" i="91" s="1"/>
  <c r="J60" i="91" l="1"/>
  <c r="L60" i="91" s="1"/>
  <c r="B60" i="91"/>
  <c r="D60" i="91" s="1"/>
  <c r="J61" i="91" l="1"/>
  <c r="L61" i="91" s="1"/>
  <c r="B61" i="91"/>
  <c r="D61" i="91" s="1"/>
  <c r="J62" i="91" l="1"/>
  <c r="L62" i="91" s="1"/>
  <c r="B62" i="91"/>
  <c r="D62" i="91" s="1"/>
  <c r="J63" i="91" l="1"/>
  <c r="L63" i="91" s="1"/>
  <c r="B63" i="91"/>
  <c r="D63" i="91" s="1"/>
  <c r="J64" i="91" l="1"/>
  <c r="L64" i="91" s="1"/>
  <c r="B64" i="91"/>
  <c r="D64" i="91" s="1"/>
  <c r="J65" i="91" l="1"/>
  <c r="L65" i="91" s="1"/>
  <c r="B65" i="91"/>
  <c r="D65" i="91" s="1"/>
  <c r="J66" i="91" l="1"/>
  <c r="L66" i="91" s="1"/>
  <c r="B66" i="91"/>
  <c r="D66" i="91" s="1"/>
  <c r="J67" i="91" l="1"/>
  <c r="L67" i="91" s="1"/>
  <c r="B67" i="91"/>
  <c r="D67" i="91" s="1"/>
  <c r="J68" i="91" l="1"/>
  <c r="L68" i="91" s="1"/>
  <c r="B68" i="91"/>
  <c r="D68" i="91" s="1"/>
  <c r="J69" i="91" l="1"/>
  <c r="L69" i="91" s="1"/>
  <c r="B69" i="91"/>
  <c r="D69" i="91" s="1"/>
  <c r="J70" i="91" l="1"/>
  <c r="L70" i="91" s="1"/>
  <c r="B70" i="91"/>
  <c r="D70" i="91" s="1"/>
  <c r="J71" i="91" l="1"/>
  <c r="L71" i="91" s="1"/>
  <c r="B71" i="91"/>
  <c r="D71" i="91" s="1"/>
  <c r="J72" i="91" l="1"/>
  <c r="L72" i="91" s="1"/>
  <c r="B72" i="91"/>
  <c r="D72" i="91" s="1"/>
  <c r="J73" i="91" l="1"/>
  <c r="L73" i="91" s="1"/>
  <c r="B73" i="91"/>
  <c r="D73" i="91" s="1"/>
  <c r="J74" i="91" l="1"/>
  <c r="L74" i="91" s="1"/>
  <c r="B74" i="91"/>
  <c r="D74" i="91" s="1"/>
  <c r="J75" i="91" l="1"/>
  <c r="L75" i="91" s="1"/>
  <c r="B75" i="91"/>
  <c r="D75" i="91" s="1"/>
  <c r="J76" i="91" l="1"/>
  <c r="L76" i="91" s="1"/>
  <c r="B76" i="91"/>
  <c r="D76" i="91" s="1"/>
  <c r="J77" i="91" l="1"/>
  <c r="L77" i="91" s="1"/>
  <c r="B77" i="91"/>
  <c r="D77" i="91" s="1"/>
  <c r="J78" i="91" l="1"/>
  <c r="L78" i="91" s="1"/>
  <c r="B78" i="91"/>
  <c r="D78" i="91" s="1"/>
  <c r="J79" i="91" l="1"/>
  <c r="L79" i="91" s="1"/>
  <c r="B79" i="91"/>
  <c r="D79" i="91" s="1"/>
  <c r="J80" i="91" l="1"/>
  <c r="L80" i="91" s="1"/>
  <c r="B80" i="91"/>
  <c r="D80" i="91" s="1"/>
  <c r="J81" i="91" l="1"/>
  <c r="L81" i="91" s="1"/>
  <c r="B81" i="91"/>
  <c r="D81" i="91" s="1"/>
  <c r="J82" i="91" l="1"/>
  <c r="L82" i="91" s="1"/>
  <c r="B82" i="91"/>
  <c r="D82" i="91" s="1"/>
  <c r="J83" i="91" l="1"/>
  <c r="L83" i="91" s="1"/>
  <c r="B83" i="91"/>
  <c r="D83" i="91" s="1"/>
  <c r="J84" i="91" l="1"/>
  <c r="L84" i="91" s="1"/>
  <c r="B84" i="91"/>
  <c r="D84" i="91" s="1"/>
  <c r="J85" i="91" l="1"/>
  <c r="L85" i="91" s="1"/>
  <c r="B85" i="91"/>
  <c r="D85" i="91" s="1"/>
  <c r="J86" i="91" l="1"/>
  <c r="L86" i="91" s="1"/>
  <c r="B86" i="91"/>
  <c r="D86" i="91" s="1"/>
  <c r="J87" i="91" l="1"/>
  <c r="L87" i="91" s="1"/>
  <c r="B87" i="91"/>
  <c r="D87" i="91" s="1"/>
  <c r="J88" i="91" l="1"/>
  <c r="L88" i="91" s="1"/>
  <c r="B88" i="91"/>
  <c r="D88" i="91" s="1"/>
  <c r="J89" i="91" l="1"/>
  <c r="L89" i="91" s="1"/>
  <c r="B89" i="91"/>
  <c r="D89" i="91" s="1"/>
  <c r="J90" i="91" l="1"/>
  <c r="L90" i="91" s="1"/>
  <c r="B90" i="91"/>
  <c r="D90" i="91" s="1"/>
  <c r="J91" i="91" l="1"/>
  <c r="L91" i="91" s="1"/>
  <c r="B91" i="91"/>
  <c r="D91" i="91" s="1"/>
  <c r="J92" i="91" l="1"/>
  <c r="L92" i="91" s="1"/>
  <c r="B92" i="91"/>
  <c r="D92" i="91" s="1"/>
  <c r="J93" i="91" l="1"/>
  <c r="L93" i="91" s="1"/>
  <c r="B93" i="91"/>
  <c r="D93" i="91" s="1"/>
  <c r="J94" i="91" l="1"/>
  <c r="L94" i="91" s="1"/>
  <c r="B94" i="91"/>
  <c r="D94" i="91" s="1"/>
  <c r="J95" i="91" l="1"/>
  <c r="L95" i="91" s="1"/>
  <c r="B95" i="91"/>
  <c r="D95" i="91" s="1"/>
  <c r="J96" i="91" l="1"/>
  <c r="L96" i="91" s="1"/>
  <c r="B96" i="91"/>
  <c r="D96" i="91" s="1"/>
  <c r="J97" i="91" l="1"/>
  <c r="L97" i="91" s="1"/>
  <c r="B97" i="91"/>
  <c r="D97" i="91" s="1"/>
  <c r="J98" i="91" l="1"/>
  <c r="L98" i="91" s="1"/>
  <c r="B98" i="91"/>
  <c r="D98" i="91" s="1"/>
  <c r="J99" i="91" l="1"/>
  <c r="L99" i="91" s="1"/>
  <c r="B99" i="91"/>
  <c r="D99" i="91" s="1"/>
  <c r="J100" i="91" l="1"/>
  <c r="L100" i="91" s="1"/>
  <c r="B100" i="91"/>
  <c r="D100" i="91" s="1"/>
  <c r="J101" i="91" l="1"/>
  <c r="L101" i="91" s="1"/>
  <c r="B101" i="91"/>
  <c r="D101" i="91" s="1"/>
  <c r="J102" i="91" l="1"/>
  <c r="L102" i="91" s="1"/>
  <c r="B102" i="91"/>
  <c r="D102" i="91" s="1"/>
  <c r="J103" i="91" l="1"/>
  <c r="L103" i="91" s="1"/>
  <c r="B103" i="91"/>
  <c r="D103" i="91" s="1"/>
  <c r="J104" i="91" l="1"/>
  <c r="L104" i="91" s="1"/>
  <c r="B104" i="91"/>
  <c r="D104" i="91" s="1"/>
  <c r="J105" i="91" l="1"/>
  <c r="L105" i="91" s="1"/>
  <c r="B105" i="91"/>
  <c r="D105" i="91" s="1"/>
  <c r="J106" i="91" l="1"/>
  <c r="L106" i="91" s="1"/>
  <c r="B106" i="91"/>
  <c r="D106" i="91" s="1"/>
  <c r="J107" i="91" l="1"/>
  <c r="L107" i="91" s="1"/>
  <c r="B107" i="91"/>
  <c r="D107" i="91" s="1"/>
  <c r="J108" i="91" l="1"/>
  <c r="L108" i="91" s="1"/>
  <c r="B108" i="91"/>
  <c r="D108" i="91" s="1"/>
  <c r="J109" i="91" l="1"/>
  <c r="L109" i="91" s="1"/>
  <c r="B109" i="91"/>
  <c r="D109" i="91" s="1"/>
  <c r="J110" i="91" l="1"/>
  <c r="L110" i="91" s="1"/>
  <c r="B110" i="91"/>
  <c r="D110" i="91" s="1"/>
  <c r="J111" i="91" l="1"/>
  <c r="L111" i="91" s="1"/>
  <c r="B111" i="91"/>
  <c r="D111" i="91" s="1"/>
  <c r="J112" i="91" l="1"/>
  <c r="L112" i="91" s="1"/>
  <c r="B112" i="91"/>
  <c r="D112" i="91" s="1"/>
  <c r="J113" i="91" l="1"/>
  <c r="L113" i="91" s="1"/>
  <c r="B113" i="91"/>
  <c r="D113" i="91" s="1"/>
  <c r="J114" i="91" l="1"/>
  <c r="L114" i="91" s="1"/>
  <c r="B114" i="91"/>
  <c r="D114" i="91" s="1"/>
  <c r="J115" i="91" l="1"/>
  <c r="L115" i="91" s="1"/>
  <c r="B115" i="91"/>
  <c r="D115" i="91" s="1"/>
  <c r="J116" i="91" l="1"/>
  <c r="L116" i="91" s="1"/>
  <c r="B116" i="91"/>
  <c r="D116" i="91" s="1"/>
  <c r="J117" i="91" l="1"/>
  <c r="L117" i="91" s="1"/>
  <c r="B117" i="91"/>
  <c r="D117" i="91" s="1"/>
  <c r="J118" i="91" l="1"/>
  <c r="L118" i="91" s="1"/>
  <c r="B118" i="91"/>
  <c r="D118" i="91" s="1"/>
  <c r="J119" i="91"/>
  <c r="L119" i="91" s="1"/>
  <c r="J120" i="91" l="1"/>
  <c r="L120" i="91" s="1"/>
  <c r="B119" i="91"/>
  <c r="D119" i="91" s="1"/>
  <c r="B120" i="91" l="1"/>
  <c r="D120" i="91" s="1"/>
  <c r="J121" i="91"/>
  <c r="L121" i="91" s="1"/>
  <c r="J122" i="91" l="1"/>
  <c r="L122" i="91" s="1"/>
  <c r="B121" i="91"/>
  <c r="D121" i="91" s="1"/>
  <c r="B122" i="91" l="1"/>
  <c r="D122" i="91" s="1"/>
  <c r="J123" i="91"/>
  <c r="L123" i="91" s="1"/>
  <c r="J124" i="91" l="1"/>
  <c r="L124" i="91" s="1"/>
  <c r="B123" i="91"/>
  <c r="D123" i="91" s="1"/>
  <c r="B124" i="91" l="1"/>
  <c r="D124" i="91" s="1"/>
  <c r="J125" i="91"/>
  <c r="L125" i="91" s="1"/>
  <c r="B125" i="91" l="1"/>
  <c r="D125" i="91" s="1"/>
  <c r="J126" i="91"/>
  <c r="L126" i="91" s="1"/>
  <c r="J127" i="91" l="1"/>
  <c r="L127" i="91" s="1"/>
  <c r="B126" i="91"/>
  <c r="D126" i="91" s="1"/>
  <c r="B127" i="91" l="1"/>
  <c r="D127" i="91" s="1"/>
  <c r="J128" i="91"/>
  <c r="L128" i="91" s="1"/>
  <c r="J129" i="91" l="1"/>
  <c r="L129" i="91" s="1"/>
  <c r="B128" i="91"/>
  <c r="D128" i="91" s="1"/>
  <c r="B129" i="91" l="1"/>
  <c r="D129" i="91" s="1"/>
  <c r="J130" i="91"/>
  <c r="L130" i="91" s="1"/>
  <c r="J131" i="91" l="1"/>
  <c r="L131" i="91" s="1"/>
  <c r="B130" i="91"/>
  <c r="D130" i="91" s="1"/>
  <c r="B131" i="91" l="1"/>
  <c r="D131" i="91" s="1"/>
  <c r="J132" i="91"/>
  <c r="L132" i="91" s="1"/>
  <c r="J133" i="91" l="1"/>
  <c r="L133" i="91" s="1"/>
  <c r="B132" i="91"/>
  <c r="D132" i="91" s="1"/>
  <c r="J134" i="91" l="1"/>
  <c r="L134" i="91" s="1"/>
  <c r="B133" i="91"/>
  <c r="D133" i="91" s="1"/>
  <c r="B134" i="91" l="1"/>
  <c r="D134" i="91" s="1"/>
  <c r="J135" i="91"/>
  <c r="L135" i="91" s="1"/>
  <c r="B135" i="91" l="1"/>
  <c r="D135" i="91" s="1"/>
  <c r="J136" i="91"/>
  <c r="L136" i="91" s="1"/>
  <c r="J137" i="91" l="1"/>
  <c r="L137" i="91" s="1"/>
  <c r="B136" i="91"/>
  <c r="D136" i="91" s="1"/>
  <c r="B137" i="91" l="1"/>
  <c r="D137" i="91" s="1"/>
  <c r="J138" i="91"/>
  <c r="L138" i="91" s="1"/>
  <c r="J139" i="91" l="1"/>
  <c r="L139" i="91" s="1"/>
  <c r="B138" i="91"/>
  <c r="D138" i="91" s="1"/>
  <c r="B139" i="91" l="1"/>
  <c r="D139" i="91" s="1"/>
  <c r="J140" i="91"/>
  <c r="L140" i="91" s="1"/>
  <c r="J141" i="91" l="1"/>
  <c r="L141" i="91" s="1"/>
  <c r="B140" i="91"/>
  <c r="D140" i="91" s="1"/>
  <c r="J142" i="91" l="1"/>
  <c r="L142" i="91" s="1"/>
  <c r="B141" i="91"/>
  <c r="D141" i="91" s="1"/>
  <c r="B142" i="91" l="1"/>
  <c r="D142" i="91" s="1"/>
  <c r="J143" i="91"/>
  <c r="L143" i="91" s="1"/>
  <c r="B143" i="91" l="1"/>
  <c r="D143" i="91" s="1"/>
  <c r="J144" i="91"/>
  <c r="L144" i="91" s="1"/>
  <c r="J145" i="91" l="1"/>
  <c r="L145" i="91" s="1"/>
  <c r="B144" i="91"/>
  <c r="D144" i="91" s="1"/>
  <c r="J146" i="91" l="1"/>
  <c r="L146" i="91" s="1"/>
  <c r="B145" i="91"/>
  <c r="D145" i="91" s="1"/>
  <c r="B146" i="91" l="1"/>
  <c r="D146" i="91" s="1"/>
  <c r="J147" i="91"/>
  <c r="L147" i="91" s="1"/>
  <c r="B147" i="91" l="1"/>
  <c r="D147" i="91" s="1"/>
  <c r="J148" i="91"/>
  <c r="L148" i="91" s="1"/>
  <c r="J149" i="91" l="1"/>
  <c r="B148" i="91"/>
  <c r="D148" i="91" s="1"/>
  <c r="L149" i="91" l="1"/>
  <c r="L6" i="91" s="1"/>
  <c r="J9" i="91" s="1"/>
  <c r="B149" i="91"/>
  <c r="J10" i="91" l="1"/>
  <c r="Y34" i="56" s="1"/>
  <c r="R22" i="91"/>
  <c r="D149" i="91"/>
  <c r="D6" i="91" s="1"/>
  <c r="J3" i="91" l="1"/>
  <c r="AA34" i="56" s="1"/>
  <c r="B9" i="91"/>
  <c r="B10" i="91" s="1"/>
  <c r="Y36" i="56" s="1"/>
  <c r="R14" i="91"/>
  <c r="B3" i="91" s="1"/>
  <c r="AA36" i="56" l="1"/>
  <c r="AO34" i="56"/>
  <c r="Z34" i="56" s="1"/>
  <c r="H12" i="91"/>
  <c r="F24" i="91" s="1"/>
  <c r="G6" i="91" s="1"/>
  <c r="AO36" i="56" l="1"/>
  <c r="Z36" i="56" s="1"/>
  <c r="F75" i="56"/>
  <c r="H24" i="91"/>
  <c r="F25" i="91"/>
  <c r="F26" i="91" l="1"/>
  <c r="H25" i="91"/>
  <c r="F27" i="91" l="1"/>
  <c r="H26" i="91"/>
  <c r="H27" i="91" l="1"/>
  <c r="F28" i="91"/>
  <c r="H28" i="91" l="1"/>
  <c r="F29" i="91"/>
  <c r="H29" i="91" l="1"/>
  <c r="F30" i="91"/>
  <c r="H30" i="91" l="1"/>
  <c r="F31" i="91"/>
  <c r="H31" i="91" l="1"/>
  <c r="F32" i="91"/>
  <c r="H32" i="91" l="1"/>
  <c r="F33" i="91"/>
  <c r="H33" i="91" l="1"/>
  <c r="F34" i="91"/>
  <c r="F35" i="91" l="1"/>
  <c r="H34" i="91"/>
  <c r="F36" i="91" l="1"/>
  <c r="H35" i="91"/>
  <c r="F37" i="91" l="1"/>
  <c r="H36" i="91"/>
  <c r="F38" i="91" l="1"/>
  <c r="H37" i="91"/>
  <c r="F39" i="91" l="1"/>
  <c r="H38" i="91"/>
  <c r="H39" i="91" l="1"/>
  <c r="F40" i="91"/>
  <c r="H40" i="91" l="1"/>
  <c r="F41" i="91"/>
  <c r="H41" i="91" l="1"/>
  <c r="F42" i="91"/>
  <c r="H42" i="91" l="1"/>
  <c r="F43" i="91"/>
  <c r="H43" i="91" l="1"/>
  <c r="F44" i="91"/>
  <c r="H44" i="91" l="1"/>
  <c r="F45" i="91"/>
  <c r="H45" i="91" l="1"/>
  <c r="F46" i="91"/>
  <c r="F47" i="91" l="1"/>
  <c r="H46" i="91"/>
  <c r="F48" i="91" l="1"/>
  <c r="H47" i="91"/>
  <c r="F49" i="91" l="1"/>
  <c r="H48" i="91"/>
  <c r="F50" i="91" l="1"/>
  <c r="H49" i="91"/>
  <c r="F51" i="91" l="1"/>
  <c r="H50" i="91"/>
  <c r="H51" i="91" l="1"/>
  <c r="F52" i="91"/>
  <c r="H52" i="91" l="1"/>
  <c r="F53" i="91"/>
  <c r="H53" i="91" l="1"/>
  <c r="F54" i="91"/>
  <c r="H54" i="91" l="1"/>
  <c r="F55" i="91"/>
  <c r="H55" i="91" l="1"/>
  <c r="F56" i="91"/>
  <c r="H56" i="91" l="1"/>
  <c r="F57" i="91"/>
  <c r="H57" i="91" l="1"/>
  <c r="F58" i="91"/>
  <c r="F59" i="91" l="1"/>
  <c r="H58" i="91"/>
  <c r="F60" i="91" l="1"/>
  <c r="H59" i="91"/>
  <c r="F61" i="91" l="1"/>
  <c r="H60" i="91"/>
  <c r="F62" i="91" l="1"/>
  <c r="H61" i="91"/>
  <c r="F63" i="91" l="1"/>
  <c r="H62" i="91"/>
  <c r="H63" i="91" l="1"/>
  <c r="F64" i="91"/>
  <c r="H64" i="91" l="1"/>
  <c r="F65" i="91"/>
  <c r="H65" i="91" l="1"/>
  <c r="F66" i="91"/>
  <c r="H66" i="91" l="1"/>
  <c r="F67" i="91"/>
  <c r="H67" i="91" l="1"/>
  <c r="F68" i="91"/>
  <c r="H68" i="91" l="1"/>
  <c r="F69" i="91"/>
  <c r="H69" i="91" l="1"/>
  <c r="F70" i="91"/>
  <c r="F71" i="91" l="1"/>
  <c r="H70" i="91"/>
  <c r="F72" i="91" l="1"/>
  <c r="H71" i="91"/>
  <c r="F73" i="91" l="1"/>
  <c r="H72" i="91"/>
  <c r="F74" i="91" l="1"/>
  <c r="H73" i="91"/>
  <c r="F75" i="91" l="1"/>
  <c r="H74" i="91"/>
  <c r="H75" i="91" l="1"/>
  <c r="F76" i="91"/>
  <c r="H76" i="91" l="1"/>
  <c r="F77" i="91"/>
  <c r="H77" i="91" l="1"/>
  <c r="F78" i="91"/>
  <c r="H78" i="91" l="1"/>
  <c r="F79" i="91"/>
  <c r="H79" i="91" l="1"/>
  <c r="F80" i="91"/>
  <c r="H80" i="91" l="1"/>
  <c r="F81" i="91"/>
  <c r="H81" i="91" l="1"/>
  <c r="F82" i="91"/>
  <c r="F83" i="91" l="1"/>
  <c r="H82" i="91"/>
  <c r="F84" i="91" l="1"/>
  <c r="H83" i="91"/>
  <c r="F85" i="91" l="1"/>
  <c r="H84" i="91"/>
  <c r="F86" i="91" l="1"/>
  <c r="H85" i="91"/>
  <c r="F87" i="91" l="1"/>
  <c r="H86" i="91"/>
  <c r="H87" i="91" l="1"/>
  <c r="F88" i="91"/>
  <c r="H88" i="91" l="1"/>
  <c r="F89" i="91"/>
  <c r="H89" i="91" l="1"/>
  <c r="F90" i="91"/>
  <c r="H90" i="91" l="1"/>
  <c r="F91" i="91"/>
  <c r="H91" i="91" l="1"/>
  <c r="F92" i="91"/>
  <c r="H92" i="91" l="1"/>
  <c r="F93" i="91"/>
  <c r="H93" i="91" l="1"/>
  <c r="F94" i="91"/>
  <c r="F95" i="91" l="1"/>
  <c r="H94" i="91"/>
  <c r="F96" i="91" l="1"/>
  <c r="H95" i="91"/>
  <c r="F97" i="91" l="1"/>
  <c r="H96" i="91"/>
  <c r="F98" i="91" l="1"/>
  <c r="H97" i="91"/>
  <c r="F99" i="91" l="1"/>
  <c r="H98" i="91"/>
  <c r="H99" i="91" l="1"/>
  <c r="F100" i="91"/>
  <c r="H100" i="91" l="1"/>
  <c r="F101" i="91"/>
  <c r="H101" i="91" l="1"/>
  <c r="F102" i="91"/>
  <c r="H102" i="91" l="1"/>
  <c r="F103" i="91"/>
  <c r="H103" i="91" l="1"/>
  <c r="F104" i="91"/>
  <c r="H104" i="91" l="1"/>
  <c r="F105" i="91"/>
  <c r="H105" i="91" l="1"/>
  <c r="F106" i="91"/>
  <c r="F107" i="91" l="1"/>
  <c r="H106" i="91"/>
  <c r="F108" i="91" l="1"/>
  <c r="H107" i="91"/>
  <c r="F109" i="91" l="1"/>
  <c r="H108" i="91"/>
  <c r="F110" i="91" l="1"/>
  <c r="H109" i="91"/>
  <c r="F111" i="91" l="1"/>
  <c r="H110" i="91"/>
  <c r="H111" i="91" l="1"/>
  <c r="F112" i="91"/>
  <c r="H112" i="91" l="1"/>
  <c r="F113" i="91"/>
  <c r="H113" i="91" l="1"/>
  <c r="F114" i="91"/>
  <c r="H114" i="91" l="1"/>
  <c r="F115" i="91"/>
  <c r="H115" i="91" l="1"/>
  <c r="F116" i="91"/>
  <c r="H116" i="91" l="1"/>
  <c r="F117" i="91"/>
  <c r="H117" i="91" l="1"/>
  <c r="F118" i="91"/>
  <c r="F119" i="91" l="1"/>
  <c r="H118" i="91"/>
  <c r="F120" i="91" l="1"/>
  <c r="H119" i="91"/>
  <c r="F121" i="91" l="1"/>
  <c r="H120" i="91"/>
  <c r="F122" i="91" l="1"/>
  <c r="H121" i="91"/>
  <c r="F123" i="91" l="1"/>
  <c r="H122" i="91"/>
  <c r="H123" i="91" l="1"/>
  <c r="F124" i="91"/>
  <c r="H124" i="91" l="1"/>
  <c r="F125" i="91"/>
  <c r="H125" i="91" l="1"/>
  <c r="F126" i="91"/>
  <c r="H126" i="91" l="1"/>
  <c r="F127" i="91"/>
  <c r="H127" i="91" l="1"/>
  <c r="F128" i="91"/>
  <c r="H128" i="91" l="1"/>
  <c r="F129" i="91"/>
  <c r="H129" i="91" l="1"/>
  <c r="F130" i="91"/>
  <c r="F131" i="91" l="1"/>
  <c r="H130" i="91"/>
  <c r="F132" i="91" l="1"/>
  <c r="H131" i="91"/>
  <c r="F133" i="91" l="1"/>
  <c r="H132" i="91"/>
  <c r="F134" i="91" l="1"/>
  <c r="H133" i="91"/>
  <c r="F135" i="91" l="1"/>
  <c r="H134" i="91"/>
  <c r="H135" i="91" l="1"/>
  <c r="F136" i="91"/>
  <c r="H136" i="91" l="1"/>
  <c r="F137" i="91"/>
  <c r="H137" i="91" l="1"/>
  <c r="F138" i="91"/>
  <c r="H138" i="91" l="1"/>
  <c r="F139" i="91"/>
  <c r="H139" i="91" l="1"/>
  <c r="F140" i="91"/>
  <c r="H140" i="91" l="1"/>
  <c r="F141" i="91"/>
  <c r="H141" i="91" l="1"/>
  <c r="F142" i="91"/>
  <c r="F143" i="91" l="1"/>
  <c r="H142" i="91"/>
  <c r="F144" i="91" l="1"/>
  <c r="H143" i="91"/>
  <c r="F145" i="91" l="1"/>
  <c r="H144" i="91"/>
  <c r="F146" i="91" l="1"/>
  <c r="H145" i="91"/>
  <c r="F147" i="91" l="1"/>
  <c r="H146" i="91"/>
  <c r="H147" i="91" l="1"/>
  <c r="F148" i="91"/>
  <c r="H148" i="91" l="1"/>
  <c r="F149" i="91"/>
  <c r="H149" i="91" s="1"/>
  <c r="H6" i="91" l="1"/>
  <c r="F9" i="91" l="1"/>
  <c r="F10" i="91" s="1"/>
  <c r="Y35" i="56" s="1"/>
  <c r="R18" i="91"/>
  <c r="F3" i="91" s="1"/>
  <c r="L6" i="85"/>
  <c r="J9" i="85" s="1"/>
  <c r="R23" i="85"/>
  <c r="AA35" i="56" l="1"/>
  <c r="J10" i="85"/>
  <c r="Y28" i="56" s="1"/>
  <c r="R22" i="85"/>
  <c r="J3" i="85" s="1"/>
  <c r="W28" i="56"/>
  <c r="AA28" i="56" l="1"/>
  <c r="L75" i="56" s="1"/>
  <c r="AO35" i="56"/>
  <c r="Z35" i="56" s="1"/>
  <c r="I75" i="56"/>
  <c r="CJ1" i="56"/>
  <c r="CK1" i="56"/>
  <c r="AO29" i="56" l="1"/>
  <c r="Z29" i="56" s="1"/>
  <c r="AO28" i="56" l="1"/>
  <c r="Z28" i="56" s="1"/>
  <c r="R87" i="56" l="1"/>
  <c r="R94" i="56"/>
  <c r="S93" i="56" l="1"/>
  <c r="R95" i="56"/>
  <c r="S92" i="56"/>
  <c r="S89" i="56"/>
  <c r="R106" i="56"/>
  <c r="R99" i="56"/>
  <c r="R101" i="56" s="1"/>
  <c r="R108" i="56" l="1"/>
  <c r="R107" i="56"/>
  <c r="S90" i="56" l="1"/>
  <c r="R103" i="56"/>
  <c r="S103"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tc={8A8225A1-D1DF-4309-9274-8434FC57F312}</author>
    <author>tc={61866D2B-ACB6-4306-9FDB-7847001063A3}</author>
    <author>tc={3D44B72A-5F18-4453-9841-83F5EDD28E0E}</author>
    <author>tc={A788812D-7F51-4A07-A5D6-54376DA642BA}</author>
    <author>tc={612F0156-84C2-4C95-B179-1D71D6CA6347}</author>
    <author>tc={8C17DC31-BEE9-42EC-90E5-EA00FCEA4E45}</author>
    <author>tc={6C757D86-0016-4F79-8452-752CB9FD2ABA}</author>
    <author>tc={1E73D3D5-294A-446A-8072-87A7B4AD78AD}</author>
  </authors>
  <commentList>
    <comment ref="I12" authorId="0" shapeId="0" xr:uid="{8A8225A1-D1DF-4309-9274-8434FC57F31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(Own UK Property or have active UK credit or accounts.)</t>
        </r>
      </text>
    </comment>
    <comment ref="AA13" authorId="1" shapeId="0" xr:uid="{61866D2B-ACB6-4306-9FDB-7847001063A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(Restricted: Restaurant/Takeaway/Pub/Launderette)</t>
        </r>
      </text>
    </comment>
    <comment ref="I14" authorId="2" shapeId="0" xr:uid="{3D44B72A-5F18-4453-9841-83F5EDD28E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(E.g. CCJ/Defaults/Missed Loan payments/Bankruptcy/IVA. 
Ignore Telecoms/Utility, CCJ/Defaults &lt;£350, Other balances &lt; £500)</t>
        </r>
      </text>
    </comment>
    <comment ref="K27" authorId="3" shapeId="0" xr:uid="{A788812D-7F51-4A07-A5D6-54376DA642B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(leave blank unless overriding Bespoke standard rate)</t>
        </r>
      </text>
    </comment>
    <comment ref="K28" authorId="4" shapeId="0" xr:uid="{612F0156-84C2-4C95-B179-1D71D6CA6347}">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For the purpose of going back to old cases. For stressed BBR override look to the right. </t>
        </r>
      </text>
    </comment>
    <comment ref="AN29" authorId="5" shapeId="0" xr:uid="{8C17DC31-BEE9-42EC-90E5-EA00FCEA4E4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Rather than start DD after rolled months, 'Yes' allows 24 or 36 DD payments starting in month 1, but for a reduced amount (i.e. whether you choose this option or not, borrower will pay the same amount of interest over the term).  Ideal for borrowers who want to pay monthly and budget</t>
        </r>
      </text>
    </comment>
    <comment ref="K30" authorId="6" shapeId="0" xr:uid="{6C757D86-0016-4F79-8452-752CB9FD2AB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Override if exception made or on bespoke tier with loaded fee (and/or rate)</t>
        </r>
      </text>
    </comment>
    <comment ref="C49" authorId="7" shapeId="0" xr:uid="{1E73D3D5-294A-446A-8072-87A7B4AD78A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Use these settings to achieve the maximum LTV of the loan, i.e. 75% in most cases, 70% bespoke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tc={AA93A5D8-9C37-432A-808A-D2374B838A59}</author>
  </authors>
  <commentList>
    <comment ref="P3" authorId="0" shapeId="0" xr:uid="{AA93A5D8-9C37-432A-808A-D2374B838A5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maybe use this method instead of the ranges, only as the names are getting too reffed up?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tc={C8414301-78C2-4E3D-9400-A1952209073F}</author>
    <author>tc={4EC76E9A-85AF-450D-A95F-DBCBD95A759A}</author>
    <author>tc={A3E95F3B-3B69-4D85-B338-73C4BC90990A}</author>
    <author>tc={BBF6F62B-33DE-42CE-AB07-9BC97C550193}</author>
    <author>tc={75A78187-BEA6-48A5-AC8A-62A935EEC92C}</author>
    <author>tc={7E8D0204-8665-428F-B5CB-C9B1EE4410BA}</author>
    <author>tc={872C9C35-5510-4247-956C-6B0AC46DDA93}</author>
  </authors>
  <commentList>
    <comment ref="G17" authorId="0" shapeId="0" xr:uid="{C8414301-78C2-4E3D-9400-A1952209073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(Own UK Property or have active UK credit or accounts.)</t>
        </r>
      </text>
    </comment>
    <comment ref="G19" authorId="1" shapeId="0" xr:uid="{4EC76E9A-85AF-450D-A95F-DBCBD95A759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(E.g. CCJ/Defaults/Missed Loan payments/Bankruptcy/IVA. 
Ignore Telecoms/Utility, CCJ/Defaults &lt;£350, Other balances &lt; £500)</t>
        </r>
      </text>
    </comment>
    <comment ref="U19" authorId="2" shapeId="0" xr:uid="{A3E95F3B-3B69-4D85-B338-73C4BC90990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(Restricted: Restaurant/Takeaway/Pub/Launderette)</t>
        </r>
      </text>
    </comment>
    <comment ref="H30" authorId="3" shapeId="0" xr:uid="{BBF6F62B-33DE-42CE-AB07-9BC97C55019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Apply override/discount to the interest rate - will amend all products and fee options</t>
        </r>
      </text>
    </comment>
    <comment ref="H31" authorId="4" shapeId="0" xr:uid="{75A78187-BEA6-48A5-AC8A-62A935EEC92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For the purpose of going back to old cases. For stressed BBR override look to the right. </t>
        </r>
      </text>
    </comment>
    <comment ref="H33" authorId="5" shapeId="0" xr:uid="{7E8D0204-8665-428F-B5CB-C9B1EE4410B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Key the discount to the product fee (e.g. key 0.5% to get 5.5% / 3.5% /1.5% fee options) </t>
        </r>
      </text>
    </comment>
    <comment ref="C57" authorId="6" shapeId="0" xr:uid="{872C9C35-5510-4247-956C-6B0AC46DDA9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Use these settings to achieve the maximum LTV of the loan, i.e. 75% in most cases, 70% bespoke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tc={ACC074E4-FBD2-4DD1-9263-0F715D6F37B5}</author>
  </authors>
  <commentList>
    <comment ref="H49" authorId="0" shapeId="0" xr:uid="{A5F27F2F-8DD3-48D5-AD42-09A68E60C0E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Please leave - change in ICR main if wrong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<sst xmlns="http://schemas.openxmlformats.org/spreadsheetml/2006/main" count="48637" uniqueCount="3833">
  <si>
    <t>UNDERWRITER BTL Calculator</t>
  </si>
  <si>
    <t>Version 03.08.23</t>
  </si>
  <si>
    <t>BDM?</t>
  </si>
  <si>
    <t>Messages</t>
  </si>
  <si>
    <t>Term Radio Button</t>
  </si>
  <si>
    <t>RADIO ROLLED</t>
  </si>
  <si>
    <t>Radio Rolled vs Deferred</t>
  </si>
  <si>
    <t>User Inputs</t>
  </si>
  <si>
    <t>Hide: Section 3 and row 150 onwards. Only include calc and holiday let tabs</t>
  </si>
  <si>
    <t xml:space="preserve">
The Borrower</t>
  </si>
  <si>
    <t>Hubspot Loan Ref:</t>
  </si>
  <si>
    <t>0000000000</t>
  </si>
  <si>
    <t>Property Details</t>
  </si>
  <si>
    <t>Property Value</t>
  </si>
  <si>
    <t>Message formula check with underwriters, compared to the product fee, less the proc fee not just product fee</t>
  </si>
  <si>
    <t>Borrower Name:</t>
  </si>
  <si>
    <t>Borrower Name</t>
  </si>
  <si>
    <t>Rent Charged</t>
  </si>
  <si>
    <t>Monthly</t>
  </si>
  <si>
    <t>Obtained from broker enquiry or AST if already rented</t>
  </si>
  <si>
    <t>Property Address:</t>
  </si>
  <si>
    <t>Property Address</t>
  </si>
  <si>
    <t>Property Postcode</t>
  </si>
  <si>
    <t>SE18</t>
  </si>
  <si>
    <t>Property Region</t>
  </si>
  <si>
    <t>London</t>
  </si>
  <si>
    <t>First time Landlord?</t>
  </si>
  <si>
    <t>No</t>
  </si>
  <si>
    <t>Borrower in a restricted country?</t>
  </si>
  <si>
    <t>Restricted countries: **Afghanistan, Bosnia Herzegovina, Burundi, Central African Republic, Cuba, Democratic People's Republic of Korea, Democratic Republic of the Congo, Eritrea, Ethiopia, Iran (Islamic Republic of), Iraq, Laos People's Democratic Republic, Libyan Arab Jamahiriya, Myanmar, Pakistan, Somalia, South Sudan, Sudan, Syrian Arab Republic, Uganda, Vanuatu, Venezuela, Yemen.</t>
  </si>
  <si>
    <t>Expat/ Foreign National?</t>
  </si>
  <si>
    <t>HMO?</t>
  </si>
  <si>
    <t>Have a UK Footprint?</t>
  </si>
  <si>
    <t>Yes</t>
  </si>
  <si>
    <t>MUFB?</t>
  </si>
  <si>
    <t>Offshore Company/Trust?</t>
  </si>
  <si>
    <t>Flat above restricted* commercial?</t>
  </si>
  <si>
    <t>Qualifying adverse credit?</t>
  </si>
  <si>
    <t>Holiday/ Short term Let?</t>
  </si>
  <si>
    <r>
      <t xml:space="preserve">Missed Mortgage Payments </t>
    </r>
    <r>
      <rPr>
        <i/>
        <sz val="10"/>
        <color theme="1"/>
        <rFont val="Calibri"/>
        <family val="2"/>
        <scheme val="minor"/>
      </rPr>
      <t>(incl. 2nds)</t>
    </r>
  </si>
  <si>
    <t>0 missed last 24m</t>
  </si>
  <si>
    <t>Development Exit?</t>
  </si>
  <si>
    <r>
      <t xml:space="preserve">Unsecured Card/Loan Payments:
</t>
    </r>
    <r>
      <rPr>
        <i/>
        <sz val="10"/>
        <color theme="1"/>
        <rFont val="Calibri"/>
        <family val="2"/>
        <scheme val="minor"/>
      </rPr>
      <t>(ignore balance&lt;£500)</t>
    </r>
    <r>
      <rPr>
        <b/>
        <i/>
        <sz val="10"/>
        <color theme="1"/>
        <rFont val="Calibri"/>
        <family val="2"/>
        <scheme val="minor"/>
      </rPr>
      <t xml:space="preserve"> </t>
    </r>
  </si>
  <si>
    <t>(ignore where balance&lt;= £500)</t>
  </si>
  <si>
    <t>New Build?</t>
  </si>
  <si>
    <t>Pick an investor:</t>
  </si>
  <si>
    <t xml:space="preserve">Qualifying CCJs &amp; Defaults: </t>
  </si>
  <si>
    <t>0 in last 24m</t>
  </si>
  <si>
    <t>(ignore&lt;=£350,telecom, utility)</t>
  </si>
  <si>
    <t>ZBL</t>
  </si>
  <si>
    <t>Bankruptcy/IVA/DRO:</t>
  </si>
  <si>
    <t>Never</t>
  </si>
  <si>
    <t>Summary Loan Outputs</t>
  </si>
  <si>
    <t>DO we need rule to say which lines can do 4/6% product?</t>
  </si>
  <si>
    <t>Basic</t>
  </si>
  <si>
    <t>Fully R+D (Broker)</t>
  </si>
  <si>
    <t>Fully R+D (Underwriter)</t>
  </si>
  <si>
    <t>Custom</t>
  </si>
  <si>
    <t xml:space="preserve">
Loan Details</t>
  </si>
  <si>
    <t>Initial Term:</t>
  </si>
  <si>
    <r>
      <rPr>
        <b/>
        <u/>
        <sz val="10"/>
        <color rgb="FF002060"/>
        <rFont val="Calibri"/>
        <family val="2"/>
        <scheme val="minor"/>
      </rPr>
      <t>Gross</t>
    </r>
    <r>
      <rPr>
        <b/>
        <sz val="10"/>
        <color rgb="FF002060"/>
        <rFont val="Calibri"/>
        <family val="2"/>
        <scheme val="minor"/>
      </rPr>
      <t xml:space="preserve"> Loan</t>
    </r>
  </si>
  <si>
    <t>Tier 1</t>
  </si>
  <si>
    <t>Customer Type:</t>
  </si>
  <si>
    <t>New Customer</t>
  </si>
  <si>
    <t>Tier 2</t>
  </si>
  <si>
    <t>Rates:</t>
  </si>
  <si>
    <t>Tracker</t>
  </si>
  <si>
    <t>Tier 3</t>
  </si>
  <si>
    <t>Pull down - show all or only tier selected?</t>
  </si>
  <si>
    <t>Estimated Cheapest Tier:</t>
  </si>
  <si>
    <t>Select 2/4/6</t>
  </si>
  <si>
    <t>Tier 4</t>
  </si>
  <si>
    <t>Additional Calculation Settings:</t>
  </si>
  <si>
    <t xml:space="preserve">Tier Rate: </t>
  </si>
  <si>
    <t>Return correct 2/4/6 rate</t>
  </si>
  <si>
    <t>Revert Rate:</t>
  </si>
  <si>
    <t xml:space="preserve">BBR + Margin or MVR </t>
  </si>
  <si>
    <t>Default (Yes)</t>
  </si>
  <si>
    <t>Override Rate?</t>
  </si>
  <si>
    <t>Do we replace with a full grid of products - 2/4/6 for the tier selected?</t>
  </si>
  <si>
    <t>(Tracker Override) Set rolled months to:</t>
  </si>
  <si>
    <t>Default (Pay Rate)</t>
  </si>
  <si>
    <t>BBR Override?</t>
  </si>
  <si>
    <t>Could not do 4 tiers, for three options.  Display max loan, max roll defer etc</t>
  </si>
  <si>
    <t xml:space="preserve">Borrower prefers interest to be: </t>
  </si>
  <si>
    <t>Rolled</t>
  </si>
  <si>
    <t xml:space="preserve">Product Fee:           </t>
  </si>
  <si>
    <t>Return correct 2/4/6 fee</t>
  </si>
  <si>
    <t>Could also display gross, net in one grid</t>
  </si>
  <si>
    <t>Spread Rolled Months to reduce DD?</t>
  </si>
  <si>
    <t>Start reduced DD amount in month 1 (not after rolled period)</t>
  </si>
  <si>
    <t>Round Gross Loan to Nearest £'000?</t>
  </si>
  <si>
    <t>Product Fee Override?</t>
  </si>
  <si>
    <t>Selected Tier eligible?</t>
  </si>
  <si>
    <t>Max Gross LTV for tier:</t>
  </si>
  <si>
    <t>Table?</t>
  </si>
  <si>
    <t>Stress BBR Override?</t>
  </si>
  <si>
    <t>Submission route</t>
  </si>
  <si>
    <t>Broker Direct</t>
  </si>
  <si>
    <r>
      <rPr>
        <b/>
        <u/>
        <sz val="10"/>
        <color rgb="FF002060"/>
        <rFont val="Calibri"/>
        <family val="2"/>
        <scheme val="minor"/>
      </rPr>
      <t>Net</t>
    </r>
    <r>
      <rPr>
        <b/>
        <sz val="10"/>
        <color rgb="FF002060"/>
        <rFont val="Calibri"/>
        <family val="2"/>
        <scheme val="minor"/>
      </rPr>
      <t xml:space="preserve"> Loan</t>
    </r>
  </si>
  <si>
    <t>Tier / Prod Fee % &amp; £ / basic max G.loan &amp; LTV / fully roll defer &amp; LTV / custom / roll &amp; defer used / basic max N.loan / fully roll defer / custom / monthly DD</t>
  </si>
  <si>
    <t>DO we need ICR in revert period?</t>
  </si>
  <si>
    <t>£</t>
  </si>
  <si>
    <t>If red please remove so only the % or the £ is populated!</t>
  </si>
  <si>
    <t>ERC:</t>
  </si>
  <si>
    <t>Select product/rate combination you wish to proceed with to illustrate below and select for the DIP</t>
  </si>
  <si>
    <t>Simple Selected Product Summary</t>
  </si>
  <si>
    <t>Select Loan/CalculationType:</t>
  </si>
  <si>
    <t>Basic Loan</t>
  </si>
  <si>
    <t>Loan Amount Required:</t>
  </si>
  <si>
    <t>Tier:</t>
  </si>
  <si>
    <t>Gross Loan:</t>
  </si>
  <si>
    <t>Select Tier Required:</t>
  </si>
  <si>
    <t>Full Rate:</t>
  </si>
  <si>
    <t>Product Fee:</t>
  </si>
  <si>
    <t>Rolled Months:</t>
  </si>
  <si>
    <t>Pay Rate:</t>
  </si>
  <si>
    <t>Defer Int:</t>
  </si>
  <si>
    <t>CUSTOMISE THE LOAN:</t>
  </si>
  <si>
    <t>Deferred Interest:</t>
  </si>
  <si>
    <t xml:space="preserve">Rolled 
Months:        </t>
  </si>
  <si>
    <t>Top Slice - £ surplus used pcm:</t>
  </si>
  <si>
    <t>Term:</t>
  </si>
  <si>
    <t>Net Loan:</t>
  </si>
  <si>
    <t>ICR:</t>
  </si>
  <si>
    <t>Gross / Net LTV:</t>
  </si>
  <si>
    <t>Monthly DD:</t>
  </si>
  <si>
    <t xml:space="preserve">Hint: Case capped LTV or client wants specific gross LTV of </t>
  </si>
  <si>
    <t>Max Loan/Tier Grid - Detailed</t>
  </si>
  <si>
    <t>Tier X</t>
  </si>
  <si>
    <t>Notes</t>
  </si>
  <si>
    <t>Roll / Defer</t>
  </si>
  <si>
    <t>This needs a bit of love</t>
  </si>
  <si>
    <t xml:space="preserve">hint: optimum roll &amp; defer </t>
  </si>
  <si>
    <t xml:space="preserve">9m / 0.56% </t>
  </si>
  <si>
    <t xml:space="preserve">Tier rationale? </t>
  </si>
  <si>
    <t>Summary of Terms - Indicative Illustration</t>
  </si>
  <si>
    <t xml:space="preserve"> 6% fee range </t>
  </si>
  <si>
    <t xml:space="preserve">4% fee range </t>
  </si>
  <si>
    <t>Core 2% fee</t>
  </si>
  <si>
    <t>Full Rate</t>
  </si>
  <si>
    <t>(BBR+3.25%)</t>
  </si>
  <si>
    <t>(BBR+4.35%)</t>
  </si>
  <si>
    <t>£ Gross Loan</t>
  </si>
  <si>
    <t>Amount repayable at redemption</t>
  </si>
  <si>
    <t>Pay Rate</t>
  </si>
  <si>
    <t xml:space="preserve"> BBR + xx</t>
  </si>
  <si>
    <t>Gross Loan LTV</t>
  </si>
  <si>
    <t>Total loan term</t>
  </si>
  <si>
    <t xml:space="preserve">Max Gross Loan </t>
  </si>
  <si>
    <t>@ 64.1% LTV</t>
  </si>
  <si>
    <t>@ 55.7% LTV</t>
  </si>
  <si>
    <t xml:space="preserve">Max Net Loan </t>
  </si>
  <si>
    <t>@ 64% LTV</t>
  </si>
  <si>
    <t>@ 56% LTV</t>
  </si>
  <si>
    <t>@ 49% LTV</t>
  </si>
  <si>
    <t>Tier Anticipated</t>
  </si>
  <si>
    <t>Annual Interest Rate</t>
  </si>
  <si>
    <t>Rolled months £</t>
  </si>
  <si>
    <t>Defer Int £</t>
  </si>
  <si>
    <t>Initial Pay rate ICR</t>
  </si>
  <si>
    <t>APRC</t>
  </si>
  <si>
    <t>Product Fee</t>
  </si>
  <si>
    <t>Admin Fee</t>
  </si>
  <si>
    <t>£199 (Per property)</t>
  </si>
  <si>
    <t>Payable when DIP signed (i.e. applying)</t>
  </si>
  <si>
    <t>Standard  Fee (Max 2%)</t>
  </si>
  <si>
    <t>Valuation Fee</t>
  </si>
  <si>
    <t>TBC by Underwriter</t>
  </si>
  <si>
    <t>Enhanced Fee (&gt; 2%)</t>
  </si>
  <si>
    <t>n/a</t>
  </si>
  <si>
    <t>Lender Legal Fees</t>
  </si>
  <si>
    <t>(excludes borrowers own legal costs)</t>
  </si>
  <si>
    <t>Total Product Fee</t>
  </si>
  <si>
    <t>Optional Broker Fee</t>
  </si>
  <si>
    <t>Total Interest Due
 In 24m</t>
  </si>
  <si>
    <t>Early Repayment Charge</t>
  </si>
  <si>
    <t>Remaining Serviced Int</t>
  </si>
  <si>
    <t>Gross Broker Commission</t>
  </si>
  <si>
    <t>Deferred Interest?</t>
  </si>
  <si>
    <t>NPB 
(Net Loan + max 2% fee)</t>
  </si>
  <si>
    <t>@ 65% LTV</t>
  </si>
  <si>
    <t>@ 57% LTV</t>
  </si>
  <si>
    <t>@ 50% LTV</t>
  </si>
  <si>
    <t>Monthly Interest Roll Up?</t>
  </si>
  <si>
    <t>P.Fee cap @ 2%</t>
  </si>
  <si>
    <t>Top Slicing Used?</t>
  </si>
  <si>
    <t>ICR Used</t>
  </si>
  <si>
    <t>Monthly DD</t>
  </si>
  <si>
    <t>£4603 from month x</t>
  </si>
  <si>
    <t>Direct Debit</t>
  </si>
  <si>
    <t xml:space="preserve">Total Cost to Borrower </t>
  </si>
  <si>
    <t>Gross + Serviced</t>
  </si>
  <si>
    <t>Net Loan Advance</t>
  </si>
  <si>
    <t>Revert Rate</t>
  </si>
  <si>
    <t>MVR</t>
  </si>
  <si>
    <t>(BBR+3.99%)</t>
  </si>
  <si>
    <t>Total Amount Payable</t>
  </si>
  <si>
    <r>
      <rPr>
        <b/>
        <sz val="10"/>
        <color rgb="FFC00000"/>
        <rFont val="Calibri"/>
        <family val="2"/>
        <scheme val="minor"/>
      </rPr>
      <t>Please note:</t>
    </r>
    <r>
      <rPr>
        <sz val="10"/>
        <color rgb="FFC00000"/>
        <rFont val="Calibri"/>
        <family val="2"/>
        <scheme val="minor"/>
      </rPr>
      <t xml:space="preserve"> indicative only, subject to full underwrite, valuation, credit report and other supporting evidence</t>
    </r>
  </si>
  <si>
    <t xml:space="preserve">This Document is confidential to the intended recipient.  If you are not the intended recipient, do not use, copy or disclose the information in any way or act in reliance on it, and notify the sender immediately, then delete it from your system.  Market Financial Solutions Ltd accepts no liability (to the fullest extent permitted by law) for opinions, conclusions and other information in this message which do not relate to its official business.  No contracts or official orders will be confirmed by means of this document. </t>
  </si>
  <si>
    <t>Investor Requested Funds:</t>
  </si>
  <si>
    <t>Other outputs - FYI</t>
  </si>
  <si>
    <t>Waterfall Graph - Gross &amp; Net Loan Summary</t>
  </si>
  <si>
    <t xml:space="preserve">Gross loan </t>
  </si>
  <si>
    <t>Prod fee</t>
  </si>
  <si>
    <t xml:space="preserve">Def.Interest </t>
  </si>
  <si>
    <t>Rolled Months</t>
  </si>
  <si>
    <t>Net Loan</t>
  </si>
  <si>
    <t>To Redeem (=gross)</t>
  </si>
  <si>
    <t>Expected via DD during term</t>
  </si>
  <si>
    <t>Sum</t>
  </si>
  <si>
    <r>
      <t>Excludes remaining interest (</t>
    </r>
    <r>
      <rPr>
        <u/>
        <sz val="11"/>
        <color theme="1"/>
        <rFont val="Calibri"/>
        <family val="2"/>
        <scheme val="minor"/>
      </rPr>
      <t>not</t>
    </r>
    <r>
      <rPr>
        <sz val="11"/>
        <color theme="1"/>
        <rFont val="Calibri"/>
        <family val="2"/>
        <scheme val="minor"/>
      </rPr>
      <t xml:space="preserve"> deferred), paid monthly, during loan term</t>
    </r>
  </si>
  <si>
    <t>This chart shows how net loan is calculated - on what is due at redemption to settle the loan (excludes interest paid)</t>
  </si>
  <si>
    <t>Detailed Calculation Summary For Selected Product</t>
  </si>
  <si>
    <t>Full Product Rate/Fee:</t>
  </si>
  <si>
    <t>Gross Loan Product Selected:</t>
  </si>
  <si>
    <r>
      <rPr>
        <b/>
        <u/>
        <sz val="10"/>
        <color theme="2" tint="-0.499984740745262"/>
        <rFont val="Calibri"/>
        <family val="2"/>
        <scheme val="minor"/>
      </rPr>
      <t>Interest Due</t>
    </r>
    <r>
      <rPr>
        <sz val="10"/>
        <color theme="2" tint="-0.499984740745262"/>
        <rFont val="Calibri"/>
        <family val="2"/>
        <scheme val="minor"/>
      </rPr>
      <t xml:space="preserve"> over term @ </t>
    </r>
    <r>
      <rPr>
        <b/>
        <u/>
        <sz val="10"/>
        <color theme="2" tint="-0.499984740745262"/>
        <rFont val="Calibri"/>
        <family val="2"/>
        <scheme val="minor"/>
      </rPr>
      <t>full rate:</t>
    </r>
  </si>
  <si>
    <t>Pay rate (less deferred):</t>
  </si>
  <si>
    <t>How Deferred Interest is Calculated</t>
  </si>
  <si>
    <t>Deferred Interest owed @ redemption:</t>
  </si>
  <si>
    <t>Rolled Months owed @ redemption:</t>
  </si>
  <si>
    <t>Total Deferred int owed @ redemption:</t>
  </si>
  <si>
    <t>Number of Monthly DD Payments:</t>
  </si>
  <si>
    <r>
      <t>Monthly I/O payment @</t>
    </r>
    <r>
      <rPr>
        <u/>
        <sz val="10"/>
        <color theme="2" tint="-0.499984740745262"/>
        <rFont val="Calibri"/>
        <family val="2"/>
        <scheme val="minor"/>
      </rPr>
      <t xml:space="preserve"> pay rate</t>
    </r>
    <r>
      <rPr>
        <sz val="10"/>
        <color theme="2" tint="-0.499984740745262"/>
        <rFont val="Calibri"/>
        <family val="2"/>
        <scheme val="minor"/>
      </rPr>
      <t>:</t>
    </r>
  </si>
  <si>
    <t>Direct Debit to pay serviced interest</t>
  </si>
  <si>
    <r>
      <t xml:space="preserve">Interest Paid over term @ </t>
    </r>
    <r>
      <rPr>
        <b/>
        <u/>
        <sz val="10"/>
        <color theme="2" tint="-0.499984740745262"/>
        <rFont val="Calibri"/>
        <family val="2"/>
        <scheme val="minor"/>
      </rPr>
      <t>pay rate:</t>
    </r>
  </si>
  <si>
    <t>Rent Income over term:</t>
  </si>
  <si>
    <t>ICR (total rent / interest paid over term):</t>
  </si>
  <si>
    <t>Detailed workings to show how net &amp; gross loan, ICR, and monthly payments are calcualted</t>
  </si>
  <si>
    <t>Future Forecasts (For Selected Region) - If requested by Credit Committee</t>
  </si>
  <si>
    <t>5yrs to 2025</t>
  </si>
  <si>
    <t>Predicted rental growth for region:</t>
  </si>
  <si>
    <t>Predicted rental growth for region</t>
  </si>
  <si>
    <t>Predicted Value:</t>
  </si>
  <si>
    <t>Predicted Value</t>
  </si>
  <si>
    <t>Predicted LTV Net Loan:</t>
  </si>
  <si>
    <t>Predicted LTV Net Loan</t>
  </si>
  <si>
    <t>Predicted LTV Net Loan Used:</t>
  </si>
  <si>
    <t>Predicted LTV Net Loan Used</t>
  </si>
  <si>
    <t>Predicted LTV Gross Loan:</t>
  </si>
  <si>
    <t>Predicted LTV Gross Loan</t>
  </si>
  <si>
    <t>Predicted Rental Income:</t>
  </si>
  <si>
    <t>Predicted Rental Income</t>
  </si>
  <si>
    <t>Predicted Rent Change (ICR Used)</t>
  </si>
  <si>
    <t>Reviews HPI and rental data for selected region, to identify future impacts on ICR and LTV</t>
  </si>
  <si>
    <t>MFS Underwriter Loan Hub - Main Menu</t>
  </si>
  <si>
    <t>All links</t>
  </si>
  <si>
    <t>Hidden sheets</t>
  </si>
  <si>
    <t>Underwriters</t>
  </si>
  <si>
    <t>Loan Management</t>
  </si>
  <si>
    <t>Link</t>
  </si>
  <si>
    <t>Info</t>
  </si>
  <si>
    <t>HPI</t>
  </si>
  <si>
    <t>inputs for Forecast property data</t>
  </si>
  <si>
    <t>ICR Main calculator</t>
  </si>
  <si>
    <t>Main Loan info/ calculations for max loan &amp; Tier</t>
  </si>
  <si>
    <t>Deal lead sheet</t>
  </si>
  <si>
    <t>All info for the loan</t>
  </si>
  <si>
    <t>Data</t>
  </si>
  <si>
    <t>Drop downs /inputs for calcs</t>
  </si>
  <si>
    <t>DIP</t>
  </si>
  <si>
    <t>Decision in Principle template</t>
  </si>
  <si>
    <t>Ext Sheets</t>
  </si>
  <si>
    <t>Outputs for other sheets</t>
  </si>
  <si>
    <t>Calcs</t>
  </si>
  <si>
    <t>calculations</t>
  </si>
  <si>
    <t>Bespoke Tier Calc</t>
  </si>
  <si>
    <t>which tier is best</t>
  </si>
  <si>
    <t>DD</t>
  </si>
  <si>
    <t>Direct Debit Schedule</t>
  </si>
  <si>
    <t>Loan Data</t>
  </si>
  <si>
    <t>Loan information where the hubspot info is pulled into.</t>
  </si>
  <si>
    <t>Holiday Let</t>
  </si>
  <si>
    <t>Holiday Let calculator</t>
  </si>
  <si>
    <t>Checklist Before deal complete</t>
  </si>
  <si>
    <t>HubSpot</t>
  </si>
  <si>
    <t>Hubspot export</t>
  </si>
  <si>
    <t>Checklist After deal complete</t>
  </si>
  <si>
    <t>Completion statement</t>
  </si>
  <si>
    <t>funding lines</t>
  </si>
  <si>
    <t>Compliance Checklists</t>
  </si>
  <si>
    <t>Audit Sheet</t>
  </si>
  <si>
    <t>Conditional
Formatting</t>
  </si>
  <si>
    <t>Data
Validation</t>
  </si>
  <si>
    <t>N</t>
  </si>
  <si>
    <t>NEW FIGURES TO BE ADDED</t>
  </si>
  <si>
    <t>TO LOOK THROUGH</t>
  </si>
  <si>
    <t>SORTED</t>
  </si>
  <si>
    <t>Y</t>
  </si>
  <si>
    <t>HOME PAGE</t>
  </si>
  <si>
    <t>Future Forecasts for Case (Selected Region)</t>
  </si>
  <si>
    <t>Property Value Used:</t>
  </si>
  <si>
    <t>Front Front Sheet</t>
  </si>
  <si>
    <t>Gross Loan</t>
  </si>
  <si>
    <t>Net Loan used</t>
  </si>
  <si>
    <t>Region Selected</t>
  </si>
  <si>
    <t>Monthly Rent</t>
  </si>
  <si>
    <t>ICR used in calculations</t>
  </si>
  <si>
    <t>Predicted Rental Value:</t>
  </si>
  <si>
    <t>Predicted Rent Change (Total ICR)</t>
  </si>
  <si>
    <t>HPI Data</t>
  </si>
  <si>
    <t>RENT DATA</t>
  </si>
  <si>
    <t>Outputs: impact on inputted house price in future years</t>
  </si>
  <si>
    <t>Outputs: impact on estmated monthly rent in future years</t>
  </si>
  <si>
    <t>Column1</t>
  </si>
  <si>
    <t>2021</t>
  </si>
  <si>
    <t>2022</t>
  </si>
  <si>
    <t>2023</t>
  </si>
  <si>
    <t>2024</t>
  </si>
  <si>
    <t>2025</t>
  </si>
  <si>
    <t>South East</t>
  </si>
  <si>
    <t>East</t>
  </si>
  <si>
    <t>South West</t>
  </si>
  <si>
    <t>East Midlands</t>
  </si>
  <si>
    <t>West Midlands</t>
  </si>
  <si>
    <t>North East</t>
  </si>
  <si>
    <t>Yorks &amp; Humber</t>
  </si>
  <si>
    <t>North West</t>
  </si>
  <si>
    <t>Wales</t>
  </si>
  <si>
    <t>Source Taken:</t>
  </si>
  <si>
    <r>
      <t xml:space="preserve">Source Data: Savills Forecast Rent Changes Feb 2021 - </t>
    </r>
    <r>
      <rPr>
        <b/>
        <sz val="14"/>
        <color rgb="FFFF0000"/>
        <rFont val="Calibri"/>
        <family val="2"/>
        <scheme val="minor"/>
      </rPr>
      <t>CAPPED TO:</t>
    </r>
  </si>
  <si>
    <t>Outside London</t>
  </si>
  <si>
    <t>Source Data: Savills Forecast HPI Changes August 2021</t>
  </si>
  <si>
    <t>Source Data: Savills Forecast Rent Changes Feb 2021</t>
  </si>
  <si>
    <t>HPI Sources</t>
  </si>
  <si>
    <t xml:space="preserve">Yes </t>
  </si>
  <si>
    <t xml:space="preserve">No </t>
  </si>
  <si>
    <t>Please Choose</t>
  </si>
  <si>
    <t>Additional Settings</t>
  </si>
  <si>
    <t>Tracker Rate 2% fee</t>
  </si>
  <si>
    <t>Input</t>
  </si>
  <si>
    <t>PRODUCT TYPE</t>
  </si>
  <si>
    <t>Residential BTL</t>
  </si>
  <si>
    <t>Tracker Rate 4% fee</t>
  </si>
  <si>
    <t>Tracker Rate 6% fee</t>
  </si>
  <si>
    <t>Please select Range</t>
  </si>
  <si>
    <t>2 Year Fixed Rate 2% fee</t>
  </si>
  <si>
    <t>2 Year Fixed Rate 4% fee</t>
  </si>
  <si>
    <t>Hubspot Loan Ref</t>
  </si>
  <si>
    <t>TBC</t>
  </si>
  <si>
    <t>2 Year Fixed Rate 6% fee</t>
  </si>
  <si>
    <t>Property</t>
  </si>
  <si>
    <t>3 Year Fixed Rate 2% fee</t>
  </si>
  <si>
    <t>Can we remove highlighted fields now?</t>
  </si>
  <si>
    <t xml:space="preserve">Admin </t>
  </si>
  <si>
    <t>3 Year Fixed Rate 4% fee</t>
  </si>
  <si>
    <t>Not sure lenvi will handle?</t>
  </si>
  <si>
    <t>Estimated Monthly Gross Rent:</t>
  </si>
  <si>
    <t>3 Year Fixed Rate 6% fee</t>
  </si>
  <si>
    <t>Borrower</t>
  </si>
  <si>
    <t xml:space="preserve">
</t>
  </si>
  <si>
    <r>
      <rPr>
        <b/>
        <sz val="10"/>
        <color rgb="FFC00000"/>
        <rFont val="Calibri"/>
        <family val="2"/>
        <scheme val="minor"/>
      </rPr>
      <t>Restricted countries</t>
    </r>
    <r>
      <rPr>
        <b/>
        <i/>
        <sz val="10"/>
        <color rgb="FFC00000"/>
        <rFont val="Calibri"/>
        <family val="2"/>
        <scheme val="minor"/>
      </rPr>
      <t>:</t>
    </r>
    <r>
      <rPr>
        <i/>
        <sz val="10"/>
        <color theme="1"/>
        <rFont val="Calibri"/>
        <family val="2"/>
        <scheme val="minor"/>
      </rPr>
      <t xml:space="preserve"> Afghanistan, Bosnia Herzegovina, Burundi, Central African Republic, Cuba, North Korea, Democratic Republic of the Congo, Eritrea, Ethiopia, Iran (Islamic Republic of), Iraq, Laos, Libyan Arab Jamahiriya, Myanmar, Pakistan, Somalia, South Sudan, Sudan, Syria, Uganda, Vanuatu, Venezuela, Yemen.</t>
    </r>
  </si>
  <si>
    <t xml:space="preserve">Missed Mortgage Payments </t>
  </si>
  <si>
    <t/>
  </si>
  <si>
    <t>Unsecured Card/Loan Payments</t>
  </si>
  <si>
    <t>ignore &lt;=£350,telecom, utility</t>
  </si>
  <si>
    <t xml:space="preserve">Qualifying CCJs &amp; Defaults </t>
  </si>
  <si>
    <t>Bankruptcy/IVA/DRO</t>
  </si>
  <si>
    <t>PBSA/Serviced Accommodation?</t>
  </si>
  <si>
    <t>Initial Term (Months)</t>
  </si>
  <si>
    <t>Tier Selected</t>
  </si>
  <si>
    <t xml:space="preserve">Loan </t>
  </si>
  <si>
    <t>Customer Type</t>
  </si>
  <si>
    <t>Product Type</t>
  </si>
  <si>
    <t>Rate</t>
  </si>
  <si>
    <t>Roll &amp; Defer</t>
  </si>
  <si>
    <t xml:space="preserve">Net Loan </t>
  </si>
  <si>
    <t>GL</t>
  </si>
  <si>
    <t xml:space="preserve">Avg Annual Cost </t>
  </si>
  <si>
    <t>MAX NL</t>
  </si>
  <si>
    <r>
      <t xml:space="preserve">MAX NL </t>
    </r>
    <r>
      <rPr>
        <b/>
        <sz val="11"/>
        <color theme="1"/>
        <rFont val="Lato"/>
        <family val="2"/>
      </rPr>
      <t>EXC</t>
    </r>
    <r>
      <rPr>
        <sz val="11"/>
        <color theme="1"/>
        <rFont val="Lato"/>
        <family val="2"/>
      </rPr>
      <t xml:space="preserve"> TS</t>
    </r>
  </si>
  <si>
    <t xml:space="preserve">Comments </t>
  </si>
  <si>
    <t>Rates</t>
  </si>
  <si>
    <t>Estimated Cheapest Tier</t>
  </si>
  <si>
    <t>Eligibility Title Insurance</t>
  </si>
  <si>
    <t>Eligible nationalities</t>
  </si>
  <si>
    <r>
      <rPr>
        <u/>
        <sz val="12"/>
        <rFont val="Calibri"/>
        <family val="2"/>
        <scheme val="minor"/>
      </rPr>
      <t>Eligible nationalities</t>
    </r>
    <r>
      <rPr>
        <sz val="12"/>
        <rFont val="Calibri"/>
        <family val="2"/>
        <scheme val="minor"/>
      </rPr>
      <t xml:space="preserve">
Individual: UK national/passport holder of </t>
    </r>
    <r>
      <rPr>
        <b/>
        <sz val="12"/>
        <rFont val="Calibri"/>
        <family val="2"/>
        <scheme val="minor"/>
      </rPr>
      <t>EEA country, Channel Islands, Switzerland, USA, Canada, Australia or New Zealand</t>
    </r>
    <r>
      <rPr>
        <sz val="12"/>
        <rFont val="Calibri"/>
        <family val="2"/>
        <scheme val="minor"/>
      </rPr>
      <t xml:space="preserve">.
Corporate: company, Trust and partnership incorporated in the </t>
    </r>
    <r>
      <rPr>
        <b/>
        <sz val="12"/>
        <rFont val="Calibri"/>
        <family val="2"/>
        <scheme val="minor"/>
      </rPr>
      <t>UK, EEA, Channel Islands, Switzerland or the British Virgin Islands</t>
    </r>
    <r>
      <rPr>
        <sz val="12"/>
        <rFont val="Calibri"/>
        <family val="2"/>
        <scheme val="minor"/>
      </rPr>
      <t>.
UBO  must meet the individual nationality criteria even if company incorporated in the permitted list.</t>
    </r>
  </si>
  <si>
    <t>Select Loan/CalculationType</t>
  </si>
  <si>
    <t>Custom - adjust roll/defer/top slice</t>
  </si>
  <si>
    <t>Optimum Roll / Defer / Top Slice across product range</t>
  </si>
  <si>
    <t>Please select product
 to proceed with to DIP</t>
  </si>
  <si>
    <t>Amend Roll &amp; Defer Separately for Each Range</t>
  </si>
  <si>
    <t>Indicative Illustration</t>
  </si>
  <si>
    <t>Top Slice - £ surplus used pcm</t>
  </si>
  <si>
    <t xml:space="preserve">Option chosen for DIP? </t>
  </si>
  <si>
    <t>Core
 2% Fee</t>
  </si>
  <si>
    <t>Loan Amount Required</t>
  </si>
  <si>
    <t xml:space="preserve">Breakdown </t>
  </si>
  <si>
    <t xml:space="preserve">Full Rate </t>
  </si>
  <si>
    <t xml:space="preserve">BBR </t>
  </si>
  <si>
    <t xml:space="preserve">Pay Rate </t>
  </si>
  <si>
    <t xml:space="preserve">Stressed BBR </t>
  </si>
  <si>
    <t>Range</t>
  </si>
  <si>
    <t xml:space="preserve">Margin + BBR </t>
  </si>
  <si>
    <t xml:space="preserve">APRC </t>
  </si>
  <si>
    <t>Product Name</t>
  </si>
  <si>
    <t xml:space="preserve">Revert Rate </t>
  </si>
  <si>
    <t>NPB</t>
  </si>
  <si>
    <t>Initial Rate</t>
  </si>
  <si>
    <t xml:space="preserve">Product Fee </t>
  </si>
  <si>
    <t>Title Insurance</t>
  </si>
  <si>
    <t xml:space="preserve">Gross Loan </t>
  </si>
  <si>
    <t>Max Net Loan 
(day 1 advance)</t>
  </si>
  <si>
    <t xml:space="preserve">Months Rolled </t>
  </si>
  <si>
    <t>Following 3 items added to the net loan (capitalised) and paid at redemption:</t>
  </si>
  <si>
    <t xml:space="preserve">Deferred </t>
  </si>
  <si>
    <t xml:space="preserve"> Serviced Interest</t>
  </si>
  <si>
    <t xml:space="preserve">Monthly Direct Debit </t>
  </si>
  <si>
    <t>Rolled Months Interest</t>
  </si>
  <si>
    <t xml:space="preserve">Monthly Interest Cost </t>
  </si>
  <si>
    <t xml:space="preserve">Stressed ICR </t>
  </si>
  <si>
    <t>Deferred Interest</t>
  </si>
  <si>
    <t>Max Gross Loan 
repayable at redemption</t>
  </si>
  <si>
    <t>Broker Commission</t>
  </si>
  <si>
    <t>Top slicing used?</t>
  </si>
  <si>
    <t xml:space="preserve">ICR </t>
  </si>
  <si>
    <t xml:space="preserve">Total Cost to Borrower 
in initial period </t>
  </si>
  <si>
    <r>
      <t xml:space="preserve">NPB 
</t>
    </r>
    <r>
      <rPr>
        <b/>
        <i/>
        <sz val="10"/>
        <color theme="0"/>
        <rFont val="Calibri"/>
        <family val="2"/>
        <scheme val="minor"/>
      </rPr>
      <t>Net Loan + max 2% fee</t>
    </r>
  </si>
  <si>
    <t xml:space="preserve">Total loan term </t>
  </si>
  <si>
    <t>Cost of Borrowing</t>
  </si>
  <si>
    <t xml:space="preserve">Monthy Interest Cost </t>
  </si>
  <si>
    <t xml:space="preserve">Admin fee </t>
  </si>
  <si>
    <t xml:space="preserve">per property </t>
  </si>
  <si>
    <t xml:space="preserve">Payable when DIP signed </t>
  </si>
  <si>
    <t xml:space="preserve">Valuation Fee </t>
  </si>
  <si>
    <t>TBC by the Underwriter</t>
  </si>
  <si>
    <t>Revert Period DD &amp; ICR</t>
  </si>
  <si>
    <t xml:space="preserve">Lender Legal Fee </t>
  </si>
  <si>
    <t xml:space="preserve">Excludes the borrower's own legal cost </t>
  </si>
  <si>
    <t>ERC</t>
  </si>
  <si>
    <r>
      <rPr>
        <b/>
        <sz val="10"/>
        <rFont val="Calibri"/>
        <family val="2"/>
        <scheme val="minor"/>
      </rPr>
      <t>Please note:</t>
    </r>
    <r>
      <rPr>
        <sz val="10"/>
        <rFont val="Calibri"/>
        <family val="2"/>
        <scheme val="minor"/>
      </rPr>
      <t xml:space="preserve"> indicative only, subject to full underwrite, valuation, credit report and other supporting evidence. This Document is confidential to the intended recipient.  If you are not the intended recipient, do not use, copy or disclose the information in any way or act in reliance on it, and notify the sender immediately, then delete it from your system.  Market Financial Solutions Ltd accepts no liability (to the fullest extent permitted by law) for opinions, conclusions and other information in this message which do not relate to its official business.  No contracts or official orders will be confirmed by means of this document. </t>
    </r>
  </si>
  <si>
    <t>Why Tier declined?</t>
  </si>
  <si>
    <t>1) Standard BTL</t>
  </si>
  <si>
    <t>2) Solutions BTL</t>
  </si>
  <si>
    <t>3) Specialist BTL</t>
  </si>
  <si>
    <t>4) Bespoke</t>
  </si>
  <si>
    <t>ROLL /DEFER OPTIMUM DATA MODEL</t>
  </si>
  <si>
    <t>BUY TO LET TEAM STRICTLY CONFIDENTIAL</t>
  </si>
  <si>
    <t>6% fee range</t>
  </si>
  <si>
    <t>4% fee range</t>
  </si>
  <si>
    <t>2% fee range</t>
  </si>
  <si>
    <t>Max LTV possible with no Top Slice, 6m Rolled</t>
  </si>
  <si>
    <t>Top Slice Cap</t>
  </si>
  <si>
    <t>Optimum Roll / Defer</t>
  </si>
  <si>
    <t>Top Slice Cap of 20% gives max Gross Loan</t>
  </si>
  <si>
    <t>Top Slicer Needed for 6% fee range</t>
  </si>
  <si>
    <t xml:space="preserve">Roll Month </t>
  </si>
  <si>
    <t xml:space="preserve">% </t>
  </si>
  <si>
    <t>Top Slicer Needed for 4% fee range</t>
  </si>
  <si>
    <t>Top Slicer Needed for 2% fee range</t>
  </si>
  <si>
    <t xml:space="preserve">Month </t>
  </si>
  <si>
    <t>Defer</t>
  </si>
  <si>
    <t>Loan Amount</t>
  </si>
  <si>
    <t>Tier Name</t>
  </si>
  <si>
    <t>Standard Rate</t>
  </si>
  <si>
    <t>LTV</t>
  </si>
  <si>
    <t>Funding Lines</t>
  </si>
  <si>
    <t>Loan Chosen</t>
  </si>
  <si>
    <t>Zircon Limit</t>
  </si>
  <si>
    <t>Pearl Limit</t>
  </si>
  <si>
    <t>Zircon</t>
  </si>
  <si>
    <t>Pearl</t>
  </si>
  <si>
    <t>deferred interest</t>
  </si>
  <si>
    <r>
      <t>IF deferred interest &gt; 1%, only PBL</t>
    </r>
    <r>
      <rPr>
        <sz val="11"/>
        <color rgb="FF002060"/>
        <rFont val="Calibri"/>
        <family val="2"/>
        <scheme val="minor"/>
      </rPr>
      <t xml:space="preserve"> </t>
    </r>
    <r>
      <rPr>
        <sz val="12"/>
        <color rgb="FF002060"/>
        <rFont val="Calibri"/>
        <family val="2"/>
        <scheme val="minor"/>
      </rPr>
      <t>YES</t>
    </r>
    <r>
      <rPr>
        <sz val="11"/>
        <color rgb="FF002060"/>
        <rFont val="Calibri"/>
        <family val="2"/>
        <scheme val="minor"/>
      </rPr>
      <t xml:space="preserve"> </t>
    </r>
  </si>
  <si>
    <t>PBL terms are:</t>
  </si>
  <si>
    <r>
      <t>IF rolled up months &gt; 6, only PBL</t>
    </r>
    <r>
      <rPr>
        <sz val="11"/>
        <color rgb="FF002060"/>
        <rFont val="Calibri"/>
        <family val="2"/>
        <scheme val="minor"/>
      </rPr>
      <t xml:space="preserve"> </t>
    </r>
    <r>
      <rPr>
        <sz val="12"/>
        <color rgb="FF002060"/>
        <rFont val="Calibri"/>
        <family val="2"/>
        <scheme val="minor"/>
      </rPr>
      <t>YES</t>
    </r>
  </si>
  <si>
    <r>
      <t>2yr: 24+up to 12m servicer permitted extension (at the 24m stage, and only once)</t>
    </r>
    <r>
      <rPr>
        <sz val="11"/>
        <color rgb="FF002060"/>
        <rFont val="Calibri"/>
        <family val="2"/>
        <scheme val="minor"/>
      </rPr>
      <t xml:space="preserve"> </t>
    </r>
    <r>
      <rPr>
        <sz val="12"/>
        <color rgb="FF002060"/>
        <rFont val="Calibri"/>
        <family val="2"/>
        <scheme val="minor"/>
      </rPr>
      <t>YES</t>
    </r>
  </si>
  <si>
    <t>Term</t>
  </si>
  <si>
    <r>
      <t>IF initial term &gt; 24 months, PBL only (as their loan facility is a proper 3yr term, not a 2+1)</t>
    </r>
    <r>
      <rPr>
        <sz val="12"/>
        <color rgb="FF002060"/>
        <rFont val="Calibri"/>
        <family val="2"/>
        <scheme val="minor"/>
      </rPr>
      <t xml:space="preserve"> YES</t>
    </r>
  </si>
  <si>
    <r>
      <t>3yr: 36m + 3m servicer extension</t>
    </r>
    <r>
      <rPr>
        <sz val="12"/>
        <color rgb="FF002060"/>
        <rFont val="Calibri"/>
        <family val="2"/>
        <scheme val="minor"/>
      </rPr>
      <t xml:space="preserve"> YES</t>
    </r>
  </si>
  <si>
    <t>Interest Rate</t>
  </si>
  <si>
    <r>
      <t>IF initial interest rate is &lt; 4.99%, then PBL only (ZBL have min 4.99%)</t>
    </r>
    <r>
      <rPr>
        <sz val="11"/>
        <color rgb="FF002060"/>
        <rFont val="Calibri"/>
        <family val="2"/>
        <scheme val="minor"/>
      </rPr>
      <t xml:space="preserve"> </t>
    </r>
    <r>
      <rPr>
        <sz val="12"/>
        <color rgb="FF002060"/>
        <rFont val="Calibri"/>
        <family val="2"/>
        <scheme val="minor"/>
      </rPr>
      <t xml:space="preserve">YES currently we are funding loans at 4.79% which is outside ZBL criteria </t>
    </r>
    <r>
      <rPr>
        <sz val="11"/>
        <color rgb="FF002060"/>
        <rFont val="Calibri"/>
        <family val="2"/>
        <scheme val="minor"/>
      </rPr>
      <t> </t>
    </r>
  </si>
  <si>
    <r>
      <t>Do you agree, or are there more?</t>
    </r>
    <r>
      <rPr>
        <b/>
        <sz val="11"/>
        <color rgb="FF002060"/>
        <rFont val="Calibri"/>
        <family val="2"/>
        <scheme val="minor"/>
      </rPr>
      <t xml:space="preserve"> I have to check what’s the minimum interest rate to be charged per month on PBL as currently ZBL is 0.41% with 4.79% this become 0.399% per month </t>
    </r>
  </si>
  <si>
    <r>
      <t>During the extension, interest is due at the FULL interest rate, not the pay rate</t>
    </r>
    <r>
      <rPr>
        <sz val="11"/>
        <color rgb="FF002060"/>
        <rFont val="Calibri"/>
        <family val="2"/>
        <scheme val="minor"/>
      </rPr>
      <t xml:space="preserve"> </t>
    </r>
    <r>
      <rPr>
        <sz val="12"/>
        <color rgb="FF002060"/>
        <rFont val="Calibri"/>
        <family val="2"/>
        <scheme val="minor"/>
      </rPr>
      <t>YES</t>
    </r>
  </si>
  <si>
    <t>ICR</t>
  </si>
  <si>
    <r>
      <t>IF ICR, on an exception, goes below 100%, then ZBL only (old methodology, 80%+ where other income/wealth can support)</t>
    </r>
    <r>
      <rPr>
        <sz val="11"/>
        <color rgb="FF002060"/>
        <rFont val="Calibri"/>
        <family val="2"/>
        <scheme val="minor"/>
      </rPr>
      <t xml:space="preserve"> Agreed – we must ensure ICR is 100% or above on all loans, PBL To be finalised  </t>
    </r>
  </si>
  <si>
    <t>ZBL terms are:</t>
  </si>
  <si>
    <t>Country</t>
  </si>
  <si>
    <t>ANY</t>
  </si>
  <si>
    <r>
      <t>IF country on the excluded list for ZBL (below), then PBL only</t>
    </r>
    <r>
      <rPr>
        <sz val="11"/>
        <color rgb="FF002060"/>
        <rFont val="Calibri"/>
        <family val="2"/>
        <scheme val="minor"/>
      </rPr>
      <t xml:space="preserve"> </t>
    </r>
    <r>
      <rPr>
        <sz val="12"/>
        <color rgb="FF002060"/>
        <rFont val="Calibri"/>
        <family val="2"/>
        <scheme val="minor"/>
      </rPr>
      <t xml:space="preserve">YES ,for PBL as long is not a restricted country </t>
    </r>
    <r>
      <rPr>
        <sz val="11"/>
        <color theme="1"/>
        <rFont val="Calibri"/>
        <family val="2"/>
        <scheme val="minor"/>
      </rPr>
      <t xml:space="preserve"> Afghanistan, Bosnia Herzegovina, Burundi, Central African Republic, Cuba, Democratic People's Republic of Korea, Democratic Republic of the Congo, Eritrea, Ethiopia, Iran (Islamic Republic of), Iraq, Laos People's Democratic Republic, Libyan Arab Jamahiriya, Myanmar, Pakistan, Somalia, South Sudan, Sudan, Syrian Arab Republic, Uganda, Vanuatu, Venezuela, Yemen.</t>
    </r>
  </si>
  <si>
    <r>
      <t>FYI – the ERC is basically waived after 60 days (3+ yr loan) and 30 days for 2yr loan. </t>
    </r>
    <r>
      <rPr>
        <sz val="11"/>
        <color rgb="FF002060"/>
        <rFont val="Calibri"/>
        <family val="2"/>
        <scheme val="minor"/>
      </rPr>
      <t xml:space="preserve">Agreed </t>
    </r>
    <r>
      <rPr>
        <sz val="11"/>
        <color theme="1"/>
        <rFont val="Calibri"/>
        <family val="2"/>
        <scheme val="minor"/>
      </rPr>
      <t> Even during the extension.  This is fine – you only really extend when a small delay in exit, and it’s at full interest rate so can be penal compared to a 3yr (to avoid gaming).  We will also have retention products then to try to lock them in again</t>
    </r>
  </si>
  <si>
    <r>
      <t>2yr:  24+up to 3m servicer permitted extension. During the extension, interest is due at the FULL interest rate, not the pay rate</t>
    </r>
    <r>
      <rPr>
        <sz val="11"/>
        <color rgb="FF002060"/>
        <rFont val="Calibri"/>
        <family val="2"/>
        <scheme val="minor"/>
      </rPr>
      <t xml:space="preserve"> serviceable on full IR, however ZBL allows extension upto 12months </t>
    </r>
  </si>
  <si>
    <t>Max Loan</t>
  </si>
  <si>
    <r>
      <t>QUESTION: is the max individual loan on PBL £3m,</t>
    </r>
    <r>
      <rPr>
        <b/>
        <sz val="11"/>
        <color rgb="FF002060"/>
        <rFont val="Calibri"/>
        <family val="2"/>
        <scheme val="minor"/>
      </rPr>
      <t xml:space="preserve"> TBD , await lender confirmation </t>
    </r>
    <r>
      <rPr>
        <b/>
        <sz val="11"/>
        <color rgb="FF4472C4"/>
        <rFont val="Calibri"/>
        <family val="2"/>
        <scheme val="minor"/>
      </rPr>
      <t> like it is on ZBL? ZBL specifically calls it out, but PBL just has standard ‘£4m’ for single property loan</t>
    </r>
    <r>
      <rPr>
        <b/>
        <sz val="11"/>
        <color rgb="FF002060"/>
        <rFont val="Calibri"/>
        <family val="2"/>
        <scheme val="minor"/>
      </rPr>
      <t xml:space="preserve"> there will be some covenant set by PBL Lender which we are finalising terms on max amount </t>
    </r>
  </si>
  <si>
    <t>·      An early repayment charge (ERC) is payable if the Borrower redeems the loan before the contractual maturity date of the loan.  ERC is waived for any early redemptions that occur within a grace period starting from a maximum of 60 days prior to the original contractual maturity date and continuing thereafter (including during any Servicer Extension).  Does this cover if redeemed on month 22?</t>
  </si>
  <si>
    <r>
      <t>3yr: 24+up to 12m servicer permitted extension. We grant this automatically subject to conditions.  Whilst the contract states interest due at full rate, we’ve done the upfront calculations that the deferred interest/net loan means reduced payments to not impact LTV adversely</t>
    </r>
    <r>
      <rPr>
        <sz val="11"/>
        <color rgb="FF002060"/>
        <rFont val="Calibri"/>
        <family val="2"/>
        <scheme val="minor"/>
      </rPr>
      <t xml:space="preserve"> , pls discuss as currently UW are deferring interest upto 36m by issuing 24m term +12m (extension ), hence the issue we had today, with this the serviceable interest from 24m to 36m become serviceable  on pay rate, 4.79%  rate deferred 0.50%  for 36m with 2 month rolled up , the borrow is serving interest on deferred rate for 34m at 4.29% - </t>
    </r>
  </si>
  <si>
    <t>Loan Calculations &amp; Summary</t>
  </si>
  <si>
    <t>Linked/taken from main ICR calculator</t>
  </si>
  <si>
    <t>Property postcode</t>
  </si>
  <si>
    <t xml:space="preserve">Proc Fee </t>
  </si>
  <si>
    <t>Rent charge</t>
  </si>
  <si>
    <t>Top Slice</t>
  </si>
  <si>
    <t>Property Region:</t>
  </si>
  <si>
    <t>APRC Calculator after Rolled</t>
  </si>
  <si>
    <t>Weekly</t>
  </si>
  <si>
    <t>APRC Calculator before Rolled</t>
  </si>
  <si>
    <t xml:space="preserve">Gross Loan Amount </t>
  </si>
  <si>
    <t>Duration (Months)</t>
  </si>
  <si>
    <t>Annual</t>
  </si>
  <si>
    <t xml:space="preserve">Rolled </t>
  </si>
  <si>
    <t>Term rent</t>
  </si>
  <si>
    <t>Monthly Int Rate</t>
  </si>
  <si>
    <t>Defered interest</t>
  </si>
  <si>
    <t>Product fee %</t>
  </si>
  <si>
    <t>Proc Fee</t>
  </si>
  <si>
    <t>Core Net Loan LTV</t>
  </si>
  <si>
    <t>Net loan Amount</t>
  </si>
  <si>
    <t>Total Int£ over term</t>
  </si>
  <si>
    <t>Total Int£ + Prodfee£</t>
  </si>
  <si>
    <t xml:space="preserve">APR </t>
  </si>
  <si>
    <t>Monthly APR</t>
  </si>
  <si>
    <t>Tier Selector &amp; LTV</t>
  </si>
  <si>
    <t>Tier</t>
  </si>
  <si>
    <t>CRITERIA RESI</t>
  </si>
  <si>
    <t>MAX LTV</t>
  </si>
  <si>
    <t>CRITERIA FOR COMMERCIAL &amp; SEMI COMMERCIAL</t>
  </si>
  <si>
    <t>HMO</t>
  </si>
  <si>
    <t>&lt;= 12 beds</t>
  </si>
  <si>
    <t>LTV Tier Cap</t>
  </si>
  <si>
    <t>Multi-Unit Freehold Block</t>
  </si>
  <si>
    <t>&lt;= 6 units</t>
  </si>
  <si>
    <t>&lt;=30 units</t>
  </si>
  <si>
    <t>Chosen</t>
  </si>
  <si>
    <t xml:space="preserve">Flats above Restricted commercial </t>
  </si>
  <si>
    <t>Development Exit</t>
  </si>
  <si>
    <t>Holiday/ Short term Let</t>
  </si>
  <si>
    <t>Customer</t>
  </si>
  <si>
    <t>Commercial Owner Occuppied</t>
  </si>
  <si>
    <t>First time Landlord</t>
  </si>
  <si>
    <t>First time commercial Landlord</t>
  </si>
  <si>
    <t>Expat/ Foreign National</t>
  </si>
  <si>
    <t>Offshore Company</t>
  </si>
  <si>
    <t>Any adverse credit?</t>
  </si>
  <si>
    <t xml:space="preserve">Build Commercial / Semi-commercial criteria table </t>
  </si>
  <si>
    <t>Missed Mortgage Payments</t>
  </si>
  <si>
    <t>0 missed in last 18m</t>
  </si>
  <si>
    <t>Owner-occupier methodology - use 2yrs EBITDA (1m x24)</t>
  </si>
  <si>
    <t>2 missed last 18 months, 0 in last 6</t>
  </si>
  <si>
    <t>0 missed last 12m</t>
  </si>
  <si>
    <t>2 missed last 18 months</t>
  </si>
  <si>
    <t>CCJs &amp; Defaults</t>
  </si>
  <si>
    <t>0 in last 18m</t>
  </si>
  <si>
    <t>Discharged &gt; 3 years</t>
  </si>
  <si>
    <t>MAX LOAN CALCS</t>
  </si>
  <si>
    <t xml:space="preserve">2% Fee Product </t>
  </si>
  <si>
    <t>2% fee</t>
  </si>
  <si>
    <t>4% fee</t>
  </si>
  <si>
    <t>6% fee</t>
  </si>
  <si>
    <t>Max Gross Loan:</t>
  </si>
  <si>
    <t>Max Net Loan:</t>
  </si>
  <si>
    <t>Round Down?</t>
  </si>
  <si>
    <t>Top Slice Calcs</t>
  </si>
  <si>
    <t>Product_Num</t>
  </si>
  <si>
    <t>Product fee</t>
  </si>
  <si>
    <t>Rolled months</t>
  </si>
  <si>
    <t>Pay Rate / Rate to apply</t>
  </si>
  <si>
    <t>Max LTV</t>
  </si>
  <si>
    <t>Max loan /LTV CAP</t>
  </si>
  <si>
    <t>Max Loan @ ICR</t>
  </si>
  <si>
    <t>Max Loan @ Stress tested ICR</t>
  </si>
  <si>
    <t>Max Loan (capped/ used)</t>
  </si>
  <si>
    <t>Max Loan used - Rounded down</t>
  </si>
  <si>
    <t>Total Interest Due For Max Loan @ full rate</t>
  </si>
  <si>
    <t>Monthly Int £ @ Standard rate</t>
  </si>
  <si>
    <t>Monthly Int £ @ pay rate</t>
  </si>
  <si>
    <t>ICR (Tracker with Stressed BBR)</t>
  </si>
  <si>
    <t xml:space="preserve">Monthly Int DD </t>
  </si>
  <si>
    <t>Total Interest Paid in Term</t>
  </si>
  <si>
    <t>Stressed Interest Paid in Term</t>
  </si>
  <si>
    <t>Rent Earned Over Term</t>
  </si>
  <si>
    <t>Monthly shortfall or surplus from rent</t>
  </si>
  <si>
    <t>Deferred Int Owed</t>
  </si>
  <si>
    <t>Rolled Months Owed</t>
  </si>
  <si>
    <t>Deferred Int Owed at redmptn</t>
  </si>
  <si>
    <t>Investor Funds</t>
  </si>
  <si>
    <t>Standard Product Fee 
(Max 2%)</t>
  </si>
  <si>
    <t>Enhanced Product Fee (&gt;2%)</t>
  </si>
  <si>
    <t>Prod Fee Text</t>
  </si>
  <si>
    <t>Net loan LTV</t>
  </si>
  <si>
    <t>Max loan LTV</t>
  </si>
  <si>
    <t>Rent with Top slice</t>
  </si>
  <si>
    <t>SC &amp; C Rent &amp; Top Slice</t>
  </si>
  <si>
    <t>Top Slice in term</t>
  </si>
  <si>
    <t>Bespoke Row?</t>
  </si>
  <si>
    <t>MAX GROSS</t>
  </si>
  <si>
    <t>MAX NET</t>
  </si>
  <si>
    <t>BTL PRODUCT FEE 2%</t>
  </si>
  <si>
    <t>Use Max Rolled and Deferred</t>
  </si>
  <si>
    <t>Fully Rolled and Deferred underwriter</t>
  </si>
  <si>
    <t xml:space="preserve">Specific Gross Loan </t>
  </si>
  <si>
    <t xml:space="preserve">Specific Net Loan </t>
  </si>
  <si>
    <t>CHOSEN</t>
  </si>
  <si>
    <t>BTL PRODUCT FEE 4%</t>
  </si>
  <si>
    <t>BTL PRODUCT FEE 6%</t>
  </si>
  <si>
    <t>Choose Rate Type</t>
  </si>
  <si>
    <t xml:space="preserve">Index Rates </t>
  </si>
  <si>
    <t xml:space="preserve">BBR Settings </t>
  </si>
  <si>
    <t>BBR Stressing for 2% fee products only</t>
  </si>
  <si>
    <t>MVR Settings</t>
  </si>
  <si>
    <t xml:space="preserve">Update here: </t>
  </si>
  <si>
    <t>1) Standard</t>
  </si>
  <si>
    <t xml:space="preserve">BBR Used = </t>
  </si>
  <si>
    <t>Direct Debit increase example=</t>
  </si>
  <si>
    <t>BBR Stressing:</t>
  </si>
  <si>
    <t>Current MVR =</t>
  </si>
  <si>
    <t>Drop Downs</t>
  </si>
  <si>
    <t>Semi-Commercial</t>
  </si>
  <si>
    <t>2) Bespoke</t>
  </si>
  <si>
    <t>2 Year Fixed</t>
  </si>
  <si>
    <t>Current BBR =</t>
  </si>
  <si>
    <t>Current BBR Stressing:</t>
  </si>
  <si>
    <t>Deal sheet</t>
  </si>
  <si>
    <t>Select</t>
  </si>
  <si>
    <t xml:space="preserve">Chosen Product Table </t>
  </si>
  <si>
    <t xml:space="preserve">£ rolled </t>
  </si>
  <si>
    <t>£ defer</t>
  </si>
  <si>
    <t>DD starts from</t>
  </si>
  <si>
    <t xml:space="preserve">Tracker Margin </t>
  </si>
  <si>
    <t>Broker fee</t>
  </si>
  <si>
    <t>Commercial</t>
  </si>
  <si>
    <t>3 Year Fixed</t>
  </si>
  <si>
    <t>Choose Here!</t>
  </si>
  <si>
    <t>Commercial Range</t>
  </si>
  <si>
    <t>Settings</t>
  </si>
  <si>
    <t>Products &amp; Tiers</t>
  </si>
  <si>
    <t xml:space="preserve">Rate </t>
  </si>
  <si>
    <t>Fixed Rates</t>
  </si>
  <si>
    <t>Tracker - Margin over BBR</t>
  </si>
  <si>
    <t>Fixed Pr. Fees</t>
  </si>
  <si>
    <t>Tracker Pr. Fee</t>
  </si>
  <si>
    <t>Revert rate</t>
  </si>
  <si>
    <t>Fixed Revert Rate</t>
  </si>
  <si>
    <t>Impairment</t>
  </si>
  <si>
    <t>Item</t>
  </si>
  <si>
    <t>Tiers 1-3</t>
  </si>
  <si>
    <t>Tier 4 BESPOKE</t>
  </si>
  <si>
    <t>Tier Num</t>
  </si>
  <si>
    <t>MUFB</t>
  </si>
  <si>
    <t>Unsecured Payments</t>
  </si>
  <si>
    <t>CCJs</t>
  </si>
  <si>
    <t>Bankruptcy</t>
  </si>
  <si>
    <t>Loan amount</t>
  </si>
  <si>
    <t>Show Custom Panel?</t>
  </si>
  <si>
    <t>Specific Loan?</t>
  </si>
  <si>
    <t>Regions</t>
  </si>
  <si>
    <t>Gross Fee</t>
  </si>
  <si>
    <t>Who do we pay?</t>
  </si>
  <si>
    <t>Y/N</t>
  </si>
  <si>
    <t>Checks drop downs</t>
  </si>
  <si>
    <t>Audit tab drop down</t>
  </si>
  <si>
    <t>ERC Year</t>
  </si>
  <si>
    <t>ERC %</t>
  </si>
  <si>
    <t>Fixed ERC</t>
  </si>
  <si>
    <t>Tracker ERC</t>
  </si>
  <si>
    <t>ERC(£)</t>
  </si>
  <si>
    <t>WORKINGS (will be hidden)</t>
  </si>
  <si>
    <t xml:space="preserve">Withdrawn </t>
  </si>
  <si>
    <t>Clean - Missed Mortgage Payments - 0 missed in last 48 months
Unsecured Card/Loan Payments (ignore when balance &lt; £500) - 0 missed in last 48m 
CCJs &amp; Defaults (ignore &lt;= £350, telecom, utility) - 0 in last 48m. No unsatisfied
Bankruptcy/IVA - Never</t>
  </si>
  <si>
    <t>BROKER Max Defer Interest:</t>
  </si>
  <si>
    <t>Client Direct</t>
  </si>
  <si>
    <t>Client</t>
  </si>
  <si>
    <t>Yes - Within Records</t>
  </si>
  <si>
    <t>OK</t>
  </si>
  <si>
    <t>Suggested Loadings</t>
  </si>
  <si>
    <t>Clean - Missed Mortgage Payments - 0 missed in last 24 months
Unsecured Card/Loan Payments (ignore when balance &lt; £500) - 0 missed in last 12m 
CCJs &amp; Defaults (ignore &lt;= £350, telecom, utility) - 0 in last 36m. No unsatisfied
Bankruptcy/IVA - Never</t>
  </si>
  <si>
    <t>UW Max Defer Interest:</t>
  </si>
  <si>
    <t>Broker</t>
  </si>
  <si>
    <t>No - Outstanding</t>
  </si>
  <si>
    <t>See Below</t>
  </si>
  <si>
    <t>BKO/IVA 1yr</t>
  </si>
  <si>
    <t>BROKER Max Rolled Months 2yr:</t>
  </si>
  <si>
    <t>Via Club/Network</t>
  </si>
  <si>
    <t>Network or Club</t>
  </si>
  <si>
    <t>N/A</t>
  </si>
  <si>
    <t>Awaiting document</t>
  </si>
  <si>
    <t>BKO/IVA 2yr</t>
  </si>
  <si>
    <t>Considered upon referral</t>
  </si>
  <si>
    <t>UW Max Rolled Months 2yr:</t>
  </si>
  <si>
    <t>Via Packager</t>
  </si>
  <si>
    <t>Packager</t>
  </si>
  <si>
    <t>-</t>
  </si>
  <si>
    <t>HMO &gt; 15 rooms</t>
  </si>
  <si>
    <t>BROKER Max Rolled Months 3yr:</t>
  </si>
  <si>
    <t>MUFB &gt; 15 units</t>
  </si>
  <si>
    <t>Special Ed
4% Fee</t>
  </si>
  <si>
    <t>Revert Rate  (MVR)</t>
  </si>
  <si>
    <t xml:space="preserve">Different for commercial range: roll &amp; defer for caps, max loan size, max LTV
</t>
  </si>
  <si>
    <t>UW Max Rolled Months 3yr:</t>
  </si>
  <si>
    <t>First Timer &amp; HMO/MUFB</t>
  </si>
  <si>
    <t>=Rate Load per month:</t>
  </si>
  <si>
    <t>Min Loan</t>
  </si>
  <si>
    <t>Unsatisfied CCJs</t>
  </si>
  <si>
    <t>CCJs last 6 months</t>
  </si>
  <si>
    <t>Min ICR:</t>
  </si>
  <si>
    <t>(Tracker) Min stressed ICR:</t>
  </si>
  <si>
    <t>Show Panel?</t>
  </si>
  <si>
    <t>CCJs last 12 months</t>
  </si>
  <si>
    <t>Max ICR Notice triggered at:</t>
  </si>
  <si>
    <t>CCJs last between 12 &amp; 24 months ago</t>
  </si>
  <si>
    <t>Discount on Loadings</t>
  </si>
  <si>
    <t>Special Ed
6% Fee</t>
  </si>
  <si>
    <t>Revert Rate (MVR)</t>
  </si>
  <si>
    <t>Max Rolled Notice triggered at:</t>
  </si>
  <si>
    <t>Missed mortgage payment last 6 months</t>
  </si>
  <si>
    <t>= 70% max</t>
  </si>
  <si>
    <t>Max NPB</t>
  </si>
  <si>
    <t xml:space="preserve">Flat above smelly </t>
  </si>
  <si>
    <t>&gt;= 65%</t>
  </si>
  <si>
    <t>Missed unsecured payments?</t>
  </si>
  <si>
    <t>&gt;= 60%</t>
  </si>
  <si>
    <t>ICR Fixed</t>
  </si>
  <si>
    <t>Could add location?</t>
  </si>
  <si>
    <t>&gt;= 55%</t>
  </si>
  <si>
    <t>Max Defer InterestFixed:</t>
  </si>
  <si>
    <t>Commercial Range Max Deferred</t>
  </si>
  <si>
    <t>1st or 2nd charge?</t>
  </si>
  <si>
    <t>&gt;= 50%</t>
  </si>
  <si>
    <t>Regions in Loantape</t>
  </si>
  <si>
    <t>Size of CJJs?</t>
  </si>
  <si>
    <t>LTV Discount To Be Applied</t>
  </si>
  <si>
    <t>London-N</t>
  </si>
  <si>
    <t>London-NW</t>
  </si>
  <si>
    <t>London-E</t>
  </si>
  <si>
    <t>title ins</t>
  </si>
  <si>
    <t>London-W</t>
  </si>
  <si>
    <t>London-SE</t>
  </si>
  <si>
    <t>London-SW</t>
  </si>
  <si>
    <t>London-C</t>
  </si>
  <si>
    <t>G London-N</t>
  </si>
  <si>
    <t>G London-NW</t>
  </si>
  <si>
    <t>G London-E</t>
  </si>
  <si>
    <t>G London-W</t>
  </si>
  <si>
    <t>G London-SE</t>
  </si>
  <si>
    <t>G London-SW</t>
  </si>
  <si>
    <t>NE England</t>
  </si>
  <si>
    <t>NW England</t>
  </si>
  <si>
    <t>E Midlands</t>
  </si>
  <si>
    <t>W Midlands</t>
  </si>
  <si>
    <t>SW England</t>
  </si>
  <si>
    <t>SE England</t>
  </si>
  <si>
    <t>N/A for 2011-2013</t>
  </si>
  <si>
    <t>missing</t>
  </si>
  <si>
    <t>FIXED RATES 2 YEAR</t>
  </si>
  <si>
    <t>FIXED RATES 3 YEAR</t>
  </si>
  <si>
    <t>Region for lookup</t>
  </si>
  <si>
    <t>WC</t>
  </si>
  <si>
    <t>EC</t>
  </si>
  <si>
    <t>EN</t>
  </si>
  <si>
    <t>WD</t>
  </si>
  <si>
    <t>HA</t>
  </si>
  <si>
    <t>RM</t>
  </si>
  <si>
    <t>IG</t>
  </si>
  <si>
    <t>UB</t>
  </si>
  <si>
    <t>CR</t>
  </si>
  <si>
    <t>BR</t>
  </si>
  <si>
    <t>DA</t>
  </si>
  <si>
    <t>TW</t>
  </si>
  <si>
    <t>KT</t>
  </si>
  <si>
    <t>SM</t>
  </si>
  <si>
    <t>NE</t>
  </si>
  <si>
    <t>DH</t>
  </si>
  <si>
    <t>SR</t>
  </si>
  <si>
    <t>DL</t>
  </si>
  <si>
    <t>TS</t>
  </si>
  <si>
    <t>HG</t>
  </si>
  <si>
    <t>YO</t>
  </si>
  <si>
    <t>LS</t>
  </si>
  <si>
    <t>WF</t>
  </si>
  <si>
    <t>CA</t>
  </si>
  <si>
    <t>LA</t>
  </si>
  <si>
    <t>BD</t>
  </si>
  <si>
    <t>HX</t>
  </si>
  <si>
    <t>HD</t>
  </si>
  <si>
    <t>SK</t>
  </si>
  <si>
    <t>CW</t>
  </si>
  <si>
    <t>CH</t>
  </si>
  <si>
    <t>FY</t>
  </si>
  <si>
    <t>PR</t>
  </si>
  <si>
    <t>BB</t>
  </si>
  <si>
    <t>L</t>
  </si>
  <si>
    <t>WN</t>
  </si>
  <si>
    <t>BI</t>
  </si>
  <si>
    <t>OL</t>
  </si>
  <si>
    <t>BL</t>
  </si>
  <si>
    <t>M</t>
  </si>
  <si>
    <t>WA</t>
  </si>
  <si>
    <t>IM</t>
  </si>
  <si>
    <t>HU</t>
  </si>
  <si>
    <t>DN</t>
  </si>
  <si>
    <t>S</t>
  </si>
  <si>
    <t>DE</t>
  </si>
  <si>
    <t>NG</t>
  </si>
  <si>
    <t>LN</t>
  </si>
  <si>
    <t>LE</t>
  </si>
  <si>
    <t>PE</t>
  </si>
  <si>
    <t>CB</t>
  </si>
  <si>
    <t>NR</t>
  </si>
  <si>
    <t>IP</t>
  </si>
  <si>
    <t>CO</t>
  </si>
  <si>
    <t>ST</t>
  </si>
  <si>
    <t>TF</t>
  </si>
  <si>
    <t>WV</t>
  </si>
  <si>
    <t>WS</t>
  </si>
  <si>
    <t>DY</t>
  </si>
  <si>
    <t>B</t>
  </si>
  <si>
    <t>HR</t>
  </si>
  <si>
    <t>WR</t>
  </si>
  <si>
    <t>CV</t>
  </si>
  <si>
    <t>NN</t>
  </si>
  <si>
    <t>LL</t>
  </si>
  <si>
    <t>SY</t>
  </si>
  <si>
    <t>LD</t>
  </si>
  <si>
    <t>SA</t>
  </si>
  <si>
    <t>CF</t>
  </si>
  <si>
    <t>NP</t>
  </si>
  <si>
    <t>BS</t>
  </si>
  <si>
    <t>SN</t>
  </si>
  <si>
    <t>BA</t>
  </si>
  <si>
    <t>SP</t>
  </si>
  <si>
    <t>BH</t>
  </si>
  <si>
    <t>DT</t>
  </si>
  <si>
    <t>TA</t>
  </si>
  <si>
    <t>EX</t>
  </si>
  <si>
    <t>PL</t>
  </si>
  <si>
    <t>TQ</t>
  </si>
  <si>
    <t>TR</t>
  </si>
  <si>
    <t>MK</t>
  </si>
  <si>
    <t>OX</t>
  </si>
  <si>
    <t>SG</t>
  </si>
  <si>
    <t>CM</t>
  </si>
  <si>
    <t>RG</t>
  </si>
  <si>
    <t>SO</t>
  </si>
  <si>
    <t>PO</t>
  </si>
  <si>
    <t>BN</t>
  </si>
  <si>
    <t>TN</t>
  </si>
  <si>
    <t>CT</t>
  </si>
  <si>
    <t>ME</t>
  </si>
  <si>
    <t>SS</t>
  </si>
  <si>
    <t>RH</t>
  </si>
  <si>
    <t>GU</t>
  </si>
  <si>
    <t>SL</t>
  </si>
  <si>
    <t>HP</t>
  </si>
  <si>
    <t>LU</t>
  </si>
  <si>
    <t>AL</t>
  </si>
  <si>
    <t>Lo</t>
  </si>
  <si>
    <t xml:space="preserve">EBITDA Calculator for Owner Occupier </t>
  </si>
  <si>
    <t xml:space="preserve">What is EBITDA? </t>
  </si>
  <si>
    <t xml:space="preserve">Previous 
tax year end </t>
  </si>
  <si>
    <t xml:space="preserve">Latest 
tax year end </t>
  </si>
  <si>
    <t xml:space="preserve">Projections
if justifiable </t>
  </si>
  <si>
    <t xml:space="preserve">Figure used </t>
  </si>
  <si>
    <t>EBIT = Earnings Before Interest and Taxes  = revenues - operating expenses - depreciation</t>
  </si>
  <si>
    <t>Financial Year</t>
  </si>
  <si>
    <t xml:space="preserve">UW discretion to use accountant projections if viable. </t>
  </si>
  <si>
    <t xml:space="preserve">EBITDA= EBIT (above) + depreciation + amortization </t>
  </si>
  <si>
    <t xml:space="preserve">Uses 2 yr average figures, or the latest year figures if accounts show declining profit.  </t>
  </si>
  <si>
    <t xml:space="preserve">EBITDA isn't clear profit per say, but a good indiactor of.  New interest from MFS mortgage would be an outgoing but also be tax deductible - as will product fees </t>
  </si>
  <si>
    <t>Net Profit</t>
  </si>
  <si>
    <r>
      <rPr>
        <b/>
        <sz val="10"/>
        <rFont val="Calibri"/>
        <family val="2"/>
        <scheme val="minor"/>
      </rPr>
      <t>EBITDA-to-interest coverage ratio</t>
    </r>
    <r>
      <rPr>
        <sz val="10"/>
        <rFont val="Calibri"/>
        <family val="2"/>
        <scheme val="minor"/>
      </rPr>
      <t xml:space="preserve"> assesses a company's financial durability by examining whether it is at least profitable enough to pay off its interest expenses using its pre-tax income</t>
    </r>
  </si>
  <si>
    <t xml:space="preserve">Interest/Mortgage </t>
  </si>
  <si>
    <r>
      <rPr>
        <sz val="9"/>
        <color rgb="FFC00000"/>
        <rFont val="Calibri"/>
        <family val="2"/>
        <scheme val="minor"/>
      </rPr>
      <t>Add</t>
    </r>
    <r>
      <rPr>
        <b/>
        <sz val="9"/>
        <color rgb="FFC00000"/>
        <rFont val="Calibri"/>
        <family val="2"/>
        <scheme val="minor"/>
      </rPr>
      <t xml:space="preserve"> ONLY if</t>
    </r>
    <r>
      <rPr>
        <sz val="9"/>
        <color rgb="FFC00000"/>
        <rFont val="Calibri"/>
        <family val="2"/>
        <scheme val="minor"/>
      </rPr>
      <t xml:space="preserve"> the debt is being repaid in full and no intrest is due in the future.</t>
    </r>
  </si>
  <si>
    <t>Tax</t>
  </si>
  <si>
    <t xml:space="preserve">Depreciation </t>
  </si>
  <si>
    <t xml:space="preserve">Amortization </t>
  </si>
  <si>
    <t xml:space="preserve">ADDBACKS </t>
  </si>
  <si>
    <t xml:space="preserve">Addbacks - we use latest year, or projections. </t>
  </si>
  <si>
    <t>Director remuneration</t>
  </si>
  <si>
    <t xml:space="preserve">E.g., equity partners drawdown dividends, but no fixed salary directors. </t>
  </si>
  <si>
    <t>Rent</t>
  </si>
  <si>
    <t>E.g., previous mortgage being paid off, or rent if buying premises.</t>
  </si>
  <si>
    <t xml:space="preserve">One off costs </t>
  </si>
  <si>
    <t>Eg, justified one off, settled bounce back loan, capital debt repayment.</t>
  </si>
  <si>
    <t xml:space="preserve">Other </t>
  </si>
  <si>
    <t xml:space="preserve">E.g. one-off spends such as plant, big refurb costs etc. </t>
  </si>
  <si>
    <t>RESULT</t>
  </si>
  <si>
    <t>EBITDA</t>
  </si>
  <si>
    <t>Annual EBITDA figure used is the sum of all the above.</t>
  </si>
  <si>
    <t xml:space="preserve">Instructions </t>
  </si>
  <si>
    <t xml:space="preserve">Key figures from last 2 years company accounts in yellow fields. </t>
  </si>
  <si>
    <t>If profit is lower in latest year, calc will ignore previous year and use all figures given in latest year.</t>
  </si>
  <si>
    <t xml:space="preserve">If using accountant's projections (with UW exception only), key the figures in pink cells. This will override all other values. </t>
  </si>
  <si>
    <t xml:space="preserve">Do not amend blue cells (calculated fields). </t>
  </si>
  <si>
    <t xml:space="preserve">The green cell (K25) is resulting average annual EBITDA, monthly equivalent is automatically pulled to the Owner Occupier section in the main calculator tab. </t>
  </si>
  <si>
    <t>THIS IS SET TEXT THAT WILL BE PRINTED - DO NOT AMEND COLUMNS A to D</t>
  </si>
  <si>
    <t>Shows rows to check</t>
  </si>
  <si>
    <t>UW TO CHECK</t>
  </si>
  <si>
    <t>NOTES FOR THE UNDERWRITER</t>
  </si>
  <si>
    <t>Overwrite - new value?</t>
  </si>
  <si>
    <t>Notes for overwrite</t>
  </si>
  <si>
    <t>Formula pull through</t>
  </si>
  <si>
    <t>Decision in Principle</t>
  </si>
  <si>
    <t>← Check</t>
  </si>
  <si>
    <t>Means variable value to the left to check or amend (amends to the right)</t>
  </si>
  <si>
    <t>Defaults to todays date</t>
  </si>
  <si>
    <t>Proposed Loan to:</t>
  </si>
  <si>
    <t xml:space="preserve">Name &amp; Address pulled through </t>
  </si>
  <si>
    <r>
      <t>Security Property</t>
    </r>
    <r>
      <rPr>
        <sz val="10"/>
        <color rgb="FF000000"/>
        <rFont val="Calibri"/>
        <family val="2"/>
        <scheme val="minor"/>
      </rPr>
      <t xml:space="preserve">: </t>
    </r>
  </si>
  <si>
    <t>The Summary</t>
  </si>
  <si>
    <t>This main section is pulled through automatically from Loan Data Tab AND ICR Main tab - suggest value changes in original tabs rather than here</t>
  </si>
  <si>
    <t>Borrower (“you”):</t>
  </si>
  <si>
    <t>Product Type:</t>
  </si>
  <si>
    <t>Annual Interest Rate:</t>
  </si>
  <si>
    <t xml:space="preserve"> The MVR is reviewed periodically in response to changes in the financial markets, including but not limited to changes in the Bank of England Base Rate, changes in the cost of funding, and changes in the law and regulatory requirements.</t>
  </si>
  <si>
    <t>APRC:</t>
  </si>
  <si>
    <t>Monthly Interest Cost:</t>
  </si>
  <si>
    <t>Deferred Interest/Pay Rate:</t>
  </si>
  <si>
    <t>Overpayments:</t>
  </si>
  <si>
    <t>Direct Debit &amp; Start Date:</t>
  </si>
  <si>
    <t>Admin Fee:</t>
  </si>
  <si>
    <t>&lt;-only the admin fee amount needed</t>
  </si>
  <si>
    <t>Valuation Fee:</t>
  </si>
  <si>
    <t>&lt;-only the valuation amount needed</t>
  </si>
  <si>
    <t>Legal Fees:</t>
  </si>
  <si>
    <t>← £ FEE</t>
  </si>
  <si>
    <t>&lt;- legal fees and any clause</t>
  </si>
  <si>
    <t>TERMS OF BUSINESS</t>
  </si>
  <si>
    <t>Defined Terms</t>
  </si>
  <si>
    <t xml:space="preserve">The terms defined in The Summary above are imported with the same meaning in these Terms of Business. </t>
  </si>
  <si>
    <t>DIP Expiry</t>
  </si>
  <si>
    <t>← Check Date</t>
  </si>
  <si>
    <t>&lt;- DIP expiry defaults to 14 days from todays date</t>
  </si>
  <si>
    <t>General &amp; Privacy</t>
  </si>
  <si>
    <t>Loan Purpose</t>
  </si>
  <si>
    <t xml:space="preserve">More than 60% of the Loan provided is being used for business purposes, and by signing this Decision in Principle you declare to us that the Loan is predominantly for the purposes of a business, profession or trade carried on, or intended to be carried on by you.  The Loan will therefore be exempt from the provisions of the Financial Services &amp; Markets Act 2000 and The Mortgage Credit Directive Order 2015 and the Consumer Credit Act 1974 and you will not get the protection afforded by those Acts.  You will be required to provide and sign a declaration relating to business purposes before drawdown.  </t>
  </si>
  <si>
    <t>less than 40% of the Security Property is used or intended to be used as a dwelling.</t>
  </si>
  <si>
    <t>less than 40% of the Security Property is used or intended to be used as a dwelling by you or any spouse, unmarried partner, civil partner, parents, grandparents, siblings, children and grandchildren or any other related person in the future.</t>
  </si>
  <si>
    <t>the Security Property has never been used as a dwelling by you or any spouse, unmarried partner, civil partner, parents, grandparents, siblings, children and grandchildren or any other related person and will not be occupied by you or any of the above-stated persons or any other related person in the future.</t>
  </si>
  <si>
    <t xml:space="preserve">You will be required to sign a declaration to this effect before completion takes place. We will rely upon your declarations when completing the proposed Loan, and such declarations will be a condition of the lending. 
Do not sign this Decision in Principle or any declaration unless the above paragraphs are true. </t>
  </si>
  <si>
    <t>Add if we pay network/club?</t>
  </si>
  <si>
    <t xml:space="preserve">Interest Rate Applied </t>
  </si>
  <si>
    <t>Term of Loan</t>
  </si>
  <si>
    <t>Needs to be 'if 36 AND ZBL'</t>
  </si>
  <si>
    <t>The Loan shall be for the Loan Term, which will commence from the date of drawdown of the Loan.  Please note that this is an interest only BTL Loan facility, and you must be in a position to repay the capital in full at the end of the Term. You should not assume that the Loan Term will be extended.</t>
  </si>
  <si>
    <t>Valuation Fee and Legal Fees</t>
  </si>
  <si>
    <t>Tariff of Charges</t>
  </si>
  <si>
    <t>Fee Structure Table - Post Completion</t>
  </si>
  <si>
    <t>Note: standard tarrif for all cases. ONLY change for a customer case with Credit Committee Approval</t>
  </si>
  <si>
    <t>Fee</t>
  </si>
  <si>
    <t>Charges from</t>
  </si>
  <si>
    <t>Chaps Fee</t>
  </si>
  <si>
    <t>Data Request</t>
  </si>
  <si>
    <t xml:space="preserve">Building Insurance </t>
  </si>
  <si>
    <t xml:space="preserve">Expiry/Renewal of Buildings Insurance </t>
  </si>
  <si>
    <t>Duplicate or Interim Statement (per Statement)</t>
  </si>
  <si>
    <r>
      <t>Calculating Settlement Figures for 3</t>
    </r>
    <r>
      <rPr>
        <vertAlign val="superscript"/>
        <sz val="10"/>
        <color rgb="FF000000"/>
        <rFont val="Calibri"/>
        <family val="2"/>
        <scheme val="minor"/>
      </rPr>
      <t>rd</t>
    </r>
    <r>
      <rPr>
        <sz val="10"/>
        <color rgb="FF000000"/>
        <rFont val="Calibri"/>
        <family val="2"/>
        <scheme val="minor"/>
      </rPr>
      <t xml:space="preserve"> time onwards</t>
    </r>
  </si>
  <si>
    <t>Approval of Tenancy Agreement</t>
  </si>
  <si>
    <t>Deed of Postponement (per Deed required to be executed)</t>
  </si>
  <si>
    <t xml:space="preserve">Unpaid Ground Rent or Service Charge </t>
  </si>
  <si>
    <t>Repayment Administration Fee (per Property being discharged)</t>
  </si>
  <si>
    <t>Deeds Handling</t>
  </si>
  <si>
    <t>Part Sale / Transfer of Security (per part sale/transfer)</t>
  </si>
  <si>
    <t>Consent to Another Lender (per Consent granted)</t>
  </si>
  <si>
    <t>Approval of Easement</t>
  </si>
  <si>
    <t>Part Repayment (per part-payment)</t>
  </si>
  <si>
    <t>Instructing Solicitors</t>
  </si>
  <si>
    <t>Mortgage Reference or Questionnaire</t>
  </si>
  <si>
    <t>Confirmation of Payment History</t>
  </si>
  <si>
    <t>Unpaid/Declined/Dishonoured Direct Debit or Cheque</t>
  </si>
  <si>
    <t>Set Up fee</t>
  </si>
  <si>
    <t>Loan Administration Fee</t>
  </si>
  <si>
    <t>Asset Manager Fee</t>
  </si>
  <si>
    <t>Fees Structure Table - In event of Default</t>
  </si>
  <si>
    <t>Letters and Calls to Customers (per letter or call)</t>
  </si>
  <si>
    <t>Letter and Calls to Third Parties (per letter or call)</t>
  </si>
  <si>
    <t>Instruction of Collection Agents</t>
  </si>
  <si>
    <t>Issue of Default Notice</t>
  </si>
  <si>
    <t>Issue of Possession Proceedings</t>
  </si>
  <si>
    <t>Court Preparation Fee (per hearing)</t>
  </si>
  <si>
    <t>Court Hearing Fee (per hearing)</t>
  </si>
  <si>
    <t>Issuing a Warrant for Possession</t>
  </si>
  <si>
    <t>Borrowers Application to Suspend our Legal Action</t>
  </si>
  <si>
    <t>Repossession of Property (per property)</t>
  </si>
  <si>
    <t>Administration of an Account in Possession (per month)</t>
  </si>
  <si>
    <t>Realisation of the Sale of a Repossessed Property</t>
  </si>
  <si>
    <t>Issuing a Demand to Appoint a Receiver</t>
  </si>
  <si>
    <t>Appointing a Receiver to Manage the Account</t>
  </si>
  <si>
    <t>Director's Time (where applicable) per hour</t>
  </si>
  <si>
    <t>Monthly Arrears Management Fee</t>
  </si>
  <si>
    <t>Please see the enclosed Appendix – Schedule 1 for the explanation of each charge outlined within the Fee structure tables.</t>
  </si>
  <si>
    <t>No Legally Binding Agreement</t>
  </si>
  <si>
    <r>
      <t>You acknowledge and agree that we do not, and will not, provide any financial, accounting, taxation or legal advice in relation to the Loan (and this includes any advice</t>
    </r>
    <r>
      <rPr>
        <i/>
        <sz val="10"/>
        <color rgb="FF000000"/>
        <rFont val="Calibri"/>
        <family val="2"/>
        <scheme val="minor"/>
      </rPr>
      <t xml:space="preserve"> </t>
    </r>
    <r>
      <rPr>
        <sz val="10"/>
        <color rgb="FF000000"/>
        <rFont val="Calibri"/>
        <family val="2"/>
        <scheme val="minor"/>
      </rPr>
      <t>as to the suitability of the Loan for you).</t>
    </r>
  </si>
  <si>
    <t xml:space="preserve">
You should seek your own independent advice in relation to this Decision in Principle.</t>
  </si>
  <si>
    <t xml:space="preserve">Assignment </t>
  </si>
  <si>
    <t>In some instances, we may arrange to assign or transfer the Loan to such entity associated with us, as we deem fit at our discretion.  The Terms will not change.  If we do assign the Loan you will be notified of the change of lender and be provided with contact and payment details.  You may not assign the Loan or its benefit or obligations to any other party or property other than the one stated.</t>
  </si>
  <si>
    <t>Agency and Conflict of Interest</t>
  </si>
  <si>
    <t>You acknowledge that we do not act as your agent and therefore do not owe you a duty of care in this regard.  When signing this Decision in Principle you expressly waive any claim you may now or in the future seek to bring.  You agree to waive any claim to a conflict of interest arising out of any assignment of the Loan or the Loan itself.</t>
  </si>
  <si>
    <t>Indemnity</t>
  </si>
  <si>
    <t>Data Breach Notification</t>
  </si>
  <si>
    <t>All personal data breaches must be reported immediately to the Company’s Data Protection Officer.</t>
  </si>
  <si>
    <t>Data Protection Officer Contact details:</t>
  </si>
  <si>
    <r>
      <t>Email:</t>
    </r>
    <r>
      <rPr>
        <sz val="10"/>
        <color rgb="FF0070C0"/>
        <rFont val="Calibri"/>
        <family val="2"/>
        <scheme val="minor"/>
      </rPr>
      <t xml:space="preserve"> </t>
    </r>
    <r>
      <rPr>
        <u/>
        <sz val="10"/>
        <color rgb="FF0070C0"/>
        <rFont val="Calibri"/>
        <family val="2"/>
        <scheme val="minor"/>
      </rPr>
      <t xml:space="preserve">privacy@mfsuk.com </t>
    </r>
  </si>
  <si>
    <r>
      <t>Signature:</t>
    </r>
    <r>
      <rPr>
        <sz val="10"/>
        <color rgb="FF000000"/>
        <rFont val="Calibri"/>
        <family val="2"/>
        <scheme val="minor"/>
      </rPr>
      <t xml:space="preserve"> ___________________________________         </t>
    </r>
  </si>
  <si>
    <t>Signature: ______________________________</t>
  </si>
  <si>
    <t xml:space="preserve">Name of Signatory: _____________________________        </t>
  </si>
  <si>
    <t xml:space="preserve"> Name of Signatory: ____________________________  </t>
  </si>
  <si>
    <t>Borrowers</t>
  </si>
  <si>
    <t>Default is 2 buyers - enter number 1-4 in column H, left, to make signatories appear/dissapear on the DIP</t>
  </si>
  <si>
    <t xml:space="preserve">(Print Name)                                                                    </t>
  </si>
  <si>
    <t xml:space="preserve">  (Print Name)</t>
  </si>
  <si>
    <t>Number applicants</t>
  </si>
  <si>
    <t xml:space="preserve">Date: ________________________________________        </t>
  </si>
  <si>
    <t xml:space="preserve"> Date: _______________________________________</t>
  </si>
  <si>
    <r>
      <t>Signature:</t>
    </r>
    <r>
      <rPr>
        <sz val="10"/>
        <color rgb="FF000000"/>
        <rFont val="Calibri"/>
        <family val="2"/>
        <scheme val="minor"/>
      </rPr>
      <t xml:space="preserve"> ___________________________________        </t>
    </r>
  </si>
  <si>
    <t xml:space="preserve">(Print Name)                                                              </t>
  </si>
  <si>
    <t xml:space="preserve">Date: ________________________________________         </t>
  </si>
  <si>
    <t>Postcode</t>
  </si>
  <si>
    <t>Proprietor</t>
  </si>
  <si>
    <t>Actual</t>
  </si>
  <si>
    <t>Actual Vs Client</t>
  </si>
  <si>
    <t>Our Charge</t>
  </si>
  <si>
    <t>Existing Charge</t>
  </si>
  <si>
    <t>MFS BTL Gross Loan Amount</t>
  </si>
  <si>
    <t>MFS BTL Net Loan Amount</t>
  </si>
  <si>
    <t>MFS BTL NPB</t>
  </si>
  <si>
    <t>Current Gross LTV</t>
  </si>
  <si>
    <t>MFS BTL Funding Line</t>
  </si>
  <si>
    <t>Property 1</t>
  </si>
  <si>
    <t>2nd</t>
  </si>
  <si>
    <t>1st</t>
  </si>
  <si>
    <t>Property 2</t>
  </si>
  <si>
    <t>Property 3</t>
  </si>
  <si>
    <t>Property 4</t>
  </si>
  <si>
    <t>Property 5</t>
  </si>
  <si>
    <t>(Defaults to BTL calc entries unless populated) - TOTAL:</t>
  </si>
  <si>
    <t>(If starting with GLA fill in yellow below, otherwise leave blank)</t>
  </si>
  <si>
    <t>Maximum LTV on 2nd Charge</t>
  </si>
  <si>
    <t>Above will auto populate with calculator inputs unless manually filled in</t>
  </si>
  <si>
    <t>Gross Loan Amount</t>
  </si>
  <si>
    <t>Total Term</t>
  </si>
  <si>
    <t>Number of Months Rolled up &amp; deducted</t>
  </si>
  <si>
    <t>Number of Months Serviced</t>
  </si>
  <si>
    <t>Broker Fee</t>
  </si>
  <si>
    <t>Broker Comission</t>
  </si>
  <si>
    <t>2nd Charge Bridge - Net Loan Amount</t>
  </si>
  <si>
    <t>Total MFS (BTL + Bridge) Net Loan Amount</t>
  </si>
  <si>
    <t>Total MFS (BTL + Bridge) Gross Loan Amount</t>
  </si>
  <si>
    <t>Blank Dated Cheque Amount (if part serviced)</t>
  </si>
  <si>
    <t>NPB - 2nd Charge Bridge</t>
  </si>
  <si>
    <t>f</t>
  </si>
  <si>
    <t>HOLIDAY LET CALCULATOR</t>
  </si>
  <si>
    <t>Per Month</t>
  </si>
  <si>
    <t>Estimated Rent as standard AST BTL:</t>
  </si>
  <si>
    <t>Per Calendar Month, baseline comparison of viability</t>
  </si>
  <si>
    <t>Per Week</t>
  </si>
  <si>
    <t>Estimated Holiday Rent High Season:</t>
  </si>
  <si>
    <t>Estimated Holiday Rent Mid Season:</t>
  </si>
  <si>
    <t>Estimated Holiday Rent Low Season:</t>
  </si>
  <si>
    <t>Average</t>
  </si>
  <si>
    <t>Assumed Weeks Let Per Year:</t>
  </si>
  <si>
    <t>Standard is 30 weeks unless evidenced higher or lower</t>
  </si>
  <si>
    <t>Note: certain areas (e.g. G.London) can have limits of 90 days p.a. as a holiday let = 13 weeks, unless evidence of planning exception or history of agency bookings &gt; 13 weeks</t>
  </si>
  <si>
    <t>Holiday Let Calculator Results</t>
  </si>
  <si>
    <t>Per Year</t>
  </si>
  <si>
    <t>Assumed Rent as a standard BTL (baseline)</t>
  </si>
  <si>
    <t>Estimated Holiday Let Rent</t>
  </si>
  <si>
    <t>Assumed Weeks Rented p.a.</t>
  </si>
  <si>
    <t>Sheet name for hubspot export:</t>
  </si>
  <si>
    <t>Deal Number on hubspot</t>
  </si>
  <si>
    <t>Priority of info</t>
  </si>
  <si>
    <t>abc</t>
  </si>
  <si>
    <t>7440554082</t>
  </si>
  <si>
    <t>Hubspot</t>
  </si>
  <si>
    <t>Row number</t>
  </si>
  <si>
    <t>ICR Main</t>
  </si>
  <si>
    <t>Deal Lead sheet</t>
  </si>
  <si>
    <t>Section Header</t>
  </si>
  <si>
    <t>Value Taken</t>
  </si>
  <si>
    <t>V for icr</t>
  </si>
  <si>
    <t>V for deal</t>
  </si>
  <si>
    <t>NOTES FOR MAKING</t>
  </si>
  <si>
    <t>Column in hubspot</t>
  </si>
  <si>
    <t>Hubspot value</t>
  </si>
  <si>
    <t>ICR Main Value</t>
  </si>
  <si>
    <t>Deal Lead sheet Value</t>
  </si>
  <si>
    <t>mfs internal information</t>
  </si>
  <si>
    <t>Underwriter</t>
  </si>
  <si>
    <t>BDM</t>
  </si>
  <si>
    <t>Latest note</t>
  </si>
  <si>
    <t>MFS Loan Ref</t>
  </si>
  <si>
    <t>Deal Name</t>
  </si>
  <si>
    <t>Investor Ref</t>
  </si>
  <si>
    <t>Stage</t>
  </si>
  <si>
    <t xml:space="preserve">Date of query </t>
  </si>
  <si>
    <t>NCI Fee Agency</t>
  </si>
  <si>
    <t>Terms date</t>
  </si>
  <si>
    <t>Lawyers</t>
  </si>
  <si>
    <t>Lawyers Quote inc. VAT</t>
  </si>
  <si>
    <t>borrower details</t>
  </si>
  <si>
    <t>Borrower Type</t>
  </si>
  <si>
    <t>Address</t>
  </si>
  <si>
    <t>EDIT the first number in each address - 10,47,57,67,77</t>
  </si>
  <si>
    <t xml:space="preserve">Broker </t>
  </si>
  <si>
    <t>Loan details</t>
  </si>
  <si>
    <t>LTV Taken</t>
  </si>
  <si>
    <t xml:space="preserve">      Proposed LTV</t>
  </si>
  <si>
    <t xml:space="preserve">      confirmed LTV</t>
  </si>
  <si>
    <t xml:space="preserve">      Rolled up &amp; Deducted</t>
  </si>
  <si>
    <t xml:space="preserve">      Serviced</t>
  </si>
  <si>
    <t>Estimated Borrower Tier:</t>
  </si>
  <si>
    <t xml:space="preserve">Tier Product Rate: </t>
  </si>
  <si>
    <t xml:space="preserve">Product Fee: </t>
  </si>
  <si>
    <t>AF</t>
  </si>
  <si>
    <t xml:space="preserve">AF Received </t>
  </si>
  <si>
    <t>Exit fee</t>
  </si>
  <si>
    <t>Gross Broker/Packager Proc Fee:</t>
  </si>
  <si>
    <t>Any extra broker fee to be deducted?</t>
  </si>
  <si>
    <t>Re-Bridge</t>
  </si>
  <si>
    <t>Net Loan Amount</t>
  </si>
  <si>
    <t>Funds from investor</t>
  </si>
  <si>
    <t>Repayment Strategy</t>
  </si>
  <si>
    <t xml:space="preserve">Credit Broking </t>
  </si>
  <si>
    <t>Broker contact details</t>
  </si>
  <si>
    <t>property Info</t>
  </si>
  <si>
    <t>Client Value</t>
  </si>
  <si>
    <t>Purchase Price</t>
  </si>
  <si>
    <t>Actual Valuation</t>
  </si>
  <si>
    <t>Valuer Fees
w/ VAT</t>
  </si>
  <si>
    <t>Date of inspection</t>
  </si>
  <si>
    <t>Valuer Name</t>
  </si>
  <si>
    <t>Val invoice paid?</t>
  </si>
  <si>
    <t>1st charge Lender</t>
  </si>
  <si>
    <t>O/S</t>
  </si>
  <si>
    <t>Property Summary</t>
  </si>
  <si>
    <t>Property Type</t>
  </si>
  <si>
    <t>Dates of inspection</t>
  </si>
  <si>
    <t>FX</t>
  </si>
  <si>
    <t>Valuer Names</t>
  </si>
  <si>
    <t>Charge</t>
  </si>
  <si>
    <t>O/S &amp; 1st charge Lender</t>
  </si>
  <si>
    <t>Property TOTAL</t>
  </si>
  <si>
    <t>Total property Value</t>
  </si>
  <si>
    <t>Valuer Fees + VAT</t>
  </si>
  <si>
    <t>Existing O/S</t>
  </si>
  <si>
    <t>Deal ID</t>
  </si>
  <si>
    <t>Property 5 Address</t>
  </si>
  <si>
    <t>Project Type</t>
  </si>
  <si>
    <t>P5 Outstanding 1st charge</t>
  </si>
  <si>
    <t>Valuation fee received and detailed?</t>
  </si>
  <si>
    <t>Additional Broker fee %</t>
  </si>
  <si>
    <t>Bridging - Closed Won Reason</t>
  </si>
  <si>
    <t>File checked to pass to audit team</t>
  </si>
  <si>
    <t>Annual contract value</t>
  </si>
  <si>
    <t>Lending against valuation or purchase price?</t>
  </si>
  <si>
    <t>Last Modified Date</t>
  </si>
  <si>
    <t>P4 Outstanding 1st charge</t>
  </si>
  <si>
    <t>KYC completed</t>
  </si>
  <si>
    <t>Total property value (scroll down for multiple property addresses)</t>
  </si>
  <si>
    <t>Indicative terms approved</t>
  </si>
  <si>
    <t>P2 Property type</t>
  </si>
  <si>
    <t>P2 Monthly rental income - BTL</t>
  </si>
  <si>
    <t>Pipeline</t>
  </si>
  <si>
    <t>P3 Outstanding 1st charge</t>
  </si>
  <si>
    <t xml:space="preserve">P2 Outstanding 1st charge </t>
  </si>
  <si>
    <t>Arrangement fee %</t>
  </si>
  <si>
    <t>Interest to defer %</t>
  </si>
  <si>
    <t>P5 Number of bedrooms - BTL</t>
  </si>
  <si>
    <t>Date of Query</t>
  </si>
  <si>
    <t>Extra info gathered?</t>
  </si>
  <si>
    <t>Date lawyer instructed</t>
  </si>
  <si>
    <t>Weighted amount in company currency</t>
  </si>
  <si>
    <t>P3 Monthly rental income - BTL</t>
  </si>
  <si>
    <t>Indicative terms sent</t>
  </si>
  <si>
    <t>Monthly interest payment</t>
  </si>
  <si>
    <t>P4 Monthly rental income - BTL</t>
  </si>
  <si>
    <t>P1 Monthly rental income - BTL</t>
  </si>
  <si>
    <t>Borrower type</t>
  </si>
  <si>
    <t>Lawyer</t>
  </si>
  <si>
    <t>Proposed LTV %</t>
  </si>
  <si>
    <t>Next step</t>
  </si>
  <si>
    <t>90 Day Valuation</t>
  </si>
  <si>
    <t>Valuation report reviewed</t>
  </si>
  <si>
    <t>P5 Property Address</t>
  </si>
  <si>
    <t>P4 Number of bedrooms - BTL</t>
  </si>
  <si>
    <t>Total charge to be cleared</t>
  </si>
  <si>
    <t>Comparables completed</t>
  </si>
  <si>
    <t>P3 Number of bedrooms - BTL</t>
  </si>
  <si>
    <t>P4 Property Address</t>
  </si>
  <si>
    <t>Exit fee (%)</t>
  </si>
  <si>
    <t>Campaign of last booking in meetings tool</t>
  </si>
  <si>
    <t>Date credit terms sent</t>
  </si>
  <si>
    <t>P5 Monthly rental income - BTL</t>
  </si>
  <si>
    <t>P5 Purchase Price</t>
  </si>
  <si>
    <t xml:space="preserve">P1 Lending off </t>
  </si>
  <si>
    <t>Forecast probability</t>
  </si>
  <si>
    <t>P5 Date of inspection</t>
  </si>
  <si>
    <t>P5 Tenure</t>
  </si>
  <si>
    <t>P1 Val invoice paid?</t>
  </si>
  <si>
    <t>LTV calc</t>
  </si>
  <si>
    <t>P4 Date of inspection</t>
  </si>
  <si>
    <t>P4 Purchase Price</t>
  </si>
  <si>
    <t>P2 Lending off</t>
  </si>
  <si>
    <t>P5 Tenancy status - BTL</t>
  </si>
  <si>
    <t xml:space="preserve">P1 Outstanding 1st charge </t>
  </si>
  <si>
    <t>Introducer</t>
  </si>
  <si>
    <t>Close Date</t>
  </si>
  <si>
    <t>P2 Val invoice paid?</t>
  </si>
  <si>
    <t>Deal Type</t>
  </si>
  <si>
    <t>NCI report reviewed</t>
  </si>
  <si>
    <t>P2 Number of bedrooms - BTL</t>
  </si>
  <si>
    <t>P3 Property Address</t>
  </si>
  <si>
    <t>P4 Tenure</t>
  </si>
  <si>
    <t>Amount requested</t>
  </si>
  <si>
    <t>P2 Property Address</t>
  </si>
  <si>
    <t>Total ICR%</t>
  </si>
  <si>
    <t>Mode of repayment</t>
  </si>
  <si>
    <t>Client Name</t>
  </si>
  <si>
    <t>P3 Date of inspection</t>
  </si>
  <si>
    <t>P3 Tenure</t>
  </si>
  <si>
    <t>Preconditions met?</t>
  </si>
  <si>
    <t>P4 Tenancy status - BTL</t>
  </si>
  <si>
    <t>P3 Purchase Price</t>
  </si>
  <si>
    <t>P3 Lending off</t>
  </si>
  <si>
    <t xml:space="preserve">P3 Val invoice paid? </t>
  </si>
  <si>
    <t>P1 Property type</t>
  </si>
  <si>
    <t>P5 Postcode</t>
  </si>
  <si>
    <t>Approved by credit committee?</t>
  </si>
  <si>
    <t>P1 Client Valuation fee (£)</t>
  </si>
  <si>
    <t>Number of times contacted</t>
  </si>
  <si>
    <t>P2 Purchase Price</t>
  </si>
  <si>
    <t>Number of Sales Activities</t>
  </si>
  <si>
    <t xml:space="preserve">P4 Val invoice paid? </t>
  </si>
  <si>
    <t>P2 Tenure</t>
  </si>
  <si>
    <t>P1 Property Address</t>
  </si>
  <si>
    <t>P4 Lending off</t>
  </si>
  <si>
    <t>P3 Property type</t>
  </si>
  <si>
    <t>P4 Postcode</t>
  </si>
  <si>
    <t>Original Source Type</t>
  </si>
  <si>
    <t>P2 Date of inspection</t>
  </si>
  <si>
    <t>P3 Tenancy status - BTL</t>
  </si>
  <si>
    <t>P4 Property type</t>
  </si>
  <si>
    <t>P5 Lending off</t>
  </si>
  <si>
    <t>P1 Number of bedrooms - BTL</t>
  </si>
  <si>
    <t>P2 Tenancy status - BTL</t>
  </si>
  <si>
    <t>P1 Date of inspection</t>
  </si>
  <si>
    <t>P3 Postcode</t>
  </si>
  <si>
    <t>P5 Val invoice paid?</t>
  </si>
  <si>
    <t>P5 Valuation provider</t>
  </si>
  <si>
    <t>Number of months serviced</t>
  </si>
  <si>
    <t>P2 Postcode</t>
  </si>
  <si>
    <t>P4 Valuation provider</t>
  </si>
  <si>
    <t>Medium of last booking in meetings tool</t>
  </si>
  <si>
    <t>P5 Property type</t>
  </si>
  <si>
    <t>Create Date</t>
  </si>
  <si>
    <t>P5 Title number</t>
  </si>
  <si>
    <t>Google Maps search</t>
  </si>
  <si>
    <t>Re-Bridge?</t>
  </si>
  <si>
    <t>P1 Tenure</t>
  </si>
  <si>
    <t>P1 Purchase Price</t>
  </si>
  <si>
    <t>Number of months serviced calc</t>
  </si>
  <si>
    <t>P4 Title number</t>
  </si>
  <si>
    <t>Net Loan calculated</t>
  </si>
  <si>
    <t>Commitment fee requested</t>
  </si>
  <si>
    <t xml:space="preserve">P3 Valuation provider </t>
  </si>
  <si>
    <t>Lawyer fee (£)</t>
  </si>
  <si>
    <t>P1 Postcode</t>
  </si>
  <si>
    <t xml:space="preserve">P2 Valuation provider </t>
  </si>
  <si>
    <t>P3 Title number</t>
  </si>
  <si>
    <t>Bridging - Closed lost reason</t>
  </si>
  <si>
    <t>Commitment fee received and detailed?</t>
  </si>
  <si>
    <t>Annual recurring revenue</t>
  </si>
  <si>
    <t>P5 House / Flat - BTL</t>
  </si>
  <si>
    <t>DIP received and uploaded?</t>
  </si>
  <si>
    <t>Rolled interest</t>
  </si>
  <si>
    <t>P2 Title number</t>
  </si>
  <si>
    <t>Broker commission %</t>
  </si>
  <si>
    <t>Arrangement fee (£)</t>
  </si>
  <si>
    <t>P5 Client Valuation fee (£)</t>
  </si>
  <si>
    <t>Full term (months)</t>
  </si>
  <si>
    <t>P4 House / Flat - BTL</t>
  </si>
  <si>
    <t>P3 House / Flat - BTL</t>
  </si>
  <si>
    <t>Has the LTV been confirmed?</t>
  </si>
  <si>
    <t>Title search</t>
  </si>
  <si>
    <t>Deal owner</t>
  </si>
  <si>
    <t>P1 Valuation provider</t>
  </si>
  <si>
    <t>P4 Client Valuation fee (£)</t>
  </si>
  <si>
    <t>P2 If Leasehold, how many years remaining?</t>
  </si>
  <si>
    <t>Uploaded A&amp;L?</t>
  </si>
  <si>
    <t>Last Activity Date</t>
  </si>
  <si>
    <t>Next Activity Date</t>
  </si>
  <si>
    <t>2nd charge to clear</t>
  </si>
  <si>
    <t>Source of last booking in meetings tool</t>
  </si>
  <si>
    <t>P3 If Leasehold, how many years remaining?</t>
  </si>
  <si>
    <t>P1 Actual 180 Day Valuation</t>
  </si>
  <si>
    <t>Owner Assigned Date</t>
  </si>
  <si>
    <t>P2 House / Flat - BTL</t>
  </si>
  <si>
    <t xml:space="preserve">P1 Title number </t>
  </si>
  <si>
    <t>P3 Client Valuation fee (£)</t>
  </si>
  <si>
    <t>P2 Client Valuation fee (£)</t>
  </si>
  <si>
    <t>P5 Type of charge</t>
  </si>
  <si>
    <t>P4 If Leasehold, how many years remaining?</t>
  </si>
  <si>
    <t xml:space="preserve">P5 Actual valuation fee </t>
  </si>
  <si>
    <t>BTL – Further info on case closure</t>
  </si>
  <si>
    <t>Property 2 180 day valuation</t>
  </si>
  <si>
    <t>P1 Tenancy status - BTL</t>
  </si>
  <si>
    <t>Confirmed LTV %</t>
  </si>
  <si>
    <t>Lender</t>
  </si>
  <si>
    <t xml:space="preserve">P5 Actual 180 Day Valuation </t>
  </si>
  <si>
    <t>P5 If Leasehold, how many years remaining?</t>
  </si>
  <si>
    <t>Investor name</t>
  </si>
  <si>
    <t>Deal Stage</t>
  </si>
  <si>
    <t xml:space="preserve">P4 Actual valuation fee </t>
  </si>
  <si>
    <t>P4 Type of charge</t>
  </si>
  <si>
    <t>Property 3 180 day valuation</t>
  </si>
  <si>
    <t>P4 Actual 180 Day Valuation</t>
  </si>
  <si>
    <t xml:space="preserve">P3 Actual valuation fee </t>
  </si>
  <si>
    <t>P3 Actual 180 Day Valuation</t>
  </si>
  <si>
    <t>Number of Associated Contacts</t>
  </si>
  <si>
    <t>P3 Type of charge</t>
  </si>
  <si>
    <t>Original Source Data 1</t>
  </si>
  <si>
    <t>Property 4 180 day valuation</t>
  </si>
  <si>
    <t>Legal cost £ (inc VAT)</t>
  </si>
  <si>
    <t>Valuation fee paid by</t>
  </si>
  <si>
    <t>Weighted amount</t>
  </si>
  <si>
    <t>Total contract value</t>
  </si>
  <si>
    <t>P1 Actual Open Market Valuation</t>
  </si>
  <si>
    <t>Purchase Price Confirmed?</t>
  </si>
  <si>
    <t>Original Source Data 2</t>
  </si>
  <si>
    <t>P2 Actual 180 Day Valuation</t>
  </si>
  <si>
    <t>P2 Actual valuation fee</t>
  </si>
  <si>
    <t>P5 Client Estimated Value</t>
  </si>
  <si>
    <t>Property 5 180 day valuation</t>
  </si>
  <si>
    <t>P2 Type of charge</t>
  </si>
  <si>
    <t>Last Contacted</t>
  </si>
  <si>
    <t>Rent Only ICR%</t>
  </si>
  <si>
    <t>P4 Client Estimated Value</t>
  </si>
  <si>
    <t>Reinstatement cost</t>
  </si>
  <si>
    <t>HubSpot Team</t>
  </si>
  <si>
    <t>P1 Type of charge</t>
  </si>
  <si>
    <t>P1 Outstanding 1st charge lender</t>
  </si>
  <si>
    <t>Full term (in months)</t>
  </si>
  <si>
    <t>Product Fee %</t>
  </si>
  <si>
    <t>P2 Actual Open Market Valuation</t>
  </si>
  <si>
    <t>P3 Client Estimated Value</t>
  </si>
  <si>
    <t>Total to pay to broker calc</t>
  </si>
  <si>
    <t>P3 Actual Open Market Valuation</t>
  </si>
  <si>
    <t>P2 Client Estimated Value</t>
  </si>
  <si>
    <t>P1 Actual valuation fee</t>
  </si>
  <si>
    <t>Type of charge</t>
  </si>
  <si>
    <t>P1 Main property Outcode</t>
  </si>
  <si>
    <t>Amount</t>
  </si>
  <si>
    <t>Investor</t>
  </si>
  <si>
    <t>P1 House / Flat - BTL</t>
  </si>
  <si>
    <t>Is an NCI required?</t>
  </si>
  <si>
    <t>P2 Outstanding 1st charge lender</t>
  </si>
  <si>
    <t>Monthly interest calc</t>
  </si>
  <si>
    <t>Priority</t>
  </si>
  <si>
    <t>P4 Actual Open Market Valuation</t>
  </si>
  <si>
    <t>Funds from investor calc</t>
  </si>
  <si>
    <t>P5 Actual Open Market Valuation</t>
  </si>
  <si>
    <t>P3 Outstanding 1st charge lender</t>
  </si>
  <si>
    <t>Monthly recurring revenue</t>
  </si>
  <si>
    <t>P1 Client Estimated Value</t>
  </si>
  <si>
    <t>P2 Main property Outcode</t>
  </si>
  <si>
    <t>P4 Outstanding 1st charge lender</t>
  </si>
  <si>
    <t>Property 2 value</t>
  </si>
  <si>
    <t>Client est. TOTAL property value</t>
  </si>
  <si>
    <t>Property type</t>
  </si>
  <si>
    <t>Date indicative sent</t>
  </si>
  <si>
    <t>Property 5 Outstanding 1st Charge</t>
  </si>
  <si>
    <t>Property 4 Outstanding 1st Charge</t>
  </si>
  <si>
    <t>BTL - Closed Won Reason</t>
  </si>
  <si>
    <t>Property 3 value</t>
  </si>
  <si>
    <t>P3 Main property Outcode</t>
  </si>
  <si>
    <t>P5 Outstanding 1st charge lender</t>
  </si>
  <si>
    <t>P1 If Leasehold, how many years remaining?</t>
  </si>
  <si>
    <t>Property 4 Value</t>
  </si>
  <si>
    <t>Property 3 outstanding 1st charge</t>
  </si>
  <si>
    <t>P4 Main property Outcode</t>
  </si>
  <si>
    <t>Commitment fee (£)</t>
  </si>
  <si>
    <t>Total to pay to broker</t>
  </si>
  <si>
    <t>Property 5 Value</t>
  </si>
  <si>
    <t>Number of months R+D</t>
  </si>
  <si>
    <t>A&amp;L requested</t>
  </si>
  <si>
    <t>P5 Main property Outcode</t>
  </si>
  <si>
    <t>Property suitable for secured lending</t>
  </si>
  <si>
    <t>Property 2 outstanding 1st charge</t>
  </si>
  <si>
    <t>Property 2 address</t>
  </si>
  <si>
    <t>Forecast category</t>
  </si>
  <si>
    <t>Purpose</t>
  </si>
  <si>
    <t>Property 3 address</t>
  </si>
  <si>
    <t>Amount in company currency</t>
  </si>
  <si>
    <t>Property 4 Address</t>
  </si>
  <si>
    <t>Valuation Received</t>
  </si>
  <si>
    <t>Interest rate %</t>
  </si>
  <si>
    <t>Is file ready to discuss with CC?</t>
  </si>
  <si>
    <t>Associated Company ID</t>
  </si>
  <si>
    <t>Associated Company</t>
  </si>
  <si>
    <t>Associated Contact IDs</t>
  </si>
  <si>
    <t>Associated Contacts</t>
  </si>
  <si>
    <t>7922791473</t>
  </si>
  <si>
    <t>BTL sales pipeline</t>
  </si>
  <si>
    <t>Offline Sources</t>
  </si>
  <si>
    <t>Zahira</t>
  </si>
  <si>
    <t>Zahira Fayyaz</t>
  </si>
  <si>
    <t>BTL - 1.Enquiry</t>
  </si>
  <si>
    <t>IMPORT</t>
  </si>
  <si>
    <t>9347535</t>
  </si>
  <si>
    <t>Ed Ogden - 11X &amp; 15X Hadrian Towers</t>
  </si>
  <si>
    <t>3330040672</t>
  </si>
  <si>
    <t>Knox Capital Solutions</t>
  </si>
  <si>
    <t>248355</t>
  </si>
  <si>
    <t>Ed Ogden (ed@knoxlending.com)</t>
  </si>
  <si>
    <t>7922458647</t>
  </si>
  <si>
    <t>BTL</t>
  </si>
  <si>
    <t>6.89</t>
  </si>
  <si>
    <t>0</t>
  </si>
  <si>
    <t>Company</t>
  </si>
  <si>
    <t>Philip Michael</t>
  </si>
  <si>
    <t>132</t>
  </si>
  <si>
    <t>Aupres Property Services Ltd</t>
  </si>
  <si>
    <t>14A Merton Park Parade, Wimbledon, London, SW19 3NT</t>
  </si>
  <si>
    <t>16/02/2022 - Provided indicative and requested credit report</t>
  </si>
  <si>
    <t>Leasehold</t>
  </si>
  <si>
    <t>5.79</t>
  </si>
  <si>
    <t>Jemima Hayes</t>
  </si>
  <si>
    <t>Vcant</t>
  </si>
  <si>
    <t>BTL - 2.Initial assessment</t>
  </si>
  <si>
    <t>CONTACTS</t>
  </si>
  <si>
    <t>CRM_UI</t>
  </si>
  <si>
    <t>Underwriting</t>
  </si>
  <si>
    <t>1.75</t>
  </si>
  <si>
    <t>199</t>
  </si>
  <si>
    <t>P1 - 1st</t>
  </si>
  <si>
    <t>Flat</t>
  </si>
  <si>
    <t>P1. Residential - BTL</t>
  </si>
  <si>
    <t>199501</t>
  </si>
  <si>
    <t>Phillip Michael (phillip@mantracapital.com)</t>
  </si>
  <si>
    <t>7916105331</t>
  </si>
  <si>
    <t>6.78</t>
  </si>
  <si>
    <t>James Brocklebank</t>
  </si>
  <si>
    <t>186</t>
  </si>
  <si>
    <t xml:space="preserve">GG-286-333 Limited and GG-267-978 Limited </t>
  </si>
  <si>
    <t>201 Regents Plaza, Block B, Manchester</t>
  </si>
  <si>
    <t>16/02 - Further info requested</t>
  </si>
  <si>
    <t>Neil</t>
  </si>
  <si>
    <t>1</t>
  </si>
  <si>
    <t>Neil Patel</t>
  </si>
  <si>
    <t>userId:24802198</t>
  </si>
  <si>
    <t>James Brocklebank - 201 Regents Plaza and 902 Regents Plaza, Block B, Manchester</t>
  </si>
  <si>
    <t>P1 - 1st; P2 - 1st</t>
  </si>
  <si>
    <t>P1. Residential - BTL; P2. Residential - BTL</t>
  </si>
  <si>
    <t>902 Regents Plaza, Block B, Manchester</t>
  </si>
  <si>
    <t>3328981130</t>
  </si>
  <si>
    <t>Rainstone Money</t>
  </si>
  <si>
    <t>2337301</t>
  </si>
  <si>
    <t>James Brocklebank (james@rainstonemoney.co.uk)</t>
  </si>
  <si>
    <t>7914624160</t>
  </si>
  <si>
    <t>5.98</t>
  </si>
  <si>
    <t xml:space="preserve">Joshua Donnelly </t>
  </si>
  <si>
    <t>259</t>
  </si>
  <si>
    <t>13 House HMO Portfolio</t>
  </si>
  <si>
    <t>Imogen</t>
  </si>
  <si>
    <t>Imogen Williams</t>
  </si>
  <si>
    <t>userId:13246530</t>
  </si>
  <si>
    <t>Joshua Donnelly - 13 House HMO Portfolio</t>
  </si>
  <si>
    <t>P1. Commercial - HMO</t>
  </si>
  <si>
    <t>5.29</t>
  </si>
  <si>
    <t>3336831629</t>
  </si>
  <si>
    <t>Finspacegroup</t>
  </si>
  <si>
    <t>2334601</t>
  </si>
  <si>
    <t>Joshua Donnelly (j.donnelly@finspacegroup.co.uk)</t>
  </si>
  <si>
    <t>7914580338</t>
  </si>
  <si>
    <t>6.58</t>
  </si>
  <si>
    <t>211</t>
  </si>
  <si>
    <t xml:space="preserve">Flat 230, Renoir Court, 12 Stubbs Drive, London SE16 3EQ </t>
  </si>
  <si>
    <t xml:space="preserve">16/02/2022 - terms issued. </t>
  </si>
  <si>
    <t>Emma-Leigh Williams</t>
  </si>
  <si>
    <t>BTL - 5.Terms &amp; DIP issued</t>
  </si>
  <si>
    <t>8801468</t>
  </si>
  <si>
    <t>Flat 230, Renoir Court, 12Stubbs Drive, London, SE16 3EQ</t>
  </si>
  <si>
    <t>6835398996</t>
  </si>
  <si>
    <t>ARDEN LEIGH</t>
  </si>
  <si>
    <t>1568751</t>
  </si>
  <si>
    <t>Wole Adenle (wole@ardenleigh.com)</t>
  </si>
  <si>
    <t>7914496166</t>
  </si>
  <si>
    <t>5.86</t>
  </si>
  <si>
    <t>Bob Bennett</t>
  </si>
  <si>
    <t>125</t>
  </si>
  <si>
    <t xml:space="preserve">Harmor Properties Limited </t>
  </si>
  <si>
    <t>15 Cape Road, St Albans, AL1 5DJ</t>
  </si>
  <si>
    <t>15/02 - Further info requested</t>
  </si>
  <si>
    <t>Freehold</t>
  </si>
  <si>
    <t>Alan</t>
  </si>
  <si>
    <t>Alan Collins</t>
  </si>
  <si>
    <t>HD471853</t>
  </si>
  <si>
    <t>8797542</t>
  </si>
  <si>
    <t>1.50</t>
  </si>
  <si>
    <t>Bob Bennett - 15 Cape Road, St Albans, AL1 5DJ</t>
  </si>
  <si>
    <t>4.79</t>
  </si>
  <si>
    <t>3335513542</t>
  </si>
  <si>
    <t>Carlton Property Finance</t>
  </si>
  <si>
    <t>159352</t>
  </si>
  <si>
    <t>Bob Bennett (bob@carlton.uk.com)</t>
  </si>
  <si>
    <t>7908460354</t>
  </si>
  <si>
    <t>Drew Sage</t>
  </si>
  <si>
    <t xml:space="preserve"> 2a Gibbons Road, Dudley, DY3 1QG</t>
  </si>
  <si>
    <t>Jemma Vaja</t>
  </si>
  <si>
    <t>8780508</t>
  </si>
  <si>
    <t>Drew Sage - 2a Gibbons Road, Dudley, DY3 1QG</t>
  </si>
  <si>
    <t>3329572602</t>
  </si>
  <si>
    <t>Brilliant Solutions</t>
  </si>
  <si>
    <t>146451</t>
  </si>
  <si>
    <t>Andrew Sage (drew@brilliantsolutions.co.uk)</t>
  </si>
  <si>
    <t>7908274261</t>
  </si>
  <si>
    <t xml:space="preserve">Scott </t>
  </si>
  <si>
    <t>userId:9553142</t>
  </si>
  <si>
    <t>18 Bed HMO - Stockton on Tees</t>
  </si>
  <si>
    <t>2331651</t>
  </si>
  <si>
    <t>Scott W (scott@wealthbrokerage.co.uk)</t>
  </si>
  <si>
    <t>7907422624</t>
  </si>
  <si>
    <t xml:space="preserve">Pravin Varsani </t>
  </si>
  <si>
    <t>14/02 - need further details, indicative sent</t>
  </si>
  <si>
    <t>Sumit Sapra</t>
  </si>
  <si>
    <t>Pravin Varsani - 2606  Elizabeth Tower</t>
  </si>
  <si>
    <t>6086421423</t>
  </si>
  <si>
    <t>One Financial Solutions</t>
  </si>
  <si>
    <t>1229051</t>
  </si>
  <si>
    <t>Pravin Varsani (pravin@onefinancialsolutions.co.uk)</t>
  </si>
  <si>
    <t>7907464617</t>
  </si>
  <si>
    <t>7.45</t>
  </si>
  <si>
    <t>Bespoke</t>
  </si>
  <si>
    <t>Personal</t>
  </si>
  <si>
    <t>Mark Pugsley</t>
  </si>
  <si>
    <t>121</t>
  </si>
  <si>
    <t>Pauline Naomi Pinnock</t>
  </si>
  <si>
    <t>21 Derewent Grove, Birmingham, B30 2UX</t>
  </si>
  <si>
    <t xml:space="preserve">14/02/22 - Requested breakdown of how funds will be utilized </t>
  </si>
  <si>
    <t>5.99</t>
  </si>
  <si>
    <t>Tenanted</t>
  </si>
  <si>
    <t>2.00</t>
  </si>
  <si>
    <t>House</t>
  </si>
  <si>
    <t>1768402</t>
  </si>
  <si>
    <t>Mark Pugsley (mark@sfbroker.co.uk)</t>
  </si>
  <si>
    <t>7907225409</t>
  </si>
  <si>
    <t>6.41</t>
  </si>
  <si>
    <t>Offshore individual</t>
  </si>
  <si>
    <t>Tejas Mistry</t>
  </si>
  <si>
    <t>175</t>
  </si>
  <si>
    <t xml:space="preserve">Maital Ravit Ben Hur and Gal Aga </t>
  </si>
  <si>
    <t>Apartment 37, Delta Point,74 Blackfriars Road, Salford and parking space, M3 7EL</t>
  </si>
  <si>
    <t>MAN180236</t>
  </si>
  <si>
    <t>userId:24316633</t>
  </si>
  <si>
    <t>The Royal Bank Of Scotland</t>
  </si>
  <si>
    <t>Tejas Mistry - Apartment 37, Delta Point &amp; Flat 15, Camden House &amp; 12, Milltown Apartments &amp; 21 The Lace Mills</t>
  </si>
  <si>
    <t>P1 - 1st; P2 - 1st; P3 - 1st; P4 - 1st</t>
  </si>
  <si>
    <t>P1. Residential - BTL; P2. Residential - BTL; P3. Residential - BTL; P4. Residential - BTL</t>
  </si>
  <si>
    <t>Flat 15, Camden House, 2
Grey Street, Ashton-Under-Lyne, OL6 6XF</t>
  </si>
  <si>
    <t>12, Milltown Apartments, 40
Stand Lane, Radcliffe, Manchester, M26 1LJ</t>
  </si>
  <si>
    <t>21 The Lace Mills, Nottingham, plot 12</t>
  </si>
  <si>
    <t>2195351</t>
  </si>
  <si>
    <t>Tejas Mistry (tej@knoxlending.com)</t>
  </si>
  <si>
    <t>7905525012</t>
  </si>
  <si>
    <t>Ebenezer Hundeyin</t>
  </si>
  <si>
    <t>Flat 5, 1 Chantry Close, London, SE2 9NU</t>
  </si>
  <si>
    <t>Other Campaigns</t>
  </si>
  <si>
    <t>TGL238380</t>
  </si>
  <si>
    <t>BM Solutions</t>
  </si>
  <si>
    <t>Ebenezer Hundeyin - Flat 5, 1 Chantry Close, London, SE2 9NU</t>
  </si>
  <si>
    <t>167894</t>
  </si>
  <si>
    <t>Ebenezer Hundeyin (eyhinsurance@btconnect.com)</t>
  </si>
  <si>
    <t>7905349293</t>
  </si>
  <si>
    <t>Harmesh Pooni</t>
  </si>
  <si>
    <t>PSK heights Ltd</t>
  </si>
  <si>
    <t xml:space="preserve">Riverview Lodge 88 Borstal Road, Riverview Lodge Guest House, Rochester, Kent. ME1 3BD </t>
  </si>
  <si>
    <t>14/02 initial info requested</t>
  </si>
  <si>
    <t>Harj</t>
  </si>
  <si>
    <t>Harjeevan Johal</t>
  </si>
  <si>
    <t>userId:24802199</t>
  </si>
  <si>
    <t>Harmesh Pooni - Riverview Lodge88 Borstal Road, Riverview Lodge Guest House, Rochester, Kent. ME1 3BD</t>
  </si>
  <si>
    <t>7889057109</t>
  </si>
  <si>
    <t>Finance-4-Business</t>
  </si>
  <si>
    <t>2308501</t>
  </si>
  <si>
    <t>Harmesh Pooni (harmesh@finance-4-business.co.uk)</t>
  </si>
  <si>
    <t>7905219947</t>
  </si>
  <si>
    <t>5.37</t>
  </si>
  <si>
    <t>1.5</t>
  </si>
  <si>
    <t>Atif Malik</t>
  </si>
  <si>
    <t>251</t>
  </si>
  <si>
    <t>Refinance</t>
  </si>
  <si>
    <t>143 Withington Road, Manchester, M16 8EE</t>
  </si>
  <si>
    <t>14/02 - further info requested, indicative sent</t>
  </si>
  <si>
    <t>Paul</t>
  </si>
  <si>
    <t>vacant</t>
  </si>
  <si>
    <t>userId:26827317</t>
  </si>
  <si>
    <t>together</t>
  </si>
  <si>
    <t>Atif Mailk -143 Withington Road, Manchester, M16 8EE</t>
  </si>
  <si>
    <t>m16 8</t>
  </si>
  <si>
    <t>7735324541</t>
  </si>
  <si>
    <t>Portfolio</t>
  </si>
  <si>
    <t>2196251</t>
  </si>
  <si>
    <t>Atif Malik (atif.malik@portfoliouk.com)</t>
  </si>
  <si>
    <t>7885130337</t>
  </si>
  <si>
    <t>Offshore company</t>
  </si>
  <si>
    <t>Organic Search</t>
  </si>
  <si>
    <t>Unknown keywords (SSL)</t>
  </si>
  <si>
    <t>GOOGLE</t>
  </si>
  <si>
    <t>Raghu Venugopal - No.4 &amp; 5, 5 Apartments at Battersea</t>
  </si>
  <si>
    <t>4235296601</t>
  </si>
  <si>
    <t>Novemberfinance</t>
  </si>
  <si>
    <t>404501</t>
  </si>
  <si>
    <t>Raghu Venugopal (raghu@novemberfinance.com)</t>
  </si>
  <si>
    <t>7885070163</t>
  </si>
  <si>
    <t>Raghu Venugopal - No.1,2, &amp; 3, 5 Apartments at Battersea</t>
  </si>
  <si>
    <t>P1 - 1st; P2 - 1st; P3 - 1st</t>
  </si>
  <si>
    <t>P1. Residential - BTL; P2. Residential - BTL; P3. Residential - BTL</t>
  </si>
  <si>
    <t>7884724365</t>
  </si>
  <si>
    <t>Steven Chu</t>
  </si>
  <si>
    <t>Rongrong Li</t>
  </si>
  <si>
    <t>Apartment 59 Cubitt Building, 10 Gatliff Road, London SW1W 8QL</t>
  </si>
  <si>
    <t>userId:9553136</t>
  </si>
  <si>
    <t>Steven Chu-Apartment 59 Cubitt Building, 10 Gatliff Road, London SW1W 8QL</t>
  </si>
  <si>
    <t>1848001</t>
  </si>
  <si>
    <t>Steven Chu (steven.chu@primuscapital.co.uk)</t>
  </si>
  <si>
    <t>7884652671</t>
  </si>
  <si>
    <t>6.99</t>
  </si>
  <si>
    <t>Afsheen Kebryai</t>
  </si>
  <si>
    <t>122</t>
  </si>
  <si>
    <t>3 , 14 and 80 Switch House Easr, Battersea Power Station, Circus Road East, SW118BB</t>
  </si>
  <si>
    <t xml:space="preserve">14/02 - indicative sent, need further details </t>
  </si>
  <si>
    <t>Afsheen Kebryai - 3, 14 &amp; 80 Batttersea</t>
  </si>
  <si>
    <t>sw1</t>
  </si>
  <si>
    <t>14</t>
  </si>
  <si>
    <t>Purchase</t>
  </si>
  <si>
    <t>80</t>
  </si>
  <si>
    <t>3335072411</t>
  </si>
  <si>
    <t>PARKSIDE TRADERS LIMITED</t>
  </si>
  <si>
    <t>167862</t>
  </si>
  <si>
    <t>Afsheen Kebryai (afsheen@parksidetraders.co.uk)</t>
  </si>
  <si>
    <t>7884149899</t>
  </si>
  <si>
    <t>David Humphries</t>
  </si>
  <si>
    <t>Max Steven</t>
  </si>
  <si>
    <t xml:space="preserve"> 7 Ashford Hill, Ashford Hill, Thatcham RG19 8BB </t>
  </si>
  <si>
    <t>HP528319</t>
  </si>
  <si>
    <t>17693144</t>
  </si>
  <si>
    <t>David Humphries- 7 Ashford Hill, Ashford Hill, Thatcham RG19 8BB</t>
  </si>
  <si>
    <t>1080802</t>
  </si>
  <si>
    <t>Dave Humphries (dave.humphries@redkitefsltd.co.uk)</t>
  </si>
  <si>
    <t>7876538035</t>
  </si>
  <si>
    <t>Portsmouth</t>
  </si>
  <si>
    <t>2314051</t>
  </si>
  <si>
    <t>Rita Fu (ritafu682@mfn.com)</t>
  </si>
  <si>
    <t>7876357140</t>
  </si>
  <si>
    <t>5.69</t>
  </si>
  <si>
    <t>Jayson Wholey</t>
  </si>
  <si>
    <t>321</t>
  </si>
  <si>
    <t>Rebekah Seddon-Wickens</t>
  </si>
  <si>
    <t>Stanley Park, Selsley, Stroud, GL5 5LE</t>
  </si>
  <si>
    <t>15/02/22 - Requested A&amp;L - chased</t>
  </si>
  <si>
    <t>Vacant</t>
  </si>
  <si>
    <t>333051</t>
  </si>
  <si>
    <t>Jayson Wholey (jayson@cmacentre.co.uk)</t>
  </si>
  <si>
    <t>7874363750</t>
  </si>
  <si>
    <t>10/02 initial info requested</t>
  </si>
  <si>
    <t>Kevin Duffin - portfolio</t>
  </si>
  <si>
    <t>3328978439</t>
  </si>
  <si>
    <t>Mesa Financial Consultants</t>
  </si>
  <si>
    <t>146903</t>
  </si>
  <si>
    <t>Kevin Duffin (kevin@mesafc.co.uk)</t>
  </si>
  <si>
    <t>7872953469</t>
  </si>
  <si>
    <t>5.76</t>
  </si>
  <si>
    <t>1.0</t>
  </si>
  <si>
    <t>Imran Raja</t>
  </si>
  <si>
    <t>120</t>
  </si>
  <si>
    <t>EMILIE DIONNE SZASZ-FRANK</t>
  </si>
  <si>
    <t xml:space="preserve"> Flat 3, 8 Templeton Place, London SW5 9LZ</t>
  </si>
  <si>
    <t xml:space="preserve">15/02/22 - Provided indicative and requested credit report </t>
  </si>
  <si>
    <t>The Mortgage Works</t>
  </si>
  <si>
    <t>1144401</t>
  </si>
  <si>
    <t>Imran Raja (imran@bizl.co)</t>
  </si>
  <si>
    <t>7873943558</t>
  </si>
  <si>
    <t>Ed Ogden</t>
  </si>
  <si>
    <t>LL&amp;P LIMITED</t>
  </si>
  <si>
    <t>Ed Ogden - 3rd &amp; 4th floors, Icona, 1 Redeness Street, York, YO31 7UU</t>
  </si>
  <si>
    <t>P1. Holiday Let</t>
  </si>
  <si>
    <t>7873268855</t>
  </si>
  <si>
    <t>6.60</t>
  </si>
  <si>
    <t>Kieron Horn</t>
  </si>
  <si>
    <t>Purchase - Kingston</t>
  </si>
  <si>
    <t>1885852</t>
  </si>
  <si>
    <t>Kieron Horn (kieron.horn@clayton-welch.com)</t>
  </si>
  <si>
    <t>7873989538</t>
  </si>
  <si>
    <t>Ed Ogden - 1st &amp; 2nd floors, Icona, 1 Redeness Street, York, YO31 7UU</t>
  </si>
  <si>
    <t>7872669480</t>
  </si>
  <si>
    <t>Nina Petrova - 86 Eltham High Street, London, SE91BW</t>
  </si>
  <si>
    <t>4394588891</t>
  </si>
  <si>
    <t>Pitch4</t>
  </si>
  <si>
    <t>2034601</t>
  </si>
  <si>
    <t>Nina Petrova (npetrova@pitch4.com)</t>
  </si>
  <si>
    <t>7872648045</t>
  </si>
  <si>
    <t>Pratik Shah</t>
  </si>
  <si>
    <t>SURENDRA SHAH and KUSUM SHAH</t>
  </si>
  <si>
    <t xml:space="preserve"> 45 Glenwood Road, Tottenham, N15 3JS</t>
  </si>
  <si>
    <t>NGL253327</t>
  </si>
  <si>
    <t>Pratik Shah - 45 Glenwood Road, Tottenham, N15 3JS</t>
  </si>
  <si>
    <t>3337063093</t>
  </si>
  <si>
    <t>BIZL</t>
  </si>
  <si>
    <t>168259</t>
  </si>
  <si>
    <t>Pratik Shah (pratik@bizl.co)</t>
  </si>
  <si>
    <t>7872634233</t>
  </si>
  <si>
    <t>KUSUM SHAH and ANJALEE SURENDRA SHAH</t>
  </si>
  <si>
    <t>68 Downhills Way, London, N17 6BB</t>
  </si>
  <si>
    <t>NGL80318</t>
  </si>
  <si>
    <t>SKIPTON BUILDING SOCIETY</t>
  </si>
  <si>
    <t>Pratik Shah - 68 Downhills Way, London, N17 6BB</t>
  </si>
  <si>
    <t>7873037696</t>
  </si>
  <si>
    <t>7.17</t>
  </si>
  <si>
    <t>2.0</t>
  </si>
  <si>
    <t xml:space="preserve">Micheal Bediako </t>
  </si>
  <si>
    <t>Lewis Michael McGrail</t>
  </si>
  <si>
    <t>Spring Cottage, Allimore green, Haughton, Stafford,  ST18 9JQ</t>
  </si>
  <si>
    <t>14/02 - Val booked for 24/02</t>
  </si>
  <si>
    <t>Wayne Fitzpatrick</t>
  </si>
  <si>
    <t>Method</t>
  </si>
  <si>
    <t>SF350245</t>
  </si>
  <si>
    <t>BTL - 6.Valuation instructed</t>
  </si>
  <si>
    <t>8812673</t>
  </si>
  <si>
    <t>2</t>
  </si>
  <si>
    <t>ST18</t>
  </si>
  <si>
    <t>3838245390</t>
  </si>
  <si>
    <t>amaca-ci.com</t>
  </si>
  <si>
    <t>173752</t>
  </si>
  <si>
    <t>Micheal Bediako (micheal@amaca-ci.com)</t>
  </si>
  <si>
    <t>7865986142</t>
  </si>
  <si>
    <t>7.10</t>
  </si>
  <si>
    <t>Syed Abbas / Zain Abbas</t>
  </si>
  <si>
    <t xml:space="preserve">Alam Niazi Properties Limited </t>
  </si>
  <si>
    <t>113 Trentham Drive, Nottingham, NG8 3ND</t>
  </si>
  <si>
    <t>14/02 - Called to follow up on terms</t>
  </si>
  <si>
    <t>NT392908</t>
  </si>
  <si>
    <t>tenanted</t>
  </si>
  <si>
    <t>3335071079</t>
  </si>
  <si>
    <t>a2zbridging.co.uk</t>
  </si>
  <si>
    <t>163976;422951</t>
  </si>
  <si>
    <t>Syed Abbas (syed.abbas@a2zbridging.co.uk); Zain Abbas (zain@a2zbridging.co.uk)</t>
  </si>
  <si>
    <t>7864668947</t>
  </si>
  <si>
    <t>Chris Strahan</t>
  </si>
  <si>
    <t>15 School Lane, Freckleton, Preston, PR4 1PJ</t>
  </si>
  <si>
    <t>8796940</t>
  </si>
  <si>
    <t>Chris Strahan- 15 School Lane, Freckleton, Preston, PR4 1PJ</t>
  </si>
  <si>
    <t>3330038515</t>
  </si>
  <si>
    <t>Synergy</t>
  </si>
  <si>
    <t>156180</t>
  </si>
  <si>
    <t>Chris Strahan (chris@mosaicadvisory.co.uk)</t>
  </si>
  <si>
    <t>7855503222</t>
  </si>
  <si>
    <t>Saleem Akram</t>
  </si>
  <si>
    <t>4 Fairways, Convent Road, Broadstairs CT10 3PX</t>
  </si>
  <si>
    <t>14/02/22 - Requested rental income - chased</t>
  </si>
  <si>
    <t>167720</t>
  </si>
  <si>
    <t>Saleem Akram (saleem@comfs.co.uk)</t>
  </si>
  <si>
    <t>7852858887</t>
  </si>
  <si>
    <t>MFS</t>
  </si>
  <si>
    <t>Pyramid Properties (GB) Limited</t>
  </si>
  <si>
    <t>The Squirrels, 2a Douglas Avenue, Romford RM3 0UT</t>
  </si>
  <si>
    <t>14/02/22 - Requested A&amp;L and credit report - chased</t>
  </si>
  <si>
    <t>2295351</t>
  </si>
  <si>
    <t>Imran G (imran@goldberghomes.uk)</t>
  </si>
  <si>
    <t>7852096012</t>
  </si>
  <si>
    <t>Stacey Forrester</t>
  </si>
  <si>
    <t>Stacey Forrester - 2 Bed Flat Purchase</t>
  </si>
  <si>
    <t>2932640010</t>
  </si>
  <si>
    <t>Brightstar</t>
  </si>
  <si>
    <t>2161501</t>
  </si>
  <si>
    <t>Stacey Forrester (stacey@brightstarhub.co.uk)</t>
  </si>
  <si>
    <t>7852040970</t>
  </si>
  <si>
    <t xml:space="preserve">Unit 10, Patshull Hall, Burnhill Green, Wolverhampton, WV6 7HY </t>
  </si>
  <si>
    <t xml:space="preserve">Rupert Child </t>
  </si>
  <si>
    <t>149</t>
  </si>
  <si>
    <t>JarJar Properties Ltd</t>
  </si>
  <si>
    <t xml:space="preserve">1. Unit 11, Patshull Hall, Patshull Hall, Burnhill Green, Wolverhampton, WV6 7HY  &amp; 2. Land on the south side of Revival Street, Walsall </t>
  </si>
  <si>
    <t>11/02 terms issued</t>
  </si>
  <si>
    <t>VAS Group</t>
  </si>
  <si>
    <t>Seneca</t>
  </si>
  <si>
    <t>Rupert Child - Portfolio</t>
  </si>
  <si>
    <t>P1 - 1st; P2 - 1st; P3 - 1st; P4 - 1st; P5 - 1st</t>
  </si>
  <si>
    <t>Reward + Dudley</t>
  </si>
  <si>
    <t>Dudley</t>
  </si>
  <si>
    <t>Dudley Building Society</t>
  </si>
  <si>
    <t>Fortys Capital Limited</t>
  </si>
  <si>
    <t xml:space="preserve">3. The Barns, Lane Green Road, Bilbrook, Codsall, Wolverhampton, WV8 1LP  &amp; 4. 29 Woodall Street, Walsall, WS3 3HG </t>
  </si>
  <si>
    <t xml:space="preserve">4. 31 Woodall Street, Walsall, WS3 3HG &amp; 5. 51 Revival Street, Walsall, WS3 3HJ </t>
  </si>
  <si>
    <t xml:space="preserve">The West Gatehouse, Patshull Hall, Patshull Park, Burnhill Green, Wolverhampton, WV6 7HY </t>
  </si>
  <si>
    <t>3335890046</t>
  </si>
  <si>
    <t>Arc &amp; Co.</t>
  </si>
  <si>
    <t>1080562</t>
  </si>
  <si>
    <t>Rupert Child (rupert@arcandco.com)</t>
  </si>
  <si>
    <t>7851901812</t>
  </si>
  <si>
    <t>Rupert Child</t>
  </si>
  <si>
    <t>LIAM BRIAN WORDLEY</t>
  </si>
  <si>
    <t xml:space="preserve"> 184 Stafford Street, Wolverhampton, WV1 1NA</t>
  </si>
  <si>
    <t>08/02 initial info requested</t>
  </si>
  <si>
    <t>MM1786</t>
  </si>
  <si>
    <t>Llyods</t>
  </si>
  <si>
    <t>Rupert Child - 184 Stafford Street, Wolverhampton, WV1 1NA</t>
  </si>
  <si>
    <t>7851558063</t>
  </si>
  <si>
    <t>Nirmal Singh - Agate Road, Clacton on Sea</t>
  </si>
  <si>
    <t>162309</t>
  </si>
  <si>
    <t>Nirmal Singh (nirmals@hotmail.co.uk)</t>
  </si>
  <si>
    <t>7844779189</t>
  </si>
  <si>
    <t>5.92</t>
  </si>
  <si>
    <t>1.7</t>
  </si>
  <si>
    <t>Kelly Rule</t>
  </si>
  <si>
    <t>MWAB Ltd</t>
  </si>
  <si>
    <t>Cotton's Gardens, London, E2</t>
  </si>
  <si>
    <t>no</t>
  </si>
  <si>
    <t xml:space="preserve">07/02 - indicatives sent, need further details. </t>
  </si>
  <si>
    <t>Kelly Rule-Cotton's Gardens, London, E2</t>
  </si>
  <si>
    <t>e21</t>
  </si>
  <si>
    <t>147059</t>
  </si>
  <si>
    <t>Kelly Rule (kelly@vibefinance.co.uk)</t>
  </si>
  <si>
    <t>7844177445</t>
  </si>
  <si>
    <t>Ollie Ralph</t>
  </si>
  <si>
    <t>Flat 204, 115, Princess Street, Manchester, M1 6JB</t>
  </si>
  <si>
    <t>09/02 - legal quote added &amp; initial info requested</t>
  </si>
  <si>
    <t>userId:24035269</t>
  </si>
  <si>
    <t>Ollie Ralph - Flat 204 &amp; Flat 306, 115, Princess Street, Manchester, M1 6JB</t>
  </si>
  <si>
    <t>Flat 306, 115, Princess Street, Manchester, M1 6JB</t>
  </si>
  <si>
    <t>4335481520</t>
  </si>
  <si>
    <t>Positive Lending</t>
  </si>
  <si>
    <t>2260001</t>
  </si>
  <si>
    <t>Ollie Ralph (ollie.ralph@positivelending.co.uk)</t>
  </si>
  <si>
    <t>7843942315</t>
  </si>
  <si>
    <t>0.5</t>
  </si>
  <si>
    <t xml:space="preserve">Tamal Bhattacharya </t>
  </si>
  <si>
    <t>247</t>
  </si>
  <si>
    <t>70 Portland Street, Derby, DE23 8QB</t>
  </si>
  <si>
    <t xml:space="preserve">07/02 need further details. </t>
  </si>
  <si>
    <t>Tamal Bhattacharya -  70 Portland Street, Derby, DE23 8QB</t>
  </si>
  <si>
    <t>de23</t>
  </si>
  <si>
    <t>P1. Commercial - Care Home</t>
  </si>
  <si>
    <t>1831151</t>
  </si>
  <si>
    <t>Tamal Bhattacharya (reply2tamal@gmail.com)</t>
  </si>
  <si>
    <t>7843943069</t>
  </si>
  <si>
    <t>James Storer</t>
  </si>
  <si>
    <t>QUANTUMVIA PROPERTY LTD</t>
  </si>
  <si>
    <t>07/02 initial info requested</t>
  </si>
  <si>
    <t>BTL Purchase</t>
  </si>
  <si>
    <t>3336837061</t>
  </si>
  <si>
    <t>Capricorn Financial Consultancy</t>
  </si>
  <si>
    <t>1893201</t>
  </si>
  <si>
    <t>James Storer (james.storer@capricorncommercial.co.uk)</t>
  </si>
  <si>
    <t>7843858454</t>
  </si>
  <si>
    <t>5.62</t>
  </si>
  <si>
    <t>Magnus O'Esere</t>
  </si>
  <si>
    <t>128</t>
  </si>
  <si>
    <t>Danielle Sieglinde Tumler</t>
  </si>
  <si>
    <t>334 Plumstead High Street, London, SE18 1JT</t>
  </si>
  <si>
    <t xml:space="preserve">07/02 - Terms issued </t>
  </si>
  <si>
    <t>4.99</t>
  </si>
  <si>
    <t>SGL276938</t>
  </si>
  <si>
    <t>Siberite</t>
  </si>
  <si>
    <t>3880521059</t>
  </si>
  <si>
    <t>LANGLEY PARK PARTNERS</t>
  </si>
  <si>
    <t>240801</t>
  </si>
  <si>
    <t>Magnus O'Esere (mno@langleyparkpartners.co.uk)</t>
  </si>
  <si>
    <t>7843727637</t>
  </si>
  <si>
    <t>5.68</t>
  </si>
  <si>
    <t>0.50</t>
  </si>
  <si>
    <t>124</t>
  </si>
  <si>
    <t>123 Davenport Road, London, SE6 2AU</t>
  </si>
  <si>
    <t>TGL5065</t>
  </si>
  <si>
    <t>Siberite Mortgages</t>
  </si>
  <si>
    <t xml:space="preserve">SE6 </t>
  </si>
  <si>
    <t>7843057209</t>
  </si>
  <si>
    <t>William Gleeson</t>
  </si>
  <si>
    <t>William Gleeson - 8102 Elizabeth Tower</t>
  </si>
  <si>
    <t>4003838557</t>
  </si>
  <si>
    <t>Articusfinance</t>
  </si>
  <si>
    <t>2200601</t>
  </si>
  <si>
    <t>William Gleeson (william@articusfinance.co.uk)</t>
  </si>
  <si>
    <t>7843046034</t>
  </si>
  <si>
    <t>166</t>
  </si>
  <si>
    <t>67 Kingsman Street, London, SE18 5QF</t>
  </si>
  <si>
    <t>07/02 - Terms issues</t>
  </si>
  <si>
    <t>TGL250000</t>
  </si>
  <si>
    <t>Bank of Scotland PLC</t>
  </si>
  <si>
    <t>7842395659</t>
  </si>
  <si>
    <t>6.14</t>
  </si>
  <si>
    <t>stacey forrester</t>
  </si>
  <si>
    <t>Flat 11, 36 Churchway, London, NW1 2AT</t>
  </si>
  <si>
    <t>07/02 - indicatives issued, need further docs</t>
  </si>
  <si>
    <t>Stacey Forrester- Flat 11, 36 Churchway, London, NW1 2AT</t>
  </si>
  <si>
    <t>nw1</t>
  </si>
  <si>
    <t>7818925876</t>
  </si>
  <si>
    <t>james Lennon</t>
  </si>
  <si>
    <t>148</t>
  </si>
  <si>
    <t>North Civil Investments (BVI)</t>
  </si>
  <si>
    <t>31 Berisford Mews, Wandsworth, London SW18 2LW</t>
  </si>
  <si>
    <t>16/02 - Val report chased</t>
  </si>
  <si>
    <t>Savills</t>
  </si>
  <si>
    <t>James Lennon - 31 Berisford Mews, Wandsworth, London SW18 2LW</t>
  </si>
  <si>
    <t>sw18</t>
  </si>
  <si>
    <t>4297117873</t>
  </si>
  <si>
    <t>Taptoncapital</t>
  </si>
  <si>
    <t>435251</t>
  </si>
  <si>
    <t>James Lennon (james@taptoncapital.co.uk)</t>
  </si>
  <si>
    <t>7818074013</t>
  </si>
  <si>
    <t>Debbie Neale</t>
  </si>
  <si>
    <t>Infinity PD Ltd</t>
  </si>
  <si>
    <t>17 Newnton Grove, Malmesbury, SN16 0DS</t>
  </si>
  <si>
    <t>Debbie Neale - 17 Newnton Grove, Malmesbury, SN16 0DS</t>
  </si>
  <si>
    <t>3330019481</t>
  </si>
  <si>
    <t>Swbf</t>
  </si>
  <si>
    <t>148625</t>
  </si>
  <si>
    <t>Debbie Neale (debbieneale@swbf.co.uk)</t>
  </si>
  <si>
    <t>7818604559</t>
  </si>
  <si>
    <t>Flat A, 44 Queens Gate, SW7 5HR.</t>
  </si>
  <si>
    <t>3336429097</t>
  </si>
  <si>
    <t>Absolute-Email.net is owned and managed by Medusa Red Ltd.</t>
  </si>
  <si>
    <t>169234</t>
  </si>
  <si>
    <t>Ian Battersby (ianbattersby@ecsfinance.co.uk)</t>
  </si>
  <si>
    <t>7817773847</t>
  </si>
  <si>
    <t>92 Kennel Ride, Ascot, SL5 7NW</t>
  </si>
  <si>
    <t>3336828781</t>
  </si>
  <si>
    <t>pkd-group.co.uk</t>
  </si>
  <si>
    <t>169384</t>
  </si>
  <si>
    <t>Manvinder Sehmi (manvinder@pkd-group.co.uk)</t>
  </si>
  <si>
    <t>7816444822</t>
  </si>
  <si>
    <t>04/02 - Sent indicatives</t>
  </si>
  <si>
    <t>137 Hill Lane, Southampton, SO15 5AF</t>
  </si>
  <si>
    <t>3337061774</t>
  </si>
  <si>
    <t>Thepropertyfundingagency</t>
  </si>
  <si>
    <t>169483</t>
  </si>
  <si>
    <t>Richard Berkley (richardberkley@thepropertyfundingagency.com)</t>
  </si>
  <si>
    <t>7816259159</t>
  </si>
  <si>
    <t>Chris Hutton</t>
  </si>
  <si>
    <t>231</t>
  </si>
  <si>
    <t xml:space="preserve">Eva &amp; Daniel Montila </t>
  </si>
  <si>
    <t>The Sea Front Suite, The Parade, Viking Bay Beachfront Broadstairs, CT10 1LZ</t>
  </si>
  <si>
    <t>Direct Traffic</t>
  </si>
  <si>
    <t>10/02 val booked for 16th Feb</t>
  </si>
  <si>
    <t>1.00</t>
  </si>
  <si>
    <t>www.mfsuk.com/intermediaries-and-brokers</t>
  </si>
  <si>
    <t>495451</t>
  </si>
  <si>
    <t>Chris Hutton (chris.hutton@smebf.co.uk)</t>
  </si>
  <si>
    <t>7808577682</t>
  </si>
  <si>
    <t>133</t>
  </si>
  <si>
    <t>84 Purrett Road, Plumstead, London SE18 1JP</t>
  </si>
  <si>
    <t>07/02 - Terms issued</t>
  </si>
  <si>
    <t>LN164456</t>
  </si>
  <si>
    <t>Topaz</t>
  </si>
  <si>
    <t>7806310181</t>
  </si>
  <si>
    <t>Kirty Khemka</t>
  </si>
  <si>
    <t>HVY ASSET INVESTMENTS LIMITED</t>
  </si>
  <si>
    <t xml:space="preserve"> 30 Victoria Road, Swindon, SN1 3AW</t>
  </si>
  <si>
    <t>04/02 initial info requested</t>
  </si>
  <si>
    <t>WT74392</t>
  </si>
  <si>
    <t>userId:13166162</t>
  </si>
  <si>
    <t>Futures Trading Partners Limited</t>
  </si>
  <si>
    <t>Kirty Khemka - 30 Victoria Road, Swindon, SN1 3AW</t>
  </si>
  <si>
    <t>3994479804</t>
  </si>
  <si>
    <t>Our Mortgage Broker</t>
  </si>
  <si>
    <t>1882701</t>
  </si>
  <si>
    <t>Kirty Khemka (kirty@ourmortgagebroker.co.uk)</t>
  </si>
  <si>
    <t>7806145201</t>
  </si>
  <si>
    <t>5.67</t>
  </si>
  <si>
    <t>123</t>
  </si>
  <si>
    <t>BRIGHT OMAVIA APINOKO</t>
  </si>
  <si>
    <t>81 Orchard Grove, Edgware, HA8 5BN</t>
  </si>
  <si>
    <t>10/02 - terms issued</t>
  </si>
  <si>
    <t>P140144</t>
  </si>
  <si>
    <t>Mortgage Express</t>
  </si>
  <si>
    <t>Tejas Mistry - 81 Orchard Grove, Edgware, HA8 5BN</t>
  </si>
  <si>
    <t>7797752761</t>
  </si>
  <si>
    <t>131</t>
  </si>
  <si>
    <t xml:space="preserve"> Hodgson House, Rainsford Road, Chelmsford, CM1 2XB</t>
  </si>
  <si>
    <t>02/02 initial info requested</t>
  </si>
  <si>
    <t>William Gleeson - Hodgson House, Rainsford Road, Chelmsford, CM1 2XB</t>
  </si>
  <si>
    <t>7797524652</t>
  </si>
  <si>
    <t>127</t>
  </si>
  <si>
    <t>Moorland Investment Ltd</t>
  </si>
  <si>
    <t>33 Bramley Road, Kinson, BH10 5LU</t>
  </si>
  <si>
    <t>16/02 val report chased, val went ahead and should receive report by end of this week</t>
  </si>
  <si>
    <t>JRW</t>
  </si>
  <si>
    <t>Pratik Shah - 33 Bramley Road, Kinson, BH10 5LU</t>
  </si>
  <si>
    <t>7796755766</t>
  </si>
  <si>
    <t>6.85</t>
  </si>
  <si>
    <t xml:space="preserve">Mihaela Burlacu </t>
  </si>
  <si>
    <t>174 Boaler Street, Liverpool, L6 6AD</t>
  </si>
  <si>
    <t>Mihaela Burlacu - 174 Boaler Street, Liverpool, L6 6AD</t>
  </si>
  <si>
    <t>l66a</t>
  </si>
  <si>
    <t>3328978442</t>
  </si>
  <si>
    <t>Yellow Stone Finance</t>
  </si>
  <si>
    <t>875501</t>
  </si>
  <si>
    <t>Mihaela Burlacu (m.burlacu@yellowstonefinance.com)</t>
  </si>
  <si>
    <t>7786702138</t>
  </si>
  <si>
    <t>7.06</t>
  </si>
  <si>
    <t>0.65</t>
  </si>
  <si>
    <t>James lennon</t>
  </si>
  <si>
    <t>30 Berisford Mews, Wandsworth, London SW18 2LW</t>
  </si>
  <si>
    <t>rented</t>
  </si>
  <si>
    <t>James Lennon- 30 Berisford Mews, Wandsworth, London SW18 2LW</t>
  </si>
  <si>
    <t>7784882251</t>
  </si>
  <si>
    <t>Khurram Saeed</t>
  </si>
  <si>
    <t>129</t>
  </si>
  <si>
    <t>Amrik Singh Bhopal &amp; Amarjeet Kaur</t>
  </si>
  <si>
    <t>74 Alderbury Road, Slough, SL3 8DL</t>
  </si>
  <si>
    <t>01/02 initial info requested</t>
  </si>
  <si>
    <t>Oliver</t>
  </si>
  <si>
    <t>Rooftop Mortgages</t>
  </si>
  <si>
    <t>Khurram Saeed - 74 Alderbury Road, Slough, SL3 8DL</t>
  </si>
  <si>
    <t>3124719540</t>
  </si>
  <si>
    <t>Financehub</t>
  </si>
  <si>
    <t>96201</t>
  </si>
  <si>
    <t>Khurram Saeed (khurram@financehub.ltd)</t>
  </si>
  <si>
    <t>7783662855</t>
  </si>
  <si>
    <t>5.74</t>
  </si>
  <si>
    <t>0.45</t>
  </si>
  <si>
    <t>lee douris</t>
  </si>
  <si>
    <t xml:space="preserve">The Pathans Limited </t>
  </si>
  <si>
    <t>10 Stradbroke Drive, Chigwell, Essex, IG7 5QX</t>
  </si>
  <si>
    <t>16/02 - val booked for tomorrow</t>
  </si>
  <si>
    <t>11455234</t>
  </si>
  <si>
    <t>lee Douris- 10 Stradbroke Drive, Chigwell, Essex, IG7 5QX</t>
  </si>
  <si>
    <t>ig7</t>
  </si>
  <si>
    <t>621051</t>
  </si>
  <si>
    <t>Lee Douris (lee.douris@synergy.finance)</t>
  </si>
  <si>
    <t>7775030795</t>
  </si>
  <si>
    <t>daniel Ali</t>
  </si>
  <si>
    <t>169A Drakefell Road, London SE4 2DT</t>
  </si>
  <si>
    <t>03/02- need further details</t>
  </si>
  <si>
    <t>Daniel Ali - 169A Drakefell Road, London SE4 2DT</t>
  </si>
  <si>
    <t>se4</t>
  </si>
  <si>
    <t>2211751</t>
  </si>
  <si>
    <t>Daniel Ali (moneytreepropertyservices@gmail.com)</t>
  </si>
  <si>
    <t>7774899577</t>
  </si>
  <si>
    <t>0.25</t>
  </si>
  <si>
    <t>2.7.703, Building 10, Royal Arsenal Riverside</t>
  </si>
  <si>
    <t>31/01 initial info requested</t>
  </si>
  <si>
    <t>James Storer - 2.7.703, Building 10, Royal Arsenal Riverside</t>
  </si>
  <si>
    <t>3400479259</t>
  </si>
  <si>
    <t>capricorncommercial.co.uk</t>
  </si>
  <si>
    <t>7774138200</t>
  </si>
  <si>
    <t>31/01 - Sent indicatives</t>
  </si>
  <si>
    <t>Crowndale Road, Camden Town, NW1</t>
  </si>
  <si>
    <t>7774130232</t>
  </si>
  <si>
    <t>5.49</t>
  </si>
  <si>
    <t>.5</t>
  </si>
  <si>
    <t>Micheal Bediako</t>
  </si>
  <si>
    <t>Maria Amanda Madrid-Berrio</t>
  </si>
  <si>
    <t>Flat A, 104 Pratt Street, London, NW1 0DN</t>
  </si>
  <si>
    <t>NGL896793</t>
  </si>
  <si>
    <t>NW1</t>
  </si>
  <si>
    <t>7774059173</t>
  </si>
  <si>
    <t>45 Harmood House, Harmood Street, NW1 8DY</t>
  </si>
  <si>
    <t>02/02 - Terms issued</t>
  </si>
  <si>
    <t>NGL786777</t>
  </si>
  <si>
    <t>Barclays Bank</t>
  </si>
  <si>
    <t>7773113502</t>
  </si>
  <si>
    <t>Himatlal Dawada &amp; Reshma Dawada</t>
  </si>
  <si>
    <t>Flat 10, Block F, Peabody Estate, Herbrand St, WC1N 1JF</t>
  </si>
  <si>
    <t>Pratik Shah - Flat 10, Block F, Peabody Estate, Herbrand St, WC1N 1JF</t>
  </si>
  <si>
    <t>7773024933</t>
  </si>
  <si>
    <t>7.05</t>
  </si>
  <si>
    <t>Harpreet Chadha</t>
  </si>
  <si>
    <t>Annika Properties Ltd</t>
  </si>
  <si>
    <t>64 Ruskin Avenue, Feltham, TW14 9HY</t>
  </si>
  <si>
    <t>07/02 revised terms issued</t>
  </si>
  <si>
    <t>Harpreet Chadha - 64 Ruskin Avenue, Feltham, TW14 9HY</t>
  </si>
  <si>
    <t>3328141163</t>
  </si>
  <si>
    <t>Noble Life</t>
  </si>
  <si>
    <t>146729</t>
  </si>
  <si>
    <t>Harpreet Chadha (harpreet@noblelife.co.uk)</t>
  </si>
  <si>
    <t>7772910952</t>
  </si>
  <si>
    <t>Richard Huang</t>
  </si>
  <si>
    <t>260</t>
  </si>
  <si>
    <t>NewBright Properties Ltd</t>
  </si>
  <si>
    <t xml:space="preserve"> 79 Burney Ave Surbiton KT5 8DF</t>
  </si>
  <si>
    <t>31/01 - Indicatives issued, need further details</t>
  </si>
  <si>
    <t>Richard Huang-  79 Burney Ave  Surbiton KT5 8DF</t>
  </si>
  <si>
    <t>kt5</t>
  </si>
  <si>
    <t>3328983126</t>
  </si>
  <si>
    <t>NEW WORLD FINANCE, LLC</t>
  </si>
  <si>
    <t>147860</t>
  </si>
  <si>
    <t>Shao Zhong (Richard Huang ) (nwf268@newworldfinance.com)</t>
  </si>
  <si>
    <t>7772670247</t>
  </si>
  <si>
    <t>Amit Jajodia</t>
  </si>
  <si>
    <t>156</t>
  </si>
  <si>
    <t>Sajid Bashir Mahomed</t>
  </si>
  <si>
    <t>97 Framfield Road, Mitcham CR4 2AW</t>
  </si>
  <si>
    <t>15/02/22 - Signed DIP received. Await Fees</t>
  </si>
  <si>
    <t>P49167</t>
  </si>
  <si>
    <t>www.mfsuk.com/</t>
  </si>
  <si>
    <t>Social Money</t>
  </si>
  <si>
    <t>1080113</t>
  </si>
  <si>
    <t>Amit Jajodia (amit@dajfinancialservices.com)</t>
  </si>
  <si>
    <t>7772548399</t>
  </si>
  <si>
    <t>6.27</t>
  </si>
  <si>
    <t>174</t>
  </si>
  <si>
    <t>18 DATE STREET,ELEPHANT AND CASTLE LONDON SE17 2HQ.</t>
  </si>
  <si>
    <t>31/01 - indicatives issued, need further details</t>
  </si>
  <si>
    <t>Richard Huang- 18 Date Street,Elephant And Castle London SE17 2HQ</t>
  </si>
  <si>
    <t>se17</t>
  </si>
  <si>
    <t>7751859712</t>
  </si>
  <si>
    <t>Chetan Natha</t>
  </si>
  <si>
    <t>Nisha Kotecha</t>
  </si>
  <si>
    <t>Flat 9, 17 Holland Park, London W11 3TD</t>
  </si>
  <si>
    <t>15/02/22 - Requested credit report and A&amp;L - chased</t>
  </si>
  <si>
    <t>315901</t>
  </si>
  <si>
    <t>Chetan Natha (chetan@mortgageap.co.uk)</t>
  </si>
  <si>
    <t>7750707287</t>
  </si>
  <si>
    <t>7.28</t>
  </si>
  <si>
    <t>Yoga Neserajan</t>
  </si>
  <si>
    <t>Gunaratnam Vaseeharan &amp; Kalpana Vaseeharan</t>
  </si>
  <si>
    <t>202 Runnymede, London, SW19 2RG</t>
  </si>
  <si>
    <t>28/01 initial info requested</t>
  </si>
  <si>
    <t>TMB</t>
  </si>
  <si>
    <t>Yoga Nesarajan - 202 Runnymede, London, SW19 2RG</t>
  </si>
  <si>
    <t>3891581026</t>
  </si>
  <si>
    <t>accessdirectifa.com</t>
  </si>
  <si>
    <t>146751</t>
  </si>
  <si>
    <t>Yoga Nesarajan (accessdirect.yoga@gmail.com)</t>
  </si>
  <si>
    <t>7750706355</t>
  </si>
  <si>
    <t>5.61</t>
  </si>
  <si>
    <t>0.75</t>
  </si>
  <si>
    <t>Kevin Eagles</t>
  </si>
  <si>
    <t>Flat 12 Logan House, W8 6QN</t>
  </si>
  <si>
    <t>userId:11679046</t>
  </si>
  <si>
    <t>Kevin Eagles- Flat 12 Logan House, W8 6QN</t>
  </si>
  <si>
    <t>w86qn</t>
  </si>
  <si>
    <t>1883051</t>
  </si>
  <si>
    <t>Kevin Eagles (kevin@arcandco.com)</t>
  </si>
  <si>
    <t>7750826551</t>
  </si>
  <si>
    <t>Kevan Reid</t>
  </si>
  <si>
    <t>404</t>
  </si>
  <si>
    <t>DANIEL JOHN GRAY &amp; GRAYS PROPERTIES LTD</t>
  </si>
  <si>
    <t xml:space="preserve"> 84 and 86 Lytham Road, Blackpool, FY1 6DZ </t>
  </si>
  <si>
    <t xml:space="preserve">28/01 - indicatives issued, need further details </t>
  </si>
  <si>
    <t>LA899405</t>
  </si>
  <si>
    <t xml:space="preserve">tenanted </t>
  </si>
  <si>
    <t>Kevan Reid - 84 and 86 Lytham Road, Blackpool, FY1 6DZ &amp; 16 St Bedes Avenue,Blackpool, FY4 1AQ</t>
  </si>
  <si>
    <t>fy4</t>
  </si>
  <si>
    <t>P1. Commercial - Other; P2. Commercial - Other</t>
  </si>
  <si>
    <t>16 St Bedes Avenue,Blackpool (FY4 1AQ</t>
  </si>
  <si>
    <t>169569</t>
  </si>
  <si>
    <t>Kevan Reid (kevan.reid@synergy.finance)</t>
  </si>
  <si>
    <t>7750362399</t>
  </si>
  <si>
    <t>7.29</t>
  </si>
  <si>
    <t>Darren Lee</t>
  </si>
  <si>
    <t>MELANIE HEANEY</t>
  </si>
  <si>
    <t>10 Godman Road, London, SE15 3SR</t>
  </si>
  <si>
    <t>04/02 terms issued</t>
  </si>
  <si>
    <t>Capital Value Surveyors</t>
  </si>
  <si>
    <t>TGL276694</t>
  </si>
  <si>
    <t>Darren Lee - 10 Godman Road, London, SE15 3SR</t>
  </si>
  <si>
    <t>1485951</t>
  </si>
  <si>
    <t>Darren Lee (darren@taptoncapital.co.uk)</t>
  </si>
  <si>
    <t>7743729529</t>
  </si>
  <si>
    <t>5.59</t>
  </si>
  <si>
    <t>Gaurav Ladhar</t>
  </si>
  <si>
    <t>123 Sydney Road, Hornsey, London, N8 0ET</t>
  </si>
  <si>
    <t>27/01 initial info requested</t>
  </si>
  <si>
    <t>Nationwide</t>
  </si>
  <si>
    <t>Gaurav Ladhar - 123 Sydney Road, Hornsey, London, N8 0ET</t>
  </si>
  <si>
    <t>3959063595</t>
  </si>
  <si>
    <t>Landmark Private Finance</t>
  </si>
  <si>
    <t>288901</t>
  </si>
  <si>
    <t>Gaurav Ladhar (gl@landmarkprivatefinance.com)</t>
  </si>
  <si>
    <t>7743551008</t>
  </si>
  <si>
    <t xml:space="preserve">Kevin eagles </t>
  </si>
  <si>
    <t>11 logan house, w86qn</t>
  </si>
  <si>
    <t>Kevin Eagles- Flat 11 Logan House, W8 6QN</t>
  </si>
  <si>
    <t>7743234121</t>
  </si>
  <si>
    <t>Steve Holgate</t>
  </si>
  <si>
    <t>BTL - £200k</t>
  </si>
  <si>
    <t>2222801</t>
  </si>
  <si>
    <t>Steve Holgate (steve@holgate.co.uk)</t>
  </si>
  <si>
    <t>7740378690</t>
  </si>
  <si>
    <t>180 day valuation</t>
  </si>
  <si>
    <t>Lawrence Stephens</t>
  </si>
  <si>
    <t>Bilal Ahmed</t>
  </si>
  <si>
    <t xml:space="preserve">Canning Town Suites Limited </t>
  </si>
  <si>
    <t>Flat 9, 14 Shirley Street, London E16 1HU</t>
  </si>
  <si>
    <t xml:space="preserve">15/02/22 - Legal docs issued. File passed to accounts. Legal docs not signed yet. Not much else o/s. </t>
  </si>
  <si>
    <t>Strutt &amp; Parker</t>
  </si>
  <si>
    <t>TGL555550</t>
  </si>
  <si>
    <t>75</t>
  </si>
  <si>
    <t>BTL - 9.Moves to audit</t>
  </si>
  <si>
    <t>Aura Soltana Limited</t>
  </si>
  <si>
    <t>317701</t>
  </si>
  <si>
    <t>Bilal Ahmed (bilal@hbig.co.uk)</t>
  </si>
  <si>
    <t>7740075824</t>
  </si>
  <si>
    <t>Daniel Ali</t>
  </si>
  <si>
    <t>130</t>
  </si>
  <si>
    <t>Dersim Estates Ltd</t>
  </si>
  <si>
    <t>1a High Street, Purley, CR8 2AF</t>
  </si>
  <si>
    <t>Daniel Ali - 1a + 1b High Street, Purley, CR8 2AF</t>
  </si>
  <si>
    <t>7739906728</t>
  </si>
  <si>
    <t>1.30</t>
  </si>
  <si>
    <t>Assad Younis</t>
  </si>
  <si>
    <t>Pamela Greene</t>
  </si>
  <si>
    <t>flat9, Garrard House, 30 Garrard Street, Reading, Berkshire, RG1</t>
  </si>
  <si>
    <t>16/02 Val report chased</t>
  </si>
  <si>
    <t>Assad Younis -flat 9,  Garrard House, 30 Garrard Street, Reading, Berkshire, RG11NR</t>
  </si>
  <si>
    <t>rg1</t>
  </si>
  <si>
    <t>461801</t>
  </si>
  <si>
    <t>Assad Younis (assad@articusfinance.co.uk)</t>
  </si>
  <si>
    <t>7723929188</t>
  </si>
  <si>
    <t>6.49</t>
  </si>
  <si>
    <t>Fieldfisher</t>
  </si>
  <si>
    <t xml:space="preserve">Sohyjjad Miah </t>
  </si>
  <si>
    <t>fox road limited</t>
  </si>
  <si>
    <t>19 Fox Road, Stevenage and garage 60 Penn Road SG1 1JD</t>
  </si>
  <si>
    <t xml:space="preserve">11/02 - legals instructed </t>
  </si>
  <si>
    <t>BTL - 8.Solicitors instructed for completion</t>
  </si>
  <si>
    <t>Sohyjjad Miah - 19 Fox Road, Stevenage andgarage 60 Penn Road SG1 1JD</t>
  </si>
  <si>
    <t>sg1</t>
  </si>
  <si>
    <t>7736766106</t>
  </si>
  <si>
    <t>Cliffordam</t>
  </si>
  <si>
    <t>2202001</t>
  </si>
  <si>
    <t>Soj Miah (soj@cliffordam.co.uk)</t>
  </si>
  <si>
    <t>7723120798</t>
  </si>
  <si>
    <t>Matthew Barker</t>
  </si>
  <si>
    <t xml:space="preserve">324 and 326 Eastern Avenue East, Romford, RM2 5RA </t>
  </si>
  <si>
    <t>26/01 initial info requested</t>
  </si>
  <si>
    <t>EGL407680</t>
  </si>
  <si>
    <t>Commercial Acceptances</t>
  </si>
  <si>
    <t>Matthew Barker - 324 and 326 Eastern Avenue East, Romford, RM2 5RA &amp; 43 First Avenue, London, W3 7JP &amp; 21 Halesworth Road, London, SE13 7TJ</t>
  </si>
  <si>
    <t xml:space="preserve">43 First Avenue, London, W3 7JP </t>
  </si>
  <si>
    <t xml:space="preserve"> 21 Halesworth Road, London, SE13 7TJ</t>
  </si>
  <si>
    <t>3328139305</t>
  </si>
  <si>
    <t>OpesFinancialPartners</t>
  </si>
  <si>
    <t>1789501</t>
  </si>
  <si>
    <t>Matthew Barker (matt.barker@opesfp.com)</t>
  </si>
  <si>
    <t>7721038373</t>
  </si>
  <si>
    <t>Nathan Bakhbakhi</t>
  </si>
  <si>
    <t>Battersea Property S.A.</t>
  </si>
  <si>
    <t xml:space="preserve">20 Boiler House, Battersea Power Station, Circus Road South, London, SW11 8AT </t>
  </si>
  <si>
    <t>10/02 terms issued</t>
  </si>
  <si>
    <t>Adelaide Jones</t>
  </si>
  <si>
    <t xml:space="preserve">Nathan Bakhbakhi - 20 Boiler House, Battersea Power Station, Circus Road South, London, SW11 8AT </t>
  </si>
  <si>
    <t>se1</t>
  </si>
  <si>
    <t>3329575089</t>
  </si>
  <si>
    <t>Knight Frank Finance LLP</t>
  </si>
  <si>
    <t>852301</t>
  </si>
  <si>
    <t>Nathan Bakhbakhi (nathan.bakhbakhi@knightfrankfinance.com)</t>
  </si>
  <si>
    <t>7721034300</t>
  </si>
  <si>
    <t>5.80</t>
  </si>
  <si>
    <t>Vidya Sharma</t>
  </si>
  <si>
    <t>Jatinder Singh Rai</t>
  </si>
  <si>
    <t>Flat 50, Merchants House, Collington Street, London, SE10 9LX</t>
  </si>
  <si>
    <t>11/02/22 - Chased terms - Scott dealing with broker</t>
  </si>
  <si>
    <t>Capital Home Loans</t>
  </si>
  <si>
    <t>170601</t>
  </si>
  <si>
    <t>!Vidya Sharma (vidyassharma@hotmail.co.uk)</t>
  </si>
  <si>
    <t>7716475792</t>
  </si>
  <si>
    <t>5.77</t>
  </si>
  <si>
    <t>John Saddiq</t>
  </si>
  <si>
    <t>139.2</t>
  </si>
  <si>
    <t>Ambreen Khan</t>
  </si>
  <si>
    <t>2 The Dreel, Edgbaston, Birmingham, B15 3NS</t>
  </si>
  <si>
    <t>John Saddiq - 2 The Dreel, Edgbaston, Birmingham, B15 3NS</t>
  </si>
  <si>
    <t>6157126501</t>
  </si>
  <si>
    <t>jbfoods.co.uk</t>
  </si>
  <si>
    <t>1271001</t>
  </si>
  <si>
    <t>John Saddiq (john@jbfoods.co.uk)</t>
  </si>
  <si>
    <t>7714766339</t>
  </si>
  <si>
    <t>26/01 - Sent indicatives to Scott</t>
  </si>
  <si>
    <t>63 Sudbury Court Drive, Harrow, HA1 3ST</t>
  </si>
  <si>
    <t>6186612804</t>
  </si>
  <si>
    <t>pearlmortgages.co.uk</t>
  </si>
  <si>
    <t>2209551</t>
  </si>
  <si>
    <t>Ketan Natalia (ketan.natalia@amaricare.co.uk)</t>
  </si>
  <si>
    <t>7713888383</t>
  </si>
  <si>
    <t>ABR PROPERTIES (NW) LTD</t>
  </si>
  <si>
    <t>58 Park Road, Blackpool, FY1 4HT</t>
  </si>
  <si>
    <t>Paul Ratcliffe</t>
  </si>
  <si>
    <t>Cambridge &amp; Counties</t>
  </si>
  <si>
    <t>Chris Strahan - Blackpool portfolio</t>
  </si>
  <si>
    <t>11 Heald Street, Blackpool, FY3 8BQ</t>
  </si>
  <si>
    <t>10B Freckleton Street, PR4 2SP</t>
  </si>
  <si>
    <t>7712777728</t>
  </si>
  <si>
    <t>7.01</t>
  </si>
  <si>
    <t>0.15</t>
  </si>
  <si>
    <t>Winston Hashtroodi</t>
  </si>
  <si>
    <t>409 Oakley House 10 Electric Boulevard Battersea SW11 8BS</t>
  </si>
  <si>
    <t xml:space="preserve">26/01 - indicatives issued, need further details. </t>
  </si>
  <si>
    <t>Winston Hashtroodi- 409 Oakley House 10 Electric Boulevard Battersea SW11 8BS</t>
  </si>
  <si>
    <t>sw11</t>
  </si>
  <si>
    <t>619656</t>
  </si>
  <si>
    <t>Winston Hashtroodi (winston@capricornfinancial.co.uk)</t>
  </si>
  <si>
    <t>7695305728</t>
  </si>
  <si>
    <t>25/01 - Requested further info</t>
  </si>
  <si>
    <t>userId:10406399</t>
  </si>
  <si>
    <t>1 Cedar Close, Lakenheath, Brandon, IP27 9QN</t>
  </si>
  <si>
    <t>1603651</t>
  </si>
  <si>
    <t>Gizem Tasan (gizem_tasan@hotmail.co.uk)</t>
  </si>
  <si>
    <t>7694545196</t>
  </si>
  <si>
    <t>Pravin Varsani</t>
  </si>
  <si>
    <t>Essence Private Limited</t>
  </si>
  <si>
    <t xml:space="preserve">502 Elizabeth Tower, Crown Street, Manchester M15 4AX </t>
  </si>
  <si>
    <t>15/02 chased val report and legals</t>
  </si>
  <si>
    <t>Matthews &amp; Goodman</t>
  </si>
  <si>
    <t xml:space="preserve">Pravin Varsani - 502 Elizabeth Tower, Crown Street, Manchester M15 4AX </t>
  </si>
  <si>
    <t>7693399326</t>
  </si>
  <si>
    <t>6.92</t>
  </si>
  <si>
    <t>Masood Rashid</t>
  </si>
  <si>
    <t>167</t>
  </si>
  <si>
    <t>Millenium Properties (UK) Limited</t>
  </si>
  <si>
    <t>60 Upper Berkeley Street, London, W1H 7PP</t>
  </si>
  <si>
    <t>10/02 val quotes requested</t>
  </si>
  <si>
    <t>W1H 7PP</t>
  </si>
  <si>
    <t>43</t>
  </si>
  <si>
    <t>Mhitar Limited</t>
  </si>
  <si>
    <t>Masood Rashid - 60 Upper Berkeley Street, London, W1H 7PP</t>
  </si>
  <si>
    <t>148929</t>
  </si>
  <si>
    <t>Masood Rashid (masood.rashid@opesfp.com)</t>
  </si>
  <si>
    <t>7693183335</t>
  </si>
  <si>
    <t>228</t>
  </si>
  <si>
    <t>STRATEGIC CITY HOLDINGS LIMITED</t>
  </si>
  <si>
    <t>35 Boundary Road, London, NW8 0JE</t>
  </si>
  <si>
    <t>10/02 - Val quotes requested</t>
  </si>
  <si>
    <t>3V INTERNATIONAL LIMITED</t>
  </si>
  <si>
    <t xml:space="preserve">Masood Rashid - 35 Boundary Road, London, NW8 0JE </t>
  </si>
  <si>
    <t>7691981458</t>
  </si>
  <si>
    <t>164</t>
  </si>
  <si>
    <t>94 Beauchamp RoadLondon SE19 3DJ</t>
  </si>
  <si>
    <t xml:space="preserve">25/01 - Indicatives sent, need further details </t>
  </si>
  <si>
    <t>Tejas Mistry- 94 Beauchamp RoadLondon SE19 3DJ</t>
  </si>
  <si>
    <t>se19</t>
  </si>
  <si>
    <t>7684260901</t>
  </si>
  <si>
    <t>6.48</t>
  </si>
  <si>
    <t>Parvez Alam</t>
  </si>
  <si>
    <t>135.4</t>
  </si>
  <si>
    <t>Gholamreza Haghighat</t>
  </si>
  <si>
    <t>165 Carronade Court, Eden Grove, London, N7 8GP</t>
  </si>
  <si>
    <t>24/01 initial info requested</t>
  </si>
  <si>
    <t>96.1</t>
  </si>
  <si>
    <t>Parvez Alam - 165 Carronade Court, Eden Grove, London, N7 8GP</t>
  </si>
  <si>
    <t>3328981151</t>
  </si>
  <si>
    <t>Parkside Private Finance Limited</t>
  </si>
  <si>
    <t>147876</t>
  </si>
  <si>
    <t>Parvez Alam (parvez@parksideprivatefinance.co.uk)</t>
  </si>
  <si>
    <t>7684069046</t>
  </si>
  <si>
    <t>3675</t>
  </si>
  <si>
    <t xml:space="preserve">Winston Hashtroodi </t>
  </si>
  <si>
    <t>122.2</t>
  </si>
  <si>
    <t>1 Ebury Square, Belgravia, SW1W9AH</t>
  </si>
  <si>
    <t>24/01 - indicatives sent, need further docs</t>
  </si>
  <si>
    <t>Winston Hashtroodi - 1 Ebury Square, Belgravia, SW1W9AH</t>
  </si>
  <si>
    <t>sw1w</t>
  </si>
  <si>
    <t>7655600309</t>
  </si>
  <si>
    <t>James Storer -</t>
  </si>
  <si>
    <t>124.1</t>
  </si>
  <si>
    <t>Finborough Road, Chelsea, SW10</t>
  </si>
  <si>
    <t>James Storer - Finborough Road, Chelsea, SW10</t>
  </si>
  <si>
    <t>7655680513</t>
  </si>
  <si>
    <t>21/01 - Passed to Scott</t>
  </si>
  <si>
    <t>50 Merchant House, Greenwich, SE10 9LX</t>
  </si>
  <si>
    <t>7652938784</t>
  </si>
  <si>
    <t>127.4</t>
  </si>
  <si>
    <t xml:space="preserve">Laniwyn Cleaning Services LTD </t>
  </si>
  <si>
    <t>203 Cleveland Way, Stevenage, SG1 6BX</t>
  </si>
  <si>
    <t>11/02 - Chased docs</t>
  </si>
  <si>
    <t>HD417796</t>
  </si>
  <si>
    <t>EBL</t>
  </si>
  <si>
    <t>7642304513</t>
  </si>
  <si>
    <t>7.21</t>
  </si>
  <si>
    <t>Jason Clark-Ward</t>
  </si>
  <si>
    <t>124.5</t>
  </si>
  <si>
    <t>METRIX DEVELOPMENTS LTD</t>
  </si>
  <si>
    <t>7 Station Court, Station Road, SL8 5YP</t>
  </si>
  <si>
    <t>16/02/22 - Client looking to proceed. Requested Val and Legal fees. Client gathering documents</t>
  </si>
  <si>
    <t>103.7</t>
  </si>
  <si>
    <t xml:space="preserve">Mint Bridging </t>
  </si>
  <si>
    <t>7 &amp; 8 Station Court, Station Road, SL8 5YP</t>
  </si>
  <si>
    <t>1174501</t>
  </si>
  <si>
    <t>Jason Clark-Ward (jason@mandalayfinancial.co.uk)</t>
  </si>
  <si>
    <t>7641726495</t>
  </si>
  <si>
    <t>6.68</t>
  </si>
  <si>
    <t>Khemika Nitikitdamrong</t>
  </si>
  <si>
    <t>K11.6 Water Gardens, White City, W12 7RQ</t>
  </si>
  <si>
    <t>15/02 terms issued</t>
  </si>
  <si>
    <t>Winston Hashtroodi - K11.6 Water Gardens, White City, W12 7RQ</t>
  </si>
  <si>
    <t>7640452673</t>
  </si>
  <si>
    <t>Gary Maratheftis</t>
  </si>
  <si>
    <t>Russel Square Property</t>
  </si>
  <si>
    <t>Gary Maratheftis - Russel Square property</t>
  </si>
  <si>
    <t>3330040689</t>
  </si>
  <si>
    <t>Direct2Lender</t>
  </si>
  <si>
    <t>147178</t>
  </si>
  <si>
    <t>Gary Maratheftis (gm@direct2lender.com)</t>
  </si>
  <si>
    <t>7638131525</t>
  </si>
  <si>
    <t>6.36</t>
  </si>
  <si>
    <t>129.6</t>
  </si>
  <si>
    <t>The green quarter, Malaysian Client</t>
  </si>
  <si>
    <t>20/01 - indicatives sent</t>
  </si>
  <si>
    <t>113.4</t>
  </si>
  <si>
    <t>James Storer - The Green Quarter</t>
  </si>
  <si>
    <t>ub7</t>
  </si>
  <si>
    <t>7627342214</t>
  </si>
  <si>
    <t>126.5</t>
  </si>
  <si>
    <t>VSMA Limited</t>
  </si>
  <si>
    <t>Flat A2401 Oxygen Tower, 50Store Street, Manchester, M1 2WA</t>
  </si>
  <si>
    <t>14/02 - looking to comp 20/02</t>
  </si>
  <si>
    <t>Pravin Varsani - Flat A2401 Oxygen Tower, 50 Store Street, Manchester, M1 2WA</t>
  </si>
  <si>
    <t>7626895542</t>
  </si>
  <si>
    <t>120.1</t>
  </si>
  <si>
    <t>Peter Soo Zheng Yi &amp; Evelina Kok Li Min</t>
  </si>
  <si>
    <t>H102 Block Watson, The Green Quarter Phase 1, Southhall London</t>
  </si>
  <si>
    <t xml:space="preserve">19/01 - indicatives sent, need furtehr info </t>
  </si>
  <si>
    <t>90.1</t>
  </si>
  <si>
    <t>Winston Hashtroodi - H102 Block Watson, The Green Quarter Phase 1, Southhall London</t>
  </si>
  <si>
    <t>ub8</t>
  </si>
  <si>
    <t>7606445589</t>
  </si>
  <si>
    <t>Steven Sharp</t>
  </si>
  <si>
    <t>167.4</t>
  </si>
  <si>
    <t xml:space="preserve">Perryfields Properties UK Limited </t>
  </si>
  <si>
    <t>43 Lyttelton Road, London and garage, N2 0DQ</t>
  </si>
  <si>
    <t>11/02 - Called to follow up. Borrower needs an extra £50k</t>
  </si>
  <si>
    <t>AGL123947</t>
  </si>
  <si>
    <t>20817980</t>
  </si>
  <si>
    <t>115.9</t>
  </si>
  <si>
    <t>Ortus</t>
  </si>
  <si>
    <t>N2</t>
  </si>
  <si>
    <t>7044415891</t>
  </si>
  <si>
    <t>Price Anderson</t>
  </si>
  <si>
    <t>1696156</t>
  </si>
  <si>
    <t>Steven Sharp (steven@priceanderson.co.uk)</t>
  </si>
  <si>
    <t>7606091929</t>
  </si>
  <si>
    <t xml:space="preserve">Steven Sharp </t>
  </si>
  <si>
    <t xml:space="preserve">Sunthe Properties Limited </t>
  </si>
  <si>
    <t xml:space="preserve">Flat 32, Belmont Court, Finchley Road, London, NW11 6XS </t>
  </si>
  <si>
    <t>14/02 - Aiming to complete 16/02</t>
  </si>
  <si>
    <t>NGL351839</t>
  </si>
  <si>
    <t>85.1</t>
  </si>
  <si>
    <t>Flat 32, Belmont Court, Finchley Road, London, NW11 6XS</t>
  </si>
  <si>
    <t xml:space="preserve">NW11 </t>
  </si>
  <si>
    <t>7606088198</t>
  </si>
  <si>
    <t>Flat 203, Pavilion Apartments, 34 St John's Wood Road and parking space 103</t>
  </si>
  <si>
    <t>NGL793879</t>
  </si>
  <si>
    <t>86.6</t>
  </si>
  <si>
    <t>NW8</t>
  </si>
  <si>
    <t>7606279545</t>
  </si>
  <si>
    <t>Mihaela Burlacu</t>
  </si>
  <si>
    <t>132.0</t>
  </si>
  <si>
    <t>PETROCORP LIMITED</t>
  </si>
  <si>
    <t>28, Vista House, Dickens Yard, Longfield Avenue, London, W5 2BT</t>
  </si>
  <si>
    <t>18/01 initial info requested</t>
  </si>
  <si>
    <t>AGL423114</t>
  </si>
  <si>
    <t>Octane</t>
  </si>
  <si>
    <t>Mihaela Burlacu - 28, 29 &amp; 30, Vista House, Dickens Yard, Longfield Avenue, London, W5 2BT</t>
  </si>
  <si>
    <t>29, Vista House, Dickens Yard, Longfield Avenue, London, W5 2BT</t>
  </si>
  <si>
    <t>30, Vista House, Dickens Yard, Longfield Avenue, London, W5 2BT</t>
  </si>
  <si>
    <t>7601034322</t>
  </si>
  <si>
    <t>19/01/22 - Requested further info</t>
  </si>
  <si>
    <t>72 Charlmont Road, London, SW17 9AH</t>
  </si>
  <si>
    <t>7587910033</t>
  </si>
  <si>
    <t>17/01 - Provided indicatives and requested credit file</t>
  </si>
  <si>
    <t>85 Grange Park, E10 5ER</t>
  </si>
  <si>
    <t>7585730581</t>
  </si>
  <si>
    <t>5.97</t>
  </si>
  <si>
    <t>Umar Hassan</t>
  </si>
  <si>
    <t>160.3</t>
  </si>
  <si>
    <t xml:space="preserve"> 103 Whittington Avenue Hayes UB4 0AE</t>
  </si>
  <si>
    <t>8215891</t>
  </si>
  <si>
    <t>Umar Hasan- 103 Whittington Avenue Hayes UB4 0AE</t>
  </si>
  <si>
    <t>ub4</t>
  </si>
  <si>
    <t>3009474367</t>
  </si>
  <si>
    <t>Sydona</t>
  </si>
  <si>
    <t>78202</t>
  </si>
  <si>
    <t>Umar Hasan (info@sydonafinance.co.uk)</t>
  </si>
  <si>
    <t>7583591306</t>
  </si>
  <si>
    <t>26/01 - requested further info</t>
  </si>
  <si>
    <t>512 Wickham Road, CR0 8DL</t>
  </si>
  <si>
    <t>7530529310</t>
  </si>
  <si>
    <t>Mona Mahmoud Abbouda Mahmoud and Reem Mohamed Raafat Ahmed Osman</t>
  </si>
  <si>
    <t>12d Hyde Park  Mansions, Cable Street, London, NW1 5BB</t>
  </si>
  <si>
    <t xml:space="preserve">14/02 - Advised broker of down valuation </t>
  </si>
  <si>
    <t>NGL467030</t>
  </si>
  <si>
    <t>Ahli United Bank (UK) Plc</t>
  </si>
  <si>
    <t>7528769833</t>
  </si>
  <si>
    <t>126.3</t>
  </si>
  <si>
    <t>Mass Axis Ltd</t>
  </si>
  <si>
    <t>Flat 134 Axis Tower, 9 Whitworth Street West, Manchester, M1 5JD</t>
  </si>
  <si>
    <t xml:space="preserve">15/02 val expected 16th </t>
  </si>
  <si>
    <t>110.5</t>
  </si>
  <si>
    <t>MT Finance</t>
  </si>
  <si>
    <t>Pravin Varsani - Flat 134 Axis Tower, 9 Whitworth Street West, Manchester, M1 5JD</t>
  </si>
  <si>
    <t>7528855183</t>
  </si>
  <si>
    <t>7.02</t>
  </si>
  <si>
    <t>134.8</t>
  </si>
  <si>
    <t>CHIA T-JIAN &amp; RACHEL ONG XUE WEN</t>
  </si>
  <si>
    <t>Apartment 52 Sibley House, 1 Cedrus Avenue, Southall, UB1 1FP</t>
  </si>
  <si>
    <t>21/01 - DIP sent</t>
  </si>
  <si>
    <t>96.7</t>
  </si>
  <si>
    <t>Winston Hashtroodi - Apartment 52 Sibley House, 1 Cedrus Avenue, Southall, UB1 1FP</t>
  </si>
  <si>
    <t>ub1</t>
  </si>
  <si>
    <t>7527916456</t>
  </si>
  <si>
    <t>Jim Stokes</t>
  </si>
  <si>
    <t>145.2</t>
  </si>
  <si>
    <t>Mark Ellam</t>
  </si>
  <si>
    <t>21 Great Avenham Street, Preston, PR1 3TD</t>
  </si>
  <si>
    <t>14/01 initial info requested</t>
  </si>
  <si>
    <t>LA457736</t>
  </si>
  <si>
    <t>THE MORTGAGE WORKS (UK) PLC</t>
  </si>
  <si>
    <t>Jim Stokes - 21 Great Avenham Street, Preston, PR1 3TD</t>
  </si>
  <si>
    <t>7141779040</t>
  </si>
  <si>
    <t>fwm.uk.com</t>
  </si>
  <si>
    <t>1787001</t>
  </si>
  <si>
    <t>Jim Stokes (jim@fwm.uk.com)</t>
  </si>
  <si>
    <t>7523436614</t>
  </si>
  <si>
    <t>6.47</t>
  </si>
  <si>
    <t>david farmer</t>
  </si>
  <si>
    <t>140</t>
  </si>
  <si>
    <t>aidan melvin</t>
  </si>
  <si>
    <t>64 Montana Road, London SW17 8SN</t>
  </si>
  <si>
    <t>14/01 - indicatives issued , need further info</t>
  </si>
  <si>
    <t>100</t>
  </si>
  <si>
    <t>David Farmer- 64 Montana Road, London SW17 8SN</t>
  </si>
  <si>
    <t>sw17</t>
  </si>
  <si>
    <t>3328992347</t>
  </si>
  <si>
    <t>Lime Consultancy</t>
  </si>
  <si>
    <t>146556</t>
  </si>
  <si>
    <t>David Farmer (david@limeconsultancy.net)</t>
  </si>
  <si>
    <t>7512646831</t>
  </si>
  <si>
    <t>13/01 - Requested Credit Report</t>
  </si>
  <si>
    <t>7508109875</t>
  </si>
  <si>
    <t>Adrian Beavers</t>
  </si>
  <si>
    <t>148.6</t>
  </si>
  <si>
    <t>Koyale Enterprises Incorporated</t>
  </si>
  <si>
    <t>Flat 213 Quadrangle Towers , Cambridge Square , London W2 2PJ</t>
  </si>
  <si>
    <t>Email Marketing</t>
  </si>
  <si>
    <t>14/02/22 - Val received and revised terms issued</t>
  </si>
  <si>
    <t>Tennated</t>
  </si>
  <si>
    <t>hs_email</t>
  </si>
  <si>
    <t>92.2</t>
  </si>
  <si>
    <t>Flat 213 Quadrangle Towers, Cambridge Square, London W2 2PJ</t>
  </si>
  <si>
    <t>2117851</t>
  </si>
  <si>
    <t>Adrian Beavers (advbeavers@aol.com)</t>
  </si>
  <si>
    <t>7508004870</t>
  </si>
  <si>
    <t>Bob Buiaroski</t>
  </si>
  <si>
    <t>surrey BTL</t>
  </si>
  <si>
    <t>21/01 - need further info</t>
  </si>
  <si>
    <t>Winston Hashtroodi - Surrey BTL</t>
  </si>
  <si>
    <t>7507612769</t>
  </si>
  <si>
    <t>Gavin Royal</t>
  </si>
  <si>
    <t>104.4</t>
  </si>
  <si>
    <t>Sean Richard Chalkley</t>
  </si>
  <si>
    <t>Meadow Farm, Heath Road, Hickling, Norwich, NR12 0AX</t>
  </si>
  <si>
    <t xml:space="preserve">14/01 - indicatives issued. Need further details </t>
  </si>
  <si>
    <t>NK265596</t>
  </si>
  <si>
    <t>139.1</t>
  </si>
  <si>
    <t>Gavin Royal - Meadow Farm, Heath Road, Hickling, Norwich, NR12 0AX</t>
  </si>
  <si>
    <t>nr12</t>
  </si>
  <si>
    <t>5876180631</t>
  </si>
  <si>
    <t>Exquisite Private Finance</t>
  </si>
  <si>
    <t>1203701</t>
  </si>
  <si>
    <t>Gavin Royal (gavin.royal@exquisitepf.co.uk)</t>
  </si>
  <si>
    <t>7505834828</t>
  </si>
  <si>
    <t>Wai-Hah Li</t>
  </si>
  <si>
    <t>Pear Tree Cottage</t>
  </si>
  <si>
    <t>na</t>
  </si>
  <si>
    <t>13/01 - need further info</t>
  </si>
  <si>
    <t>Wai-Hah Li- Pear Tree Cottage</t>
  </si>
  <si>
    <t>se2</t>
  </si>
  <si>
    <t>1635151</t>
  </si>
  <si>
    <t>Wai-hah Li (wai-hah.li@knightfrankfinance.com)</t>
  </si>
  <si>
    <t>7494000937</t>
  </si>
  <si>
    <t>Jesse McMullen</t>
  </si>
  <si>
    <t>189</t>
  </si>
  <si>
    <t xml:space="preserve">New Real Estate Ltd </t>
  </si>
  <si>
    <t>2A Ticehurst Road, BN2 5PU</t>
  </si>
  <si>
    <t xml:space="preserve">25/01 - Terms issued </t>
  </si>
  <si>
    <t>ESX412746</t>
  </si>
  <si>
    <t xml:space="preserve">Worthwhile Ideas Limited </t>
  </si>
  <si>
    <t>BN2</t>
  </si>
  <si>
    <t>P2. Commercial - HMO</t>
  </si>
  <si>
    <t>3329575075</t>
  </si>
  <si>
    <t>Hank Zarihs Associates</t>
  </si>
  <si>
    <t>169831</t>
  </si>
  <si>
    <t>Jesse Mcmullen (jesse@hankzarihs.com)</t>
  </si>
  <si>
    <t>7487699596</t>
  </si>
  <si>
    <t>Andrew Sage</t>
  </si>
  <si>
    <t>293.2</t>
  </si>
  <si>
    <t>ILO Properties Ltd</t>
  </si>
  <si>
    <t xml:space="preserve">107 High Street, Braintree, CM7 1JS </t>
  </si>
  <si>
    <t>12/01 - Further info requested</t>
  </si>
  <si>
    <t>EX719276</t>
  </si>
  <si>
    <t>Drew Sage -107 High Street, Braintree, CM7 1JS</t>
  </si>
  <si>
    <t>0.89</t>
  </si>
  <si>
    <t>7477884775</t>
  </si>
  <si>
    <t>Sale</t>
  </si>
  <si>
    <t>Mass Manchester Ltd</t>
  </si>
  <si>
    <t>Flat 127 Axis Tower, 9 Whitworth Street West, Manchester, M1 5JD</t>
  </si>
  <si>
    <t>16/02 - Val expected to come tomorrow</t>
  </si>
  <si>
    <t>Pravin Varsani - Flat 127 Axis Tower, 9 Whitworth Street West, Manchester, M1 5JD</t>
  </si>
  <si>
    <t>7475451027</t>
  </si>
  <si>
    <t>Ravi Badyal</t>
  </si>
  <si>
    <t>175.1</t>
  </si>
  <si>
    <t>Naheem Hussain</t>
  </si>
  <si>
    <t>6 Chatsworth Road, Luton, LU4 8AS</t>
  </si>
  <si>
    <t>11/01 initial info requested</t>
  </si>
  <si>
    <t>Ravi Badyal - 6 Chatsworth Road Luton LU4 8AS</t>
  </si>
  <si>
    <t>6609624176</t>
  </si>
  <si>
    <t>Yourkeysandprotection</t>
  </si>
  <si>
    <t>1436301</t>
  </si>
  <si>
    <t>Ravinder Badyal (ravinder.badyal@yourkeysandprotection.com)</t>
  </si>
  <si>
    <t>7473596214</t>
  </si>
  <si>
    <t>7.13</t>
  </si>
  <si>
    <t>178.2</t>
  </si>
  <si>
    <t>BCJ Property (Salisbury) Ltd</t>
  </si>
  <si>
    <t>15 Tollgate Road, Salisbury, Wiltshire, SP1 2JA</t>
  </si>
  <si>
    <t>15/02 waiting on UT and replies to enquiries</t>
  </si>
  <si>
    <t>70</t>
  </si>
  <si>
    <t>Harpreet Chadha - 15 Tollgate Road, Salisbury, Wiltshire, SP1 2JA</t>
  </si>
  <si>
    <t>7472169565</t>
  </si>
  <si>
    <t>Purchase price</t>
  </si>
  <si>
    <t>142.5</t>
  </si>
  <si>
    <t>Stae Global Ltd</t>
  </si>
  <si>
    <t>Flat 2103, Elizabeth Tower, Crown Street, M15 4AX</t>
  </si>
  <si>
    <t>15/02 chased replies to enquiries and signed legal docs</t>
  </si>
  <si>
    <t>65</t>
  </si>
  <si>
    <t>Pravin Varsani - Flat 2103, Elizabeth Tower - Crown Street M15 4AX</t>
  </si>
  <si>
    <t>7464998690</t>
  </si>
  <si>
    <t>Rahul Modasia</t>
  </si>
  <si>
    <t>130.0</t>
  </si>
  <si>
    <t>Max Britannica Ltd</t>
  </si>
  <si>
    <t>John Morris Road, Abingdon OX14 5HN</t>
  </si>
  <si>
    <t>10/01 initial info requested</t>
  </si>
  <si>
    <t>97.5</t>
  </si>
  <si>
    <t>Rahul Modasia - John Morris Road, Abingdon OX14 5HN</t>
  </si>
  <si>
    <t>OX14</t>
  </si>
  <si>
    <t>1356101</t>
  </si>
  <si>
    <t>Rahul Modasia (rahul@rainstonemoney.co.uk)</t>
  </si>
  <si>
    <t>7462389094</t>
  </si>
  <si>
    <t>184.8</t>
  </si>
  <si>
    <t>Cornwall holiday let</t>
  </si>
  <si>
    <t>19/01 zahira chased</t>
  </si>
  <si>
    <t>Winston Hashtroodi - Cornwall holiday let</t>
  </si>
  <si>
    <t>co1</t>
  </si>
  <si>
    <t>7441102727</t>
  </si>
  <si>
    <t>128.3</t>
  </si>
  <si>
    <t>Mr Dean English</t>
  </si>
  <si>
    <t>64, Steel House, The Metalworks, Petersfield Avenue, Slough,  SL2 5AE</t>
  </si>
  <si>
    <t xml:space="preserve">11/02 - legal docs reviewed, amendments getting done and will be sent to client solc </t>
  </si>
  <si>
    <t>106.9</t>
  </si>
  <si>
    <t>Winston Hashtroodi - 64, Steel House, The Metalworks, Petersfield Avenue, Slough,  SL2 5AE</t>
  </si>
  <si>
    <t>sl2</t>
  </si>
  <si>
    <t>7440989563</t>
  </si>
  <si>
    <t>6.06</t>
  </si>
  <si>
    <t>165</t>
  </si>
  <si>
    <t xml:space="preserve">MSG Energy LTD </t>
  </si>
  <si>
    <t>13 Marine Drive, London, SE18 5SD</t>
  </si>
  <si>
    <t>11/02 - Chased revised DIP</t>
  </si>
  <si>
    <t>London's Surveyors &amp; Valuers</t>
  </si>
  <si>
    <t>TGL187145</t>
  </si>
  <si>
    <t>151.2</t>
  </si>
  <si>
    <t>7440736386</t>
  </si>
  <si>
    <t>7.20</t>
  </si>
  <si>
    <t>120.3</t>
  </si>
  <si>
    <t>Thomas &amp; Nicola Sarfo</t>
  </si>
  <si>
    <t>60 Oxford Drive, Ruislip, HA4 9EZ</t>
  </si>
  <si>
    <t>03/02 - Instructed Legals</t>
  </si>
  <si>
    <t>AGL29954</t>
  </si>
  <si>
    <t>83.5</t>
  </si>
  <si>
    <t>HA4</t>
  </si>
  <si>
    <t>7440749093</t>
  </si>
  <si>
    <t>Erny Lee</t>
  </si>
  <si>
    <t>137.6</t>
  </si>
  <si>
    <t>yousuf mohammed Yousuf taher alkhaja</t>
  </si>
  <si>
    <t>Plot Number T1 – 14.01, 50 Store Street, Manchester, M1 2FS</t>
  </si>
  <si>
    <t xml:space="preserve">07/01 -  indicatives issued. need further info, </t>
  </si>
  <si>
    <t>Erny Lee -Plot Number T1 – 14.01, 50 Store Street, Manchester, M1 2FS</t>
  </si>
  <si>
    <t>m12fs</t>
  </si>
  <si>
    <t>6984048238</t>
  </si>
  <si>
    <t>Oriel Finance</t>
  </si>
  <si>
    <t>1658301</t>
  </si>
  <si>
    <t>Erny Lee (erny.l@orielfinance.com)</t>
  </si>
  <si>
    <t>5.41</t>
  </si>
  <si>
    <t>Flat 2 14 Shirley Street, London E16 1HU</t>
  </si>
  <si>
    <t>15/02/22 - Legal docs issued and file passed to accounts. Legal docs not signed yet. Not much else o/s</t>
  </si>
  <si>
    <t>110.1</t>
  </si>
  <si>
    <t xml:space="preserve">Aura Soltana Limited </t>
  </si>
  <si>
    <t>Flat 2, 14 Shirley Street, London E16 1HU</t>
  </si>
  <si>
    <t>7440492630</t>
  </si>
  <si>
    <t>109.7</t>
  </si>
  <si>
    <t>Shiu Fung Kevin Yu</t>
  </si>
  <si>
    <t>Flat 256 Baronet House, 9 Lakeside Drive, London, NW10 7GQ</t>
  </si>
  <si>
    <t>15/02 chased UT</t>
  </si>
  <si>
    <t>125.3</t>
  </si>
  <si>
    <t>Erny Lee - Flat 256 Baronet House, 9 Lakeside Drive, London, NW10 7GQ</t>
  </si>
  <si>
    <t>NW10</t>
  </si>
  <si>
    <t>7421219690</t>
  </si>
  <si>
    <t>6.90</t>
  </si>
  <si>
    <t>Raj Huque</t>
  </si>
  <si>
    <t>208.1</t>
  </si>
  <si>
    <t>Nadeem Javaid</t>
  </si>
  <si>
    <t>1508 Ashton Old Road, M11 1HN</t>
  </si>
  <si>
    <t>10/02 - Called to chase undertaking</t>
  </si>
  <si>
    <t>LA43840</t>
  </si>
  <si>
    <t>190.8</t>
  </si>
  <si>
    <t>M11</t>
  </si>
  <si>
    <t>3335072408</t>
  </si>
  <si>
    <t>hcafinance.co.uk</t>
  </si>
  <si>
    <t>167854</t>
  </si>
  <si>
    <t>Raj Huque (raj@hcafinance.co.uk)</t>
  </si>
  <si>
    <t>7421122369</t>
  </si>
  <si>
    <t>144</t>
  </si>
  <si>
    <t>Carl Andrew Rayson &amp; Katie Jane Rayson</t>
  </si>
  <si>
    <t>Ivy Farm, Lytham Road, Lytham St Annes, FY8 4NE</t>
  </si>
  <si>
    <t>16/02 terms issued</t>
  </si>
  <si>
    <t>LA538510</t>
  </si>
  <si>
    <t>Reward</t>
  </si>
  <si>
    <t>Chris Strahan - Ivy Farm, Lytham Road, Lytham St Annes, FY8 4NE &amp; 15 School Lane, Freckleton, Preston, PR4 1PJ</t>
  </si>
  <si>
    <t>P1. Commercial - Other</t>
  </si>
  <si>
    <t>15 School Lane, Freckleton,
Preston, PR4 1PJ</t>
  </si>
  <si>
    <t>7419143854</t>
  </si>
  <si>
    <t>ESSENCE PRIVATE LIMITED</t>
  </si>
  <si>
    <t xml:space="preserve">402, Elizabeth Tower - Crown Street, Manchester M15 4AX </t>
  </si>
  <si>
    <t xml:space="preserve">Pravin Varsani - 402 Elizabeth Tower - Crown Street, Manchester M15 4AX </t>
  </si>
  <si>
    <t>7410856328</t>
  </si>
  <si>
    <t>1495</t>
  </si>
  <si>
    <t>123.7</t>
  </si>
  <si>
    <t>Raymond lakah</t>
  </si>
  <si>
    <t>52 Vestry Court, 5 Monck Street, London, SW1P 2BW</t>
  </si>
  <si>
    <t>15/02 UT provided</t>
  </si>
  <si>
    <t>62</t>
  </si>
  <si>
    <t>Winston Hashtroodi - 52 Vestry Court, 5 Monck Street, London, SW1P 2BW</t>
  </si>
  <si>
    <t>7324543632</t>
  </si>
  <si>
    <t>6.79</t>
  </si>
  <si>
    <t>Saroj Parmar</t>
  </si>
  <si>
    <t>151.8</t>
  </si>
  <si>
    <t>Franity Properties Ltd</t>
  </si>
  <si>
    <t>55 Manor Road, Dagenham, RM10 8AX</t>
  </si>
  <si>
    <t>16/02 Val report chased. JRW advised should be end of this week</t>
  </si>
  <si>
    <t>London Credit</t>
  </si>
  <si>
    <t xml:space="preserve">Saroj Pamar- -55 Manor Road, Dagenham, RM10 8AX </t>
  </si>
  <si>
    <t>3328119699</t>
  </si>
  <si>
    <t>Perfect financial services</t>
  </si>
  <si>
    <t>146579</t>
  </si>
  <si>
    <t>Saroj Parmar (saroj@mclarenspecter.com)</t>
  </si>
  <si>
    <t>7315075341</t>
  </si>
  <si>
    <t>151.3</t>
  </si>
  <si>
    <t>2606 Elizabeth Tower, Crown Street, M15 4AX</t>
  </si>
  <si>
    <t>22/12 initial info requested</t>
  </si>
  <si>
    <t>Pravin Varsani - 2606 Elizabeth Tower, Crown Street, M15 4AX</t>
  </si>
  <si>
    <t>7304827455</t>
  </si>
  <si>
    <t>Peter MacAllan</t>
  </si>
  <si>
    <t>Francesca Marion Shields</t>
  </si>
  <si>
    <t xml:space="preserve">4 Crescent Place, London, SW3 2EA </t>
  </si>
  <si>
    <t>11/02 chased UT</t>
  </si>
  <si>
    <t>59</t>
  </si>
  <si>
    <t>125.7</t>
  </si>
  <si>
    <t>UBS</t>
  </si>
  <si>
    <t>Peter MacAllan - 4 Crescent Place, London, SW3 2EA</t>
  </si>
  <si>
    <t>3329575087</t>
  </si>
  <si>
    <t>DCS</t>
  </si>
  <si>
    <t>148909</t>
  </si>
  <si>
    <t>Peter MacAllan (pm@dcs.ltd)</t>
  </si>
  <si>
    <t>7302468420</t>
  </si>
  <si>
    <t>5.38</t>
  </si>
  <si>
    <t>Demi Shiamishis</t>
  </si>
  <si>
    <t>North London flats</t>
  </si>
  <si>
    <t>1.35</t>
  </si>
  <si>
    <t>Demi Shiamishis - North London flats</t>
  </si>
  <si>
    <t>0.99</t>
  </si>
  <si>
    <t>3328981135</t>
  </si>
  <si>
    <t>PIA Financial Group</t>
  </si>
  <si>
    <t>146915</t>
  </si>
  <si>
    <t>Demi Shiamishis (demi@hydracapital.co.uk)</t>
  </si>
  <si>
    <t>7292815970</t>
  </si>
  <si>
    <t>Grant Poole-Adams</t>
  </si>
  <si>
    <t>364.2</t>
  </si>
  <si>
    <t>HMO purchase</t>
  </si>
  <si>
    <t>07/01 chaser email sent</t>
  </si>
  <si>
    <t>12803893</t>
  </si>
  <si>
    <t>Grant Poole-Adams - HMO Purchase</t>
  </si>
  <si>
    <t>3328141149</t>
  </si>
  <si>
    <t>Harveybowes</t>
  </si>
  <si>
    <t>861001</t>
  </si>
  <si>
    <t>Grant Poole-Adams (grant@harveybowes.com)</t>
  </si>
  <si>
    <t>7273056349</t>
  </si>
  <si>
    <t>6.05</t>
  </si>
  <si>
    <t>Anil Soni</t>
  </si>
  <si>
    <t>138.5</t>
  </si>
  <si>
    <t>Saini Property Investments Limited</t>
  </si>
  <si>
    <t>3, Greenwood Road, Mitcham, London CR4 1PF</t>
  </si>
  <si>
    <t xml:space="preserve">11/02/22 - Legal docs issued and file passed to accounts </t>
  </si>
  <si>
    <t>103.9</t>
  </si>
  <si>
    <t>3 Greenwood Road, Mitcham, London CR4 1PF</t>
  </si>
  <si>
    <t>168534</t>
  </si>
  <si>
    <t>Anil Soni (anil.albionproperty@gmail.com)</t>
  </si>
  <si>
    <t>7256293492</t>
  </si>
  <si>
    <t>Magnus Dadzie</t>
  </si>
  <si>
    <t>241</t>
  </si>
  <si>
    <t>Triple A's Properties Ltd</t>
  </si>
  <si>
    <t xml:space="preserve">70 Granby Street, New Market, CB8 8EZ </t>
  </si>
  <si>
    <t>Magnus Dadzie - 70 Granby Street, New Market, CB8 8EZ</t>
  </si>
  <si>
    <t>5796127620</t>
  </si>
  <si>
    <t>ABCD Capital Finance</t>
  </si>
  <si>
    <t>1074601</t>
  </si>
  <si>
    <t>Magnus Duke Dadzie (admin@abcdcapitalfinance.co.uk)</t>
  </si>
  <si>
    <t>7233159940</t>
  </si>
  <si>
    <t>128.7</t>
  </si>
  <si>
    <t>Georges Khanashat &amp; Iris Chia Hoon Nee</t>
  </si>
  <si>
    <t xml:space="preserve"> Flat B1804 East Tower, Deansgate Square, Manchester, Lancashire, M15 4UB</t>
  </si>
  <si>
    <t>15/02 - downvaluation - revised terms issued</t>
  </si>
  <si>
    <t>Levene</t>
  </si>
  <si>
    <t>107.3</t>
  </si>
  <si>
    <t>Winston Hashtroodi - Flat B1804 East Tower, Deansgate Square, Manchester, Lancashire, M15 4UB</t>
  </si>
  <si>
    <t>3328971698</t>
  </si>
  <si>
    <t>Cfbuk</t>
  </si>
  <si>
    <t>7233457246</t>
  </si>
  <si>
    <t>New Business</t>
  </si>
  <si>
    <t xml:space="preserve">Shahista Chuhan </t>
  </si>
  <si>
    <t>58 Kilworth Drive, Lostock, Bolton, BL6 4RL</t>
  </si>
  <si>
    <t xml:space="preserve">10/02 - Legals progressing </t>
  </si>
  <si>
    <t>GM118552</t>
  </si>
  <si>
    <t>Not tenanted</t>
  </si>
  <si>
    <t>112.0</t>
  </si>
  <si>
    <t>BL6</t>
  </si>
  <si>
    <t>7192621924</t>
  </si>
  <si>
    <t>295.9</t>
  </si>
  <si>
    <t>Abdul Shabir Khan &amp; Naila Tabassum Khan</t>
  </si>
  <si>
    <t>322 Wellington Road South, Hounslow, TW4 5JU</t>
  </si>
  <si>
    <t>06/01 chaser email sent</t>
  </si>
  <si>
    <t>Oliver Watts</t>
  </si>
  <si>
    <t>Topaz Finance</t>
  </si>
  <si>
    <t>Khurram Saeed - 322 Wellington Road South, Hounslow, TW4 5JU</t>
  </si>
  <si>
    <t>7184890903</t>
  </si>
  <si>
    <t>Paresh Patel</t>
  </si>
  <si>
    <t>283</t>
  </si>
  <si>
    <t xml:space="preserve">2 Sumner Road, Croydon (CR03LG) and 235 London Road and 237 London Road, Croydon (CR0 2RL) </t>
  </si>
  <si>
    <t>07/01 - broker speaking to the client on 10/01</t>
  </si>
  <si>
    <t>Paresh Patel -  2 Sumner Road, Croydon (CR03LG) and 235 London Road and 237 London Road, Croydon (CR0 2RL).</t>
  </si>
  <si>
    <t>cr0</t>
  </si>
  <si>
    <t>173252</t>
  </si>
  <si>
    <t>Paresh Patel (paresh@empirefinance.co.uk)</t>
  </si>
  <si>
    <t>7184730136</t>
  </si>
  <si>
    <t>250</t>
  </si>
  <si>
    <t>15/12 - Chased</t>
  </si>
  <si>
    <t>SE13 6SR</t>
  </si>
  <si>
    <t xml:space="preserve">Tenanted </t>
  </si>
  <si>
    <t>56 Elthruda Road, London, SE13 6SR</t>
  </si>
  <si>
    <t>7183043991</t>
  </si>
  <si>
    <t>31 Parrock Road, Gravesend, DA12 1QE</t>
  </si>
  <si>
    <t>7078438934</t>
  </si>
  <si>
    <t>7.76</t>
  </si>
  <si>
    <t>Stuart Flynn</t>
  </si>
  <si>
    <t>Axia Investments Ltd</t>
  </si>
  <si>
    <t>6 Penenden Stret, Maidstone, ME14 2ST</t>
  </si>
  <si>
    <t>13/01 - revised list sent</t>
  </si>
  <si>
    <t>91</t>
  </si>
  <si>
    <t>shawbrook</t>
  </si>
  <si>
    <t>Stuart Flynn - 6 Penenden Street, Maidstone, ME14 2ST - Loan 5</t>
  </si>
  <si>
    <t>me14</t>
  </si>
  <si>
    <t>Flat To Rear of 33A, Brockman Road, Folkestone, CT20 1DJ</t>
  </si>
  <si>
    <t>109 Whitehorse Lane, London, SE25 6RA</t>
  </si>
  <si>
    <t>73 Telegraph Road, Deal, CT14 9DF</t>
  </si>
  <si>
    <t>3328978462</t>
  </si>
  <si>
    <t>Bespoke Business Finance</t>
  </si>
  <si>
    <t>1925501</t>
  </si>
  <si>
    <t>Stuart Flynn (stuart@bespokebusinessfinance.co.uk)</t>
  </si>
  <si>
    <t>7077917814</t>
  </si>
  <si>
    <t>7.43</t>
  </si>
  <si>
    <t>121.5</t>
  </si>
  <si>
    <t>42 Nightingale Grove, London, SE3 9BJ</t>
  </si>
  <si>
    <t>111</t>
  </si>
  <si>
    <t>Stuart Flynn - 42 Nightingale Grove,London,  SE136DY, LOAN 7</t>
  </si>
  <si>
    <t>se13</t>
  </si>
  <si>
    <t>7077289492</t>
  </si>
  <si>
    <t>7.64</t>
  </si>
  <si>
    <t>115 Hawthorne Avenue, Gillingham, Kent, ME8 6TU</t>
  </si>
  <si>
    <t>98.4</t>
  </si>
  <si>
    <t>Stuart Flynn- 115 hawthorne Avenue, Rainham, ME8 6TU, loan6</t>
  </si>
  <si>
    <t>me8</t>
  </si>
  <si>
    <t>7077097277</t>
  </si>
  <si>
    <t>7.55</t>
  </si>
  <si>
    <t>116 Heathfield Avenue, Dover, CT16 2PA</t>
  </si>
  <si>
    <t>103.4</t>
  </si>
  <si>
    <t>Stuart Flynn- 116 Heathfield Avenue, Dover, CT16 2PA loan 4</t>
  </si>
  <si>
    <t>ct16</t>
  </si>
  <si>
    <t>27A &amp; 27B Hastings Road, Maidstone, ME15 7SH</t>
  </si>
  <si>
    <t>33A Brockman Road, Folkestone, CT20 1DJ</t>
  </si>
  <si>
    <t>77 Clarendon Street, Dover, CT17 9RD</t>
  </si>
  <si>
    <t>7077367210</t>
  </si>
  <si>
    <t>126</t>
  </si>
  <si>
    <t>FY Capital Investments Ltd</t>
  </si>
  <si>
    <t>Lythan St Annes</t>
  </si>
  <si>
    <t>06/01 - broker speaking to the client early next week</t>
  </si>
  <si>
    <t>TENANTED</t>
  </si>
  <si>
    <t>Together</t>
  </si>
  <si>
    <t>Chris Strahan - Lythan St Annes</t>
  </si>
  <si>
    <t>de1</t>
  </si>
  <si>
    <t>7277231733</t>
  </si>
  <si>
    <t>mosaicadvisory.co.uk</t>
  </si>
  <si>
    <t>7076740512</t>
  </si>
  <si>
    <t>7.3</t>
  </si>
  <si>
    <t>152</t>
  </si>
  <si>
    <t>Flat 1,2, 3 89 Folkestone road, Dover, CT17 9SD</t>
  </si>
  <si>
    <t>P2 - 1st</t>
  </si>
  <si>
    <t>stuart Flynn - Flat 1,2, 3  89 Folkestone road, Dover, CT17 9SD, LOAN 3</t>
  </si>
  <si>
    <t>Flat 2, 89 Folkestone road, Dover, CT17 9SD</t>
  </si>
  <si>
    <t>Flat 3, 89 Folkestone road, Dover, CT17 9SD</t>
  </si>
  <si>
    <t>7076279093</t>
  </si>
  <si>
    <t>stuart flynn</t>
  </si>
  <si>
    <t>Axia investments ltd</t>
  </si>
  <si>
    <t>576 Westthorne Avenue, London, SE9 6TF</t>
  </si>
  <si>
    <t>84.6</t>
  </si>
  <si>
    <t>stuart flynn- 576 Westthorne Avenue, London, SE9 6TF, LOAN 2</t>
  </si>
  <si>
    <t>se9</t>
  </si>
  <si>
    <t>7053556862</t>
  </si>
  <si>
    <t>5200</t>
  </si>
  <si>
    <t>Dak Lam</t>
  </si>
  <si>
    <t>147.1</t>
  </si>
  <si>
    <t>Gary Lorry Tiley</t>
  </si>
  <si>
    <t>Warren House, 22 Steeres Hill, Rusper, Horsham RH12 4PT</t>
  </si>
  <si>
    <t>10/01 - Called to follow up</t>
  </si>
  <si>
    <t>WSX260398</t>
  </si>
  <si>
    <t>RH11</t>
  </si>
  <si>
    <t>1738901</t>
  </si>
  <si>
    <t>Dak Lam (dak.lam@siriusfinance.co.uk)</t>
  </si>
  <si>
    <t>7035926170</t>
  </si>
  <si>
    <t>7.72</t>
  </si>
  <si>
    <t>Josh Greenway</t>
  </si>
  <si>
    <t>150</t>
  </si>
  <si>
    <t>One Hyde Park, Knightsbridge, London SW1X</t>
  </si>
  <si>
    <t>06/01 - Neil chasing today</t>
  </si>
  <si>
    <t>Josh Greenway - One Hyde Park, Knightsbridge, London SW1X</t>
  </si>
  <si>
    <t>SW1X</t>
  </si>
  <si>
    <t>169567</t>
  </si>
  <si>
    <t>Josh Greenway (josh@bizl.co)</t>
  </si>
  <si>
    <t>7034639242</t>
  </si>
  <si>
    <t>Alex Vickery</t>
  </si>
  <si>
    <t>127.9</t>
  </si>
  <si>
    <t>MEADOW VIEW, CADMORE END</t>
  </si>
  <si>
    <t>11/01 - requested further info</t>
  </si>
  <si>
    <t>Broker/ Client not proceeding - No Response from Broker</t>
  </si>
  <si>
    <t>112</t>
  </si>
  <si>
    <t>Alex Vickery - Meadow View, Cadmore End, HP14 3PP</t>
  </si>
  <si>
    <t>4596442933</t>
  </si>
  <si>
    <t>Sfc</t>
  </si>
  <si>
    <t>571901</t>
  </si>
  <si>
    <t>Alex Vickery (alex.vickery@y3sgroup.com)</t>
  </si>
  <si>
    <t>6999176280</t>
  </si>
  <si>
    <t>7.36</t>
  </si>
  <si>
    <t>Ali Raza</t>
  </si>
  <si>
    <t>128.2</t>
  </si>
  <si>
    <t>Suleman Ibrahim Bhura</t>
  </si>
  <si>
    <t>30.07 Aykon Tower, 69-71 Bondway, Vauxhall, SW8 1SQ</t>
  </si>
  <si>
    <t>06/01 chased terms</t>
  </si>
  <si>
    <t>Ali Raza - 30.07 Aykon Tower, 69-71 Bondway, Vauxhall</t>
  </si>
  <si>
    <t>SW8 1SQ</t>
  </si>
  <si>
    <t>7269750925</t>
  </si>
  <si>
    <t>Copperstones Ltd</t>
  </si>
  <si>
    <t>1884601</t>
  </si>
  <si>
    <t>Ali Raza (aliraza@copperstones.net)</t>
  </si>
  <si>
    <t>6982920851</t>
  </si>
  <si>
    <t>Bernard James Potton</t>
  </si>
  <si>
    <t>portfolio properties</t>
  </si>
  <si>
    <t>99</t>
  </si>
  <si>
    <t>Stuart Flynn - 2A elderton Road, London, SE26 4EZ, 530 downham Way, Bromley, BR1 5HP, 1 Crowther road, South Norwood, London, SE255QW, loan 1</t>
  </si>
  <si>
    <t>se26</t>
  </si>
  <si>
    <t>SHAWBROOK</t>
  </si>
  <si>
    <t>530 downham Way, Bromley, BR1 5HP</t>
  </si>
  <si>
    <t>1 Crowther road, South Norwood, London, SE255QW</t>
  </si>
  <si>
    <t>6954792880</t>
  </si>
  <si>
    <t>222.2</t>
  </si>
  <si>
    <t>11a Benton Road, IG1 4AT</t>
  </si>
  <si>
    <t>27/01 val quote</t>
  </si>
  <si>
    <t>218.2</t>
  </si>
  <si>
    <t>Kensington</t>
  </si>
  <si>
    <t>Gaurav Ladhar - 11a Benton Road, IG1 4AT</t>
  </si>
  <si>
    <t>6954458034</t>
  </si>
  <si>
    <t>Maria Da Silva</t>
  </si>
  <si>
    <t>153.1</t>
  </si>
  <si>
    <t>Man Ho Gavin Lai</t>
  </si>
  <si>
    <t>709 Exchange Point, 3 New Kings Head Yard, Salford, M3 7GN</t>
  </si>
  <si>
    <t>02/02 waiting on replies to enquiries</t>
  </si>
  <si>
    <t>173.2</t>
  </si>
  <si>
    <t>Maria Da Silva - 709 Exchange Point, 3 New Kings Head Yard, Salford, M3 7GN</t>
  </si>
  <si>
    <t>167733</t>
  </si>
  <si>
    <t>Maria Da Silva (mds-partners@outlook.com)</t>
  </si>
  <si>
    <t>6928424970</t>
  </si>
  <si>
    <t>129.3</t>
  </si>
  <si>
    <t>Jia Wen Liew &amp; Pool Ming Yap</t>
  </si>
  <si>
    <t xml:space="preserve">Flat 14.01, Jacquard Point, 5 Tapestry Way, London E1 2FR </t>
  </si>
  <si>
    <t>15/02 - downvalued - new terms issued</t>
  </si>
  <si>
    <t>113.1</t>
  </si>
  <si>
    <t>Winston Hashtroodi - Flat 14.01, Jacquard Point, 5 Tapestry Way, London E1 2FR</t>
  </si>
  <si>
    <t>6926188401</t>
  </si>
  <si>
    <t>Jesse Mcmullen</t>
  </si>
  <si>
    <t>122.9</t>
  </si>
  <si>
    <t xml:space="preserve">Unilux Homes Limited </t>
  </si>
  <si>
    <t xml:space="preserve">Cornerways, Turpins Lane, Woodford Green, IG8 8BA </t>
  </si>
  <si>
    <t>11/02- Val booked 16/2</t>
  </si>
  <si>
    <t>Anderson Wilde &amp; Harris</t>
  </si>
  <si>
    <t>EX927816</t>
  </si>
  <si>
    <t>Lendinvest</t>
  </si>
  <si>
    <t>Mayfair Court, Manor Road, Chigwell, Essex, IG7 5PE</t>
  </si>
  <si>
    <t>IG7</t>
  </si>
  <si>
    <t>6897506133</t>
  </si>
  <si>
    <t>MOHSIN JAMIL BAIG and SHAILA MUSTAFA</t>
  </si>
  <si>
    <t xml:space="preserve"> St Quivox, 69 Windsor Road,Gerrards Cross (SL9 7NL).</t>
  </si>
  <si>
    <t>08/02  sent revised list</t>
  </si>
  <si>
    <t>BM82612</t>
  </si>
  <si>
    <t>92.1</t>
  </si>
  <si>
    <t>Ali Raza -  St Quivox, 69 Windsor Road,Gerrards Cross SL9 7NL</t>
  </si>
  <si>
    <t>sl9</t>
  </si>
  <si>
    <t>PBL</t>
  </si>
  <si>
    <t>6890196865</t>
  </si>
  <si>
    <t>136.3</t>
  </si>
  <si>
    <t>A.11.04, White City Living, W12 7RQ</t>
  </si>
  <si>
    <t>25/01 legal docs issued - waiting on 2103 to complete</t>
  </si>
  <si>
    <t>98.1</t>
  </si>
  <si>
    <t>Pravin Varsani - A.11.04, White City Living, W12 7RQ</t>
  </si>
  <si>
    <t>6889028473</t>
  </si>
  <si>
    <t>6.45</t>
  </si>
  <si>
    <t>103.1</t>
  </si>
  <si>
    <t>Ken Au</t>
  </si>
  <si>
    <t>4106 Elizabeth Tower, 141 Chester Road, M15 4ZN</t>
  </si>
  <si>
    <t>11/02 chased UT - looking to comp feb/march</t>
  </si>
  <si>
    <t>Maria Da Silva - 4106 Elizabeth Tower, 141 Chester Road, M15 4ZN</t>
  </si>
  <si>
    <t>6725508154</t>
  </si>
  <si>
    <t>190</t>
  </si>
  <si>
    <t>Sonya Karafistan &amp; Rodney Timothy Percival Watts</t>
  </si>
  <si>
    <t>18 Cobden Road, London, SE25 5NX</t>
  </si>
  <si>
    <t>14/02/22 - Waiting on re-inspection fee - chased</t>
  </si>
  <si>
    <t>SY223741</t>
  </si>
  <si>
    <t>113</t>
  </si>
  <si>
    <t>Zircon Bridging Limited</t>
  </si>
  <si>
    <t>se25</t>
  </si>
  <si>
    <t>6600476835</t>
  </si>
  <si>
    <t>Marc Ahearne</t>
  </si>
  <si>
    <t>CHANCERY CONSULTANTS INC</t>
  </si>
  <si>
    <t>B81 Ambassador Building, 5 New Union Square, London, SW11 7BP</t>
  </si>
  <si>
    <t xml:space="preserve">16/02/22 - Waiting on EWs1 form before we can complete. Val report has expired. Will arrange re-inspection/rely upon letter when clients had indication of completion </t>
  </si>
  <si>
    <t>TGL440359</t>
  </si>
  <si>
    <t>103.0</t>
  </si>
  <si>
    <t>CBH Compagnie Bancaire Helvetique Sa</t>
  </si>
  <si>
    <t>SW11</t>
  </si>
  <si>
    <t>168178</t>
  </si>
  <si>
    <t>Marc Ahearne (marc@heroncap.co.uk)</t>
  </si>
  <si>
    <t xml:space="preserve">Key changes in methodology </t>
  </si>
  <si>
    <r>
      <rPr>
        <b/>
        <sz val="11"/>
        <color theme="1"/>
        <rFont val="Calibri"/>
        <family val="2"/>
        <scheme val="minor"/>
      </rPr>
      <t>Product fee override</t>
    </r>
    <r>
      <rPr>
        <sz val="11"/>
        <color theme="1"/>
        <rFont val="Calibri"/>
        <family val="2"/>
        <scheme val="minor"/>
      </rPr>
      <t xml:space="preserve"> - now a discount. Keying 0.5% will change product fees to 5.5%, 3.5%, 1.5% </t>
    </r>
  </si>
  <si>
    <r>
      <rPr>
        <b/>
        <sz val="11"/>
        <color theme="1"/>
        <rFont val="Calibri"/>
        <family val="2"/>
        <scheme val="minor"/>
      </rPr>
      <t xml:space="preserve">NPB </t>
    </r>
    <r>
      <rPr>
        <sz val="11"/>
        <color theme="1"/>
        <rFont val="Calibri"/>
        <family val="2"/>
        <scheme val="minor"/>
      </rPr>
      <t xml:space="preserve">- product fee capped at 2% </t>
    </r>
  </si>
  <si>
    <t>NOTES</t>
  </si>
  <si>
    <t>Title</t>
  </si>
  <si>
    <t>INPUTS REQUIRED</t>
  </si>
  <si>
    <t>Pulled from other sheets</t>
  </si>
  <si>
    <t>EMAIL SUBJECT:</t>
  </si>
  <si>
    <t>Hubspot reference</t>
  </si>
  <si>
    <t>Property address</t>
  </si>
  <si>
    <t>Direct Client?</t>
  </si>
  <si>
    <t>Broker name, unless direct</t>
  </si>
  <si>
    <t>I hope you are well.</t>
  </si>
  <si>
    <t>Please find below the credit backed terms and attached Decision in Principle Subject to Valuation, Due Diligence, Final Approval &amp; Legals.</t>
  </si>
  <si>
    <r>
      <t>v</t>
    </r>
    <r>
      <rPr>
        <sz val="7"/>
        <color rgb="FF1F3864"/>
        <rFont val="Times New Roman"/>
        <family val="1"/>
      </rPr>
      <t> </t>
    </r>
  </si>
  <si>
    <r>
      <rPr>
        <b/>
        <sz val="11"/>
        <color rgb="FF1F3864"/>
        <rFont val="Tahoma"/>
        <family val="2"/>
      </rPr>
      <t>Tier</t>
    </r>
    <r>
      <rPr>
        <sz val="11"/>
        <color rgb="FF1F3864"/>
        <rFont val="Tahoma"/>
        <family val="2"/>
      </rPr>
      <t xml:space="preserve">  - </t>
    </r>
  </si>
  <si>
    <r>
      <rPr>
        <b/>
        <sz val="11"/>
        <color rgb="FF1F3864"/>
        <rFont val="Tahoma"/>
        <family val="2"/>
      </rPr>
      <t>Gross Loan Amount</t>
    </r>
    <r>
      <rPr>
        <sz val="11"/>
        <color rgb="FF1F3864"/>
        <rFont val="Tahoma"/>
        <family val="2"/>
      </rPr>
      <t xml:space="preserve"> - </t>
    </r>
  </si>
  <si>
    <r>
      <rPr>
        <b/>
        <sz val="11"/>
        <color rgb="FF1F3864"/>
        <rFont val="Tahoma"/>
        <family val="2"/>
      </rPr>
      <t>Net Loan Amount</t>
    </r>
    <r>
      <rPr>
        <sz val="11"/>
        <color rgb="FF1F3864"/>
        <rFont val="Tahoma"/>
        <family val="2"/>
      </rPr>
      <t xml:space="preserve"> - </t>
    </r>
  </si>
  <si>
    <r>
      <rPr>
        <b/>
        <sz val="11"/>
        <color rgb="FF1F3864"/>
        <rFont val="Tahoma"/>
        <family val="2"/>
      </rPr>
      <t>Loan Term</t>
    </r>
    <r>
      <rPr>
        <sz val="11"/>
        <color rgb="FF1F3864"/>
        <rFont val="Tahoma"/>
        <family val="2"/>
      </rPr>
      <t xml:space="preserve"> -</t>
    </r>
  </si>
  <si>
    <t>ICR -</t>
  </si>
  <si>
    <t>Annual Interest Rate -</t>
  </si>
  <si>
    <t>Deferred Interest -</t>
  </si>
  <si>
    <t>Rolled up Interest -</t>
  </si>
  <si>
    <t>Product Fee -</t>
  </si>
  <si>
    <t>Broker Fee -</t>
  </si>
  <si>
    <t>(to be deducted from net loan amount)</t>
  </si>
  <si>
    <t>Early Repayment Charges (ERC’s) -</t>
  </si>
  <si>
    <t xml:space="preserve">Security </t>
  </si>
  <si>
    <t>Ø</t>
  </si>
  <si>
    <t>CHARGE</t>
  </si>
  <si>
    <t>TITLE NUMBER</t>
  </si>
  <si>
    <t>New Build - TBC</t>
  </si>
  <si>
    <r>
      <t>(Current 1</t>
    </r>
    <r>
      <rPr>
        <vertAlign val="superscript"/>
        <sz val="11"/>
        <color rgb="FF222A35"/>
        <rFont val="Tahoma"/>
        <family val="2"/>
      </rPr>
      <t>st</t>
    </r>
    <r>
      <rPr>
        <sz val="11"/>
        <color rgb="FF222A35"/>
        <rFont val="Tahoma"/>
        <family val="2"/>
      </rPr>
      <t xml:space="preserve"> Charge Outstanding Balance – [Proprietor of the Registered Charge - £[xxx]) – </t>
    </r>
    <r>
      <rPr>
        <b/>
        <sz val="11"/>
        <color rgb="FF222A35"/>
        <rFont val="Tahoma"/>
        <family val="2"/>
      </rPr>
      <t>To be discharged</t>
    </r>
  </si>
  <si>
    <t>Security Charge to be placed at the Companies House – [Name of Company] (Company No. in [xxx])</t>
  </si>
  <si>
    <t>Personal Guarantee from both Directors and Shareholders/Ultimate Beneficiary of the Company – [Names]</t>
  </si>
  <si>
    <r>
      <rPr>
        <sz val="7"/>
        <color rgb="FF1F3864"/>
        <rFont val="Tahoma"/>
        <family val="2"/>
      </rPr>
      <t xml:space="preserve"> </t>
    </r>
    <r>
      <rPr>
        <b/>
        <sz val="11"/>
        <color rgb="FF1F3864"/>
        <rFont val="Tahoma"/>
        <family val="2"/>
      </rPr>
      <t>Valuation Cost</t>
    </r>
    <r>
      <rPr>
        <sz val="11"/>
        <color rgb="FF1F3864"/>
        <rFont val="Tahoma"/>
        <family val="2"/>
      </rPr>
      <t xml:space="preserve"> -</t>
    </r>
  </si>
  <si>
    <t>To be borne by the client</t>
  </si>
  <si>
    <t xml:space="preserve">[Security address] - £[Valuation Fee] + VAT – Availability from [xxxx] </t>
  </si>
  <si>
    <r>
      <rPr>
        <b/>
        <sz val="11"/>
        <color rgb="FF1F3864"/>
        <rFont val="Tahoma"/>
        <family val="2"/>
      </rPr>
      <t>Lender’s Legal Costs</t>
    </r>
    <r>
      <rPr>
        <sz val="11"/>
        <color rgb="FF1F3864"/>
        <rFont val="Tahoma"/>
        <family val="2"/>
      </rPr>
      <t xml:space="preserve"> -</t>
    </r>
  </si>
  <si>
    <t>To be borne by the client. Also, separate cost to be borne for our Lawyers to obtain the Legal Opinion form the Lawyers in the [area].</t>
  </si>
  <si>
    <t>XXXXXXX</t>
  </si>
  <si>
    <t>s</t>
  </si>
  <si>
    <t>cost borne by:</t>
  </si>
  <si>
    <t>To move this ahead, I will require the following information.</t>
  </si>
  <si>
    <t>Personal Information for [Name of the Borrower]</t>
  </si>
  <si>
    <t>Please provide the borrowers contact details</t>
  </si>
  <si>
    <t>Please provide a copy of passport</t>
  </si>
  <si>
    <t>Please provide Utility Bill dated within the last three months</t>
  </si>
  <si>
    <t xml:space="preserve">Please provide the last three months personal bank statements </t>
  </si>
  <si>
    <t>Please confirm their source of income and business activities</t>
  </si>
  <si>
    <t>Please confirm their source of wealth ( if the client is from high risk country – check risk calculator)</t>
  </si>
  <si>
    <t>Please provide latest 3 months payslips and p60 OR latest 2 year tax calculations and tax year overviews (to confirm lower or higher rate tax payer if borrower is individual OR FTB to confirm minimum income £30,000)</t>
  </si>
  <si>
    <r>
      <rPr>
        <sz val="11"/>
        <color rgb="FF0D0D0D"/>
        <rFont val="Tahoma"/>
        <family val="2"/>
      </rPr>
      <t xml:space="preserve">Please provide a Credit Report detailing the Borrower’s payment profile. Our preference is </t>
    </r>
    <r>
      <rPr>
        <sz val="11"/>
        <color theme="1"/>
        <rFont val="Tahoma"/>
        <family val="2"/>
      </rPr>
      <t>Checkmyfile</t>
    </r>
    <r>
      <rPr>
        <sz val="11"/>
        <color rgb="FF0D0D0D"/>
        <rFont val="Tahoma"/>
        <family val="2"/>
      </rPr>
      <t xml:space="preserve"> (multi-bureau report combining data from Equifax, Experian, TransUnion and Crediva).  It’s FREE for 30 days, then £14.99 a month – cancel online anytime. Link – </t>
    </r>
    <r>
      <rPr>
        <sz val="11"/>
        <color theme="1"/>
        <rFont val="Tahoma"/>
        <family val="2"/>
      </rPr>
      <t>CheckMyFile.com</t>
    </r>
    <r>
      <rPr>
        <sz val="11"/>
        <color rgb="FF0D0D0D"/>
        <rFont val="Tahoma"/>
        <family val="2"/>
      </rPr>
      <t xml:space="preserve">.  Alternatively provide an Equifax, Experian or Transunion report. </t>
    </r>
  </si>
  <si>
    <t>Please confirm if the borrower will use the same solicitor as previous</t>
  </si>
  <si>
    <t>Solicitor’s Details. Please ensure it is a minimum two partner firm, are registered with SRA and are not just a conveyance firm</t>
  </si>
  <si>
    <t>Company Information for [Name of the Company]</t>
  </si>
  <si>
    <t>Please provide the last 3 months business bank statements</t>
  </si>
  <si>
    <t>Please provide a Company fact sheet if BVI</t>
  </si>
  <si>
    <t>Please provide the Memorandum and Articles of Association if BVI (to be requested through our lawyer)</t>
  </si>
  <si>
    <t>Please provide the Minutes of Board Resolution meeting confirming the intent to borrow (to be requested through our lawyer)</t>
  </si>
  <si>
    <t>Property Information for [Security Address]</t>
  </si>
  <si>
    <t>Please provide a copy of the AST. Please note, the rental income must match the same showing on the bank statements</t>
  </si>
  <si>
    <t>Please provide a copy of the purchase contract</t>
  </si>
  <si>
    <t>Borrower’s solicitors to confirm the Title number of the property on completion</t>
  </si>
  <si>
    <t>Please provide a copy of the NHBC certificate (to be requested through our lawyer)</t>
  </si>
  <si>
    <t>Please provide a copy of the HMO license</t>
  </si>
  <si>
    <t>Please provide confirmation Ground Rent and Service Charges are up to date (to be requested through our lawyer)</t>
  </si>
  <si>
    <t>Include "If more than 5%"?</t>
  </si>
  <si>
    <t>Please provide a Redemption Statement for the charge with xxxx</t>
  </si>
  <si>
    <t>Please provide a copy of the Buildings Insurance along with the summary of cover (to be requested through our lawyer)</t>
  </si>
  <si>
    <t>Please provide contact details of the person providing the access to the valuer</t>
  </si>
  <si>
    <t xml:space="preserve">Please provide a copy of the Direct Debit Mandate </t>
  </si>
  <si>
    <t xml:space="preserve">*Please note as an additional condition, we will require the following Restrictions to be removed on the land registry prior to/on drawdown. </t>
  </si>
  <si>
    <t>[Name]</t>
  </si>
  <si>
    <t>Valuation cost:</t>
  </si>
  <si>
    <t>TBC by underwriter</t>
  </si>
  <si>
    <t>Please confirm the anticipated completion date.</t>
  </si>
  <si>
    <t>If you have any questions, please do not hesitate to get in contact.</t>
  </si>
  <si>
    <t>Kind Regards,</t>
  </si>
  <si>
    <t>INPUTS FROM DIP</t>
  </si>
  <si>
    <t>Please see below details of a new Buy to Let deal.</t>
  </si>
  <si>
    <t>The client is looking to acquire the above property, therefore requires a Buy to let loan for a period of 12 months.</t>
  </si>
  <si>
    <t>Please find the terms below, which are Subject to Due Diligence, Final Approval &amp; Legals:</t>
  </si>
  <si>
    <r>
      <rPr>
        <b/>
        <sz val="11"/>
        <color rgb="FF1F3864"/>
        <rFont val="Tahoma"/>
        <family val="2"/>
      </rPr>
      <t>Nett Loan Amount to the borrower</t>
    </r>
    <r>
      <rPr>
        <sz val="11"/>
        <color rgb="FF1F3864"/>
        <rFont val="Tahoma"/>
        <family val="2"/>
      </rPr>
      <t xml:space="preserve"> - </t>
    </r>
  </si>
  <si>
    <r>
      <rPr>
        <b/>
        <sz val="11"/>
        <color rgb="FF1F3864"/>
        <rFont val="Tahoma"/>
        <family val="2"/>
      </rPr>
      <t xml:space="preserve">Funds to be received from investor </t>
    </r>
    <r>
      <rPr>
        <sz val="11"/>
        <color rgb="FF1F3864"/>
        <rFont val="Tahoma"/>
        <family val="2"/>
      </rPr>
      <t xml:space="preserve">- </t>
    </r>
  </si>
  <si>
    <r>
      <rPr>
        <b/>
        <sz val="11"/>
        <color rgb="FF1F3864"/>
        <rFont val="Tahoma"/>
        <family val="2"/>
      </rPr>
      <t>Term</t>
    </r>
    <r>
      <rPr>
        <sz val="11"/>
        <color rgb="FF1F3864"/>
        <rFont val="Tahoma"/>
        <family val="2"/>
      </rPr>
      <t xml:space="preserve"> -</t>
    </r>
  </si>
  <si>
    <t>Interest Rate -</t>
  </si>
  <si>
    <t>Monthly Interest Payment -</t>
  </si>
  <si>
    <t>Months 1-12 – 4.00%. Months 13-24 – 3.00%. Months 25 -36 – 2.00%. Final month is ERC free</t>
  </si>
  <si>
    <t>Double Check (to be deducted from net loan amount)</t>
  </si>
  <si>
    <t>Broker Procuration Fee  -</t>
  </si>
  <si>
    <t>Borrowers  -</t>
  </si>
  <si>
    <t>Property Type -</t>
  </si>
  <si>
    <t>Manager -</t>
  </si>
  <si>
    <t>Lender  -</t>
  </si>
  <si>
    <t>(Please note, this may change and I will confirm the details as soon as I have confirmation)</t>
  </si>
  <si>
    <t>Legal Charge / Investors  -</t>
  </si>
  <si>
    <t>deed of guarantee and cross- collateralization if splitting the loan internally</t>
  </si>
  <si>
    <t>Please note there will be a shortfall of £1,200 which the borrower will fund prior to completion or on the day of drawdown.</t>
  </si>
  <si>
    <t>Borrower’s solicitors to confirm the Title number of the property on completion (NEW BUILD)</t>
  </si>
  <si>
    <t>Please provide a copy of the NHBC certificate (NEW BUILD) (to be requested through our lawyer)</t>
  </si>
  <si>
    <t>Please provide a schedule of works from the builder(if more than 5% of the value, must come from a builder/ review case by case)</t>
  </si>
  <si>
    <t>If in agreement with the above terms, I will require a signed copy of the attached Decision in Principle and Direct Debit Mandate, Admin Fee of £199 (Non-refundable) and valuation cost of £[xxx] to be credited into our client account, hence we can do the needful from my end. Please find our bank account details attached and use our reference number or first line of security address as the reference.</t>
  </si>
  <si>
    <t xml:space="preserve">Bespoke Tier Pricing Tool </t>
  </si>
  <si>
    <t>Bespoke tier allows UW/Credit discretion on the final customer rate or product fee</t>
  </si>
  <si>
    <r>
      <rPr>
        <b/>
        <sz val="10"/>
        <color theme="1"/>
        <rFont val="Lato"/>
        <family val="2"/>
      </rPr>
      <t>This tool provides consistency on extra 'risk based' price or fee loadings on bespoke cases</t>
    </r>
    <r>
      <rPr>
        <sz val="10"/>
        <color theme="1"/>
        <rFont val="Lato"/>
        <family val="2"/>
      </rPr>
      <t xml:space="preserve"> based on the customer/property situation</t>
    </r>
  </si>
  <si>
    <t>Note: if the LTV is lower than 70%, or capped lower to contain risk, a discount will be applied to any risk loading (LTV is a large risk control tool)</t>
  </si>
  <si>
    <t>Rate loadings/final rate/fee will require being re-entered into the Underwriter BTL calculator - this will impact loan size and ICR</t>
  </si>
  <si>
    <t>Default Bespoke Rate:</t>
  </si>
  <si>
    <t>Default Bespoke Product Fee:</t>
  </si>
  <si>
    <t>Loan Term (months):</t>
  </si>
  <si>
    <t>Gross Loan LTV:</t>
  </si>
  <si>
    <t>Borrower Considerations</t>
  </si>
  <si>
    <t>Property Considerations</t>
  </si>
  <si>
    <t>Risk Load?</t>
  </si>
  <si>
    <t>Hide</t>
  </si>
  <si>
    <t>BKO or IVA discharged in last year?</t>
  </si>
  <si>
    <t>Large HMO (&gt; 15 rooms)?</t>
  </si>
  <si>
    <t>BKO or IVA discharged 1-2 years ago?</t>
  </si>
  <si>
    <t>Large MUFB (&gt; 15 rooms)?</t>
  </si>
  <si>
    <t>First Time Landlord &amp; HMO/MUB?</t>
  </si>
  <si>
    <r>
      <t xml:space="preserve">Above pub/takeaway/laundrette </t>
    </r>
    <r>
      <rPr>
        <b/>
        <u/>
        <sz val="11"/>
        <color theme="1"/>
        <rFont val="Lato"/>
        <family val="2"/>
      </rPr>
      <t>AND</t>
    </r>
    <r>
      <rPr>
        <b/>
        <sz val="11"/>
        <color theme="1"/>
        <rFont val="Lato"/>
        <family val="2"/>
      </rPr>
      <t xml:space="preserve"> LTV &gt; 65%?</t>
    </r>
  </si>
  <si>
    <t>CCJs in last 12 months?</t>
  </si>
  <si>
    <t>Missed mortgage payment &lt;= 6 months ago</t>
  </si>
  <si>
    <t>Type rationale for UW discretion loading:</t>
  </si>
  <si>
    <t xml:space="preserve">Underwriter Discretion/Reason not listed above </t>
  </si>
  <si>
    <r>
      <t xml:space="preserve">Choose Customer Rate/Fee Option </t>
    </r>
    <r>
      <rPr>
        <sz val="12"/>
        <color rgb="FF0070C0"/>
        <rFont val="Lato"/>
        <family val="2"/>
      </rPr>
      <t>(discuss preference with Broker)</t>
    </r>
  </si>
  <si>
    <t>1) All rate</t>
  </si>
  <si>
    <t>2) All fee</t>
  </si>
  <si>
    <t>3) 50/50</t>
  </si>
  <si>
    <t>4) Custom split</t>
  </si>
  <si>
    <t>Custom split allows best fit for customer/broker, considering ICR (higher rate = higher monthly interest) and loan size (larger fee = lower net loan)</t>
  </si>
  <si>
    <t>Rate:</t>
  </si>
  <si>
    <t>Any final decisions are guidelines and to be discussed with Underwriter Manager</t>
  </si>
  <si>
    <t>Total Loadings - FYI</t>
  </si>
  <si>
    <t>Total rate load PER YEAR based on selections:</t>
  </si>
  <si>
    <t xml:space="preserve">Discount applied for lower LTVs? </t>
  </si>
  <si>
    <t>Final rate load p.a. with discount applied:</t>
  </si>
  <si>
    <t>ROWS TO BE HIDDEN</t>
  </si>
  <si>
    <t>Market Financial Solutions</t>
  </si>
  <si>
    <t>MFS Case Reference</t>
  </si>
  <si>
    <t xml:space="preserve">Status </t>
  </si>
  <si>
    <t>Client name</t>
  </si>
  <si>
    <t>Client Address</t>
  </si>
  <si>
    <t>Client contact details</t>
  </si>
  <si>
    <t>Company Name</t>
  </si>
  <si>
    <t>Company Registered address</t>
  </si>
  <si>
    <t>Client type</t>
  </si>
  <si>
    <t xml:space="preserve">Property 2 Address </t>
  </si>
  <si>
    <t xml:space="preserve">Property 3 Address </t>
  </si>
  <si>
    <t xml:space="preserve">Property 4 Address </t>
  </si>
  <si>
    <t xml:space="preserve">Property 5 Address </t>
  </si>
  <si>
    <r>
      <t xml:space="preserve">Term </t>
    </r>
    <r>
      <rPr>
        <sz val="11"/>
        <color theme="1"/>
        <rFont val="Lato"/>
        <family val="2"/>
      </rPr>
      <t>(months)</t>
    </r>
  </si>
  <si>
    <r>
      <t xml:space="preserve">Interest rolled up </t>
    </r>
    <r>
      <rPr>
        <sz val="11"/>
        <color theme="1"/>
        <rFont val="Lato"/>
        <family val="2"/>
      </rPr>
      <t>(months)</t>
    </r>
  </si>
  <si>
    <r>
      <t xml:space="preserve">Interest Serviced </t>
    </r>
    <r>
      <rPr>
        <sz val="11"/>
        <color theme="1"/>
        <rFont val="Lato"/>
        <family val="2"/>
      </rPr>
      <t>(months)</t>
    </r>
  </si>
  <si>
    <r>
      <t>Monthly Interest rate payable</t>
    </r>
    <r>
      <rPr>
        <sz val="11"/>
        <color theme="1"/>
        <rFont val="Lato"/>
        <family val="2"/>
      </rPr>
      <t xml:space="preserve"> (%)</t>
    </r>
  </si>
  <si>
    <r>
      <t xml:space="preserve">Deferred Interest </t>
    </r>
    <r>
      <rPr>
        <sz val="11"/>
        <color theme="1"/>
        <rFont val="Lato"/>
        <family val="2"/>
      </rPr>
      <t>(%)</t>
    </r>
  </si>
  <si>
    <r>
      <t xml:space="preserve">Arrangement fee </t>
    </r>
    <r>
      <rPr>
        <sz val="11"/>
        <color theme="1"/>
        <rFont val="Lato"/>
        <family val="2"/>
      </rPr>
      <t>(%)</t>
    </r>
  </si>
  <si>
    <r>
      <t xml:space="preserve">External broker fee </t>
    </r>
    <r>
      <rPr>
        <sz val="11"/>
        <color theme="1"/>
        <rFont val="Lato"/>
        <family val="2"/>
      </rPr>
      <t>(%)</t>
    </r>
  </si>
  <si>
    <r>
      <t xml:space="preserve">Exit fee </t>
    </r>
    <r>
      <rPr>
        <sz val="11"/>
        <color theme="1"/>
        <rFont val="Lato"/>
        <family val="2"/>
      </rPr>
      <t>(%)</t>
    </r>
  </si>
  <si>
    <r>
      <t xml:space="preserve">Net Loan Amount </t>
    </r>
    <r>
      <rPr>
        <sz val="11"/>
        <color theme="1"/>
        <rFont val="Lato"/>
        <family val="2"/>
      </rPr>
      <t>(Interest rolled up, less Arrangement fee)</t>
    </r>
  </si>
  <si>
    <r>
      <t xml:space="preserve">Start Date </t>
    </r>
    <r>
      <rPr>
        <sz val="11"/>
        <rFont val="Lato"/>
        <family val="2"/>
      </rPr>
      <t>(dd/mm/yyyy)</t>
    </r>
  </si>
  <si>
    <r>
      <t xml:space="preserve">End Date </t>
    </r>
    <r>
      <rPr>
        <sz val="11"/>
        <rFont val="Lato"/>
        <family val="2"/>
      </rPr>
      <t>(dd/mm/yyyy)</t>
    </r>
  </si>
  <si>
    <r>
      <t>Extension</t>
    </r>
    <r>
      <rPr>
        <sz val="11"/>
        <rFont val="Lato"/>
        <family val="2"/>
      </rPr>
      <t xml:space="preserve"> (months)</t>
    </r>
  </si>
  <si>
    <r>
      <t>Penalty rate starts on</t>
    </r>
    <r>
      <rPr>
        <b/>
        <sz val="12"/>
        <color rgb="FFFF0000"/>
        <rFont val="Lato"/>
        <family val="2"/>
      </rPr>
      <t xml:space="preserve"> </t>
    </r>
    <r>
      <rPr>
        <sz val="11"/>
        <color theme="1"/>
        <rFont val="Lato"/>
        <family val="2"/>
      </rPr>
      <t>(%)</t>
    </r>
  </si>
  <si>
    <r>
      <t>Penalty</t>
    </r>
    <r>
      <rPr>
        <sz val="11"/>
        <color theme="1"/>
        <rFont val="Lato"/>
        <family val="2"/>
      </rPr>
      <t xml:space="preserve"> (months)</t>
    </r>
  </si>
  <si>
    <t xml:space="preserve">Deal Due Diligence </t>
  </si>
  <si>
    <t>includes 2nd property?</t>
  </si>
  <si>
    <r>
      <t>Valuation Assessment</t>
    </r>
    <r>
      <rPr>
        <sz val="12"/>
        <color theme="1"/>
        <rFont val="Lato"/>
        <family val="2"/>
      </rPr>
      <t xml:space="preserve"> - Legal Charge </t>
    </r>
  </si>
  <si>
    <t>Legal Charge</t>
  </si>
  <si>
    <t>Loan to Value all security (%)</t>
  </si>
  <si>
    <t>Security</t>
  </si>
  <si>
    <t>Expiry Date</t>
  </si>
  <si>
    <t>Amount building insured for</t>
  </si>
  <si>
    <t>Funding</t>
  </si>
  <si>
    <t>Interest Payments</t>
  </si>
  <si>
    <t>General Information</t>
  </si>
  <si>
    <t>Solicitors Firm</t>
  </si>
  <si>
    <t>Checked By:</t>
  </si>
  <si>
    <t>1)</t>
  </si>
  <si>
    <t xml:space="preserve">                       2)</t>
  </si>
  <si>
    <t>MFS BTL - Direct Debit Schedule Calculator</t>
  </si>
  <si>
    <t>Rules</t>
  </si>
  <si>
    <t>Deferred interest?</t>
  </si>
  <si>
    <t>1. We only collect payments between day 1 and 28 of the month</t>
  </si>
  <si>
    <t>Do we give them just 3 payment options? 1st, 15th, 28th?</t>
  </si>
  <si>
    <t>Rate used for loan</t>
  </si>
  <si>
    <t>2. DD's normally take at least two weeks to update. This means your payment date may stay the same the month you request a change. Your new payment date will start the following month or even the month after.</t>
  </si>
  <si>
    <t>3. If you are changing the account your DD comes from this can also take up to two weeks to change</t>
  </si>
  <si>
    <t>Months Rolled</t>
  </si>
  <si>
    <t>4. We'll send you a letter within five working days to confirm when your changes will take place</t>
  </si>
  <si>
    <t>Loan term</t>
  </si>
  <si>
    <t>5. If we release initial funds on 15th of the month onwards, we will not take a payment that month. The following month will be higher to pay for the partial first month and the full month.</t>
  </si>
  <si>
    <t>DD starts in month</t>
  </si>
  <si>
    <t>Monthly Interest payment</t>
  </si>
  <si>
    <t>Missed DD fee?</t>
  </si>
  <si>
    <t>Daily Interest payment</t>
  </si>
  <si>
    <t>Total Interest Owed over term</t>
  </si>
  <si>
    <t>Assumed Completion date</t>
  </si>
  <si>
    <t>If completes 15th of the month onwards, take first payment following month</t>
  </si>
  <si>
    <t>Assumed DD day</t>
  </si>
  <si>
    <t>Customer can request different day</t>
  </si>
  <si>
    <t>Full month flag (take DD in month 1)</t>
  </si>
  <si>
    <t>Split month in month 1?</t>
  </si>
  <si>
    <t>If no rolled up interest, can only take DD if day before 15th of the month</t>
  </si>
  <si>
    <t>DD day before completion day</t>
  </si>
  <si>
    <t>Final month payment needed?</t>
  </si>
  <si>
    <t>Repayment Schedule</t>
  </si>
  <si>
    <t>Month</t>
  </si>
  <si>
    <t>Month/ Year</t>
  </si>
  <si>
    <t>Days in month eligible for loan</t>
  </si>
  <si>
    <t>Full Month?</t>
  </si>
  <si>
    <t>Interest Debit Date</t>
  </si>
  <si>
    <t>Overpayments</t>
  </si>
  <si>
    <t>Pro rata month interest debited</t>
  </si>
  <si>
    <t>DD amount</t>
  </si>
  <si>
    <t>DD date</t>
  </si>
  <si>
    <t>Check column</t>
  </si>
  <si>
    <t>Completion</t>
  </si>
  <si>
    <t>day</t>
  </si>
  <si>
    <t>year</t>
  </si>
  <si>
    <t>Key:</t>
  </si>
  <si>
    <t>When value different to the 'norm'</t>
  </si>
  <si>
    <t>OUTPUTS</t>
  </si>
  <si>
    <t>Amount?</t>
  </si>
  <si>
    <t>When?</t>
  </si>
  <si>
    <t>1st DD:</t>
  </si>
  <si>
    <t>Final payment of:</t>
  </si>
  <si>
    <t>Total Interest Paid By DD:</t>
  </si>
  <si>
    <t>Total to be repaid</t>
  </si>
  <si>
    <t>Anniversary of loan</t>
  </si>
  <si>
    <t>Months #</t>
  </si>
  <si>
    <t>mnths</t>
  </si>
  <si>
    <t>Remainder from 1st month:</t>
  </si>
  <si>
    <t>Penultimate month:</t>
  </si>
  <si>
    <t>Final Month DD:</t>
  </si>
  <si>
    <t>Penultimate Month DD:</t>
  </si>
  <si>
    <t xml:space="preserve">if it's 2nd to last month, last month is a partial month, and a </t>
  </si>
  <si>
    <t>Take DD in month 1?</t>
  </si>
  <si>
    <t>Reference:</t>
  </si>
  <si>
    <t>Start date:</t>
  </si>
  <si>
    <t>LEFT TO DO</t>
  </si>
  <si>
    <t>Applicant name:</t>
  </si>
  <si>
    <t>End date:</t>
  </si>
  <si>
    <t>"No"</t>
  </si>
  <si>
    <t>Company Name:</t>
  </si>
  <si>
    <t>"Yes"</t>
  </si>
  <si>
    <t>Awaiting</t>
  </si>
  <si>
    <t>Introducer:</t>
  </si>
  <si>
    <t>Email address:</t>
  </si>
  <si>
    <t>TOTAL</t>
  </si>
  <si>
    <t>Contact number:</t>
  </si>
  <si>
    <t>CHECKLIST</t>
  </si>
  <si>
    <t>Items</t>
  </si>
  <si>
    <t>Check</t>
  </si>
  <si>
    <t>Correspondence</t>
  </si>
  <si>
    <t>Checked for terms in the details sent to Lawyers</t>
  </si>
  <si>
    <t>Borrowers Lawyer's detail &amp; SRA Member ?</t>
  </si>
  <si>
    <t xml:space="preserve">Print of SRA </t>
  </si>
  <si>
    <t>Register of Title</t>
  </si>
  <si>
    <t xml:space="preserve">Certificate of Title </t>
  </si>
  <si>
    <t>Check of applicants against the title deeds</t>
  </si>
  <si>
    <t>Building Insurance</t>
  </si>
  <si>
    <t>Valid certificate of insurance up until drawdown</t>
  </si>
  <si>
    <t xml:space="preserve">Expiration of Insurance </t>
  </si>
  <si>
    <t>Interest noted - Either MFS or CCC</t>
  </si>
  <si>
    <t>Sum Insured covers reinstatement cost</t>
  </si>
  <si>
    <t>Mortgage Statement</t>
  </si>
  <si>
    <t>Existing copies of Mortgage Statement</t>
  </si>
  <si>
    <t>Personal Information KYC</t>
  </si>
  <si>
    <t xml:space="preserve">Statement of means </t>
  </si>
  <si>
    <t xml:space="preserve">SIRA </t>
  </si>
  <si>
    <t>GBG IDGlobal Report</t>
  </si>
  <si>
    <t>Call Credit</t>
  </si>
  <si>
    <t>Experian Prove ID AML/KYC</t>
  </si>
  <si>
    <t>Lexis Nexis</t>
  </si>
  <si>
    <t>Smart Search</t>
  </si>
  <si>
    <t>Google Search - Political ?</t>
  </si>
  <si>
    <t>Age of Borrowers</t>
  </si>
  <si>
    <t>Proof of Address within 3 months of drawdown</t>
  </si>
  <si>
    <t>Utility Bill within 3 months of drawdown</t>
  </si>
  <si>
    <t>Bank statement within 3 months of drawdown</t>
  </si>
  <si>
    <t>Valid Photo ID up until completion</t>
  </si>
  <si>
    <t>Equifax</t>
  </si>
  <si>
    <t>Visibility of the applicant photo</t>
  </si>
  <si>
    <t>Property/Company Information</t>
  </si>
  <si>
    <t>Is it a company</t>
  </si>
  <si>
    <t xml:space="preserve">If Yes, </t>
  </si>
  <si>
    <t xml:space="preserve">Certificate of Incorporation </t>
  </si>
  <si>
    <t>Memorandum of Articles &amp; Associates</t>
  </si>
  <si>
    <t>Company financial statements &amp; audit reports</t>
  </si>
  <si>
    <t>Directors Guarantee - Personal Guarantee</t>
  </si>
  <si>
    <t xml:space="preserve">Board Resolution &amp; Minutes </t>
  </si>
  <si>
    <t>Experian Company Report</t>
  </si>
  <si>
    <t>AST/Lease</t>
  </si>
  <si>
    <t>Copy of Contract</t>
  </si>
  <si>
    <t>Copy of AST - Estate Agent's ARI</t>
  </si>
  <si>
    <t>Copy of Lease</t>
  </si>
  <si>
    <t xml:space="preserve">Valuation </t>
  </si>
  <si>
    <t>Documentation from property valuers</t>
  </si>
  <si>
    <t>Valuation and reinstatement advised to lawyer?</t>
  </si>
  <si>
    <t>Is it an independent valuation for Investor/Funding Line</t>
  </si>
  <si>
    <t>Legal Documents</t>
  </si>
  <si>
    <t>If a company, a copy of the Guarantee &amp; Indemnity</t>
  </si>
  <si>
    <t>Signed by borrower</t>
  </si>
  <si>
    <t>Signed by lender</t>
  </si>
  <si>
    <t xml:space="preserve">Loan agreement </t>
  </si>
  <si>
    <t xml:space="preserve">Legal Charge agreement </t>
  </si>
  <si>
    <t xml:space="preserve">Send Legal documents to Lawyer </t>
  </si>
  <si>
    <t>Solicitor's completion Statement</t>
  </si>
  <si>
    <t>Confirmation from Lawyer</t>
  </si>
  <si>
    <t>Allocate reference deal code</t>
  </si>
  <si>
    <t>Email Client+Broker that loan is completed and quote MFS deal code/obtain bank details for refund of commitment fee + Broker bank details</t>
  </si>
  <si>
    <t>Email client that loan is completed, quote MFS deal code &amp; obtain bank details for refund of commitment fee</t>
  </si>
  <si>
    <t xml:space="preserve">Refund Commitment Fee </t>
  </si>
  <si>
    <t>Advised Client of refund</t>
  </si>
  <si>
    <t>Email broker to request invoice</t>
  </si>
  <si>
    <t xml:space="preserve">Received Broker Invoice </t>
  </si>
  <si>
    <t xml:space="preserve">Advised Broker of commission payment </t>
  </si>
  <si>
    <t>Certificate of Title Received</t>
  </si>
  <si>
    <t>Check Completion Statement</t>
  </si>
  <si>
    <t>Adhoc</t>
  </si>
  <si>
    <t>Update Building Insurance Spreadsheet</t>
  </si>
  <si>
    <t>Update Land Registry Spreadsheet</t>
  </si>
  <si>
    <t>Update End of Month Report</t>
  </si>
  <si>
    <t>Update Cheques for Banking</t>
  </si>
  <si>
    <t>Send out Survey</t>
  </si>
  <si>
    <t>Courtesy Telephone Call - Enter date scheduled</t>
  </si>
  <si>
    <t>Legal Documents 
dated and signed</t>
  </si>
  <si>
    <t xml:space="preserve">Completion Statements </t>
  </si>
  <si>
    <t>Complete Redemption Statement</t>
  </si>
  <si>
    <t xml:space="preserve"> </t>
  </si>
  <si>
    <t>D-Interest</t>
  </si>
  <si>
    <t>Cheque</t>
  </si>
  <si>
    <t>D-Interest - default</t>
  </si>
  <si>
    <t>D-Other</t>
  </si>
  <si>
    <t>Direct Credit</t>
  </si>
  <si>
    <t>Cr-Interest - Rolled</t>
  </si>
  <si>
    <t>Repayment (retained interest applied)</t>
  </si>
  <si>
    <t>Cr-Interest - Cheque</t>
  </si>
  <si>
    <t>Cr-Interest - DD</t>
  </si>
  <si>
    <t>Cr-Interest - DCr</t>
  </si>
  <si>
    <t>Cr-Repayments</t>
  </si>
  <si>
    <t>Repayment</t>
  </si>
  <si>
    <t>Cr-Other</t>
  </si>
  <si>
    <t>Term :</t>
  </si>
  <si>
    <t>Interest Rolled Up:</t>
  </si>
  <si>
    <t>Serviced</t>
  </si>
  <si>
    <t>Funding Line</t>
  </si>
  <si>
    <t>Arrangement Fee:</t>
  </si>
  <si>
    <t>Monthly Interest Rate:</t>
  </si>
  <si>
    <t>Monthly Interest Amount:</t>
  </si>
  <si>
    <t>Payment by</t>
  </si>
  <si>
    <t>Monthly Default Interest Rate:</t>
  </si>
  <si>
    <t>Loan Start Date :</t>
  </si>
  <si>
    <t xml:space="preserve">Loan End Date: </t>
  </si>
  <si>
    <t>Extensions</t>
  </si>
  <si>
    <t xml:space="preserve">Months </t>
  </si>
  <si>
    <t xml:space="preserve">Minimum Term: </t>
  </si>
  <si>
    <t>3 Months</t>
  </si>
  <si>
    <t>Overwrite columns</t>
  </si>
  <si>
    <t>Date</t>
  </si>
  <si>
    <t xml:space="preserve">Description </t>
  </si>
  <si>
    <t>Debit</t>
  </si>
  <si>
    <t>Credit</t>
  </si>
  <si>
    <t>Balance</t>
  </si>
  <si>
    <t>Column</t>
  </si>
  <si>
    <t>£ Amount</t>
  </si>
  <si>
    <t>Description</t>
  </si>
  <si>
    <t>Default</t>
  </si>
  <si>
    <t>Default?</t>
  </si>
  <si>
    <t>Interest PM</t>
  </si>
  <si>
    <t>Interest</t>
  </si>
  <si>
    <t>Month/Date</t>
  </si>
  <si>
    <t>Cr-Interest</t>
  </si>
  <si>
    <t>Other</t>
  </si>
  <si>
    <t>Repayments</t>
  </si>
  <si>
    <t>Loan drawdown</t>
  </si>
  <si>
    <t>Interest Rolled Up Deducted</t>
  </si>
  <si>
    <t>Arrangement Fee Deducted</t>
  </si>
  <si>
    <t>Net Loan Amount Released</t>
  </si>
  <si>
    <t>Loan start</t>
  </si>
  <si>
    <t>Minimum Term: 3 Months</t>
  </si>
  <si>
    <t>The balance is valid until</t>
  </si>
  <si>
    <t>Colour Note</t>
  </si>
  <si>
    <t>Colour HEX</t>
  </si>
  <si>
    <t>Colour RGB</t>
  </si>
  <si>
    <t>Address in Footer</t>
  </si>
  <si>
    <t>Logo</t>
  </si>
  <si>
    <t>Logo Name</t>
  </si>
  <si>
    <t>Date DIP Last approved</t>
  </si>
  <si>
    <t>FUNDING CALCULATIONS</t>
  </si>
  <si>
    <t>Interest Rate applied</t>
  </si>
  <si>
    <t>Loan term section (Default)</t>
  </si>
  <si>
    <t>Selected</t>
  </si>
  <si>
    <t>to change colour, go to completion statement tab, click home, conditional formatting, manage rules, use the drop down for "this worksheet" and change accordingly.</t>
  </si>
  <si>
    <t>Unknown/ Other</t>
  </si>
  <si>
    <t>Top row 3rd</t>
  </si>
  <si>
    <t>B2B2B2</t>
  </si>
  <si>
    <t>178/178/178</t>
  </si>
  <si>
    <t>Logo_1</t>
  </si>
  <si>
    <t>002855</t>
  </si>
  <si>
    <t>0/40/85</t>
  </si>
  <si>
    <t>Market Financial Solutions 
46 Hertford Street, London, W1J 7DP
Tel - 44 (0) 207 060 1234  
Email - accounts@mfsuk.com</t>
  </si>
  <si>
    <t>Logo_2</t>
  </si>
  <si>
    <t>MFSBTL</t>
  </si>
  <si>
    <t>008891</t>
  </si>
  <si>
    <t>0/136/145</t>
  </si>
  <si>
    <t>Market Financial Solutions 
Berkeley Square House, Berkeley Square
Mayfair, London, W1J 6BD
Tel - 44 (0) 207 060 1234  
Email - accounts@mfsuk.com</t>
  </si>
  <si>
    <t>Logo_3</t>
  </si>
  <si>
    <t>B1D9B3</t>
  </si>
  <si>
    <t>177/217/179</t>
  </si>
  <si>
    <t>Credit Capital Corporation Limited</t>
  </si>
  <si>
    <t>Logo_7</t>
  </si>
  <si>
    <t>0AE6EB</t>
  </si>
  <si>
    <t>10/230/235</t>
  </si>
  <si>
    <t>Logo_13</t>
  </si>
  <si>
    <t>IL</t>
  </si>
  <si>
    <t>M 1 r</t>
  </si>
  <si>
    <t>FFCCFF</t>
  </si>
  <si>
    <t>255/204/255</t>
  </si>
  <si>
    <t>Logo_4</t>
  </si>
  <si>
    <t>IL2</t>
  </si>
  <si>
    <t>M 2r 1 u</t>
  </si>
  <si>
    <t>CC99FF</t>
  </si>
  <si>
    <t>204/153/255</t>
  </si>
  <si>
    <t>Logo_5</t>
  </si>
  <si>
    <t>ILH</t>
  </si>
  <si>
    <t>TR 4d</t>
  </si>
  <si>
    <t>6600CC</t>
  </si>
  <si>
    <t>102/0/204</t>
  </si>
  <si>
    <t>Logo_6</t>
  </si>
  <si>
    <t>CCC+</t>
  </si>
  <si>
    <t>M 2L</t>
  </si>
  <si>
    <t>99FF99</t>
  </si>
  <si>
    <t>153/255/153</t>
  </si>
  <si>
    <t>Logo_8</t>
  </si>
  <si>
    <t>JBL1</t>
  </si>
  <si>
    <t>M 1 DL</t>
  </si>
  <si>
    <t>FFFFCC</t>
  </si>
  <si>
    <t>255/255/204</t>
  </si>
  <si>
    <t>Jupiter Bridging Limited</t>
  </si>
  <si>
    <t>Logo_9</t>
  </si>
  <si>
    <t>JBL2</t>
  </si>
  <si>
    <t>FFFF85</t>
  </si>
  <si>
    <t>255/255/133</t>
  </si>
  <si>
    <t>Logo_10</t>
  </si>
  <si>
    <t>JBL</t>
  </si>
  <si>
    <t>Logo_11</t>
  </si>
  <si>
    <t>JBL3</t>
  </si>
  <si>
    <t>St 4</t>
  </si>
  <si>
    <t>FFFF00</t>
  </si>
  <si>
    <t>255/255/0</t>
  </si>
  <si>
    <t>Logo_12</t>
  </si>
  <si>
    <t>ZEL</t>
  </si>
  <si>
    <t>Logo_14</t>
  </si>
  <si>
    <t>TBL</t>
  </si>
  <si>
    <t>1ju</t>
  </si>
  <si>
    <t>66CCFF</t>
  </si>
  <si>
    <t>102/204/255</t>
  </si>
  <si>
    <t>Tilia Bridging Limited</t>
  </si>
  <si>
    <t>Logo_15</t>
  </si>
  <si>
    <t>THL</t>
  </si>
  <si>
    <t>TL 3r 1d</t>
  </si>
  <si>
    <t>0066CC</t>
  </si>
  <si>
    <t>0/102/204</t>
  </si>
  <si>
    <t>Logo_16</t>
  </si>
  <si>
    <t>L 3r</t>
  </si>
  <si>
    <t>33CC33</t>
  </si>
  <si>
    <t>51/204/51</t>
  </si>
  <si>
    <t>Logo_17</t>
  </si>
  <si>
    <t>MBL</t>
  </si>
  <si>
    <t>br</t>
  </si>
  <si>
    <t>A50021</t>
  </si>
  <si>
    <t>165/0/33</t>
  </si>
  <si>
    <t>Logo_18</t>
  </si>
  <si>
    <t>[Placeholder]</t>
  </si>
  <si>
    <t>BL 2r 1u</t>
  </si>
  <si>
    <t>FF9900</t>
  </si>
  <si>
    <t>255/153/0</t>
  </si>
  <si>
    <t>Logo_19</t>
  </si>
  <si>
    <t>BL 1 ul</t>
  </si>
  <si>
    <t>153/102/51</t>
  </si>
  <si>
    <t>Logo_20</t>
  </si>
  <si>
    <t>BR 3 r 1 u</t>
  </si>
  <si>
    <t>D60093</t>
  </si>
  <si>
    <t>214/0/147</t>
  </si>
  <si>
    <t>Logo_21</t>
  </si>
  <si>
    <t>FFA3E7</t>
  </si>
  <si>
    <t>255/163/231</t>
  </si>
  <si>
    <t>Logo_22</t>
  </si>
  <si>
    <t>Jupiter Bridging III Limited</t>
  </si>
  <si>
    <t>Deal Checklist</t>
  </si>
  <si>
    <t>Client Identification</t>
  </si>
  <si>
    <t>JBL III</t>
  </si>
  <si>
    <t>Underwriting Compliant Checklist</t>
  </si>
  <si>
    <t>Category</t>
  </si>
  <si>
    <t>#</t>
  </si>
  <si>
    <t>Criteria</t>
  </si>
  <si>
    <t>Compliant</t>
  </si>
  <si>
    <t>Comment</t>
  </si>
  <si>
    <t>Further Explanations</t>
  </si>
  <si>
    <t>Property Restrictions</t>
  </si>
  <si>
    <t xml:space="preserve">Property in an area that we lend in </t>
  </si>
  <si>
    <t xml:space="preserve">No ex local authority with untraditional construction &amp; no deleterious material </t>
  </si>
  <si>
    <t>Title unencumbered from statutory or protected tenancies</t>
  </si>
  <si>
    <t>Immaterial development risk</t>
  </si>
  <si>
    <t>No restrictions on properties &gt;10 yrs old or indemnity on file</t>
  </si>
  <si>
    <t>To Follow</t>
  </si>
  <si>
    <t>No shared ownership</t>
  </si>
  <si>
    <t xml:space="preserve">No flying freeholds </t>
  </si>
  <si>
    <t>Insurance in place</t>
  </si>
  <si>
    <t>No untraditional construction &amp; no deleterious material &amp; no built-in obsolescence</t>
  </si>
  <si>
    <t xml:space="preserve">No structurally repaired or PRC properties </t>
  </si>
  <si>
    <t>Commercial properties by exception (agreed &amp; discussed)</t>
  </si>
  <si>
    <t>Individual Bridge Loan Borrower</t>
  </si>
  <si>
    <t>Age between 21 &amp; 65</t>
  </si>
  <si>
    <t>No matrimonial homes - declaration on file</t>
  </si>
  <si>
    <t>Corporate Bridge Loan Borrower</t>
  </si>
  <si>
    <t>UK incorporated &amp; LLPs</t>
  </si>
  <si>
    <t>Foreign legal council opinion of file for off-shore companies</t>
  </si>
  <si>
    <t>Personal guarantee by ultimate beneficiary</t>
  </si>
  <si>
    <t>Legal charge against property</t>
  </si>
  <si>
    <t>Credit History</t>
  </si>
  <si>
    <t>Asset Liability Statement</t>
  </si>
  <si>
    <t>Checked CH (solicitor)</t>
  </si>
  <si>
    <t>SIRA fraud detection</t>
  </si>
  <si>
    <t>Passport check by panel solicitor</t>
  </si>
  <si>
    <t>Utility Bill</t>
  </si>
  <si>
    <t>Certified copy of passport</t>
  </si>
  <si>
    <t>KYC check</t>
  </si>
  <si>
    <t>AML check</t>
  </si>
  <si>
    <t>Loan Size</t>
  </si>
  <si>
    <t>GBP 200k to 10m</t>
  </si>
  <si>
    <t>Duration</t>
  </si>
  <si>
    <t>Minimum 3 months + 3 months extension</t>
  </si>
  <si>
    <t>Maximum 12 months + 3 months extension</t>
  </si>
  <si>
    <t xml:space="preserve">1st Charge </t>
  </si>
  <si>
    <t>Title
(free &amp; leasehold)</t>
  </si>
  <si>
    <t>Report on title</t>
  </si>
  <si>
    <t>Letting report</t>
  </si>
  <si>
    <t>Insurance report</t>
  </si>
  <si>
    <t>Lease length &gt;= 25 years</t>
  </si>
  <si>
    <t>max. 75% of OMV including interest but excl. renovation or development cost</t>
  </si>
  <si>
    <t>LTV calculated as lower of actual pp &amp; appraised value</t>
  </si>
  <si>
    <t>Copy of building insurance (current &amp; sufficient as deemed by valuation panel)</t>
  </si>
  <si>
    <t>Normal risks but limited to:</t>
  </si>
  <si>
    <t xml:space="preserve">MFS/Investor as interested party / loss payee </t>
  </si>
  <si>
    <t>Valuation</t>
  </si>
  <si>
    <t>Agreed Valuation Panel</t>
  </si>
  <si>
    <t>Valuation on file</t>
  </si>
  <si>
    <t>&gt;</t>
  </si>
  <si>
    <t>Not older than 3 months</t>
  </si>
  <si>
    <t>Verification</t>
  </si>
  <si>
    <t>Solicitors report no adverse effect on value</t>
  </si>
  <si>
    <t>Letting Report (AST or Lease)</t>
  </si>
  <si>
    <t>Buidling insurance cover</t>
  </si>
  <si>
    <t>Title Filed Plan</t>
  </si>
  <si>
    <t>OMV &amp; 180 days sales figure</t>
  </si>
  <si>
    <t>Exit strategy</t>
  </si>
  <si>
    <t>Viable &amp; realistic exit</t>
  </si>
  <si>
    <t>Broker's Fee</t>
  </si>
  <si>
    <t>Broker's fee deducted from loan advance</t>
  </si>
  <si>
    <t>Solicitor &amp; Legal</t>
  </si>
  <si>
    <t>Evidence of current professional indemnity cover. Certificate</t>
  </si>
  <si>
    <t>Solicitor advised client of content and effects</t>
  </si>
  <si>
    <t>Borrower understands Terms &amp; Conditions</t>
  </si>
  <si>
    <t>No duress during signing</t>
  </si>
  <si>
    <t>If possible solicitor should confirm that valuation report does not affect legal report / security package</t>
  </si>
  <si>
    <t>Independent solicitor used by Borrower</t>
  </si>
  <si>
    <t>Solicitor registered member of Law Society</t>
  </si>
  <si>
    <t>At least two qualified practioners in firm</t>
  </si>
  <si>
    <t>MFS legal fees paid by Borrower</t>
  </si>
  <si>
    <t>Undertaking on fees on file</t>
  </si>
  <si>
    <t>Legal Fees</t>
  </si>
  <si>
    <t>Fixed as per schedule and recharged</t>
  </si>
  <si>
    <t>Credit Capital Corporation</t>
  </si>
  <si>
    <t>CCC</t>
  </si>
  <si>
    <t>Greater London / South-East england (Midlands by exception)</t>
  </si>
  <si>
    <t>GBP 200k to 2.5m</t>
  </si>
  <si>
    <t xml:space="preserve">3C as interested party / loss payee </t>
  </si>
  <si>
    <t>3C legal fees paid by Borrower</t>
  </si>
  <si>
    <t>IL --- 17-----</t>
  </si>
  <si>
    <t>MFS Loan Checklist</t>
  </si>
  <si>
    <t>Commercial properties  (agreed &amp; discussed)</t>
  </si>
  <si>
    <t>Age between 21 &amp; 75</t>
  </si>
  <si>
    <t>1st Charge or 2nd Charge</t>
  </si>
  <si>
    <t>max. 75% of OMV including interest but excl. renovation or development cost (180 day value)</t>
  </si>
  <si>
    <t xml:space="preserve">MFS as interested party / loss payee </t>
  </si>
  <si>
    <t xml:space="preserve">Greater London </t>
  </si>
  <si>
    <t xml:space="preserve"> Property is windproof and watertight</t>
  </si>
  <si>
    <t>&lt;4 individuals or guarantors</t>
  </si>
  <si>
    <t xml:space="preserve">Not an employee of MFS </t>
  </si>
  <si>
    <t xml:space="preserve">Annual Sales&lt;= CHF 15,000,000 or Sterling equivalent </t>
  </si>
  <si>
    <t>Loan does not refinance any previous loan advanced by the Borrower or originated/introduced by MFS</t>
  </si>
  <si>
    <t>Net advance amount Max &lt; £2,000,000</t>
  </si>
  <si>
    <t>Interest Rate &gt;= 0.58%pm</t>
  </si>
  <si>
    <t>Maximum 18 months + 3 months extension</t>
  </si>
  <si>
    <t>Lease length &gt;= 30 years</t>
  </si>
  <si>
    <t>Property not valued &gt; £3,000,000</t>
  </si>
  <si>
    <t>BTL File Audit Report</t>
  </si>
  <si>
    <t xml:space="preserve">Case No: </t>
  </si>
  <si>
    <t xml:space="preserve">Borrower Name: </t>
  </si>
  <si>
    <t xml:space="preserve">Property Address: </t>
  </si>
  <si>
    <t xml:space="preserve">Broker Name: </t>
  </si>
  <si>
    <t xml:space="preserve">Prepared by: </t>
  </si>
  <si>
    <t>Reviewed by:</t>
  </si>
  <si>
    <t xml:space="preserve">Sections </t>
  </si>
  <si>
    <t>KYC Checks</t>
  </si>
  <si>
    <t>Property/ Company Info</t>
  </si>
  <si>
    <t>Legal Docs</t>
  </si>
  <si>
    <t>Section</t>
  </si>
  <si>
    <t>Further Comments</t>
  </si>
  <si>
    <t>Addressed?</t>
  </si>
  <si>
    <t>Max Gross Loan achieved on this product, for higher loan size refer to Fusion.</t>
  </si>
  <si>
    <t>Property - All Types</t>
  </si>
  <si>
    <t xml:space="preserve">Ø </t>
  </si>
  <si>
    <t>Underwriter Guidance</t>
  </si>
  <si>
    <t xml:space="preserve">The following list comprises the standard information required for underwriting purposes. Note that further information may be requested during the underwriting process depending on the nature of the transaction, specific circumstances of the borrower and the type of property. </t>
  </si>
  <si>
    <t>Contact details for the borrower (name, email, phone no.) and person providing access to the property for valuation</t>
  </si>
  <si>
    <t xml:space="preserve">Details of the borrower's solicitor (Law Society registered firm with at least 2 SRA regulated partners, sole conveyancing practices not accepted) </t>
  </si>
  <si>
    <t>Signed Decision in Principle ("DIP")</t>
  </si>
  <si>
    <t>Completed and signed direct debit mandate</t>
  </si>
  <si>
    <t>Can remove if no deposit / shortfall required from borrower</t>
  </si>
  <si>
    <t>Redemption statement from the existing lender/s (if refinance)</t>
  </si>
  <si>
    <t>Copy of the purchase contract (if purchase)</t>
  </si>
  <si>
    <t>Certificate of incorporation (UK corporate), trust deed (UK trust) or equivalent incorporation documents (overseas entities)</t>
  </si>
  <si>
    <t>Last two years financial accounts and most recent management accounts</t>
  </si>
  <si>
    <t>Refer to:</t>
  </si>
  <si>
    <t xml:space="preserve">https://www.consilium.europa.eu/prado/en/search-by-document-country.html </t>
  </si>
  <si>
    <t>Property specifications: internal area and no bedrooms by unit, condition, communal areas, outside space, parking</t>
  </si>
  <si>
    <t>Tenancy schedule detailing tenancy status, monthly rental and lease termination dates by unit</t>
  </si>
  <si>
    <t>Copies of all leases (including commercial and ASTs) relating to the property</t>
  </si>
  <si>
    <t>Schedule of works and costing where any refurbishment or remediation works are proposed</t>
  </si>
  <si>
    <t>Confirmation the size of each individual unit is 30 sqm or more</t>
  </si>
  <si>
    <t>Breakdown of value and rental income (forecast or actual if tenanted) by individual unit</t>
  </si>
  <si>
    <t>Room size of each bedroom, kitchen and any other communal areas</t>
  </si>
  <si>
    <t>Evidence the property has the correct planning use to be operated as an HMO and meets Local Authority requirements</t>
  </si>
  <si>
    <t>Where applicable an HMO licence is to be in place prior to completion</t>
  </si>
  <si>
    <t>Details of Borrower's previous experience of managing holiday lets and track record</t>
  </si>
  <si>
    <t>Evidence the property has the correct planning use to be operated as a holiday let</t>
  </si>
  <si>
    <t>Copies of last 12 months' bank statements (if available) evidencing rental received</t>
  </si>
  <si>
    <t>12 month rental forecast (to be verified via valuer / estate agents at a later stage)</t>
  </si>
  <si>
    <t>High, medium and low season rental income figures (lending based on average confirmed by valuer at 30 weeks occupancy)</t>
  </si>
  <si>
    <t>Forecast achievable rental amount based on a single AST letting</t>
  </si>
  <si>
    <t>Corporate</t>
  </si>
  <si>
    <t>Individual</t>
  </si>
  <si>
    <t>BBR</t>
  </si>
  <si>
    <t>Standard</t>
  </si>
  <si>
    <t>Rate with BBR</t>
  </si>
  <si>
    <t>Monthly Interest rate</t>
  </si>
  <si>
    <t>Max Loan for Property</t>
  </si>
  <si>
    <t>Max Gross Loan</t>
  </si>
  <si>
    <t>Max Net Loan</t>
  </si>
  <si>
    <t>Rolled Month Interest</t>
  </si>
  <si>
    <t>Rent with Top Slicing</t>
  </si>
  <si>
    <t>Residentials</t>
  </si>
  <si>
    <t>NA</t>
  </si>
  <si>
    <t>Semi and Comm</t>
  </si>
  <si>
    <t>Large Loans</t>
  </si>
  <si>
    <t>Fusion</t>
  </si>
  <si>
    <t>Max Gross Loan Capped</t>
  </si>
  <si>
    <t>Large Fusion Loan</t>
  </si>
  <si>
    <t>Pay rate</t>
  </si>
  <si>
    <t>No Rates available at this Rent Amount, Please adjust Rent / defer Interest / Rolled months.</t>
  </si>
  <si>
    <t>Commercial 2 Years Fix</t>
  </si>
  <si>
    <t>Commercial 3 years Fix</t>
  </si>
  <si>
    <t>Semi-Commercial 3 years Fix</t>
  </si>
  <si>
    <t>Semi-Commercial 2 Years Fix</t>
  </si>
  <si>
    <t>SEMI COMMERCIAL Tracker</t>
  </si>
  <si>
    <t>COMMERCIAL Tracker</t>
  </si>
  <si>
    <t>RESIDENTIAL Tracker</t>
  </si>
  <si>
    <t>Total Payrate Interest</t>
  </si>
  <si>
    <t>Actual ICR</t>
  </si>
  <si>
    <t>&lt;= 12 units</t>
  </si>
  <si>
    <t>&gt; 12 beds</t>
  </si>
  <si>
    <t>&gt; 12 units</t>
  </si>
  <si>
    <t>&lt;= 30 units</t>
  </si>
  <si>
    <t>&gt; 30 Units</t>
  </si>
  <si>
    <t>For offsore Company select Corporate</t>
  </si>
  <si>
    <t>2% fee renge</t>
  </si>
  <si>
    <t>4% fee renge</t>
  </si>
  <si>
    <t>6% fee renge</t>
  </si>
  <si>
    <t xml:space="preserve">gross loan </t>
  </si>
  <si>
    <r>
      <rPr>
        <b/>
        <sz val="10"/>
        <color rgb="FFC00000"/>
        <rFont val="Calibri"/>
        <family val="2"/>
        <scheme val="minor"/>
      </rPr>
      <t>IMPORTANT</t>
    </r>
    <r>
      <rPr>
        <sz val="10"/>
        <color rgb="FFFF0000"/>
        <rFont val="Calibri"/>
        <family val="2"/>
        <scheme val="minor"/>
      </rPr>
      <t xml:space="preserve">: </t>
    </r>
    <r>
      <rPr>
        <sz val="10"/>
        <rFont val="Calibri"/>
        <family val="2"/>
        <scheme val="minor"/>
      </rPr>
      <t xml:space="preserve">monthly payments shown in this illustration can be considerably different if a variable rate changes. For example, for every £100,000 borrowed a 0.5% increase would raise the annual cost by £500. </t>
    </r>
    <r>
      <rPr>
        <sz val="10"/>
        <color rgb="FFC00000"/>
        <rFont val="Calibri"/>
        <family val="2"/>
        <scheme val="minor"/>
      </rPr>
      <t>Rates may increase by more than this, or be significantly different on the Revert rate so make sure you can afford the monthly payment.</t>
    </r>
  </si>
  <si>
    <t xml:space="preserve">AR brokers might not be able to sell Fusion </t>
  </si>
  <si>
    <t>Additional Requirements</t>
  </si>
  <si>
    <t>Override Tier</t>
  </si>
  <si>
    <t>Select Tier</t>
  </si>
  <si>
    <t>Data Controller: Market Financial Solutions Limited.</t>
  </si>
  <si>
    <t>1.Resi &amp; Tracker &amp; BBR Revert 
2.Resi &amp; Tracker &amp; MVR Revert
3.Resi &amp; Fixed &amp; BBR Revert 
4.Resi &amp; Fixed &amp; MVR Revert
5.Com &amp; Tracker &amp; MVR Revert
6.Com &amp; Fixed &amp; MVR Revert</t>
  </si>
  <si>
    <t>FIXED RATES 5 YEAR</t>
  </si>
  <si>
    <t>5 Year Fixed Rate 2% fee</t>
  </si>
  <si>
    <t>5 Year Fixed Rate 4% fee</t>
  </si>
  <si>
    <t>5 Year Fixed Rate 6% fee</t>
  </si>
  <si>
    <t>Max Defer InterestFixed 5 Year:</t>
  </si>
  <si>
    <t>Have ILR/Settled Status?</t>
  </si>
  <si>
    <t>Received?</t>
  </si>
  <si>
    <t>blank</t>
  </si>
  <si>
    <t>Both</t>
  </si>
  <si>
    <t xml:space="preserve">Main residential address for the borrower (individual) or key principal / shareholder (companies) - covers 3 years history </t>
  </si>
  <si>
    <t>Indicative</t>
  </si>
  <si>
    <t>Proposed exit strategy / source of repayment</t>
  </si>
  <si>
    <t>Breakdown of use of funds (including cost estimate for any proposed works)</t>
  </si>
  <si>
    <t>Confirmation of the source of funds for the transaction</t>
  </si>
  <si>
    <t>Supporting evidence for the source of funds for the transaction</t>
  </si>
  <si>
    <t>Confirmation of borrower's occupation (employed) or business activities (self-employed) and estimated income</t>
  </si>
  <si>
    <t>Breakdown of unit types (residential, office, retail etc.)</t>
  </si>
  <si>
    <t>Confirmation of planning use for each unit</t>
  </si>
  <si>
    <t>Number of bedrooms and communal areas</t>
  </si>
  <si>
    <t>Macro</t>
  </si>
  <si>
    <t>Required stage</t>
  </si>
  <si>
    <t>Criteria selected</t>
  </si>
  <si>
    <t>Explanation of the borrower's source of wealth (i.e. income from employment, investment, inheritance, capital appreciation of assets)</t>
  </si>
  <si>
    <t>If you want to add additional information, please select Yes</t>
  </si>
  <si>
    <r>
      <t xml:space="preserve">Gross Loan Amount:
</t>
    </r>
    <r>
      <rPr>
        <sz val="10"/>
        <color rgb="FF000000"/>
        <rFont val="Calibri"/>
        <family val="2"/>
        <scheme val="minor"/>
      </rPr>
      <t>(paid back at redemption)</t>
    </r>
  </si>
  <si>
    <r>
      <t xml:space="preserve">Net Loan </t>
    </r>
    <r>
      <rPr>
        <sz val="10"/>
        <color rgb="FF000000"/>
        <rFont val="Calibri"/>
        <family val="2"/>
        <scheme val="minor"/>
      </rPr>
      <t>(advanced day 1)</t>
    </r>
    <r>
      <rPr>
        <b/>
        <sz val="10"/>
        <color rgb="FF000000"/>
        <rFont val="Calibri"/>
        <family val="2"/>
        <scheme val="minor"/>
      </rPr>
      <t>:</t>
    </r>
  </si>
  <si>
    <t>Broker’s Commission:</t>
  </si>
  <si>
    <t>Early Repayment Charge
(ERC):</t>
  </si>
  <si>
    <t xml:space="preserve">Security: </t>
  </si>
  <si>
    <t xml:space="preserve">MFS is arranging this transaction in respect of the proposed Loan. The Loan has been approved in principle by us but remains conditional upon and subject to satisfactory due diligence, payment of any admin and valuation fees, the valuation and enquiries to us and our solicitors. We reserve the right to vary the terms or withdraw the Loan at our discretion, should enquiries, valuation, or due diligence result in any material change to the application as now presented or contradict any information disclosed by you to date, or if we need to change our rates due to unexpected impacts on our funding costs after issuing the DIP (e.g. bank base rate or associated costs increasing).  If we decide to vary any of the terms, we will notify you and provide our reasons for doing so and await your consent before proceeding.
By accepting these terms and signing this Decision in Principle, you authorise MFS and its subsidiaries to conduct due diligence checks and data handling either to assess the viability of the application or whilst the Loan is in effect, including: 
</t>
  </si>
  <si>
    <t>•   ID, AML, Credit Searches including a payment profile, and KYC (Know Your Customer) fraud checks as well as other  
     Public Information searches we deem necessary from different Credit Reference Agencies (CRAs).
•   Many checks and searches use or share relevant data with third-party external companies and against any specifications 
     on any databases available with relation to your Loan or property. A record of each search carried out will be retained on 
     your credit file initially as a soft footprint (should have no impact on your credit score) but over time and following 
     application it may be set as a hard, or application, footprint (which could have an impact on your credit rating).  
•   Data and your evidence documents may also be shared with any of our loan funding providers.
•   If the Loan is drawn, and whilst any balance of the Loan is outstanding, MFS may exchange information and documents 
     about you (and any Loan guarantors) with CRAs, including recording any outstanding debt if you do not repay in full and 
     on time. CRAs may share your information with other organisations. We may also make periodic searches at CRAs to help
     manage your account  with us. The identities of the CRAs, their role also as fraud prevention agencies, the data they hold, 
     the ways in which they use and share personal information, their data retention periods and your data protection rights 
     with the CRAs are explained in the Credit Reference Agency Information Notice (CRAIN), www.transunion.co.uk/CRAIN. 
     You can also get further information via our privacy policy at www.mfsuk.com/privacy-gdpr/.</t>
  </si>
  <si>
    <t>Payments to your Broker/Intermediary</t>
  </si>
  <si>
    <t xml:space="preserve">Market Financial Solutions or its investors pay a part of the Product Fee to your Introducer/Broker as Broker’s Commission upon drawdown of the Loan, in the amount as specified in The Summary. This means that your Broker/Intermediary may be unable to provide impartial advice about the Loan to you. </t>
  </si>
  <si>
    <r>
      <t xml:space="preserve">You authorise us to deduct the Broker Client Fee from the Net Loan Amount which is in line with your agreement with your Broker/Intermediary and payable to your Broker/Intermediary. No part of the Broker Client Fee is payable to us. 
In addition to any Broker Client Fee, Market Financial Solutions or its investors pay a part of the Product Fee to your Introducer/Broker as Broker’s Commission upon drawdown of the Loan, in the amount as specified in The Summary. </t>
    </r>
    <r>
      <rPr>
        <b/>
        <sz val="8.5"/>
        <color rgb="FF000000"/>
        <rFont val="Tahoma"/>
        <family val="2"/>
      </rPr>
      <t xml:space="preserve">This means that your Broker/Intermediary may be unable to provide impartial advice about the Loan to you. </t>
    </r>
  </si>
  <si>
    <t>The fees for the valuation of the Property shall be your cost and will be collected in advance upon acceptance of this Decision in Principle.  You will be responsible for our Legal Fees in relation to the Loan.  These are set out in the Financial Summary.  You will be responsible for these fees whether the Loan proceeds to completion or not.  Our solicitors will require payment in full or your solicitors' undertaking to make payment before commencing work.  With regards to the Valuation report, unless Title Insurance is used, once our Solicitors have conducted their Report on Title it will need to be sent to the valuer for their comments. Any detrimental impact, or adverse comments from the Valuer may result in MFS not being able to proceed with the Loan or varying the terms offered.</t>
  </si>
  <si>
    <r>
      <t xml:space="preserve">You acknowledge that nothing in this Decision in Principle is to be construed so as to constitute or imply a commitment to provide the Loan, nor a representation that the Loan will be made available. Any such commitment is subject to contract, credit approval, valuation and satisfactory due diligence and documentation. 
This letter may be signed in counterparts and emailed scanned versions and this has the same effect as if the signatures on the counterparts were on a single copy of the letter.  
</t>
    </r>
    <r>
      <rPr>
        <sz val="8"/>
        <color rgb="FF000000"/>
        <rFont val="Calibri"/>
        <family val="2"/>
        <scheme val="minor"/>
      </rPr>
      <t xml:space="preserve">
</t>
    </r>
  </si>
  <si>
    <t>You agree to indemnify and hold us harmless (including all of our employees, and assignees and their employees' agents or directors, agents and directors) against all claims, losses, damages, liabilities, costs and expenses whether consequential or not, incurred or arising out of or related to any actual or threatened claim against us (or any of its employees, agents and directors and assignees etc.), brought by any guarantor or any other party to the Loan (except for instances where such liability arises through direct gross negligence or fraud) or in relation to the Loan. Please note, your solicitors must hold sufficient professional indemnity insurance to cover the Gross Loan Amount.</t>
  </si>
  <si>
    <t>PLEASE CHECK PROC FEE</t>
  </si>
  <si>
    <t>Total Loan Term:</t>
  </si>
  <si>
    <t>Broker Client Fee</t>
  </si>
  <si>
    <t>Loan Amount and Deduction of Fees</t>
  </si>
  <si>
    <t>Please note that the financial particulars in The Summary are, at this stage, estimates only, and are subject to contract.  These will only be varied in circumstances where our enquiries reveal information which differs from that provided on initial application or if there is reason to do so at our discretion.</t>
  </si>
  <si>
    <t>and any other fees, costs, or expenses payable by you (which have not already been paid), from the Gross Loan Amount upon completion of the Loan.</t>
  </si>
  <si>
    <t>Months Interest Rolled Up:</t>
  </si>
  <si>
    <r>
      <t>We Market Financial Solutions Limited (hereinafter "MFS", “we”, “us”) propose to arrange a loan facility to you on the terms, financial particulars and conditions set out below (“the Loan”).
The Loan itself will be subject to the receipt of a signed Decision in Principle (this document), payment of the Admin and Valuation Fees referred to below, a signed contract, a valuation, responses to MFS enquiries, due diligence, and will be subject to the terms and conditions of a loan agreement (</t>
    </r>
    <r>
      <rPr>
        <b/>
        <sz val="10"/>
        <color rgb="FF000000"/>
        <rFont val="Calibri"/>
        <family val="2"/>
        <scheme val="minor"/>
      </rPr>
      <t>Loan Agreement</t>
    </r>
    <r>
      <rPr>
        <sz val="10"/>
        <color rgb="FF000000"/>
        <rFont val="Calibri"/>
        <family val="2"/>
        <scheme val="minor"/>
      </rPr>
      <t xml:space="preserve">) which shall be secured by our standard form Security and a Guarantee (both defined in The Summary below). 
This Decision in Principle sets out the obligations of Market Financial Solutions regarding data protection and the rights of clients, partners, affiliate, vendor, and any third-party provider in respect of their personal data under The Data Protection Act 2018 (”GDPR”).
The terms of and financial particulars of the Loan are set out in The Summary below.
</t>
    </r>
  </si>
  <si>
    <t>Financial Covenants:</t>
  </si>
  <si>
    <t>Is a comfort charge required for a different property or title?</t>
  </si>
  <si>
    <t>The rate of interest payable on the Gross Loan Amount will be the Interest Rate in The Summary.  This margin may will change once the initial rate period has expired (as stated in The Summary). Interest is calculated monthly, and payable by Direct Debit from a verified UK bank account. Any changes to a variable rate will be implemented on the 1st day of the following month, which may change the direct debit payment.  We will notify you of this change by email before the payment change takes place.  The annual percentage rate of charge (APRC), included in the Summary, is the total cost of the Loan expressed as an annual percentage to allow you to compare different offers. Interest that is not deferred and deducted at source on Drawdown is to be paid to us monthly until the end of the Loan term (or before if you choose to redeem your loan earlier), at which point the contractual balance outstanding together with any outstanding fees, costs, and expenses (including our legal fees for discharge) are repayable in full. Interest payments after any rolled up months period (if any) must be made on or before the due date and is payable monthly in advance. If any monthly interest payment is not paid within 15 days of its due date, interest on the Loan outstanding will accrue at the Default Rate, which is 2% per month. Further details are included in the Loan Agreement issued later in the process if the Loan is proceeding.
If BBR is 0.5% per annum or less, then, for the purposes of calculating your relevant tracker rate, we will treat BBR as 0.5% per annum and apply any margin to that.</t>
  </si>
  <si>
    <t>RETENTION PRODUCTS</t>
  </si>
  <si>
    <t>65 LTV</t>
  </si>
  <si>
    <t>5yr Fix</t>
  </si>
  <si>
    <t>3yr Fix</t>
  </si>
  <si>
    <t>2yr Fix</t>
  </si>
  <si>
    <t>2yr Tracker</t>
  </si>
  <si>
    <t>Core
 1.5% Fee</t>
  </si>
  <si>
    <t>Core
3.5% Fee</t>
  </si>
  <si>
    <t>Core
5.5% Fee</t>
  </si>
  <si>
    <t>75 LTV</t>
  </si>
  <si>
    <t>Qualifying Adverse Credit?</t>
  </si>
  <si>
    <t>Rate Override</t>
  </si>
  <si>
    <t>Max Gross LTV For Tier</t>
  </si>
  <si>
    <t>Submission Route</t>
  </si>
  <si>
    <r>
      <t xml:space="preserve">Product Fee </t>
    </r>
    <r>
      <rPr>
        <b/>
        <sz val="10"/>
        <rFont val="Calibri"/>
        <family val="2"/>
        <scheme val="minor"/>
      </rPr>
      <t>Discount</t>
    </r>
    <r>
      <rPr>
        <sz val="10"/>
        <rFont val="Calibri"/>
        <family val="2"/>
        <scheme val="minor"/>
      </rPr>
      <t>?</t>
    </r>
  </si>
  <si>
    <t>Proof of identity for individual borrowers, guarantors or shareholders &gt;25%: passport or internationally accepted document</t>
  </si>
  <si>
    <t xml:space="preserve">Proof of address for individual borrowers, guarantors or shareholders &gt;25%: bank staement or utility bill dated within the last 3 months </t>
  </si>
  <si>
    <t>Purpose of loan (purchase / refinance / capital raise)</t>
  </si>
  <si>
    <t>Proof of income: three months payslips or bank statements (employed) or latest two years SA302 / tax calculations (self-employed)</t>
  </si>
  <si>
    <t>Use this section for any additional AML items for Med / High risk (e.g. second Proof of address)</t>
  </si>
  <si>
    <t xml:space="preserve">Use this section if bank statements are required specifically to verify receipt of rental income </t>
  </si>
  <si>
    <r>
      <t>Required for test that loan is for business purposes and non-regulated, max personal use 40% of [</t>
    </r>
    <r>
      <rPr>
        <i/>
        <sz val="14"/>
        <color rgb="FFFF0000"/>
        <rFont val="Calibri"/>
        <family val="2"/>
        <scheme val="minor"/>
      </rPr>
      <t>net/gross</t>
    </r>
    <r>
      <rPr>
        <i/>
        <sz val="14"/>
        <color theme="1"/>
        <rFont val="Calibri"/>
        <family val="2"/>
        <scheme val="minor"/>
      </rPr>
      <t>] loan</t>
    </r>
  </si>
  <si>
    <t>To confirm if higher rate taxpayer or FTB to confirm minimum income £30,000</t>
  </si>
  <si>
    <t>Get the explanation first and then request specific evidence, refer to TL / Head if unsure or have any concerns</t>
  </si>
  <si>
    <t>Confirmation of which product and fee range your client would like to proceed with</t>
  </si>
  <si>
    <t>The indicative terms provided are based on the information provided, the following assumptions and subject to Credit committee approval</t>
  </si>
  <si>
    <t>If any of these assumptions do not apply, the indicative terms provided may need to be revised to comply with our lending policy.</t>
  </si>
  <si>
    <t>Assumptions</t>
  </si>
  <si>
    <t xml:space="preserve">Confirmation of your proc fee payment route (Mortgage Club, Network, Packager or other). </t>
  </si>
  <si>
    <r>
      <rPr>
        <b/>
        <sz val="10"/>
        <color theme="0"/>
        <rFont val="Calibri"/>
        <family val="2"/>
        <scheme val="minor"/>
      </rPr>
      <t>Annualised ICR</t>
    </r>
    <r>
      <rPr>
        <b/>
        <u/>
        <sz val="12"/>
        <color theme="0"/>
        <rFont val="Calibri"/>
        <family val="2"/>
        <scheme val="minor"/>
      </rPr>
      <t xml:space="preserve"> 
Internal Use Only </t>
    </r>
  </si>
  <si>
    <t>Asset and Liability Statement for any individual Borrowers, Shareholders or Guarantors (Blank form attached for your ease)</t>
  </si>
  <si>
    <t xml:space="preserve">Name of the borrowing entity </t>
  </si>
  <si>
    <t>Confirmation if the property is currently tenanted or vacant</t>
  </si>
  <si>
    <t>Property particulars: address, type (HMO, MUFB, Holiday Let etc), planning use, tenure, leasehold term (if applicable)</t>
  </si>
  <si>
    <t>The property is a residential unit intended for occupancy by a single household</t>
  </si>
  <si>
    <t>The valuation figure provided reflects the 180-day market value of the property in its current condition</t>
  </si>
  <si>
    <t xml:space="preserve">The Borrower has a clean credit history, is an experienced landlord and is a UK national or limited company </t>
  </si>
  <si>
    <t>xxxxxxx</t>
  </si>
  <si>
    <t>Last updated 2 June 2025</t>
  </si>
  <si>
    <t>Revert Rate
(MVR)</t>
  </si>
  <si>
    <t xml:space="preserve">Revert Rate
(MVR) </t>
  </si>
  <si>
    <t>Specialist / Core</t>
  </si>
  <si>
    <t>Specialist</t>
  </si>
  <si>
    <t>BTL PRODUCT FEE 3%</t>
  </si>
  <si>
    <t>Special Ed
3% Fee</t>
  </si>
  <si>
    <t>3% fee</t>
  </si>
  <si>
    <t>3% fee range</t>
  </si>
  <si>
    <t>Top Slicer Needed for 3% fee range</t>
  </si>
  <si>
    <t>Tracker Rate 3% fee</t>
  </si>
  <si>
    <t>2 Year Fixed Rate 3% fee</t>
  </si>
  <si>
    <t>3 Year Fixed Rate 3% fee</t>
  </si>
  <si>
    <t>Core
2.5% Fee</t>
  </si>
  <si>
    <t>2% Fee</t>
  </si>
  <si>
    <t>4% Fee</t>
  </si>
  <si>
    <t>6% Fee</t>
  </si>
  <si>
    <t>•   The personal information we have collected from you will be shared with fraud prevention agencies who will use it to prevent
     fraud and money-laundering and to verify your identity. If fraud is detected, you could be refused certain services, finance,
     or employment. Further details of how your information will be used by us and these fraud prevention agencies, and your data  
     protection rights, can be found via our privacy policy at at www.mfsuk.com/privacy-gdpr/ or by going to www.cifas.org.uk/fpn.
•   You have the right to view certain records we hold concerning you and you may request that any inaccuracies are 
     corrected by corresponding with the relevant parties. You may contact our Data Protection Officer at privacy@mfsuk.com 
     or by writing to the Data Protection Officer, Market Financial Solutions, 46 Hertford Street, Mayfair, London, W1J 7DP.</t>
  </si>
  <si>
    <t>Martin Schofield</t>
  </si>
  <si>
    <t xml:space="preserve">Retention </t>
  </si>
  <si>
    <t>Remortgages/Purchase</t>
  </si>
  <si>
    <t>Hide row if no title insurance</t>
  </si>
  <si>
    <t>Version 29 October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</si>
</sst>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43" formatCode="_-* #,##0.00_-;\-* #,##0.00_-;_-* &quot;-&quot;??_-;_-@_-"/>
    <numFmt numFmtId="164" formatCode="&quot;£&quot;#,##0_);\(&quot;£&quot;#,##0\)"/>
    <numFmt numFmtId="165" formatCode="&quot;£&quot;#,##0_);[Red]\(&quot;£&quot;#,##0\)"/>
    <numFmt numFmtId="166" formatCode="&quot;£&quot;#,##0.00_);\(&quot;£&quot;#,##0.00\)"/>
    <numFmt numFmtId="167" formatCode="&quot;£&quot;#,##0.00_);[Red]\(&quot;£&quot;#,##0.00\)"/>
    <numFmt numFmtId="168" formatCode="_(&quot;£&quot;* #,##0.00_);_(&quot;£&quot;* \(#,##0.00\);_(&quot;£&quot;* &quot;-&quot;??_);_(@_)"/>
    <numFmt numFmtId="169" formatCode="_(* #,##0.00_);_(* \(#,##0.00\);_(* &quot;-&quot;??_);_(@_)"/>
    <numFmt numFmtId="170" formatCode="0.0%"/>
    <numFmt numFmtId="171" formatCode="&quot;£&quot;#,##0"/>
    <numFmt numFmtId="172" formatCode="&quot;£&quot;#,##0.00"/>
    <numFmt numFmtId="173" formatCode="_-* #,##0_-;\-* #,##0_-;_-* &quot;-&quot;??_-;_-@_-"/>
    <numFmt numFmtId="174" formatCode="0.000%"/>
    <numFmt numFmtId="175" formatCode="&quot;£&quot;#,##0.0"/>
    <numFmt numFmtId="176" formatCode="&quot;£&quot;\ \ #,##0"/>
    <numFmt numFmtId="177" formatCode="_-[$£-809]* #,##0.00_-;\-[$£-809]* #,##0.00_-;_-[$£-809]* &quot;-&quot;??_-;_-@_-"/>
    <numFmt numFmtId="178" formatCode="[$-F800]dddd\,\ mmmm\ dd\,\ yyyy"/>
    <numFmt numFmtId="179" formatCode="[$£-809]#,##0;[Red]\-[$£-809]#,##0"/>
    <numFmt numFmtId="180" formatCode="&quot;UR 0&quot;0"/>
    <numFmt numFmtId="181" formatCode="&quot;CCC 0&quot;0&quot;15&quot;"/>
    <numFmt numFmtId="182" formatCode="dd\ mmm\ yy"/>
    <numFmt numFmtId="183" formatCode="[$-809]dd\ mmm\ yy"/>
    <numFmt numFmtId="184" formatCode="yyyy\-mm\-dd\ hh:mm"/>
    <numFmt numFmtId="185" formatCode="yyyy\-mm\-dd"/>
    <numFmt numFmtId="186" formatCode="\+0.00%"/>
    <numFmt numFmtId="187" formatCode="\-0%"/>
    <numFmt numFmtId="188" formatCode="0.0000%"/>
    <numFmt numFmtId="189" formatCode="_-[$£-809]\ #,##0_-;\-[$£-809]\ #,##0_-;_-[$£-809]\ &quot;0&quot;_-;_-@_-"/>
    <numFmt numFmtId="190" formatCode="&quot;£&quot;\ #,##0"/>
    <numFmt numFmtId="191" formatCode="&quot;£&quot;\ #,##0.00"/>
    <numFmt numFmtId="192" formatCode="_-[$£-809]* #,##0_-;\-[$£-809]* #,##0_-;_-[$£-809]* &quot;-&quot;??_-;_-@_-"/>
    <numFmt numFmtId="193" formatCode="_-&quot;£&quot;* #,##0_-;\-&quot;£&quot;* #,##0_-;_-&quot;£&quot;* &quot;-&quot;??_-;_-@_-"/>
    <numFmt numFmtId="194" formatCode="\+&quot;£&quot;#,##0"/>
    <numFmt numFmtId="195" formatCode="&quot;£&quot;#,##0.0000"/>
    <numFmt numFmtId="196" formatCode="0.000000%"/>
    <numFmt numFmtId="197" formatCode="0.0000"/>
  </numFmts>
  <fonts count="420" x14ac:knownFonts="1">
    <font>
      <sz val="11"/>
      <color theme="1"/>
      <name val="Calibri"/>
      <family val="2"/>
      <scheme val="minor"/>
    </font>
    <font>
      <sz val="11"/>
      <color theme="1"/>
      <name val="Calibri"/>
      <family val="2"/>
      <scheme val="minor"/>
    </font>
    <font>
      <sz val="11"/>
      <color rgb="FF3F3F76"/>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sz val="11"/>
      <color rgb="FFFF0000"/>
      <name val="Calibri"/>
      <family val="2"/>
      <scheme val="minor"/>
    </font>
    <font>
      <b/>
      <sz val="14"/>
      <color theme="1"/>
      <name val="Calibri"/>
      <family val="2"/>
      <scheme val="minor"/>
    </font>
    <font>
      <b/>
      <sz val="10"/>
      <color theme="1"/>
      <name val="Calibri"/>
      <family val="2"/>
      <scheme val="minor"/>
    </font>
    <font>
      <sz val="10"/>
      <color theme="1"/>
      <name val="Calibri"/>
      <family val="2"/>
      <scheme val="minor"/>
    </font>
    <font>
      <sz val="11"/>
      <color rgb="FF006100"/>
      <name val="Calibri"/>
      <family val="2"/>
      <scheme val="minor"/>
    </font>
    <font>
      <b/>
      <sz val="11"/>
      <color rgb="FFFA7D00"/>
      <name val="Calibri"/>
      <family val="2"/>
      <scheme val="minor"/>
    </font>
    <font>
      <b/>
      <i/>
      <sz val="11"/>
      <color theme="1"/>
      <name val="Calibri"/>
      <family val="2"/>
      <scheme val="minor"/>
    </font>
    <font>
      <b/>
      <sz val="12"/>
      <color theme="1"/>
      <name val="Calibri"/>
      <family val="2"/>
      <scheme val="minor"/>
    </font>
    <font>
      <b/>
      <i/>
      <sz val="11"/>
      <color rgb="FF006100"/>
      <name val="Calibri"/>
      <family val="2"/>
      <scheme val="minor"/>
    </font>
    <font>
      <sz val="8"/>
      <name val="Calibri"/>
      <family val="2"/>
      <scheme val="minor"/>
    </font>
    <font>
      <b/>
      <i/>
      <sz val="11"/>
      <color rgb="FFFA7D00"/>
      <name val="Calibri"/>
      <family val="2"/>
      <scheme val="minor"/>
    </font>
    <font>
      <b/>
      <sz val="16"/>
      <color theme="0"/>
      <name val="Calibri"/>
      <family val="2"/>
      <scheme val="minor"/>
    </font>
    <font>
      <u/>
      <sz val="11"/>
      <color theme="10"/>
      <name val="Calibri"/>
      <family val="2"/>
      <scheme val="minor"/>
    </font>
    <font>
      <b/>
      <i/>
      <sz val="11"/>
      <color theme="0"/>
      <name val="Calibri"/>
      <family val="2"/>
      <scheme val="minor"/>
    </font>
    <font>
      <b/>
      <sz val="14"/>
      <color rgb="FFFF0000"/>
      <name val="Calibri"/>
      <family val="2"/>
      <scheme val="minor"/>
    </font>
    <font>
      <sz val="11"/>
      <color theme="1"/>
      <name val="Calibri"/>
      <family val="2"/>
    </font>
    <font>
      <sz val="10"/>
      <name val="Arial"/>
      <family val="2"/>
    </font>
    <font>
      <sz val="10"/>
      <name val="Arial"/>
      <family val="2"/>
    </font>
    <font>
      <sz val="10"/>
      <name val="Arial"/>
      <family val="2"/>
    </font>
    <font>
      <sz val="11"/>
      <color theme="1"/>
      <name val="Lato"/>
      <family val="2"/>
    </font>
    <font>
      <b/>
      <sz val="11"/>
      <color theme="1"/>
      <name val="Lato"/>
      <family val="2"/>
    </font>
    <font>
      <b/>
      <sz val="14"/>
      <name val="Lato"/>
      <family val="2"/>
    </font>
    <font>
      <b/>
      <u/>
      <sz val="11"/>
      <color theme="1"/>
      <name val="Lato"/>
      <family val="2"/>
    </font>
    <font>
      <b/>
      <sz val="9"/>
      <color rgb="FF9966FF"/>
      <name val="Lato"/>
      <family val="2"/>
    </font>
    <font>
      <sz val="9"/>
      <color theme="1"/>
      <name val="Lato"/>
      <family val="2"/>
    </font>
    <font>
      <b/>
      <sz val="9"/>
      <color theme="1"/>
      <name val="Lato"/>
      <family val="2"/>
    </font>
    <font>
      <sz val="8"/>
      <color theme="1"/>
      <name val="Lato"/>
      <family val="2"/>
    </font>
    <font>
      <b/>
      <sz val="9"/>
      <color rgb="FFFF0000"/>
      <name val="Lato"/>
      <family val="2"/>
    </font>
    <font>
      <sz val="9"/>
      <color rgb="FF9966FF"/>
      <name val="Lato"/>
      <family val="2"/>
    </font>
    <font>
      <sz val="9"/>
      <name val="Lato"/>
      <family val="2"/>
    </font>
    <font>
      <b/>
      <sz val="11"/>
      <name val="Lato"/>
      <family val="2"/>
    </font>
    <font>
      <b/>
      <sz val="9"/>
      <name val="Lato"/>
      <family val="2"/>
    </font>
    <font>
      <sz val="8"/>
      <name val="Lato"/>
      <family val="2"/>
    </font>
    <font>
      <sz val="11"/>
      <name val="Lato"/>
      <family val="2"/>
    </font>
    <font>
      <b/>
      <sz val="11"/>
      <color theme="0"/>
      <name val="Lato"/>
      <family val="2"/>
    </font>
    <font>
      <b/>
      <sz val="8"/>
      <color theme="3"/>
      <name val="Lato"/>
      <family val="2"/>
    </font>
    <font>
      <i/>
      <sz val="8"/>
      <color theme="1"/>
      <name val="Lato"/>
      <family val="2"/>
    </font>
    <font>
      <b/>
      <sz val="9"/>
      <color theme="5"/>
      <name val="Lato"/>
      <family val="2"/>
    </font>
    <font>
      <sz val="11"/>
      <color theme="0"/>
      <name val="Lato"/>
      <family val="2"/>
    </font>
    <font>
      <sz val="12"/>
      <color theme="0" tint="-0.499984740745262"/>
      <name val="Lato"/>
      <family val="2"/>
    </font>
    <font>
      <b/>
      <sz val="12"/>
      <color theme="1"/>
      <name val="Lato"/>
      <family val="2"/>
    </font>
    <font>
      <sz val="12"/>
      <color theme="1"/>
      <name val="Lato"/>
      <family val="2"/>
    </font>
    <font>
      <sz val="12"/>
      <color theme="0"/>
      <name val="Lato"/>
      <family val="2"/>
    </font>
    <font>
      <b/>
      <i/>
      <sz val="12"/>
      <color theme="1"/>
      <name val="Lato"/>
      <family val="2"/>
    </font>
    <font>
      <i/>
      <sz val="12"/>
      <color theme="1"/>
      <name val="Lato"/>
      <family val="2"/>
    </font>
    <font>
      <b/>
      <i/>
      <u/>
      <sz val="11"/>
      <name val="Lato"/>
      <family val="2"/>
    </font>
    <font>
      <b/>
      <i/>
      <sz val="12"/>
      <name val="Lato"/>
      <family val="2"/>
    </font>
    <font>
      <b/>
      <i/>
      <sz val="11"/>
      <name val="Lato"/>
      <family val="2"/>
    </font>
    <font>
      <b/>
      <sz val="14"/>
      <color theme="1"/>
      <name val="Lato"/>
      <family val="2"/>
    </font>
    <font>
      <u/>
      <sz val="11"/>
      <color theme="10"/>
      <name val="Lato"/>
      <family val="2"/>
    </font>
    <font>
      <b/>
      <sz val="16"/>
      <name val="Lato"/>
      <family val="2"/>
    </font>
    <font>
      <b/>
      <sz val="12"/>
      <name val="Lato"/>
      <family val="2"/>
    </font>
    <font>
      <b/>
      <sz val="18"/>
      <color theme="0"/>
      <name val="Lato"/>
      <family val="2"/>
    </font>
    <font>
      <b/>
      <sz val="10"/>
      <color theme="1"/>
      <name val="Lato"/>
      <family val="2"/>
    </font>
    <font>
      <sz val="11"/>
      <color rgb="FF3F3F76"/>
      <name val="Lato"/>
      <family val="2"/>
    </font>
    <font>
      <sz val="10"/>
      <color theme="1"/>
      <name val="Lato"/>
      <family val="2"/>
    </font>
    <font>
      <sz val="11"/>
      <color rgb="FFFF0000"/>
      <name val="Lato"/>
      <family val="2"/>
    </font>
    <font>
      <b/>
      <sz val="11"/>
      <color theme="0" tint="-0.499984740745262"/>
      <name val="Lato"/>
      <family val="2"/>
    </font>
    <font>
      <b/>
      <sz val="11"/>
      <color rgb="FFFF0000"/>
      <name val="Lato"/>
      <family val="2"/>
    </font>
    <font>
      <b/>
      <sz val="10"/>
      <color theme="2" tint="-0.499984740745262"/>
      <name val="Lato"/>
      <family val="2"/>
    </font>
    <font>
      <sz val="11"/>
      <color theme="0" tint="-0.499984740745262"/>
      <name val="Lato"/>
      <family val="2"/>
    </font>
    <font>
      <b/>
      <sz val="11"/>
      <color rgb="FF00B050"/>
      <name val="Lato"/>
      <family val="2"/>
    </font>
    <font>
      <b/>
      <sz val="11"/>
      <color rgb="FF3F3F76"/>
      <name val="Lato"/>
      <family val="2"/>
    </font>
    <font>
      <i/>
      <sz val="9"/>
      <color theme="1"/>
      <name val="Lato"/>
      <family val="2"/>
    </font>
    <font>
      <i/>
      <sz val="11"/>
      <color theme="2" tint="-0.249977111117893"/>
      <name val="Lato"/>
      <family val="2"/>
    </font>
    <font>
      <sz val="11"/>
      <color theme="2" tint="-0.499984740745262"/>
      <name val="Lato"/>
      <family val="2"/>
    </font>
    <font>
      <sz val="11"/>
      <color theme="2" tint="-0.249977111117893"/>
      <name val="Lato"/>
      <family val="2"/>
    </font>
    <font>
      <sz val="10"/>
      <color theme="2" tint="-0.249977111117893"/>
      <name val="Lato"/>
      <family val="2"/>
    </font>
    <font>
      <i/>
      <sz val="9"/>
      <color rgb="FFFF0000"/>
      <name val="Lato"/>
      <family val="2"/>
    </font>
    <font>
      <b/>
      <i/>
      <sz val="10"/>
      <color theme="1"/>
      <name val="Lato"/>
      <family val="2"/>
    </font>
    <font>
      <b/>
      <i/>
      <sz val="10"/>
      <color theme="0"/>
      <name val="Lato"/>
      <family val="2"/>
    </font>
    <font>
      <b/>
      <i/>
      <sz val="11"/>
      <color theme="0"/>
      <name val="Lato"/>
      <family val="2"/>
    </font>
    <font>
      <b/>
      <sz val="10"/>
      <color theme="0"/>
      <name val="Lato"/>
      <family val="2"/>
    </font>
    <font>
      <b/>
      <sz val="8"/>
      <color theme="1"/>
      <name val="Lato"/>
      <family val="2"/>
    </font>
    <font>
      <b/>
      <sz val="8"/>
      <color rgb="FF00B050"/>
      <name val="Lato"/>
      <family val="2"/>
    </font>
    <font>
      <sz val="9"/>
      <color theme="6" tint="-0.249977111117893"/>
      <name val="Lato"/>
      <family val="2"/>
    </font>
    <font>
      <sz val="9"/>
      <color theme="0" tint="-0.499984740745262"/>
      <name val="Lato"/>
      <family val="2"/>
    </font>
    <font>
      <sz val="10"/>
      <name val="Lato"/>
      <family val="2"/>
    </font>
    <font>
      <b/>
      <sz val="10"/>
      <name val="Lato"/>
      <family val="2"/>
    </font>
    <font>
      <sz val="8"/>
      <color rgb="FFFF8D1F"/>
      <name val="Lato"/>
      <family val="2"/>
    </font>
    <font>
      <b/>
      <sz val="8"/>
      <color rgb="FF0AA145"/>
      <name val="Lato"/>
      <family val="2"/>
    </font>
    <font>
      <b/>
      <sz val="20"/>
      <color rgb="FF002060"/>
      <name val="Lato"/>
      <family val="2"/>
    </font>
    <font>
      <sz val="6"/>
      <color theme="1"/>
      <name val="Lato"/>
      <family val="2"/>
    </font>
    <font>
      <sz val="20"/>
      <color rgb="FFFF8D1F"/>
      <name val="Lato"/>
      <family val="2"/>
    </font>
    <font>
      <b/>
      <sz val="6"/>
      <color theme="1"/>
      <name val="Lato"/>
      <family val="2"/>
    </font>
    <font>
      <sz val="12"/>
      <name val="Lato"/>
      <family val="2"/>
    </font>
    <font>
      <b/>
      <sz val="16"/>
      <color theme="1"/>
      <name val="Lato"/>
      <family val="2"/>
    </font>
    <font>
      <b/>
      <sz val="11"/>
      <color rgb="FF0AA145"/>
      <name val="Lato"/>
      <family val="2"/>
    </font>
    <font>
      <sz val="11"/>
      <color rgb="FFFF8D1F"/>
      <name val="Lato"/>
      <family val="2"/>
    </font>
    <font>
      <sz val="16"/>
      <color theme="1"/>
      <name val="Lato"/>
      <family val="2"/>
    </font>
    <font>
      <b/>
      <sz val="12"/>
      <color rgb="FFFF0000"/>
      <name val="Lato"/>
      <family val="2"/>
    </font>
    <font>
      <sz val="14"/>
      <color theme="1"/>
      <name val="Lato"/>
      <family val="2"/>
    </font>
    <font>
      <sz val="14"/>
      <color theme="0"/>
      <name val="Lato"/>
      <family val="2"/>
    </font>
    <font>
      <sz val="6"/>
      <color theme="0"/>
      <name val="Lato"/>
      <family val="2"/>
    </font>
    <font>
      <sz val="20"/>
      <color theme="1"/>
      <name val="Lato"/>
      <family val="2"/>
    </font>
    <font>
      <b/>
      <sz val="16"/>
      <color theme="0"/>
      <name val="Lato"/>
      <family val="2"/>
    </font>
    <font>
      <b/>
      <i/>
      <sz val="10"/>
      <color theme="2" tint="-0.499984740745262"/>
      <name val="Lato"/>
      <family val="2"/>
    </font>
    <font>
      <b/>
      <i/>
      <sz val="11"/>
      <color theme="4"/>
      <name val="Lato"/>
      <family val="2"/>
    </font>
    <font>
      <b/>
      <i/>
      <sz val="10"/>
      <color rgb="FFFF0000"/>
      <name val="Lato"/>
      <family val="2"/>
    </font>
    <font>
      <b/>
      <i/>
      <sz val="10"/>
      <color theme="5"/>
      <name val="Lato"/>
      <family val="2"/>
    </font>
    <font>
      <b/>
      <i/>
      <sz val="10"/>
      <color theme="1" tint="0.34998626667073579"/>
      <name val="Lato"/>
      <family val="2"/>
    </font>
    <font>
      <sz val="10"/>
      <color theme="2" tint="-0.749992370372631"/>
      <name val="Lato"/>
      <family val="2"/>
    </font>
    <font>
      <b/>
      <sz val="10"/>
      <color theme="1" tint="0.34998626667073579"/>
      <name val="Lato"/>
      <family val="2"/>
    </font>
    <font>
      <b/>
      <sz val="16"/>
      <color theme="4"/>
      <name val="Lato"/>
      <family val="2"/>
    </font>
    <font>
      <b/>
      <sz val="12"/>
      <color theme="4"/>
      <name val="Lato"/>
      <family val="2"/>
    </font>
    <font>
      <b/>
      <sz val="10"/>
      <color theme="2" tint="-0.749992370372631"/>
      <name val="Lato"/>
      <family val="2"/>
    </font>
    <font>
      <sz val="10"/>
      <color theme="2" tint="-0.499984740745262"/>
      <name val="Lato"/>
      <family val="2"/>
    </font>
    <font>
      <b/>
      <sz val="18"/>
      <color theme="1"/>
      <name val="Lato"/>
      <family val="2"/>
    </font>
    <font>
      <b/>
      <sz val="10"/>
      <color theme="5"/>
      <name val="Lato"/>
      <family val="2"/>
    </font>
    <font>
      <b/>
      <sz val="14"/>
      <color rgb="FF3F3F76"/>
      <name val="Lato"/>
      <family val="2"/>
    </font>
    <font>
      <b/>
      <sz val="14"/>
      <color rgb="FF0070C0"/>
      <name val="Lato"/>
      <family val="2"/>
    </font>
    <font>
      <b/>
      <i/>
      <sz val="11"/>
      <color theme="5" tint="-0.249977111117893"/>
      <name val="Lato"/>
      <family val="2"/>
    </font>
    <font>
      <i/>
      <sz val="11"/>
      <color theme="1"/>
      <name val="Lato"/>
      <family val="2"/>
    </font>
    <font>
      <b/>
      <sz val="11"/>
      <color rgb="FFC00000"/>
      <name val="Lato"/>
      <family val="2"/>
    </font>
    <font>
      <b/>
      <sz val="11"/>
      <color theme="5"/>
      <name val="Lato"/>
      <family val="2"/>
    </font>
    <font>
      <b/>
      <sz val="11"/>
      <color theme="4"/>
      <name val="Lato"/>
      <family val="2"/>
    </font>
    <font>
      <sz val="12"/>
      <color rgb="FF0070C0"/>
      <name val="Lato"/>
      <family val="2"/>
    </font>
    <font>
      <i/>
      <sz val="10"/>
      <color theme="2" tint="-0.499984740745262"/>
      <name val="Lato"/>
      <family val="2"/>
    </font>
    <font>
      <b/>
      <sz val="14"/>
      <color rgb="FF00B050"/>
      <name val="Lato"/>
      <family val="2"/>
    </font>
    <font>
      <b/>
      <sz val="12"/>
      <color rgb="FF3F3F76"/>
      <name val="Lato"/>
      <family val="2"/>
    </font>
    <font>
      <sz val="11"/>
      <color theme="2" tint="-9.9978637043366805E-2"/>
      <name val="Lato"/>
      <family val="2"/>
    </font>
    <font>
      <b/>
      <i/>
      <sz val="12"/>
      <color theme="6" tint="-0.249977111117893"/>
      <name val="Lato"/>
      <family val="2"/>
    </font>
    <font>
      <b/>
      <i/>
      <sz val="11"/>
      <color theme="1"/>
      <name val="Lato"/>
      <family val="2"/>
    </font>
    <font>
      <i/>
      <sz val="9"/>
      <color theme="2" tint="-0.249977111117893"/>
      <name val="Lato"/>
      <family val="2"/>
    </font>
    <font>
      <b/>
      <sz val="8"/>
      <color theme="0"/>
      <name val="Lato"/>
      <family val="2"/>
    </font>
    <font>
      <b/>
      <sz val="10"/>
      <color rgb="FF000000"/>
      <name val="Lato"/>
      <family val="2"/>
    </font>
    <font>
      <sz val="10"/>
      <color rgb="FF000000"/>
      <name val="Lato"/>
      <family val="2"/>
    </font>
    <font>
      <sz val="8"/>
      <color rgb="FF000000"/>
      <name val="Lato"/>
      <family val="2"/>
    </font>
    <font>
      <b/>
      <sz val="14"/>
      <color theme="0"/>
      <name val="Lato"/>
      <family val="2"/>
    </font>
    <font>
      <b/>
      <sz val="10"/>
      <color theme="8" tint="-0.249977111117893"/>
      <name val="Lato"/>
      <family val="2"/>
    </font>
    <font>
      <b/>
      <u/>
      <sz val="12"/>
      <color theme="1"/>
      <name val="Lato"/>
      <family val="2"/>
    </font>
    <font>
      <sz val="10"/>
      <color rgb="FF3F3F76"/>
      <name val="Lato"/>
      <family val="2"/>
    </font>
    <font>
      <sz val="9"/>
      <color theme="2" tint="-0.499984740745262"/>
      <name val="Lato"/>
      <family val="2"/>
    </font>
    <font>
      <sz val="11"/>
      <color theme="0" tint="-0.249977111117893"/>
      <name val="Lato"/>
      <family val="2"/>
    </font>
    <font>
      <b/>
      <sz val="11"/>
      <color theme="2" tint="-0.499984740745262"/>
      <name val="Lato"/>
      <family val="2"/>
    </font>
    <font>
      <sz val="9"/>
      <color rgb="FFFF0000"/>
      <name val="Lato"/>
      <family val="2"/>
    </font>
    <font>
      <b/>
      <sz val="8"/>
      <name val="Lato"/>
      <family val="2"/>
    </font>
    <font>
      <b/>
      <u/>
      <sz val="14"/>
      <color theme="1"/>
      <name val="Lato"/>
      <family val="2"/>
    </font>
    <font>
      <b/>
      <i/>
      <sz val="11"/>
      <color theme="2" tint="-0.499984740745262"/>
      <name val="Lato"/>
      <family val="2"/>
    </font>
    <font>
      <i/>
      <sz val="8"/>
      <name val="Lato"/>
      <family val="2"/>
    </font>
    <font>
      <b/>
      <u/>
      <sz val="10"/>
      <color theme="1"/>
      <name val="Lato"/>
      <family val="2"/>
    </font>
    <font>
      <i/>
      <sz val="11"/>
      <color theme="4"/>
      <name val="Lato"/>
      <family val="2"/>
    </font>
    <font>
      <b/>
      <i/>
      <sz val="9"/>
      <color rgb="FFFF0000"/>
      <name val="Lato"/>
      <family val="2"/>
    </font>
    <font>
      <b/>
      <sz val="9"/>
      <color theme="6"/>
      <name val="Lato"/>
      <family val="2"/>
    </font>
    <font>
      <sz val="9"/>
      <color rgb="FF3F3F76"/>
      <name val="Lato"/>
      <family val="2"/>
    </font>
    <font>
      <sz val="9"/>
      <color rgb="FFC00000"/>
      <name val="Lato"/>
      <family val="2"/>
    </font>
    <font>
      <sz val="11"/>
      <color theme="6"/>
      <name val="Lato"/>
      <family val="2"/>
    </font>
    <font>
      <b/>
      <sz val="10"/>
      <color theme="3"/>
      <name val="Lato"/>
      <family val="2"/>
    </font>
    <font>
      <strike/>
      <sz val="8"/>
      <name val="Lato"/>
      <family val="2"/>
    </font>
    <font>
      <b/>
      <strike/>
      <sz val="8"/>
      <name val="Lato"/>
      <family val="2"/>
    </font>
    <font>
      <b/>
      <i/>
      <sz val="8"/>
      <name val="Lato"/>
      <family val="2"/>
    </font>
    <font>
      <sz val="11"/>
      <color indexed="8"/>
      <name val="Calibri"/>
      <family val="2"/>
      <scheme val="minor"/>
    </font>
    <font>
      <sz val="9"/>
      <color theme="2" tint="-0.249977111117893"/>
      <name val="Lato"/>
      <family val="2"/>
    </font>
    <font>
      <sz val="11"/>
      <color rgb="FF002060"/>
      <name val="Calibri"/>
      <family val="2"/>
      <scheme val="minor"/>
    </font>
    <font>
      <sz val="12"/>
      <color rgb="FF002060"/>
      <name val="Calibri"/>
      <family val="2"/>
      <scheme val="minor"/>
    </font>
    <font>
      <sz val="9"/>
      <color theme="1"/>
      <name val="Calibri"/>
      <family val="2"/>
      <scheme val="minor"/>
    </font>
    <font>
      <b/>
      <sz val="11"/>
      <color rgb="FF4472C4"/>
      <name val="Calibri"/>
      <family val="2"/>
      <scheme val="minor"/>
    </font>
    <font>
      <b/>
      <sz val="11"/>
      <color rgb="FF002060"/>
      <name val="Calibri"/>
      <family val="2"/>
      <scheme val="minor"/>
    </font>
    <font>
      <sz val="11"/>
      <color theme="0"/>
      <name val="Calibri"/>
      <family val="2"/>
      <scheme val="minor"/>
    </font>
    <font>
      <b/>
      <i/>
      <sz val="10"/>
      <color rgb="FF00B050"/>
      <name val="Calibri"/>
      <family val="2"/>
      <scheme val="minor"/>
    </font>
    <font>
      <b/>
      <sz val="9"/>
      <color theme="0"/>
      <name val="Calibri"/>
      <family val="2"/>
      <scheme val="minor"/>
    </font>
    <font>
      <b/>
      <sz val="10"/>
      <color theme="0"/>
      <name val="Calibri"/>
      <family val="2"/>
      <scheme val="minor"/>
    </font>
    <font>
      <b/>
      <sz val="9"/>
      <color theme="1"/>
      <name val="Calibri"/>
      <family val="2"/>
      <scheme val="minor"/>
    </font>
    <font>
      <b/>
      <sz val="14"/>
      <color theme="0"/>
      <name val="Calibri"/>
      <family val="2"/>
      <scheme val="minor"/>
    </font>
    <font>
      <b/>
      <sz val="12"/>
      <color rgb="FF002060"/>
      <name val="Calibri"/>
      <family val="2"/>
      <scheme val="minor"/>
    </font>
    <font>
      <sz val="10"/>
      <color theme="2" tint="-0.499984740745262"/>
      <name val="Calibri"/>
      <family val="2"/>
      <scheme val="minor"/>
    </font>
    <font>
      <sz val="10"/>
      <color rgb="FF002060"/>
      <name val="Calibri"/>
      <family val="2"/>
      <scheme val="minor"/>
    </font>
    <font>
      <b/>
      <sz val="10"/>
      <color rgb="FF002060"/>
      <name val="Calibri"/>
      <family val="2"/>
      <scheme val="minor"/>
    </font>
    <font>
      <sz val="10"/>
      <color rgb="FFC00000"/>
      <name val="Calibri"/>
      <family val="2"/>
      <scheme val="minor"/>
    </font>
    <font>
      <sz val="10"/>
      <color rgb="FFFF0000"/>
      <name val="Calibri"/>
      <family val="2"/>
      <scheme val="minor"/>
    </font>
    <font>
      <b/>
      <sz val="14"/>
      <color rgb="FF00B050"/>
      <name val="Calibri"/>
      <family val="2"/>
      <scheme val="minor"/>
    </font>
    <font>
      <b/>
      <sz val="12"/>
      <color theme="0"/>
      <name val="Calibri"/>
      <family val="2"/>
      <scheme val="minor"/>
    </font>
    <font>
      <sz val="8"/>
      <color theme="1"/>
      <name val="Calibri"/>
      <family val="2"/>
      <scheme val="minor"/>
    </font>
    <font>
      <b/>
      <sz val="10"/>
      <name val="Calibri"/>
      <family val="2"/>
      <scheme val="minor"/>
    </font>
    <font>
      <sz val="10"/>
      <name val="Calibri"/>
      <family val="2"/>
      <scheme val="minor"/>
    </font>
    <font>
      <sz val="9"/>
      <color theme="8" tint="-0.249977111117893"/>
      <name val="Calibri"/>
      <family val="2"/>
      <scheme val="minor"/>
    </font>
    <font>
      <b/>
      <sz val="9"/>
      <color theme="8" tint="-0.249977111117893"/>
      <name val="Calibri"/>
      <family val="2"/>
      <scheme val="minor"/>
    </font>
    <font>
      <i/>
      <sz val="10"/>
      <color theme="1"/>
      <name val="Calibri"/>
      <family val="2"/>
      <scheme val="minor"/>
    </font>
    <font>
      <b/>
      <sz val="14"/>
      <color rgb="FF00B0F0"/>
      <name val="Calibri"/>
      <family val="2"/>
      <scheme val="minor"/>
    </font>
    <font>
      <b/>
      <sz val="12"/>
      <color rgb="FFC00000"/>
      <name val="Calibri"/>
      <family val="2"/>
      <scheme val="minor"/>
    </font>
    <font>
      <sz val="8"/>
      <color rgb="FF3F3F76"/>
      <name val="Calibri"/>
      <family val="2"/>
      <scheme val="minor"/>
    </font>
    <font>
      <b/>
      <sz val="12"/>
      <color rgb="FF3F3F76"/>
      <name val="Calibri"/>
      <family val="2"/>
      <scheme val="minor"/>
    </font>
    <font>
      <b/>
      <sz val="10"/>
      <color rgb="FF3F3F76"/>
      <name val="Calibri"/>
      <family val="2"/>
      <scheme val="minor"/>
    </font>
    <font>
      <i/>
      <sz val="9"/>
      <name val="Calibri"/>
      <family val="2"/>
      <scheme val="minor"/>
    </font>
    <font>
      <i/>
      <sz val="9"/>
      <color theme="5" tint="-0.249977111117893"/>
      <name val="Calibri"/>
      <family val="2"/>
      <scheme val="minor"/>
    </font>
    <font>
      <b/>
      <sz val="9"/>
      <color rgb="FFFF0000"/>
      <name val="Calibri"/>
      <family val="2"/>
      <scheme val="minor"/>
    </font>
    <font>
      <b/>
      <sz val="9"/>
      <color rgb="FF3F3F76"/>
      <name val="Calibri"/>
      <family val="2"/>
      <scheme val="minor"/>
    </font>
    <font>
      <b/>
      <sz val="18"/>
      <color rgb="FF3F3F76"/>
      <name val="Calibri"/>
      <family val="2"/>
      <scheme val="minor"/>
    </font>
    <font>
      <b/>
      <sz val="11"/>
      <color rgb="FF3F3F76"/>
      <name val="Calibri"/>
      <family val="2"/>
      <scheme val="minor"/>
    </font>
    <font>
      <b/>
      <i/>
      <u/>
      <sz val="10"/>
      <color theme="4"/>
      <name val="Calibri"/>
      <family val="2"/>
      <scheme val="minor"/>
    </font>
    <font>
      <i/>
      <sz val="10"/>
      <color rgb="FF3F3F76"/>
      <name val="Calibri"/>
      <family val="2"/>
      <scheme val="minor"/>
    </font>
    <font>
      <sz val="9"/>
      <color rgb="FF3F3F76"/>
      <name val="Calibri"/>
      <family val="2"/>
      <scheme val="minor"/>
    </font>
    <font>
      <b/>
      <sz val="10"/>
      <color theme="8" tint="-0.249977111117893"/>
      <name val="Calibri"/>
      <family val="2"/>
      <scheme val="minor"/>
    </font>
    <font>
      <i/>
      <sz val="11"/>
      <color rgb="FF3F3F76"/>
      <name val="Calibri"/>
      <family val="2"/>
      <scheme val="minor"/>
    </font>
    <font>
      <b/>
      <i/>
      <sz val="9"/>
      <color theme="8" tint="-0.249977111117893"/>
      <name val="Calibri"/>
      <family val="2"/>
      <scheme val="minor"/>
    </font>
    <font>
      <b/>
      <i/>
      <sz val="10"/>
      <color theme="8" tint="-0.249977111117893"/>
      <name val="Calibri"/>
      <family val="2"/>
      <scheme val="minor"/>
    </font>
    <font>
      <b/>
      <sz val="9"/>
      <color theme="2" tint="-0.499984740745262"/>
      <name val="Calibri"/>
      <family val="2"/>
      <scheme val="minor"/>
    </font>
    <font>
      <b/>
      <sz val="8"/>
      <color theme="8" tint="-0.249977111117893"/>
      <name val="Calibri"/>
      <family val="2"/>
      <scheme val="minor"/>
    </font>
    <font>
      <i/>
      <sz val="9"/>
      <color theme="2" tint="-0.499984740745262"/>
      <name val="Calibri"/>
      <family val="2"/>
      <scheme val="minor"/>
    </font>
    <font>
      <i/>
      <sz val="9"/>
      <color theme="2" tint="-0.249977111117893"/>
      <name val="Calibri"/>
      <family val="2"/>
      <scheme val="minor"/>
    </font>
    <font>
      <b/>
      <sz val="10"/>
      <color theme="2" tint="-0.499984740745262"/>
      <name val="Calibri"/>
      <family val="2"/>
      <scheme val="minor"/>
    </font>
    <font>
      <i/>
      <sz val="9"/>
      <color theme="1"/>
      <name val="Calibri"/>
      <family val="2"/>
      <scheme val="minor"/>
    </font>
    <font>
      <sz val="10"/>
      <color rgb="FF3F3F76"/>
      <name val="Calibri"/>
      <family val="2"/>
      <scheme val="minor"/>
    </font>
    <font>
      <b/>
      <sz val="10"/>
      <color theme="7" tint="0.79998168889431442"/>
      <name val="Calibri"/>
      <family val="2"/>
      <scheme val="minor"/>
    </font>
    <font>
      <b/>
      <sz val="10"/>
      <color theme="7" tint="0.59999389629810485"/>
      <name val="Calibri"/>
      <family val="2"/>
      <scheme val="minor"/>
    </font>
    <font>
      <b/>
      <u/>
      <sz val="10"/>
      <color rgb="FF002060"/>
      <name val="Calibri"/>
      <family val="2"/>
      <scheme val="minor"/>
    </font>
    <font>
      <sz val="8"/>
      <color theme="2" tint="-0.499984740745262"/>
      <name val="Calibri"/>
      <family val="2"/>
      <scheme val="minor"/>
    </font>
    <font>
      <b/>
      <sz val="8"/>
      <color theme="4"/>
      <name val="Calibri"/>
      <family val="2"/>
      <scheme val="minor"/>
    </font>
    <font>
      <b/>
      <sz val="16"/>
      <color rgb="FF001848"/>
      <name val="Calibri"/>
      <family val="2"/>
      <scheme val="minor"/>
    </font>
    <font>
      <b/>
      <sz val="14"/>
      <color rgb="FF001848"/>
      <name val="Calibri"/>
      <family val="2"/>
      <scheme val="minor"/>
    </font>
    <font>
      <i/>
      <sz val="11"/>
      <color theme="0"/>
      <name val="Calibri"/>
      <family val="2"/>
      <scheme val="minor"/>
    </font>
    <font>
      <b/>
      <i/>
      <sz val="10"/>
      <color theme="0"/>
      <name val="Calibri"/>
      <family val="2"/>
      <scheme val="minor"/>
    </font>
    <font>
      <b/>
      <sz val="8"/>
      <color theme="0"/>
      <name val="Calibri"/>
      <family val="2"/>
      <scheme val="minor"/>
    </font>
    <font>
      <i/>
      <sz val="9"/>
      <color theme="0"/>
      <name val="Calibri"/>
      <family val="2"/>
      <scheme val="minor"/>
    </font>
    <font>
      <b/>
      <sz val="12"/>
      <color rgb="FF6600CC"/>
      <name val="Calibri"/>
      <family val="2"/>
      <scheme val="minor"/>
    </font>
    <font>
      <b/>
      <sz val="12"/>
      <color rgb="FF7030A0"/>
      <name val="Calibri"/>
      <family val="2"/>
      <scheme val="minor"/>
    </font>
    <font>
      <b/>
      <sz val="12"/>
      <color theme="8"/>
      <name val="Calibri"/>
      <family val="2"/>
      <scheme val="minor"/>
    </font>
    <font>
      <b/>
      <sz val="22"/>
      <color theme="0"/>
      <name val="Calibri"/>
      <family val="2"/>
      <scheme val="minor"/>
    </font>
    <font>
      <b/>
      <sz val="14"/>
      <name val="Calibri"/>
      <family val="2"/>
      <scheme val="minor"/>
    </font>
    <font>
      <b/>
      <sz val="10"/>
      <color rgb="FFFF0000"/>
      <name val="Calibri"/>
      <family val="2"/>
      <scheme val="minor"/>
    </font>
    <font>
      <b/>
      <sz val="16"/>
      <color theme="1"/>
      <name val="Calibri"/>
      <family val="2"/>
      <scheme val="minor"/>
    </font>
    <font>
      <sz val="8"/>
      <color rgb="FFFF0000"/>
      <name val="Calibri"/>
      <family val="2"/>
      <scheme val="minor"/>
    </font>
    <font>
      <b/>
      <u/>
      <sz val="11"/>
      <color rgb="FF006100"/>
      <name val="Calibri"/>
      <family val="2"/>
      <scheme val="minor"/>
    </font>
    <font>
      <b/>
      <sz val="10"/>
      <color rgb="FFC00000"/>
      <name val="Calibri"/>
      <family val="2"/>
      <scheme val="minor"/>
    </font>
    <font>
      <sz val="9"/>
      <color theme="2" tint="-0.499984740745262"/>
      <name val="Calibri"/>
      <family val="2"/>
      <scheme val="minor"/>
    </font>
    <font>
      <sz val="9"/>
      <color rgb="FF002060"/>
      <name val="Calibri"/>
      <family val="2"/>
      <scheme val="minor"/>
    </font>
    <font>
      <b/>
      <u/>
      <sz val="11"/>
      <color theme="0"/>
      <name val="Calibri"/>
      <family val="2"/>
      <scheme val="minor"/>
    </font>
    <font>
      <i/>
      <sz val="10"/>
      <color theme="0"/>
      <name val="Calibri"/>
      <family val="2"/>
      <scheme val="minor"/>
    </font>
    <font>
      <b/>
      <sz val="18"/>
      <color theme="0"/>
      <name val="Calibri"/>
      <family val="2"/>
      <scheme val="minor"/>
    </font>
    <font>
      <b/>
      <i/>
      <sz val="14"/>
      <color theme="1"/>
      <name val="Calibri"/>
      <family val="2"/>
      <scheme val="minor"/>
    </font>
    <font>
      <b/>
      <i/>
      <sz val="10"/>
      <color theme="8"/>
      <name val="Calibri"/>
      <family val="2"/>
      <scheme val="minor"/>
    </font>
    <font>
      <b/>
      <i/>
      <sz val="10"/>
      <color theme="1"/>
      <name val="Calibri"/>
      <family val="2"/>
      <scheme val="minor"/>
    </font>
    <font>
      <sz val="9"/>
      <color rgb="FFFF0000"/>
      <name val="Calibri"/>
      <family val="2"/>
      <scheme val="minor"/>
    </font>
    <font>
      <b/>
      <u/>
      <sz val="10"/>
      <color theme="4"/>
      <name val="Calibri"/>
      <family val="2"/>
      <scheme val="minor"/>
    </font>
    <font>
      <sz val="11"/>
      <color theme="1" tint="0.249977111117893"/>
      <name val="Calibri"/>
      <family val="2"/>
      <scheme val="minor"/>
    </font>
    <font>
      <sz val="10"/>
      <color theme="4"/>
      <name val="Calibri"/>
      <family val="2"/>
      <scheme val="minor"/>
    </font>
    <font>
      <b/>
      <u/>
      <sz val="10"/>
      <color theme="1"/>
      <name val="Calibri"/>
      <family val="2"/>
      <scheme val="minor"/>
    </font>
    <font>
      <i/>
      <sz val="10"/>
      <color theme="6"/>
      <name val="Calibri"/>
      <family val="2"/>
      <scheme val="minor"/>
    </font>
    <font>
      <b/>
      <u/>
      <sz val="10"/>
      <color theme="2" tint="-0.499984740745262"/>
      <name val="Calibri"/>
      <family val="2"/>
      <scheme val="minor"/>
    </font>
    <font>
      <b/>
      <sz val="10"/>
      <color theme="4"/>
      <name val="Calibri"/>
      <family val="2"/>
      <scheme val="minor"/>
    </font>
    <font>
      <i/>
      <sz val="10"/>
      <color theme="2" tint="-0.499984740745262"/>
      <name val="Calibri"/>
      <family val="2"/>
      <scheme val="minor"/>
    </font>
    <font>
      <i/>
      <sz val="10"/>
      <color theme="4"/>
      <name val="Calibri"/>
      <family val="2"/>
      <scheme val="minor"/>
    </font>
    <font>
      <i/>
      <sz val="9"/>
      <color theme="6"/>
      <name val="Calibri"/>
      <family val="2"/>
      <scheme val="minor"/>
    </font>
    <font>
      <u/>
      <sz val="10"/>
      <color theme="2" tint="-0.499984740745262"/>
      <name val="Calibri"/>
      <family val="2"/>
      <scheme val="minor"/>
    </font>
    <font>
      <b/>
      <u/>
      <sz val="11"/>
      <color theme="1"/>
      <name val="Calibri"/>
      <family val="2"/>
      <scheme val="minor"/>
    </font>
    <font>
      <sz val="11"/>
      <name val="Calibri"/>
      <family val="2"/>
      <scheme val="minor"/>
    </font>
    <font>
      <u/>
      <sz val="11"/>
      <color theme="1"/>
      <name val="Calibri"/>
      <family val="2"/>
      <scheme val="minor"/>
    </font>
    <font>
      <sz val="12"/>
      <color theme="0"/>
      <name val="Calibri"/>
      <family val="2"/>
      <scheme val="minor"/>
    </font>
    <font>
      <b/>
      <u/>
      <sz val="12"/>
      <color theme="0"/>
      <name val="Calibri"/>
      <family val="2"/>
      <scheme val="minor"/>
    </font>
    <font>
      <b/>
      <sz val="20"/>
      <color theme="1"/>
      <name val="Calibri"/>
      <family val="2"/>
      <scheme val="minor"/>
    </font>
    <font>
      <b/>
      <sz val="8"/>
      <color rgb="FFFF0000"/>
      <name val="Calibri"/>
      <family val="2"/>
      <scheme val="minor"/>
    </font>
    <font>
      <b/>
      <u/>
      <sz val="10"/>
      <color rgb="FF000000"/>
      <name val="Calibri"/>
      <family val="2"/>
      <scheme val="minor"/>
    </font>
    <font>
      <b/>
      <sz val="10"/>
      <color rgb="FF000000"/>
      <name val="Calibri"/>
      <family val="2"/>
      <scheme val="minor"/>
    </font>
    <font>
      <b/>
      <sz val="14"/>
      <color theme="5"/>
      <name val="Calibri"/>
      <family val="2"/>
      <scheme val="minor"/>
    </font>
    <font>
      <i/>
      <sz val="10"/>
      <color theme="1" tint="0.499984740745262"/>
      <name val="Calibri"/>
      <family val="2"/>
      <scheme val="minor"/>
    </font>
    <font>
      <b/>
      <sz val="8"/>
      <color rgb="FF000000"/>
      <name val="Calibri"/>
      <family val="2"/>
      <scheme val="minor"/>
    </font>
    <font>
      <sz val="10"/>
      <color rgb="FF000000"/>
      <name val="Calibri"/>
      <family val="2"/>
      <scheme val="minor"/>
    </font>
    <font>
      <sz val="8"/>
      <color rgb="FF000000"/>
      <name val="Calibri"/>
      <family val="2"/>
      <scheme val="minor"/>
    </font>
    <font>
      <b/>
      <sz val="16"/>
      <color theme="8"/>
      <name val="Calibri"/>
      <family val="2"/>
      <scheme val="minor"/>
    </font>
    <font>
      <b/>
      <sz val="16"/>
      <color rgb="FFFF0000"/>
      <name val="Calibri"/>
      <family val="2"/>
      <scheme val="minor"/>
    </font>
    <font>
      <sz val="8.5"/>
      <color rgb="FF000000"/>
      <name val="Calibri"/>
      <family val="2"/>
      <scheme val="minor"/>
    </font>
    <font>
      <b/>
      <sz val="11"/>
      <color theme="5"/>
      <name val="Calibri"/>
      <family val="2"/>
      <scheme val="minor"/>
    </font>
    <font>
      <b/>
      <sz val="12"/>
      <color theme="7"/>
      <name val="Calibri"/>
      <family val="2"/>
      <scheme val="minor"/>
    </font>
    <font>
      <vertAlign val="superscript"/>
      <sz val="10"/>
      <color rgb="FF000000"/>
      <name val="Calibri"/>
      <family val="2"/>
      <scheme val="minor"/>
    </font>
    <font>
      <i/>
      <sz val="10"/>
      <color rgb="FF000000"/>
      <name val="Calibri"/>
      <family val="2"/>
      <scheme val="minor"/>
    </font>
    <font>
      <sz val="10"/>
      <color rgb="FF0070C0"/>
      <name val="Calibri"/>
      <family val="2"/>
      <scheme val="minor"/>
    </font>
    <font>
      <u/>
      <sz val="10"/>
      <color rgb="FF0070C0"/>
      <name val="Calibri"/>
      <family val="2"/>
      <scheme val="minor"/>
    </font>
    <font>
      <b/>
      <sz val="16"/>
      <color rgb="FF3F3F76"/>
      <name val="Calibri"/>
      <family val="2"/>
      <scheme val="minor"/>
    </font>
    <font>
      <sz val="11"/>
      <color theme="6" tint="0.79998168889431442"/>
      <name val="Calibri"/>
      <family val="2"/>
      <scheme val="minor"/>
    </font>
    <font>
      <sz val="7"/>
      <color rgb="FF3F3F76"/>
      <name val="Calibri"/>
      <family val="2"/>
      <scheme val="minor"/>
    </font>
    <font>
      <sz val="11"/>
      <color rgb="FF1F3864"/>
      <name val="Tahoma"/>
      <family val="2"/>
    </font>
    <font>
      <sz val="11"/>
      <color rgb="FF1F3864"/>
      <name val="Wingdings"/>
      <charset val="2"/>
    </font>
    <font>
      <sz val="7"/>
      <color rgb="FF1F3864"/>
      <name val="Times New Roman"/>
      <family val="1"/>
    </font>
    <font>
      <b/>
      <sz val="11"/>
      <color rgb="FF1F3864"/>
      <name val="Tahoma"/>
      <family val="2"/>
    </font>
    <font>
      <b/>
      <u/>
      <sz val="11"/>
      <color rgb="FF1F3864"/>
      <name val="Tahoma"/>
      <family val="2"/>
    </font>
    <font>
      <u/>
      <sz val="11"/>
      <color rgb="FF1F3864"/>
      <name val="Tahoma"/>
      <family val="2"/>
    </font>
    <font>
      <sz val="11"/>
      <color rgb="FF222A35"/>
      <name val="Tahoma"/>
      <family val="2"/>
    </font>
    <font>
      <vertAlign val="superscript"/>
      <sz val="11"/>
      <color rgb="FF222A35"/>
      <name val="Tahoma"/>
      <family val="2"/>
    </font>
    <font>
      <b/>
      <sz val="11"/>
      <color rgb="FF222A35"/>
      <name val="Tahoma"/>
      <family val="2"/>
    </font>
    <font>
      <sz val="11"/>
      <color rgb="FF0D0D0D"/>
      <name val="Tahoma"/>
      <family val="2"/>
    </font>
    <font>
      <sz val="11"/>
      <color theme="1"/>
      <name val="Tahoma"/>
      <family val="2"/>
    </font>
    <font>
      <sz val="11"/>
      <color rgb="FF203864"/>
      <name val="Tahoma"/>
      <family val="2"/>
    </font>
    <font>
      <b/>
      <u/>
      <sz val="11"/>
      <color rgb="FF222A35"/>
      <name val="Tahoma"/>
      <family val="2"/>
    </font>
    <font>
      <sz val="11"/>
      <color rgb="FF002060"/>
      <name val="Tahoma"/>
      <family val="2"/>
    </font>
    <font>
      <sz val="7"/>
      <color rgb="FF1F3864"/>
      <name val="Tahoma"/>
      <family val="2"/>
    </font>
    <font>
      <b/>
      <sz val="11"/>
      <color theme="1"/>
      <name val="Tahoma"/>
      <family val="2"/>
    </font>
    <font>
      <b/>
      <sz val="8"/>
      <color theme="2" tint="-0.499984740745262"/>
      <name val="Calibri"/>
      <family val="2"/>
      <scheme val="minor"/>
    </font>
    <font>
      <sz val="8.5"/>
      <color rgb="FF000000"/>
      <name val="Tahoma"/>
      <family val="2"/>
    </font>
    <font>
      <i/>
      <sz val="10"/>
      <name val="Calibri"/>
      <family val="2"/>
      <scheme val="minor"/>
    </font>
    <font>
      <sz val="8"/>
      <color rgb="FFFF0000"/>
      <name val="Lato"/>
      <family val="2"/>
    </font>
    <font>
      <b/>
      <sz val="11"/>
      <color rgb="FFFF0000"/>
      <name val="Calibri"/>
      <family val="2"/>
      <scheme val="minor"/>
    </font>
    <font>
      <b/>
      <sz val="9"/>
      <name val="Calibri"/>
      <family val="2"/>
      <scheme val="minor"/>
    </font>
    <font>
      <b/>
      <i/>
      <sz val="9"/>
      <color theme="1"/>
      <name val="Calibri"/>
      <family val="2"/>
      <scheme val="minor"/>
    </font>
    <font>
      <b/>
      <i/>
      <u/>
      <sz val="11"/>
      <color theme="1"/>
      <name val="Calibri"/>
      <family val="2"/>
      <scheme val="minor"/>
    </font>
    <font>
      <b/>
      <sz val="11"/>
      <color theme="2" tint="-0.499984740745262"/>
      <name val="Calibri"/>
      <family val="2"/>
      <scheme val="minor"/>
    </font>
    <font>
      <b/>
      <sz val="8"/>
      <color rgb="FF3F3F76"/>
      <name val="Calibri"/>
      <family val="2"/>
      <scheme val="minor"/>
    </font>
    <font>
      <sz val="12"/>
      <color theme="1"/>
      <name val="Calibri"/>
      <family val="2"/>
      <scheme val="minor"/>
    </font>
    <font>
      <sz val="14"/>
      <color rgb="FFFF0000"/>
      <name val="Calibri"/>
      <family val="2"/>
      <scheme val="minor"/>
    </font>
    <font>
      <sz val="12"/>
      <color rgb="FFFF0000"/>
      <name val="Calibri"/>
      <family val="2"/>
      <scheme val="minor"/>
    </font>
    <font>
      <sz val="12"/>
      <name val="Calibri"/>
      <family val="2"/>
      <scheme val="minor"/>
    </font>
    <font>
      <sz val="14"/>
      <color rgb="FF00B050"/>
      <name val="Calibri"/>
      <family val="2"/>
      <scheme val="minor"/>
    </font>
    <font>
      <sz val="12"/>
      <color rgb="FF00B050"/>
      <name val="Calibri"/>
      <family val="2"/>
      <scheme val="minor"/>
    </font>
    <font>
      <sz val="14"/>
      <color rgb="FF0070C0"/>
      <name val="Calibri"/>
      <family val="2"/>
      <scheme val="minor"/>
    </font>
    <font>
      <sz val="12"/>
      <color rgb="FF0070C0"/>
      <name val="Calibri"/>
      <family val="2"/>
      <scheme val="minor"/>
    </font>
    <font>
      <b/>
      <sz val="18"/>
      <color theme="1"/>
      <name val="Calibri"/>
      <family val="2"/>
      <scheme val="minor"/>
    </font>
    <font>
      <b/>
      <i/>
      <sz val="11"/>
      <color rgb="FFFF0000"/>
      <name val="Lato"/>
      <family val="2"/>
    </font>
    <font>
      <sz val="8"/>
      <name val="Calibri Light"/>
      <family val="2"/>
      <scheme val="major"/>
    </font>
    <font>
      <b/>
      <sz val="9"/>
      <name val="Calibri Light"/>
      <family val="2"/>
      <scheme val="major"/>
    </font>
    <font>
      <sz val="11"/>
      <color rgb="FFC00000"/>
      <name val="Lato"/>
      <family val="2"/>
    </font>
    <font>
      <b/>
      <sz val="22"/>
      <color rgb="FFFF0000"/>
      <name val="Calibri"/>
      <family val="2"/>
      <scheme val="minor"/>
    </font>
    <font>
      <b/>
      <sz val="12"/>
      <color rgb="FFFF0000"/>
      <name val="Calibri"/>
      <family val="2"/>
      <scheme val="minor"/>
    </font>
    <font>
      <b/>
      <u/>
      <sz val="10"/>
      <name val="Calibri"/>
      <family val="2"/>
      <scheme val="minor"/>
    </font>
    <font>
      <b/>
      <sz val="10"/>
      <color theme="9" tint="-0.249977111117893"/>
      <name val="Calibri"/>
      <family val="2"/>
      <scheme val="minor"/>
    </font>
    <font>
      <b/>
      <sz val="10"/>
      <color rgb="FF00B050"/>
      <name val="Calibri"/>
      <family val="2"/>
      <scheme val="minor"/>
    </font>
    <font>
      <sz val="10"/>
      <color theme="9" tint="-0.249977111117893"/>
      <name val="Calibri"/>
      <family val="2"/>
      <scheme val="minor"/>
    </font>
    <font>
      <sz val="10"/>
      <color theme="0"/>
      <name val="Calibri"/>
      <family val="2"/>
      <scheme val="minor"/>
    </font>
    <font>
      <b/>
      <sz val="12"/>
      <name val="Calibri"/>
      <family val="2"/>
      <scheme val="minor"/>
    </font>
    <font>
      <b/>
      <u/>
      <sz val="12"/>
      <color rgb="FFFF0000"/>
      <name val="Calibri"/>
      <family val="2"/>
      <scheme val="minor"/>
    </font>
    <font>
      <b/>
      <sz val="22"/>
      <name val="Calibri"/>
      <family val="2"/>
      <scheme val="minor"/>
    </font>
    <font>
      <b/>
      <sz val="8"/>
      <name val="Calibri"/>
      <family val="2"/>
      <scheme val="minor"/>
    </font>
    <font>
      <b/>
      <sz val="16"/>
      <name val="Calibri"/>
      <family val="2"/>
      <scheme val="minor"/>
    </font>
    <font>
      <b/>
      <i/>
      <sz val="10"/>
      <name val="Calibri"/>
      <family val="2"/>
      <scheme val="minor"/>
    </font>
    <font>
      <b/>
      <sz val="11"/>
      <name val="Calibri"/>
      <family val="2"/>
      <scheme val="minor"/>
    </font>
    <font>
      <sz val="11"/>
      <color theme="2" tint="-0.499984740745262"/>
      <name val="Calibri"/>
      <family val="2"/>
      <scheme val="minor"/>
    </font>
    <font>
      <b/>
      <sz val="11"/>
      <color rgb="FFC00000"/>
      <name val="Calibri"/>
      <family val="2"/>
      <scheme val="minor"/>
    </font>
    <font>
      <b/>
      <sz val="20"/>
      <color rgb="FF3F3F76"/>
      <name val="Calibri"/>
      <family val="2"/>
      <scheme val="minor"/>
    </font>
    <font>
      <b/>
      <u/>
      <sz val="12"/>
      <color theme="1"/>
      <name val="Calibri"/>
      <family val="2"/>
      <scheme val="minor"/>
    </font>
    <font>
      <sz val="10"/>
      <color theme="0"/>
      <name val="Lato"/>
      <family val="2"/>
    </font>
    <font>
      <sz val="8"/>
      <color theme="0"/>
      <name val="Lato"/>
      <family val="2"/>
    </font>
    <font>
      <b/>
      <sz val="20"/>
      <color theme="0"/>
      <name val="Calibri"/>
      <family val="2"/>
      <scheme val="minor"/>
    </font>
    <font>
      <b/>
      <i/>
      <sz val="10"/>
      <color theme="0" tint="-0.499984740745262"/>
      <name val="Calibri"/>
      <family val="2"/>
      <scheme val="minor"/>
    </font>
    <font>
      <b/>
      <i/>
      <sz val="14"/>
      <name val="Calibri"/>
      <family val="2"/>
      <scheme val="minor"/>
    </font>
    <font>
      <b/>
      <sz val="14"/>
      <color rgb="FFC00000"/>
      <name val="Calibri"/>
      <family val="2"/>
      <scheme val="minor"/>
    </font>
    <font>
      <b/>
      <sz val="14"/>
      <color rgb="FFC00000"/>
      <name val="Lato"/>
      <family val="2"/>
    </font>
    <font>
      <b/>
      <sz val="13"/>
      <color theme="1"/>
      <name val="Lato"/>
      <family val="2"/>
    </font>
    <font>
      <b/>
      <sz val="13"/>
      <color rgb="FF00B0F0"/>
      <name val="Calibri"/>
      <family val="2"/>
      <scheme val="minor"/>
    </font>
    <font>
      <b/>
      <sz val="13"/>
      <color theme="8"/>
      <name val="Calibri"/>
      <family val="2"/>
      <scheme val="minor"/>
    </font>
    <font>
      <b/>
      <sz val="13"/>
      <name val="Calibri"/>
      <family val="2"/>
      <scheme val="minor"/>
    </font>
    <font>
      <b/>
      <sz val="13"/>
      <color rgb="FF3F3F76"/>
      <name val="Lato"/>
      <family val="2"/>
    </font>
    <font>
      <b/>
      <u/>
      <sz val="11"/>
      <color rgb="FFFF0000"/>
      <name val="Calibri"/>
      <family val="2"/>
      <scheme val="minor"/>
    </font>
    <font>
      <b/>
      <u/>
      <sz val="14"/>
      <color theme="0"/>
      <name val="Calibri"/>
      <family val="2"/>
      <scheme val="minor"/>
    </font>
    <font>
      <i/>
      <u/>
      <sz val="11"/>
      <color theme="1"/>
      <name val="Calibri"/>
      <family val="2"/>
      <scheme val="minor"/>
    </font>
    <font>
      <b/>
      <u/>
      <sz val="18"/>
      <color theme="1"/>
      <name val="Calibri"/>
      <family val="2"/>
      <scheme val="minor"/>
    </font>
    <font>
      <b/>
      <i/>
      <u/>
      <sz val="12"/>
      <color theme="1"/>
      <name val="Lato"/>
      <family val="2"/>
    </font>
    <font>
      <sz val="12"/>
      <color rgb="FF3F3F76"/>
      <name val="Calibri"/>
      <family val="2"/>
      <scheme val="minor"/>
    </font>
    <font>
      <i/>
      <sz val="9"/>
      <color theme="0" tint="-0.14999847407452621"/>
      <name val="Lato"/>
      <family val="2"/>
    </font>
    <font>
      <b/>
      <i/>
      <sz val="9"/>
      <color theme="0" tint="-0.14999847407452621"/>
      <name val="Lato"/>
      <family val="2"/>
    </font>
    <font>
      <i/>
      <sz val="11"/>
      <color theme="0" tint="-0.14999847407452621"/>
      <name val="Lato"/>
      <family val="2"/>
    </font>
    <font>
      <sz val="22"/>
      <name val="Lato"/>
      <family val="2"/>
    </font>
    <font>
      <sz val="22"/>
      <color theme="1"/>
      <name val="Lato"/>
      <family val="2"/>
    </font>
    <font>
      <b/>
      <sz val="20"/>
      <color theme="1"/>
      <name val="Lato"/>
      <family val="2"/>
    </font>
    <font>
      <b/>
      <sz val="13"/>
      <color rgb="FFFF0000"/>
      <name val="Calibri"/>
      <family val="2"/>
      <scheme val="minor"/>
    </font>
    <font>
      <i/>
      <sz val="8"/>
      <color theme="1"/>
      <name val="Calibri"/>
      <family val="2"/>
      <scheme val="minor"/>
    </font>
    <font>
      <b/>
      <u/>
      <sz val="11"/>
      <color rgb="FF002060"/>
      <name val="Calibri"/>
      <family val="2"/>
      <scheme val="minor"/>
    </font>
    <font>
      <sz val="8.5"/>
      <color rgb="FFFF0000"/>
      <name val="Tahoma"/>
      <family val="2"/>
    </font>
    <font>
      <sz val="9"/>
      <color rgb="FFC00000"/>
      <name val="Calibri"/>
      <family val="2"/>
      <scheme val="minor"/>
    </font>
    <font>
      <b/>
      <sz val="9"/>
      <color rgb="FFC00000"/>
      <name val="Calibri"/>
      <family val="2"/>
      <scheme val="minor"/>
    </font>
    <font>
      <sz val="10"/>
      <color theme="1"/>
      <name val="Calibri Light"/>
      <family val="2"/>
      <scheme val="major"/>
    </font>
    <font>
      <b/>
      <i/>
      <sz val="10"/>
      <color rgb="FFC00000"/>
      <name val="Calibri"/>
      <family val="2"/>
      <scheme val="minor"/>
    </font>
    <font>
      <sz val="10"/>
      <color theme="0" tint="-0.34998626667073579"/>
      <name val="Calibri"/>
      <family val="2"/>
      <scheme val="minor"/>
    </font>
    <font>
      <sz val="11"/>
      <color rgb="FF777777"/>
      <name val="Lato"/>
      <family val="2"/>
    </font>
    <font>
      <sz val="10"/>
      <color rgb="FF777777"/>
      <name val="Calibri"/>
      <family val="2"/>
      <scheme val="minor"/>
    </font>
    <font>
      <b/>
      <sz val="16"/>
      <color rgb="FFFF0000"/>
      <name val="Lato"/>
      <family val="2"/>
    </font>
    <font>
      <i/>
      <sz val="11"/>
      <color rgb="FFFF0000"/>
      <name val="Calibri"/>
      <family val="2"/>
      <scheme val="minor"/>
    </font>
    <font>
      <sz val="11"/>
      <color rgb="FFFF0000"/>
      <name val="Calibri"/>
      <family val="2"/>
    </font>
    <font>
      <sz val="10.6"/>
      <color theme="1"/>
      <name val="Lato"/>
      <family val="2"/>
    </font>
    <font>
      <sz val="10.6"/>
      <color theme="0"/>
      <name val="Lato"/>
      <family val="2"/>
    </font>
    <font>
      <b/>
      <sz val="10.6"/>
      <color theme="0"/>
      <name val="Calibri"/>
      <family val="2"/>
      <scheme val="minor"/>
    </font>
    <font>
      <sz val="10.6"/>
      <color theme="0"/>
      <name val="Calibri"/>
      <family val="2"/>
      <scheme val="minor"/>
    </font>
    <font>
      <sz val="10.6"/>
      <color rgb="FF3F3F76"/>
      <name val="Calibri"/>
      <family val="2"/>
      <scheme val="minor"/>
    </font>
    <font>
      <sz val="10.6"/>
      <color rgb="FFFF0000"/>
      <name val="Lato"/>
      <family val="2"/>
    </font>
    <font>
      <sz val="10.6"/>
      <color rgb="FF3F3F76"/>
      <name val="Lato"/>
      <family val="2"/>
    </font>
    <font>
      <b/>
      <sz val="10.6"/>
      <color rgb="FFFF0000"/>
      <name val="Calibri"/>
      <family val="2"/>
      <scheme val="minor"/>
    </font>
    <font>
      <sz val="10.6"/>
      <color rgb="FFFF0000"/>
      <name val="Calibri"/>
      <family val="2"/>
      <scheme val="minor"/>
    </font>
    <font>
      <sz val="10.6"/>
      <color rgb="FF777777"/>
      <name val="Lato"/>
      <family val="2"/>
    </font>
    <font>
      <b/>
      <i/>
      <u/>
      <sz val="14"/>
      <color rgb="FFFF0000"/>
      <name val="Lato"/>
      <family val="2"/>
    </font>
    <font>
      <u/>
      <sz val="12"/>
      <name val="Calibri"/>
      <family val="2"/>
      <scheme val="minor"/>
    </font>
    <font>
      <sz val="14"/>
      <color theme="1"/>
      <name val="Calibri"/>
      <family val="2"/>
      <scheme val="minor"/>
    </font>
    <font>
      <sz val="9"/>
      <color theme="0"/>
      <name val="Lato"/>
      <family val="2"/>
    </font>
    <font>
      <sz val="8"/>
      <color rgb="FF000000"/>
      <name val="Segoe UI"/>
      <family val="2"/>
    </font>
    <font>
      <b/>
      <i/>
      <u/>
      <sz val="10"/>
      <name val="Calibri"/>
      <family val="2"/>
      <scheme val="minor"/>
    </font>
    <font>
      <sz val="11"/>
      <color rgb="FF00B050"/>
      <name val="Calibri"/>
      <family val="2"/>
      <scheme val="minor"/>
    </font>
    <font>
      <b/>
      <sz val="14"/>
      <color theme="8"/>
      <name val="Calibri"/>
      <family val="2"/>
      <scheme val="minor"/>
    </font>
    <font>
      <sz val="14"/>
      <color theme="1"/>
      <name val="Wingdings"/>
      <charset val="2"/>
    </font>
    <font>
      <i/>
      <sz val="14"/>
      <color theme="1"/>
      <name val="Calibri"/>
      <family val="2"/>
      <scheme val="minor"/>
    </font>
    <font>
      <b/>
      <u/>
      <sz val="14"/>
      <color theme="1"/>
      <name val="Calibri"/>
      <family val="2"/>
      <scheme val="minor"/>
    </font>
    <font>
      <sz val="14"/>
      <name val="Calibri"/>
      <family val="2"/>
      <scheme val="minor"/>
    </font>
    <font>
      <u/>
      <sz val="14"/>
      <color theme="10"/>
      <name val="Calibri"/>
      <family val="2"/>
      <scheme val="minor"/>
    </font>
    <font>
      <sz val="8"/>
      <color rgb="FFFFFFFF"/>
      <name val="Lato"/>
      <family val="2"/>
    </font>
    <font>
      <b/>
      <sz val="14"/>
      <color theme="0"/>
      <name val="Tahoma"/>
      <family val="2"/>
    </font>
    <font>
      <b/>
      <sz val="12"/>
      <color rgb="FF000000"/>
      <name val="Calibri"/>
      <family val="2"/>
    </font>
    <font>
      <b/>
      <sz val="14"/>
      <color rgb="FF000000"/>
      <name val="Calibri"/>
      <family val="2"/>
    </font>
    <font>
      <sz val="8.5"/>
      <color theme="1"/>
      <name val="Tahoma"/>
      <family val="2"/>
    </font>
    <font>
      <b/>
      <sz val="8.5"/>
      <color rgb="FF000000"/>
      <name val="Tahoma"/>
      <family val="2"/>
    </font>
    <font>
      <b/>
      <u/>
      <sz val="10"/>
      <color rgb="FFFF0000"/>
      <name val="Calibri"/>
      <family val="2"/>
      <scheme val="minor"/>
    </font>
    <font>
      <sz val="10"/>
      <color theme="1"/>
      <name val="Aptos"/>
      <family val="2"/>
    </font>
    <font>
      <b/>
      <u/>
      <sz val="16"/>
      <color rgb="FFFF0000"/>
      <name val="Lato"/>
      <family val="2"/>
    </font>
    <font>
      <sz val="14"/>
      <color theme="0"/>
      <name val="Calibri"/>
      <family val="2"/>
      <scheme val="minor"/>
    </font>
    <font>
      <b/>
      <u/>
      <sz val="14"/>
      <name val="Calibri"/>
      <family val="2"/>
      <scheme val="minor"/>
    </font>
    <font>
      <b/>
      <sz val="14"/>
      <name val="Tahoma"/>
      <family val="2"/>
    </font>
    <font>
      <i/>
      <sz val="12"/>
      <name val="Calibri"/>
      <family val="2"/>
      <scheme val="minor"/>
    </font>
    <font>
      <i/>
      <sz val="12"/>
      <color theme="1"/>
      <name val="Trebuchet MS"/>
      <family val="2"/>
    </font>
    <font>
      <b/>
      <sz val="16"/>
      <color rgb="FFFFFFFF"/>
      <name val="Tahoma"/>
      <family val="2"/>
    </font>
    <font>
      <sz val="14"/>
      <color rgb="FF00A79D"/>
      <name val="Wingdings"/>
      <charset val="2"/>
    </font>
    <font>
      <sz val="14"/>
      <name val="Trebuchet MS"/>
      <family val="2"/>
    </font>
    <font>
      <sz val="14"/>
      <name val="Wingdings"/>
      <charset val="2"/>
    </font>
    <font>
      <b/>
      <sz val="16"/>
      <color theme="0"/>
      <name val="Tahoma"/>
      <family val="2"/>
    </font>
    <font>
      <sz val="14"/>
      <color theme="1"/>
      <name val="Trebuchet MS"/>
      <family val="2"/>
    </font>
    <font>
      <i/>
      <sz val="14"/>
      <color theme="1" tint="0.34998626667073579"/>
      <name val="Trebuchet MS"/>
      <family val="2"/>
    </font>
    <font>
      <i/>
      <sz val="14"/>
      <color rgb="FFFF0000"/>
      <name val="Calibri"/>
      <family val="2"/>
      <scheme val="minor"/>
    </font>
    <font>
      <b/>
      <u/>
      <sz val="10"/>
      <color theme="0"/>
      <name val="Calibri"/>
      <family val="2"/>
      <scheme val="minor"/>
    </font>
    <font>
      <b/>
      <i/>
      <sz val="9"/>
      <name val="Calibri"/>
      <family val="2"/>
      <scheme val="minor"/>
    </font>
    <font>
      <sz val="9"/>
      <name val="Calibri"/>
      <family val="2"/>
      <scheme val="minor"/>
    </font>
    <font>
      <b/>
      <u/>
      <sz val="28"/>
      <color theme="0"/>
      <name val="Calibri"/>
      <family val="2"/>
      <scheme val="minor"/>
    </font>
  </fonts>
  <fills count="104">
    <fill>
      <patternFill patternType="none"/>
    </fill>
    <fill>
      <patternFill patternType="gray125"/>
    </fill>
    <fill>
      <patternFill patternType="solid">
        <fgColor rgb="FFFFCC99"/>
      </patternFill>
    </fill>
    <fill>
      <patternFill patternType="solid">
        <fgColor theme="0"/>
        <bgColor indexed="64"/>
      </patternFill>
    </fill>
    <fill>
      <patternFill patternType="solid">
        <fgColor theme="3"/>
        <bgColor indexed="64"/>
      </patternFill>
    </fill>
    <fill>
      <patternFill patternType="solid">
        <fgColor rgb="FF002060"/>
        <bgColor indexed="64"/>
      </patternFill>
    </fill>
    <fill>
      <patternFill patternType="solid">
        <fgColor rgb="FF00B050"/>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FAEB"/>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rgb="FFFFFFCC"/>
      </patternFill>
    </fill>
    <fill>
      <patternFill patternType="solid">
        <fgColor theme="4" tint="0.59999389629810485"/>
        <bgColor indexed="64"/>
      </patternFill>
    </fill>
    <fill>
      <patternFill patternType="solid">
        <fgColor rgb="FFC6EFCE"/>
      </patternFill>
    </fill>
    <fill>
      <patternFill patternType="solid">
        <fgColor rgb="FFF2F2F2"/>
      </patternFill>
    </fill>
    <fill>
      <patternFill patternType="solid">
        <fgColor theme="7"/>
        <bgColor indexed="64"/>
      </patternFill>
    </fill>
    <fill>
      <patternFill patternType="solid">
        <fgColor rgb="FF92D05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rgb="FFFFC0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FFCC"/>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FF99"/>
        <bgColor indexed="64"/>
      </patternFill>
    </fill>
    <fill>
      <patternFill patternType="solid">
        <fgColor rgb="FFFF2F2F"/>
        <bgColor indexed="64"/>
      </patternFill>
    </fill>
    <fill>
      <patternFill patternType="solid">
        <fgColor rgb="FF7030A0"/>
        <bgColor indexed="64"/>
      </patternFill>
    </fill>
    <fill>
      <patternFill patternType="solid">
        <fgColor rgb="FF99FF99"/>
        <bgColor indexed="64"/>
      </patternFill>
    </fill>
    <fill>
      <patternFill patternType="solid">
        <fgColor rgb="FFD9D9D9"/>
        <bgColor indexed="64"/>
      </patternFill>
    </fill>
    <fill>
      <patternFill patternType="solid">
        <fgColor theme="5"/>
        <bgColor indexed="64"/>
      </patternFill>
    </fill>
    <fill>
      <patternFill patternType="solid">
        <fgColor theme="2" tint="-0.499984740745262"/>
        <bgColor indexed="64"/>
      </patternFill>
    </fill>
    <fill>
      <patternFill patternType="solid">
        <fgColor theme="4"/>
        <bgColor indexed="64"/>
      </patternFill>
    </fill>
    <fill>
      <patternFill patternType="solid">
        <fgColor theme="1"/>
        <bgColor indexed="64"/>
      </patternFill>
    </fill>
    <fill>
      <patternFill patternType="solid">
        <fgColor theme="4" tint="-0.499984740745262"/>
        <bgColor indexed="64"/>
      </patternFill>
    </fill>
    <fill>
      <patternFill patternType="solid">
        <fgColor rgb="FFB2B2B2"/>
        <bgColor indexed="64"/>
      </patternFill>
    </fill>
    <fill>
      <patternFill patternType="solid">
        <fgColor rgb="FFD60093"/>
        <bgColor indexed="64"/>
      </patternFill>
    </fill>
    <fill>
      <patternFill patternType="solid">
        <fgColor rgb="FF996633"/>
        <bgColor indexed="64"/>
      </patternFill>
    </fill>
    <fill>
      <patternFill patternType="solid">
        <fgColor rgb="FFFF9900"/>
        <bgColor indexed="64"/>
      </patternFill>
    </fill>
    <fill>
      <patternFill patternType="solid">
        <fgColor rgb="FFA50021"/>
        <bgColor indexed="64"/>
      </patternFill>
    </fill>
    <fill>
      <patternFill patternType="solid">
        <fgColor rgb="FF33CC33"/>
        <bgColor indexed="64"/>
      </patternFill>
    </fill>
    <fill>
      <patternFill patternType="solid">
        <fgColor rgb="FF0066CC"/>
        <bgColor indexed="64"/>
      </patternFill>
    </fill>
    <fill>
      <patternFill patternType="solid">
        <fgColor rgb="FF66CCFF"/>
        <bgColor indexed="64"/>
      </patternFill>
    </fill>
    <fill>
      <patternFill patternType="solid">
        <fgColor rgb="FF0AE6EB"/>
        <bgColor indexed="64"/>
      </patternFill>
    </fill>
    <fill>
      <patternFill patternType="solid">
        <fgColor rgb="FFFFFF85"/>
        <bgColor indexed="64"/>
      </patternFill>
    </fill>
    <fill>
      <patternFill patternType="solid">
        <fgColor rgb="FFB1D9B3"/>
        <bgColor indexed="64"/>
      </patternFill>
    </fill>
    <fill>
      <patternFill patternType="solid">
        <fgColor rgb="FF6600CC"/>
        <bgColor indexed="64"/>
      </patternFill>
    </fill>
    <fill>
      <patternFill patternType="solid">
        <fgColor rgb="FFCC99FF"/>
        <bgColor indexed="64"/>
      </patternFill>
    </fill>
    <fill>
      <patternFill patternType="solid">
        <fgColor rgb="FFFFCCFF"/>
        <bgColor indexed="64"/>
      </patternFill>
    </fill>
    <fill>
      <patternFill patternType="solid">
        <fgColor theme="0" tint="-0.499984740745262"/>
        <bgColor indexed="64"/>
      </patternFill>
    </fill>
    <fill>
      <patternFill patternType="solid">
        <fgColor rgb="FFFFA3E7"/>
        <bgColor indexed="64"/>
      </patternFill>
    </fill>
    <fill>
      <patternFill patternType="solid">
        <fgColor rgb="FF002855"/>
        <bgColor indexed="64"/>
      </patternFill>
    </fill>
    <fill>
      <patternFill patternType="solid">
        <fgColor rgb="FF008891"/>
        <bgColor indexed="64"/>
      </patternFill>
    </fill>
    <fill>
      <patternFill patternType="solid">
        <fgColor rgb="FFC00000"/>
        <bgColor indexed="64"/>
      </patternFill>
    </fill>
    <fill>
      <patternFill patternType="solid">
        <fgColor theme="1" tint="0.34998626667073579"/>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001848"/>
        <bgColor indexed="64"/>
      </patternFill>
    </fill>
    <fill>
      <patternFill patternType="solid">
        <fgColor theme="3" tint="0.79998168889431442"/>
        <bgColor indexed="64"/>
      </patternFill>
    </fill>
    <fill>
      <patternFill patternType="solid">
        <fgColor rgb="FFA5A5A5"/>
      </patternFill>
    </fill>
    <fill>
      <gradientFill degree="90">
        <stop position="0">
          <color theme="0"/>
        </stop>
        <stop position="1">
          <color theme="9"/>
        </stop>
      </gradientFill>
    </fill>
    <fill>
      <patternFill patternType="solid">
        <fgColor rgb="FF00FF00"/>
        <bgColor indexed="64"/>
      </patternFill>
    </fill>
    <fill>
      <patternFill patternType="solid">
        <fgColor theme="2" tint="-0.249977111117893"/>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3F3F76"/>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theme="0"/>
        <bgColor auto="1"/>
      </patternFill>
    </fill>
    <fill>
      <gradientFill>
        <stop position="0">
          <color rgb="FF00B0F0"/>
        </stop>
        <stop position="1">
          <color theme="4" tint="0.80001220740379042"/>
        </stop>
      </gradientFill>
    </fill>
    <fill>
      <patternFill patternType="solid">
        <fgColor theme="9"/>
        <bgColor indexed="64"/>
      </patternFill>
    </fill>
    <fill>
      <patternFill patternType="solid">
        <fgColor theme="9" tint="0.79998168889431442"/>
        <bgColor indexed="64"/>
      </patternFill>
    </fill>
    <fill>
      <patternFill patternType="solid">
        <fgColor rgb="FFFFCC99"/>
        <bgColor indexed="64"/>
      </patternFill>
    </fill>
    <fill>
      <patternFill patternType="solid">
        <fgColor rgb="FFFFFBEF"/>
        <bgColor indexed="64"/>
      </patternFill>
    </fill>
    <fill>
      <patternFill patternType="solid">
        <fgColor rgb="FFFFFFE1"/>
        <bgColor indexed="64"/>
      </patternFill>
    </fill>
    <fill>
      <patternFill patternType="solid">
        <fgColor theme="7" tint="0.39997558519241921"/>
        <bgColor indexed="64"/>
      </patternFill>
    </fill>
    <fill>
      <patternFill patternType="solid">
        <fgColor theme="7" tint="-0.499984740745262"/>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theme="3" tint="0.59999389629810485"/>
        <bgColor indexed="64"/>
      </patternFill>
    </fill>
    <fill>
      <patternFill patternType="solid">
        <fgColor rgb="FF00B0F0"/>
        <bgColor indexed="64"/>
      </patternFill>
    </fill>
    <fill>
      <patternFill patternType="solid">
        <fgColor theme="1" tint="0.499984740745262"/>
        <bgColor indexed="64"/>
      </patternFill>
    </fill>
    <fill>
      <patternFill patternType="solid">
        <fgColor theme="2"/>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1" tint="0.499984740745262"/>
        <bgColor auto="1"/>
      </patternFill>
    </fill>
    <fill>
      <patternFill patternType="solid">
        <fgColor theme="7" tint="-0.249977111117893"/>
        <bgColor indexed="64"/>
      </patternFill>
    </fill>
    <fill>
      <gradientFill>
        <stop position="0">
          <color theme="0"/>
        </stop>
        <stop position="1">
          <color theme="4" tint="0.59999389629810485"/>
        </stop>
      </gradientFill>
    </fill>
    <fill>
      <gradientFill degree="90">
        <stop position="0">
          <color theme="0"/>
        </stop>
        <stop position="1">
          <color theme="4" tint="0.80001220740379042"/>
        </stop>
      </gradientFill>
    </fill>
    <fill>
      <gradientFill>
        <stop position="0">
          <color theme="4" tint="0.59999389629810485"/>
        </stop>
        <stop position="1">
          <color theme="4" tint="0.40000610370189521"/>
        </stop>
      </gradientFill>
    </fill>
    <fill>
      <patternFill patternType="solid">
        <fgColor theme="6" tint="0.59999389629810485"/>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rgb="FFFFFFFF"/>
        <bgColor indexed="64"/>
      </patternFill>
    </fill>
    <fill>
      <patternFill patternType="solid">
        <fgColor theme="8"/>
        <bgColor indexed="64"/>
      </patternFill>
    </fill>
    <fill>
      <patternFill patternType="solid">
        <fgColor theme="6" tint="0.79998168889431442"/>
        <bgColor indexed="64"/>
      </patternFill>
    </fill>
    <fill>
      <patternFill patternType="solid">
        <fgColor theme="9" tint="-0.249977111117893"/>
        <bgColor indexed="64"/>
      </patternFill>
    </fill>
    <fill>
      <patternFill patternType="solid">
        <fgColor rgb="FF002D55"/>
        <bgColor indexed="64"/>
      </patternFill>
    </fill>
  </fills>
  <borders count="308">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tted">
        <color auto="1"/>
      </left>
      <right/>
      <top style="dotted">
        <color auto="1"/>
      </top>
      <bottom/>
      <diagonal/>
    </border>
    <border>
      <left/>
      <right/>
      <top style="dotted">
        <color auto="1"/>
      </top>
      <bottom/>
      <diagonal/>
    </border>
    <border>
      <left style="dotted">
        <color auto="1"/>
      </left>
      <right/>
      <top/>
      <bottom/>
      <diagonal/>
    </border>
    <border>
      <left/>
      <right style="dotted">
        <color auto="1"/>
      </right>
      <top/>
      <bottom/>
      <diagonal/>
    </border>
    <border>
      <left/>
      <right/>
      <top/>
      <bottom style="dotted">
        <color auto="1"/>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bottom/>
      <diagonal/>
    </border>
    <border>
      <left/>
      <right/>
      <top/>
      <bottom style="medium">
        <color indexed="64"/>
      </bottom>
      <diagonal/>
    </border>
    <border>
      <left style="thin">
        <color indexed="64"/>
      </left>
      <right style="thin">
        <color indexed="64"/>
      </right>
      <top/>
      <bottom/>
      <diagonal/>
    </border>
    <border>
      <left/>
      <right/>
      <top style="thin">
        <color theme="2" tint="-0.749992370372631"/>
      </top>
      <bottom style="thin">
        <color theme="2" tint="-0.749992370372631"/>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7F7F7F"/>
      </left>
      <right style="thin">
        <color rgb="FF7F7F7F"/>
      </right>
      <top/>
      <bottom style="thin">
        <color rgb="FF7F7F7F"/>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tint="0.39997558519241921"/>
      </bottom>
      <diagonal/>
    </border>
    <border>
      <left/>
      <right style="thin">
        <color rgb="FFB2B2B2"/>
      </right>
      <top style="thin">
        <color rgb="FFB2B2B2"/>
      </top>
      <bottom style="thin">
        <color rgb="FFB2B2B2"/>
      </bottom>
      <diagonal/>
    </border>
    <border>
      <left style="thin">
        <color theme="2" tint="-0.749992370372631"/>
      </left>
      <right style="thin">
        <color theme="2" tint="-0.749992370372631"/>
      </right>
      <top/>
      <bottom style="thin">
        <color theme="2" tint="-0.749992370372631"/>
      </bottom>
      <diagonal/>
    </border>
    <border>
      <left/>
      <right style="medium">
        <color indexed="64"/>
      </right>
      <top style="thin">
        <color auto="1"/>
      </top>
      <bottom style="medium">
        <color indexed="64"/>
      </bottom>
      <diagonal/>
    </border>
    <border>
      <left style="thin">
        <color auto="1"/>
      </left>
      <right/>
      <top style="thin">
        <color auto="1"/>
      </top>
      <bottom style="medium">
        <color indexed="64"/>
      </bottom>
      <diagonal/>
    </border>
    <border>
      <left style="medium">
        <color indexed="64"/>
      </left>
      <right style="thin">
        <color auto="1"/>
      </right>
      <top style="thin">
        <color auto="1"/>
      </top>
      <bottom style="medium">
        <color indexed="64"/>
      </bottom>
      <diagonal/>
    </border>
    <border>
      <left/>
      <right style="medium">
        <color indexed="64"/>
      </right>
      <top style="thin">
        <color auto="1"/>
      </top>
      <bottom style="thin">
        <color auto="1"/>
      </bottom>
      <diagonal/>
    </border>
    <border>
      <left style="medium">
        <color indexed="64"/>
      </left>
      <right/>
      <top style="thin">
        <color auto="1"/>
      </top>
      <bottom style="thin">
        <color indexed="64"/>
      </bottom>
      <diagonal/>
    </border>
    <border>
      <left style="medium">
        <color indexed="64"/>
      </left>
      <right style="thin">
        <color indexed="64"/>
      </right>
      <top style="thin">
        <color auto="1"/>
      </top>
      <bottom style="thin">
        <color auto="1"/>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medium">
        <color indexed="64"/>
      </right>
      <top/>
      <bottom style="thin">
        <color auto="1"/>
      </bottom>
      <diagonal/>
    </border>
    <border>
      <left style="medium">
        <color indexed="64"/>
      </left>
      <right/>
      <top/>
      <bottom style="thin">
        <color indexed="64"/>
      </bottom>
      <diagonal/>
    </border>
    <border>
      <left/>
      <right style="medium">
        <color indexed="64"/>
      </right>
      <top style="thin">
        <color auto="1"/>
      </top>
      <bottom style="hair">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right style="thin">
        <color auto="1"/>
      </right>
      <top style="hair">
        <color auto="1"/>
      </top>
      <bottom style="thin">
        <color auto="1"/>
      </bottom>
      <diagonal/>
    </border>
    <border>
      <left style="medium">
        <color indexed="64"/>
      </left>
      <right style="medium">
        <color indexed="64"/>
      </right>
      <top/>
      <bottom style="medium">
        <color indexed="64"/>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style="hair">
        <color auto="1"/>
      </bottom>
      <diagonal/>
    </border>
    <border>
      <left/>
      <right style="thin">
        <color auto="1"/>
      </right>
      <top style="hair">
        <color auto="1"/>
      </top>
      <bottom style="hair">
        <color auto="1"/>
      </bottom>
      <diagonal/>
    </border>
    <border>
      <left style="medium">
        <color indexed="64"/>
      </left>
      <right style="medium">
        <color indexed="64"/>
      </right>
      <top/>
      <bottom/>
      <diagonal/>
    </border>
    <border>
      <left/>
      <right style="medium">
        <color indexed="64"/>
      </right>
      <top style="thin">
        <color indexed="64"/>
      </top>
      <bottom/>
      <diagonal/>
    </border>
    <border>
      <left/>
      <right/>
      <top style="hair">
        <color auto="1"/>
      </top>
      <bottom/>
      <diagonal/>
    </border>
    <border>
      <left style="thin">
        <color auto="1"/>
      </left>
      <right style="medium">
        <color indexed="64"/>
      </right>
      <top style="hair">
        <color auto="1"/>
      </top>
      <bottom style="thin">
        <color auto="1"/>
      </bottom>
      <diagonal/>
    </border>
    <border>
      <left/>
      <right/>
      <top style="hair">
        <color auto="1"/>
      </top>
      <bottom style="thin">
        <color auto="1"/>
      </bottom>
      <diagonal/>
    </border>
    <border>
      <left style="thin">
        <color auto="1"/>
      </left>
      <right style="medium">
        <color indexed="64"/>
      </right>
      <top style="hair">
        <color auto="1"/>
      </top>
      <bottom style="hair">
        <color auto="1"/>
      </bottom>
      <diagonal/>
    </border>
    <border>
      <left/>
      <right/>
      <top style="hair">
        <color auto="1"/>
      </top>
      <bottom style="hair">
        <color auto="1"/>
      </bottom>
      <diagonal/>
    </border>
    <border>
      <left style="thin">
        <color auto="1"/>
      </left>
      <right style="medium">
        <color indexed="64"/>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right style="medium">
        <color indexed="64"/>
      </right>
      <top style="hair">
        <color auto="1"/>
      </top>
      <bottom style="thin">
        <color auto="1"/>
      </bottom>
      <diagonal/>
    </border>
    <border>
      <left/>
      <right style="medium">
        <color indexed="64"/>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thin">
        <color auto="1"/>
      </left>
      <right/>
      <top style="hair">
        <color auto="1"/>
      </top>
      <bottom style="hair">
        <color auto="1"/>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thin">
        <color auto="1"/>
      </left>
      <right/>
      <top style="hair">
        <color auto="1"/>
      </top>
      <bottom style="thin">
        <color auto="1"/>
      </bottom>
      <diagonal/>
    </border>
    <border>
      <left style="thin">
        <color auto="1"/>
      </left>
      <right/>
      <top style="thin">
        <color auto="1"/>
      </top>
      <bottom style="hair">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hair">
        <color auto="1"/>
      </top>
      <bottom/>
      <diagonal/>
    </border>
    <border>
      <left/>
      <right style="thin">
        <color auto="1"/>
      </right>
      <top style="hair">
        <color auto="1"/>
      </top>
      <bottom/>
      <diagonal/>
    </border>
    <border>
      <left style="thin">
        <color auto="1"/>
      </left>
      <right/>
      <top style="hair">
        <color auto="1"/>
      </top>
      <bottom/>
      <diagonal/>
    </border>
    <border>
      <left style="medium">
        <color indexed="64"/>
      </left>
      <right style="medium">
        <color indexed="64"/>
      </right>
      <top style="medium">
        <color indexed="64"/>
      </top>
      <bottom style="medium">
        <color indexed="64"/>
      </bottom>
      <diagonal/>
    </border>
    <border>
      <left/>
      <right style="thin">
        <color auto="1"/>
      </right>
      <top/>
      <bottom style="hair">
        <color auto="1"/>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thin">
        <color auto="1"/>
      </left>
      <right style="thin">
        <color auto="1"/>
      </right>
      <top style="hair">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right/>
      <top style="thick">
        <color auto="1"/>
      </top>
      <bottom/>
      <diagonal/>
    </border>
    <border>
      <left style="dashed">
        <color auto="1"/>
      </left>
      <right/>
      <top/>
      <bottom/>
      <diagonal/>
    </border>
    <border>
      <left/>
      <right style="thick">
        <color theme="0"/>
      </right>
      <top/>
      <bottom style="dotted">
        <color theme="3"/>
      </bottom>
      <diagonal/>
    </border>
    <border>
      <left/>
      <right/>
      <top/>
      <bottom style="dotted">
        <color theme="3"/>
      </bottom>
      <diagonal/>
    </border>
    <border>
      <left style="thick">
        <color theme="0"/>
      </left>
      <right/>
      <top/>
      <bottom style="dotted">
        <color theme="3"/>
      </bottom>
      <diagonal/>
    </border>
    <border>
      <left style="thick">
        <color theme="0"/>
      </left>
      <right style="thick">
        <color theme="0"/>
      </right>
      <top style="thick">
        <color theme="0"/>
      </top>
      <bottom style="thick">
        <color theme="0"/>
      </bottom>
      <diagonal/>
    </border>
    <border>
      <left/>
      <right style="thick">
        <color theme="0"/>
      </right>
      <top/>
      <bottom style="dotted">
        <color indexed="64"/>
      </bottom>
      <diagonal/>
    </border>
    <border>
      <left style="thick">
        <color theme="0"/>
      </left>
      <right/>
      <top/>
      <bottom style="dotted">
        <color indexed="64"/>
      </bottom>
      <diagonal/>
    </border>
    <border>
      <left/>
      <right style="thick">
        <color theme="0"/>
      </right>
      <top/>
      <bottom/>
      <diagonal/>
    </border>
    <border>
      <left style="thick">
        <color theme="0"/>
      </left>
      <right/>
      <top/>
      <bottom/>
      <diagonal/>
    </border>
    <border>
      <left/>
      <right/>
      <top style="dotted">
        <color indexed="64"/>
      </top>
      <bottom style="dotted">
        <color indexed="64"/>
      </bottom>
      <diagonal/>
    </border>
    <border>
      <left/>
      <right/>
      <top/>
      <bottom style="dashed">
        <color indexed="64"/>
      </bottom>
      <diagonal/>
    </border>
    <border>
      <left style="thick">
        <color theme="0"/>
      </left>
      <right/>
      <top/>
      <bottom style="dashed">
        <color indexed="64"/>
      </bottom>
      <diagonal/>
    </border>
    <border>
      <left style="thick">
        <color theme="0"/>
      </left>
      <right style="thick">
        <color theme="0"/>
      </right>
      <top/>
      <bottom/>
      <diagonal/>
    </border>
    <border>
      <left style="thick">
        <color theme="0"/>
      </left>
      <right style="thick">
        <color theme="0"/>
      </right>
      <top style="thick">
        <color theme="0"/>
      </top>
      <bottom/>
      <diagonal/>
    </border>
    <border>
      <left/>
      <right style="thick">
        <color theme="0"/>
      </right>
      <top/>
      <bottom style="dashed">
        <color indexed="64"/>
      </bottom>
      <diagonal/>
    </border>
    <border>
      <left/>
      <right style="thick">
        <color theme="0"/>
      </right>
      <top style="dotted">
        <color theme="3"/>
      </top>
      <bottom style="dashed">
        <color indexed="64"/>
      </bottom>
      <diagonal/>
    </border>
    <border>
      <left/>
      <right/>
      <top style="dotted">
        <color theme="3"/>
      </top>
      <bottom style="dashed">
        <color indexed="64"/>
      </bottom>
      <diagonal/>
    </border>
    <border>
      <left style="thick">
        <color theme="0"/>
      </left>
      <right/>
      <top style="dotted">
        <color theme="3"/>
      </top>
      <bottom style="dashed">
        <color indexed="64"/>
      </bottom>
      <diagonal/>
    </border>
    <border>
      <left style="thick">
        <color theme="0"/>
      </left>
      <right style="thick">
        <color theme="0"/>
      </right>
      <top/>
      <bottom style="thick">
        <color theme="0"/>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7F7F7F"/>
      </left>
      <right style="thin">
        <color rgb="FF7F7F7F"/>
      </right>
      <top style="thin">
        <color rgb="FF7F7F7F"/>
      </top>
      <bottom/>
      <diagonal/>
    </border>
    <border>
      <left style="thin">
        <color indexed="64"/>
      </left>
      <right style="thin">
        <color indexed="64"/>
      </right>
      <top style="thin">
        <color rgb="FF7F7F7F"/>
      </top>
      <bottom style="thin">
        <color indexed="64"/>
      </bottom>
      <diagonal/>
    </border>
    <border>
      <left style="thin">
        <color indexed="64"/>
      </left>
      <right style="thin">
        <color indexed="64"/>
      </right>
      <top style="thin">
        <color rgb="FF7F7F7F"/>
      </top>
      <bottom style="thin">
        <color rgb="FF7F7F7F"/>
      </bottom>
      <diagonal/>
    </border>
    <border>
      <left style="thin">
        <color indexed="64"/>
      </left>
      <right style="thin">
        <color indexed="64"/>
      </right>
      <top style="thin">
        <color indexed="64"/>
      </top>
      <bottom style="thin">
        <color rgb="FF7F7F7F"/>
      </bottom>
      <diagonal/>
    </border>
    <border>
      <left/>
      <right style="thin">
        <color indexed="64"/>
      </right>
      <top/>
      <bottom style="thin">
        <color theme="0"/>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right style="thin">
        <color rgb="FF7F7F7F"/>
      </right>
      <top style="thin">
        <color rgb="FF7F7F7F"/>
      </top>
      <bottom style="thin">
        <color indexed="64"/>
      </bottom>
      <diagonal/>
    </border>
    <border>
      <left/>
      <right style="thin">
        <color rgb="FF7F7F7F"/>
      </right>
      <top style="thin">
        <color indexed="64"/>
      </top>
      <bottom style="thin">
        <color rgb="FF7F7F7F"/>
      </bottom>
      <diagonal/>
    </border>
    <border>
      <left style="thin">
        <color indexed="64"/>
      </left>
      <right style="thin">
        <color indexed="64"/>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bottom>
      <diagonal/>
    </border>
    <border>
      <left style="medium">
        <color indexed="64"/>
      </left>
      <right style="medium">
        <color indexed="64"/>
      </right>
      <top style="thin">
        <color rgb="FF7F7F7F"/>
      </top>
      <bottom style="thin">
        <color rgb="FF7F7F7F"/>
      </bottom>
      <diagonal/>
    </border>
    <border>
      <left style="medium">
        <color indexed="64"/>
      </left>
      <right style="medium">
        <color indexed="64"/>
      </right>
      <top style="thin">
        <color rgb="FF7F7F7F"/>
      </top>
      <bottom style="medium">
        <color indexed="64"/>
      </bottom>
      <diagonal/>
    </border>
    <border>
      <left style="medium">
        <color indexed="64"/>
      </left>
      <right style="medium">
        <color indexed="64"/>
      </right>
      <top style="medium">
        <color indexed="64"/>
      </top>
      <bottom style="thin">
        <color rgb="FF7F7F7F"/>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theme="2" tint="-0.499984740745262"/>
      </left>
      <right/>
      <top/>
      <bottom/>
      <diagonal/>
    </border>
    <border>
      <left style="medium">
        <color theme="2" tint="-0.499984740745262"/>
      </left>
      <right/>
      <top style="medium">
        <color theme="2" tint="-0.499984740745262"/>
      </top>
      <bottom/>
      <diagonal/>
    </border>
    <border>
      <left style="medium">
        <color theme="2" tint="-0.499984740745262"/>
      </left>
      <right/>
      <top/>
      <bottom style="medium">
        <color theme="2" tint="-0.499984740745262"/>
      </bottom>
      <diagonal/>
    </border>
    <border>
      <left/>
      <right style="medium">
        <color theme="2" tint="-0.499984740745262"/>
      </right>
      <top style="medium">
        <color theme="2" tint="-0.499984740745262"/>
      </top>
      <bottom/>
      <diagonal/>
    </border>
    <border>
      <left/>
      <right style="medium">
        <color theme="2" tint="-0.499984740745262"/>
      </right>
      <top/>
      <bottom/>
      <diagonal/>
    </border>
    <border>
      <left/>
      <right style="medium">
        <color theme="2" tint="-0.499984740745262"/>
      </right>
      <top/>
      <bottom style="medium">
        <color theme="2" tint="-0.499984740745262"/>
      </bottom>
      <diagonal/>
    </border>
    <border>
      <left/>
      <right/>
      <top/>
      <bottom style="medium">
        <color theme="2" tint="-0.499984740745262"/>
      </bottom>
      <diagonal/>
    </border>
    <border>
      <left/>
      <right/>
      <top style="medium">
        <color theme="2" tint="-0.499984740745262"/>
      </top>
      <bottom/>
      <diagonal/>
    </border>
    <border>
      <left style="medium">
        <color theme="2" tint="-0.499984740745262"/>
      </left>
      <right style="thin">
        <color indexed="64"/>
      </right>
      <top/>
      <bottom/>
      <diagonal/>
    </border>
    <border>
      <left style="double">
        <color rgb="FF3F3F3F"/>
      </left>
      <right style="double">
        <color rgb="FF3F3F3F"/>
      </right>
      <top style="double">
        <color rgb="FF3F3F3F"/>
      </top>
      <bottom style="double">
        <color rgb="FF3F3F3F"/>
      </bottom>
      <diagonal/>
    </border>
    <border>
      <left style="thin">
        <color rgb="FF002060"/>
      </left>
      <right style="thin">
        <color rgb="FF002060"/>
      </right>
      <top style="thin">
        <color rgb="FF002060"/>
      </top>
      <bottom/>
      <diagonal/>
    </border>
    <border>
      <left style="thin">
        <color rgb="FF002060"/>
      </left>
      <right style="thin">
        <color rgb="FF002060"/>
      </right>
      <top/>
      <bottom/>
      <diagonal/>
    </border>
    <border>
      <left style="thin">
        <color rgb="FF002060"/>
      </left>
      <right style="thin">
        <color rgb="FF002060"/>
      </right>
      <top/>
      <bottom style="thin">
        <color rgb="FF002060"/>
      </bottom>
      <diagonal/>
    </border>
    <border>
      <left style="medium">
        <color rgb="FFC00000"/>
      </left>
      <right/>
      <top style="medium">
        <color rgb="FFC00000"/>
      </top>
      <bottom style="medium">
        <color rgb="FFC00000"/>
      </bottom>
      <diagonal/>
    </border>
    <border>
      <left style="thin">
        <color indexed="64"/>
      </left>
      <right style="thin">
        <color indexed="64"/>
      </right>
      <top style="medium">
        <color rgb="FFC00000"/>
      </top>
      <bottom style="medium">
        <color rgb="FFC00000"/>
      </bottom>
      <diagonal/>
    </border>
    <border>
      <left/>
      <right/>
      <top style="medium">
        <color rgb="FFC00000"/>
      </top>
      <bottom style="medium">
        <color rgb="FFC00000"/>
      </bottom>
      <diagonal/>
    </border>
    <border>
      <left style="medium">
        <color indexed="64"/>
      </left>
      <right/>
      <top style="medium">
        <color rgb="FFC00000"/>
      </top>
      <bottom style="medium">
        <color rgb="FFC00000"/>
      </bottom>
      <diagonal/>
    </border>
    <border>
      <left/>
      <right style="medium">
        <color rgb="FFC00000"/>
      </right>
      <top style="medium">
        <color rgb="FFC00000"/>
      </top>
      <bottom style="medium">
        <color rgb="FFC00000"/>
      </bottom>
      <diagonal/>
    </border>
    <border>
      <left style="dotted">
        <color auto="1"/>
      </left>
      <right/>
      <top/>
      <bottom style="dotted">
        <color auto="1"/>
      </bottom>
      <diagonal/>
    </border>
    <border>
      <left/>
      <right style="dotted">
        <color auto="1"/>
      </right>
      <top/>
      <bottom style="dotted">
        <color auto="1"/>
      </bottom>
      <diagonal/>
    </border>
    <border>
      <left/>
      <right/>
      <top style="thin">
        <color theme="0"/>
      </top>
      <bottom style="thin">
        <color theme="0"/>
      </bottom>
      <diagonal/>
    </border>
    <border>
      <left/>
      <right style="thin">
        <color indexed="64"/>
      </right>
      <top style="thin">
        <color theme="0"/>
      </top>
      <bottom style="thin">
        <color theme="0"/>
      </bottom>
      <diagonal/>
    </border>
    <border>
      <left/>
      <right/>
      <top style="thin">
        <color theme="0"/>
      </top>
      <bottom/>
      <diagonal/>
    </border>
    <border>
      <left/>
      <right style="thin">
        <color indexed="64"/>
      </right>
      <top style="thin">
        <color theme="0"/>
      </top>
      <bottom/>
      <diagonal/>
    </border>
    <border>
      <left style="thin">
        <color auto="1"/>
      </left>
      <right style="thin">
        <color theme="2"/>
      </right>
      <top style="thin">
        <color auto="1"/>
      </top>
      <bottom style="thin">
        <color theme="0" tint="-0.499984740745262"/>
      </bottom>
      <diagonal/>
    </border>
    <border>
      <left style="thin">
        <color theme="2"/>
      </left>
      <right style="thin">
        <color auto="1"/>
      </right>
      <top style="thin">
        <color auto="1"/>
      </top>
      <bottom style="thin">
        <color theme="0" tint="-0.499984740745262"/>
      </bottom>
      <diagonal/>
    </border>
    <border>
      <left style="thin">
        <color auto="1"/>
      </left>
      <right style="thin">
        <color theme="2"/>
      </right>
      <top style="thin">
        <color theme="0" tint="-0.499984740745262"/>
      </top>
      <bottom style="thin">
        <color theme="0" tint="-0.499984740745262"/>
      </bottom>
      <diagonal/>
    </border>
    <border>
      <left style="thin">
        <color theme="2"/>
      </left>
      <right style="thin">
        <color auto="1"/>
      </right>
      <top style="thin">
        <color theme="0" tint="-0.499984740745262"/>
      </top>
      <bottom style="thin">
        <color theme="0" tint="-0.499984740745262"/>
      </bottom>
      <diagonal/>
    </border>
    <border>
      <left style="thin">
        <color auto="1"/>
      </left>
      <right style="thin">
        <color theme="2"/>
      </right>
      <top style="thin">
        <color theme="0" tint="-0.499984740745262"/>
      </top>
      <bottom style="thin">
        <color auto="1"/>
      </bottom>
      <diagonal/>
    </border>
    <border>
      <left style="thin">
        <color theme="2"/>
      </left>
      <right style="thin">
        <color auto="1"/>
      </right>
      <top style="thin">
        <color theme="0" tint="-0.499984740745262"/>
      </top>
      <bottom style="thin">
        <color auto="1"/>
      </bottom>
      <diagonal/>
    </border>
    <border>
      <left style="thin">
        <color auto="1"/>
      </left>
      <right/>
      <top style="thin">
        <color theme="0" tint="-0.499984740745262"/>
      </top>
      <bottom style="thin">
        <color auto="1"/>
      </bottom>
      <diagonal/>
    </border>
    <border>
      <left/>
      <right style="thin">
        <color theme="2"/>
      </right>
      <top style="thin">
        <color theme="0" tint="-0.499984740745262"/>
      </top>
      <bottom style="thin">
        <color auto="1"/>
      </bottom>
      <diagonal/>
    </border>
    <border>
      <left style="thin">
        <color auto="1"/>
      </left>
      <right/>
      <top style="thin">
        <color theme="0" tint="-0.499984740745262"/>
      </top>
      <bottom style="thin">
        <color theme="0" tint="-0.499984740745262"/>
      </bottom>
      <diagonal/>
    </border>
    <border>
      <left/>
      <right style="thin">
        <color theme="2"/>
      </right>
      <top style="thin">
        <color theme="0" tint="-0.499984740745262"/>
      </top>
      <bottom style="thin">
        <color theme="0" tint="-0.499984740745262"/>
      </bottom>
      <diagonal/>
    </border>
    <border>
      <left style="thin">
        <color auto="1"/>
      </left>
      <right/>
      <top style="thin">
        <color auto="1"/>
      </top>
      <bottom style="thin">
        <color theme="0" tint="-0.499984740745262"/>
      </bottom>
      <diagonal/>
    </border>
    <border>
      <left/>
      <right style="thin">
        <color theme="2"/>
      </right>
      <top style="thin">
        <color auto="1"/>
      </top>
      <bottom style="thin">
        <color theme="0" tint="-0.499984740745262"/>
      </bottom>
      <diagonal/>
    </border>
    <border>
      <left style="thin">
        <color theme="2"/>
      </left>
      <right/>
      <top style="thin">
        <color theme="0" tint="-0.499984740745262"/>
      </top>
      <bottom style="thin">
        <color auto="1"/>
      </bottom>
      <diagonal/>
    </border>
    <border>
      <left/>
      <right style="thin">
        <color auto="1"/>
      </right>
      <top style="thin">
        <color theme="0" tint="-0.499984740745262"/>
      </top>
      <bottom style="thin">
        <color auto="1"/>
      </bottom>
      <diagonal/>
    </border>
    <border>
      <left style="thin">
        <color theme="2"/>
      </left>
      <right/>
      <top style="thin">
        <color theme="0" tint="-0.499984740745262"/>
      </top>
      <bottom style="thin">
        <color theme="0" tint="-0.499984740745262"/>
      </bottom>
      <diagonal/>
    </border>
    <border>
      <left/>
      <right style="thin">
        <color auto="1"/>
      </right>
      <top style="thin">
        <color theme="0" tint="-0.499984740745262"/>
      </top>
      <bottom style="thin">
        <color theme="0" tint="-0.499984740745262"/>
      </bottom>
      <diagonal/>
    </border>
    <border>
      <left style="thin">
        <color theme="2"/>
      </left>
      <right/>
      <top style="thin">
        <color auto="1"/>
      </top>
      <bottom style="thin">
        <color theme="0" tint="-0.499984740745262"/>
      </bottom>
      <diagonal/>
    </border>
    <border>
      <left/>
      <right style="thin">
        <color auto="1"/>
      </right>
      <top style="thin">
        <color auto="1"/>
      </top>
      <bottom style="thin">
        <color theme="0" tint="-0.499984740745262"/>
      </bottom>
      <diagonal/>
    </border>
    <border>
      <left/>
      <right style="thin">
        <color theme="4" tint="0.39997558519241921"/>
      </right>
      <top style="thin">
        <color indexed="64"/>
      </top>
      <bottom/>
      <diagonal/>
    </border>
    <border>
      <left style="thin">
        <color indexed="64"/>
      </left>
      <right/>
      <top style="thin">
        <color theme="4" tint="0.39997558519241921"/>
      </top>
      <bottom/>
      <diagonal/>
    </border>
    <border>
      <left style="thin">
        <color indexed="64"/>
      </left>
      <right/>
      <top style="thin">
        <color theme="4" tint="0.39997558519241921"/>
      </top>
      <bottom style="thin">
        <color theme="4" tint="0.39997558519241921"/>
      </bottom>
      <diagonal/>
    </border>
    <border>
      <left style="medium">
        <color indexed="64"/>
      </left>
      <right style="thin">
        <color theme="4" tint="0.39997558519241921"/>
      </right>
      <top style="thin">
        <color theme="4" tint="0.39997558519241921"/>
      </top>
      <bottom style="thin">
        <color theme="4" tint="0.39997558519241921"/>
      </bottom>
      <diagonal/>
    </border>
    <border>
      <left/>
      <right style="medium">
        <color indexed="64"/>
      </right>
      <top style="thin">
        <color theme="4" tint="0.39997558519241921"/>
      </top>
      <bottom style="thin">
        <color theme="4" tint="0.39997558519241921"/>
      </bottom>
      <diagonal/>
    </border>
    <border>
      <left style="medium">
        <color indexed="64"/>
      </left>
      <right style="thin">
        <color indexed="64"/>
      </right>
      <top style="thin">
        <color theme="4" tint="0.39997558519241921"/>
      </top>
      <bottom/>
      <diagonal/>
    </border>
    <border>
      <left/>
      <right style="dotted">
        <color auto="1"/>
      </right>
      <top style="dotted">
        <color auto="1"/>
      </top>
      <bottom/>
      <diagonal/>
    </border>
    <border>
      <left/>
      <right style="thin">
        <color indexed="64"/>
      </right>
      <top style="medium">
        <color indexed="64"/>
      </top>
      <bottom style="medium">
        <color indexed="64"/>
      </bottom>
      <diagonal/>
    </border>
    <border>
      <left style="medium">
        <color indexed="64"/>
      </left>
      <right style="medium">
        <color rgb="FFC00000"/>
      </right>
      <top style="medium">
        <color rgb="FFC00000"/>
      </top>
      <bottom style="medium">
        <color rgb="FFC00000"/>
      </bottom>
      <diagonal/>
    </border>
    <border>
      <left style="thin">
        <color indexed="64"/>
      </left>
      <right/>
      <top style="medium">
        <color indexed="64"/>
      </top>
      <bottom style="medium">
        <color indexed="64"/>
      </bottom>
      <diagonal/>
    </border>
    <border>
      <left style="thin">
        <color theme="0" tint="-0.14996795556505021"/>
      </left>
      <right/>
      <top style="medium">
        <color theme="2" tint="-0.499984740745262"/>
      </top>
      <bottom style="thin">
        <color theme="0" tint="-0.14996795556505021"/>
      </bottom>
      <diagonal/>
    </border>
    <border>
      <left/>
      <right/>
      <top style="medium">
        <color theme="2" tint="-0.499984740745262"/>
      </top>
      <bottom style="thin">
        <color theme="0" tint="-0.14996795556505021"/>
      </bottom>
      <diagonal/>
    </border>
    <border>
      <left/>
      <right style="medium">
        <color theme="2" tint="-0.499984740745262"/>
      </right>
      <top style="medium">
        <color theme="2" tint="-0.499984740745262"/>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theme="2" tint="-0.499984740745262"/>
      </right>
      <top style="thin">
        <color theme="0" tint="-0.14996795556505021"/>
      </top>
      <bottom style="thin">
        <color theme="0" tint="-0.14996795556505021"/>
      </bottom>
      <diagonal/>
    </border>
    <border>
      <left style="thin">
        <color theme="0" tint="-0.14996795556505021"/>
      </left>
      <right/>
      <top style="thin">
        <color theme="0" tint="-0.14996795556505021"/>
      </top>
      <bottom style="medium">
        <color theme="2" tint="-0.499984740745262"/>
      </bottom>
      <diagonal/>
    </border>
    <border>
      <left/>
      <right/>
      <top style="thin">
        <color theme="0" tint="-0.14996795556505021"/>
      </top>
      <bottom style="medium">
        <color theme="2" tint="-0.499984740745262"/>
      </bottom>
      <diagonal/>
    </border>
    <border>
      <left/>
      <right style="medium">
        <color theme="2" tint="-0.499984740745262"/>
      </right>
      <top style="thin">
        <color theme="0" tint="-0.14996795556505021"/>
      </top>
      <bottom style="medium">
        <color theme="2" tint="-0.499984740745262"/>
      </bottom>
      <diagonal/>
    </border>
    <border>
      <left style="thin">
        <color theme="0" tint="-0.14996795556505021"/>
      </left>
      <right/>
      <top style="thin">
        <color theme="0" tint="-0.14996795556505021"/>
      </top>
      <bottom style="thin">
        <color theme="0" tint="-0.14993743705557422"/>
      </bottom>
      <diagonal/>
    </border>
    <border>
      <left/>
      <right/>
      <top style="thin">
        <color theme="0" tint="-0.14996795556505021"/>
      </top>
      <bottom style="thin">
        <color theme="0" tint="-0.14993743705557422"/>
      </bottom>
      <diagonal/>
    </border>
    <border>
      <left/>
      <right style="medium">
        <color theme="2" tint="-0.499984740745262"/>
      </right>
      <top style="thin">
        <color theme="0" tint="-0.14996795556505021"/>
      </top>
      <bottom style="thin">
        <color theme="0" tint="-0.14993743705557422"/>
      </bottom>
      <diagonal/>
    </border>
    <border>
      <left style="thin">
        <color theme="0"/>
      </left>
      <right/>
      <top style="thin">
        <color indexed="64"/>
      </top>
      <bottom/>
      <diagonal/>
    </border>
    <border>
      <left style="thin">
        <color theme="0"/>
      </left>
      <right/>
      <top/>
      <bottom style="thin">
        <color indexed="64"/>
      </bottom>
      <diagonal/>
    </border>
    <border>
      <left/>
      <right style="thin">
        <color theme="0"/>
      </right>
      <top style="thin">
        <color indexed="64"/>
      </top>
      <bottom/>
      <diagonal/>
    </border>
    <border>
      <left/>
      <right style="thin">
        <color theme="0"/>
      </right>
      <top/>
      <bottom style="thin">
        <color indexed="64"/>
      </bottom>
      <diagonal/>
    </border>
    <border>
      <left/>
      <right style="medium">
        <color theme="2" tint="-0.499984740745262"/>
      </right>
      <top style="thin">
        <color theme="0" tint="-0.14996795556505021"/>
      </top>
      <bottom/>
      <diagonal/>
    </border>
    <border>
      <left/>
      <right style="thin">
        <color indexed="64"/>
      </right>
      <top style="thin">
        <color theme="0" tint="-0.14996795556505021"/>
      </top>
      <bottom/>
      <diagonal/>
    </border>
    <border>
      <left style="thin">
        <color indexed="64"/>
      </left>
      <right style="thin">
        <color indexed="64"/>
      </right>
      <top style="thin">
        <color theme="0" tint="-0.14996795556505021"/>
      </top>
      <bottom/>
      <diagonal/>
    </border>
    <border>
      <left style="thin">
        <color indexed="64"/>
      </left>
      <right style="medium">
        <color theme="2" tint="-0.499984740745262"/>
      </right>
      <top style="thin">
        <color theme="0" tint="-0.14996795556505021"/>
      </top>
      <bottom/>
      <diagonal/>
    </border>
    <border>
      <left style="thin">
        <color indexed="64"/>
      </left>
      <right style="medium">
        <color theme="2" tint="-0.499984740745262"/>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medium">
        <color theme="2" tint="-0.499984740745262"/>
      </right>
      <top/>
      <bottom style="thin">
        <color theme="0" tint="-0.14996795556505021"/>
      </bottom>
      <diagonal/>
    </border>
    <border>
      <left style="medium">
        <color indexed="64"/>
      </left>
      <right style="thin">
        <color theme="4" tint="0.39997558519241921"/>
      </right>
      <top style="medium">
        <color indexed="64"/>
      </top>
      <bottom/>
      <diagonal/>
    </border>
    <border>
      <left style="medium">
        <color indexed="64"/>
      </left>
      <right/>
      <top style="thin">
        <color theme="4" tint="0.39997558519241921"/>
      </top>
      <bottom style="thin">
        <color theme="4" tint="0.39997558519241921"/>
      </bottom>
      <diagonal/>
    </border>
    <border>
      <left/>
      <right style="medium">
        <color indexed="64"/>
      </right>
      <top style="thin">
        <color theme="4" tint="0.39997558519241921"/>
      </top>
      <bottom/>
      <diagonal/>
    </border>
    <border>
      <left/>
      <right style="thin">
        <color theme="6"/>
      </right>
      <top style="thin">
        <color indexed="64"/>
      </top>
      <bottom/>
      <diagonal/>
    </border>
    <border>
      <left/>
      <right style="thin">
        <color theme="6"/>
      </right>
      <top/>
      <bottom/>
      <diagonal/>
    </border>
    <border>
      <left/>
      <right style="thin">
        <color theme="6"/>
      </right>
      <top/>
      <bottom style="thin">
        <color indexed="64"/>
      </bottom>
      <diagonal/>
    </border>
    <border>
      <left style="thin">
        <color rgb="FF7F7F7F"/>
      </left>
      <right/>
      <top style="thin">
        <color rgb="FF7F7F7F"/>
      </top>
      <bottom style="thin">
        <color rgb="FF7F7F7F"/>
      </bottom>
      <diagonal/>
    </border>
    <border>
      <left/>
      <right/>
      <top style="thin">
        <color indexed="64"/>
      </top>
      <bottom style="thin">
        <color theme="0"/>
      </bottom>
      <diagonal/>
    </border>
    <border>
      <left style="thin">
        <color theme="7" tint="-0.24994659260841701"/>
      </left>
      <right/>
      <top style="thin">
        <color theme="7" tint="-0.24994659260841701"/>
      </top>
      <bottom style="thin">
        <color theme="7" tint="-0.24994659260841701"/>
      </bottom>
      <diagonal/>
    </border>
    <border>
      <left/>
      <right/>
      <top style="thin">
        <color theme="7" tint="-0.24994659260841701"/>
      </top>
      <bottom style="thin">
        <color theme="7" tint="-0.24994659260841701"/>
      </bottom>
      <diagonal/>
    </border>
    <border>
      <left/>
      <right style="thin">
        <color theme="7" tint="-0.24994659260841701"/>
      </right>
      <top style="thin">
        <color theme="7" tint="-0.24994659260841701"/>
      </top>
      <bottom style="thin">
        <color theme="7" tint="-0.24994659260841701"/>
      </bottom>
      <diagonal/>
    </border>
    <border>
      <left style="thin">
        <color indexed="64"/>
      </left>
      <right/>
      <top style="thin">
        <color indexed="64"/>
      </top>
      <bottom style="thin">
        <color theme="0"/>
      </bottom>
      <diagonal/>
    </border>
    <border>
      <left/>
      <right style="thin">
        <color indexed="64"/>
      </right>
      <top style="thin">
        <color indexed="64"/>
      </top>
      <bottom style="thin">
        <color theme="0"/>
      </bottom>
      <diagonal/>
    </border>
    <border>
      <left style="thin">
        <color indexed="64"/>
      </left>
      <right/>
      <top style="thin">
        <color theme="0"/>
      </top>
      <bottom style="thin">
        <color theme="0"/>
      </bottom>
      <diagonal/>
    </border>
    <border>
      <left style="thin">
        <color indexed="64"/>
      </left>
      <right/>
      <top style="thin">
        <color theme="0"/>
      </top>
      <bottom/>
      <diagonal/>
    </border>
    <border>
      <left style="thin">
        <color indexed="64"/>
      </left>
      <right/>
      <top/>
      <bottom style="thin">
        <color theme="0"/>
      </bottom>
      <diagonal/>
    </border>
    <border>
      <left style="medium">
        <color indexed="64"/>
      </left>
      <right/>
      <top style="thin">
        <color indexed="64"/>
      </top>
      <bottom style="medium">
        <color indexed="64"/>
      </bottom>
      <diagonal/>
    </border>
    <border>
      <left/>
      <right/>
      <top style="thin">
        <color theme="7" tint="-0.2499465926084170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diagonal/>
    </border>
    <border>
      <left style="thin">
        <color auto="1"/>
      </left>
      <right style="hair">
        <color auto="1"/>
      </right>
      <top style="thin">
        <color auto="1"/>
      </top>
      <bottom/>
      <diagonal/>
    </border>
    <border>
      <left/>
      <right style="hair">
        <color auto="1"/>
      </right>
      <top style="thin">
        <color auto="1"/>
      </top>
      <bottom/>
      <diagonal/>
    </border>
    <border>
      <left style="hair">
        <color auto="1"/>
      </left>
      <right style="hair">
        <color auto="1"/>
      </right>
      <top style="thin">
        <color auto="1"/>
      </top>
      <bottom/>
      <diagonal/>
    </border>
    <border>
      <left style="medium">
        <color indexed="64"/>
      </left>
      <right/>
      <top style="medium">
        <color indexed="64"/>
      </top>
      <bottom style="hair">
        <color theme="0" tint="-0.24994659260841701"/>
      </bottom>
      <diagonal/>
    </border>
    <border>
      <left/>
      <right/>
      <top style="medium">
        <color indexed="64"/>
      </top>
      <bottom style="hair">
        <color theme="0" tint="-0.24994659260841701"/>
      </bottom>
      <diagonal/>
    </border>
    <border>
      <left/>
      <right style="medium">
        <color indexed="64"/>
      </right>
      <top style="medium">
        <color indexed="64"/>
      </top>
      <bottom style="hair">
        <color theme="0" tint="-0.24994659260841701"/>
      </bottom>
      <diagonal/>
    </border>
    <border>
      <left style="medium">
        <color indexed="64"/>
      </left>
      <right style="medium">
        <color indexed="64"/>
      </right>
      <top style="medium">
        <color indexed="64"/>
      </top>
      <bottom style="hair">
        <color theme="0" tint="-0.24994659260841701"/>
      </bottom>
      <diagonal/>
    </border>
    <border>
      <left style="medium">
        <color indexed="64"/>
      </left>
      <right/>
      <top/>
      <bottom style="hair">
        <color theme="0" tint="-0.24994659260841701"/>
      </bottom>
      <diagonal/>
    </border>
    <border>
      <left/>
      <right/>
      <top/>
      <bottom style="hair">
        <color theme="0" tint="-0.24994659260841701"/>
      </bottom>
      <diagonal/>
    </border>
    <border>
      <left/>
      <right style="medium">
        <color indexed="64"/>
      </right>
      <top/>
      <bottom style="hair">
        <color theme="0" tint="-0.24994659260841701"/>
      </bottom>
      <diagonal/>
    </border>
    <border>
      <left style="medium">
        <color indexed="64"/>
      </left>
      <right style="medium">
        <color indexed="64"/>
      </right>
      <top/>
      <bottom style="hair">
        <color theme="0" tint="-0.24994659260841701"/>
      </bottom>
      <diagonal/>
    </border>
    <border>
      <left style="medium">
        <color indexed="64"/>
      </left>
      <right/>
      <top style="hair">
        <color theme="0" tint="-0.24994659260841701"/>
      </top>
      <bottom style="hair">
        <color theme="0" tint="-0.24994659260841701"/>
      </bottom>
      <diagonal/>
    </border>
    <border>
      <left/>
      <right/>
      <top style="hair">
        <color theme="0" tint="-0.24994659260841701"/>
      </top>
      <bottom style="hair">
        <color theme="0" tint="-0.24994659260841701"/>
      </bottom>
      <diagonal/>
    </border>
    <border>
      <left/>
      <right style="medium">
        <color indexed="64"/>
      </right>
      <top style="hair">
        <color theme="0" tint="-0.24994659260841701"/>
      </top>
      <bottom style="hair">
        <color theme="0" tint="-0.24994659260841701"/>
      </bottom>
      <diagonal/>
    </border>
    <border>
      <left style="medium">
        <color indexed="64"/>
      </left>
      <right style="medium">
        <color indexed="64"/>
      </right>
      <top style="hair">
        <color theme="0" tint="-0.24994659260841701"/>
      </top>
      <bottom style="hair">
        <color theme="0" tint="-0.24994659260841701"/>
      </bottom>
      <diagonal/>
    </border>
    <border>
      <left style="medium">
        <color indexed="64"/>
      </left>
      <right/>
      <top style="hair">
        <color theme="0" tint="-0.24994659260841701"/>
      </top>
      <bottom style="medium">
        <color indexed="64"/>
      </bottom>
      <diagonal/>
    </border>
    <border>
      <left/>
      <right/>
      <top style="hair">
        <color theme="0" tint="-0.24994659260841701"/>
      </top>
      <bottom style="medium">
        <color indexed="64"/>
      </bottom>
      <diagonal/>
    </border>
    <border>
      <left/>
      <right style="medium">
        <color indexed="64"/>
      </right>
      <top style="hair">
        <color theme="0" tint="-0.24994659260841701"/>
      </top>
      <bottom style="medium">
        <color indexed="64"/>
      </bottom>
      <diagonal/>
    </border>
    <border>
      <left style="medium">
        <color indexed="64"/>
      </left>
      <right style="medium">
        <color indexed="64"/>
      </right>
      <top style="hair">
        <color theme="0" tint="-0.24994659260841701"/>
      </top>
      <bottom style="medium">
        <color indexed="64"/>
      </bottom>
      <diagonal/>
    </border>
    <border>
      <left/>
      <right style="thin">
        <color theme="4" tint="0.39997558519241921"/>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theme="7" tint="-0.24994659260841701"/>
      </right>
      <top style="thin">
        <color theme="7" tint="-0.24994659260841701"/>
      </top>
      <bottom/>
      <diagonal/>
    </border>
    <border>
      <left/>
      <right style="medium">
        <color indexed="64"/>
      </right>
      <top style="medium">
        <color indexed="64"/>
      </top>
      <bottom style="thin">
        <color indexed="64"/>
      </bottom>
      <diagonal/>
    </border>
    <border>
      <left style="thin">
        <color auto="1"/>
      </left>
      <right style="medium">
        <color indexed="64"/>
      </right>
      <top style="thin">
        <color auto="1"/>
      </top>
      <bottom/>
      <diagonal/>
    </border>
    <border>
      <left style="thin">
        <color theme="7" tint="-0.24994659260841701"/>
      </left>
      <right/>
      <top style="thin">
        <color theme="7" tint="-0.24994659260841701"/>
      </top>
      <bottom/>
      <diagonal/>
    </border>
    <border>
      <left style="thin">
        <color indexed="64"/>
      </left>
      <right style="medium">
        <color indexed="64"/>
      </right>
      <top style="medium">
        <color indexed="64"/>
      </top>
      <bottom style="medium">
        <color indexed="64"/>
      </bottom>
      <diagonal/>
    </border>
    <border>
      <left style="slantDashDot">
        <color indexed="64"/>
      </left>
      <right/>
      <top style="slantDashDot">
        <color indexed="64"/>
      </top>
      <bottom style="slantDashDot">
        <color indexed="64"/>
      </bottom>
      <diagonal/>
    </border>
    <border>
      <left/>
      <right style="slantDashDot">
        <color indexed="64"/>
      </right>
      <top style="slantDashDot">
        <color indexed="64"/>
      </top>
      <bottom style="slantDashDot">
        <color indexed="64"/>
      </bottom>
      <diagonal/>
    </border>
    <border>
      <left/>
      <right style="thin">
        <color indexed="64"/>
      </right>
      <top/>
      <bottom style="medium">
        <color rgb="FFC00000"/>
      </bottom>
      <diagonal/>
    </border>
    <border>
      <left style="medium">
        <color indexed="64"/>
      </left>
      <right/>
      <top/>
      <bottom style="medium">
        <color rgb="FFC00000"/>
      </bottom>
      <diagonal/>
    </border>
    <border>
      <left/>
      <right/>
      <top/>
      <bottom style="medium">
        <color rgb="FFC00000"/>
      </bottom>
      <diagonal/>
    </border>
    <border>
      <left style="thin">
        <color indexed="64"/>
      </left>
      <right/>
      <top/>
      <bottom style="medium">
        <color rgb="FFC00000"/>
      </bottom>
      <diagonal/>
    </border>
    <border>
      <left style="medium">
        <color indexed="64"/>
      </left>
      <right/>
      <top style="medium">
        <color rgb="FFC00000"/>
      </top>
      <bottom style="medium">
        <color indexed="64"/>
      </bottom>
      <diagonal/>
    </border>
    <border>
      <left style="thin">
        <color auto="1"/>
      </left>
      <right style="medium">
        <color indexed="64"/>
      </right>
      <top style="thin">
        <color auto="1"/>
      </top>
      <bottom style="medium">
        <color indexed="64"/>
      </bottom>
      <diagonal/>
    </border>
    <border>
      <left/>
      <right/>
      <top/>
      <bottom style="slantDashDot">
        <color rgb="FF777777"/>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
      <left/>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bottom style="slantDashDot">
        <color rgb="FF777777"/>
      </bottom>
      <diagonal/>
    </border>
    <border>
      <left style="thin">
        <color theme="0" tint="-0.499984740745262"/>
      </left>
      <right/>
      <top style="medium">
        <color theme="0" tint="-0.499984740745262"/>
      </top>
      <bottom style="medium">
        <color theme="0" tint="-0.499984740745262"/>
      </bottom>
      <diagonal/>
    </border>
    <border>
      <left/>
      <right/>
      <top style="medium">
        <color theme="0" tint="-0.499984740745262"/>
      </top>
      <bottom style="slantDashDot">
        <color rgb="FF777777"/>
      </bottom>
      <diagonal/>
    </border>
    <border>
      <left/>
      <right/>
      <top style="slantDashDot">
        <color rgb="FF777777"/>
      </top>
      <bottom style="slantDashDot">
        <color rgb="FF777777"/>
      </bottom>
      <diagonal/>
    </border>
    <border>
      <left style="medium">
        <color indexed="64"/>
      </left>
      <right style="medium">
        <color indexed="64"/>
      </right>
      <top style="thin">
        <color indexed="64"/>
      </top>
      <bottom style="double">
        <color indexed="64"/>
      </bottom>
      <diagonal/>
    </border>
    <border>
      <left style="thin">
        <color theme="0" tint="-0.499984740745262"/>
      </left>
      <right/>
      <top style="medium">
        <color theme="0" tint="-0.499984740745262"/>
      </top>
      <bottom style="slantDashDot">
        <color rgb="FF777777"/>
      </bottom>
      <diagonal/>
    </border>
    <border>
      <left style="thin">
        <color theme="0" tint="-0.499984740745262"/>
      </left>
      <right/>
      <top style="slantDashDot">
        <color rgb="FF777777"/>
      </top>
      <bottom style="slantDashDot">
        <color rgb="FF777777"/>
      </bottom>
      <diagonal/>
    </border>
    <border>
      <left style="medium">
        <color indexed="64"/>
      </left>
      <right style="medium">
        <color indexed="64"/>
      </right>
      <top/>
      <bottom style="thin">
        <color theme="4" tint="0.39997558519241921"/>
      </bottom>
      <diagonal/>
    </border>
    <border>
      <left style="thin">
        <color rgb="FF002D55"/>
      </left>
      <right/>
      <top style="thin">
        <color rgb="FF002D55"/>
      </top>
      <bottom style="thin">
        <color rgb="FF002D55"/>
      </bottom>
      <diagonal/>
    </border>
    <border>
      <left/>
      <right/>
      <top style="thin">
        <color rgb="FF002D55"/>
      </top>
      <bottom style="thin">
        <color rgb="FF002D55"/>
      </bottom>
      <diagonal/>
    </border>
    <border>
      <left/>
      <right style="thin">
        <color rgb="FF002D55"/>
      </right>
      <top style="thin">
        <color rgb="FF002D55"/>
      </top>
      <bottom style="thin">
        <color rgb="FF002D55"/>
      </bottom>
      <diagonal/>
    </border>
    <border>
      <left/>
      <right/>
      <top style="slantDashDot">
        <color rgb="FF777777"/>
      </top>
      <bottom/>
      <diagonal/>
    </border>
    <border>
      <left style="thin">
        <color theme="0" tint="-0.499984740745262"/>
      </left>
      <right style="thin">
        <color theme="0" tint="-0.499984740745262"/>
      </right>
      <top/>
      <bottom/>
      <diagonal/>
    </border>
    <border>
      <left style="thin">
        <color theme="0" tint="-0.499984740745262"/>
      </left>
      <right/>
      <top style="slantDashDot">
        <color rgb="FF777777"/>
      </top>
      <bottom/>
      <diagonal/>
    </border>
    <border>
      <left style="thin">
        <color theme="0" tint="-0.499984740745262"/>
      </left>
      <right/>
      <top/>
      <bottom style="slantDashDot">
        <color rgb="FF777777"/>
      </bottom>
      <diagonal/>
    </border>
    <border>
      <left style="medium">
        <color indexed="64"/>
      </left>
      <right/>
      <top style="medium">
        <color indexed="64"/>
      </top>
      <bottom style="medium">
        <color rgb="FFC00000"/>
      </bottom>
      <diagonal/>
    </border>
    <border>
      <left style="medium">
        <color indexed="64"/>
      </left>
      <right style="medium">
        <color indexed="64"/>
      </right>
      <top style="medium">
        <color indexed="64"/>
      </top>
      <bottom style="medium">
        <color rgb="FFC00000"/>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rgb="FFC00000"/>
      </bottom>
      <diagonal/>
    </border>
    <border>
      <left style="thin">
        <color indexed="64"/>
      </left>
      <right/>
      <top style="medium">
        <color indexed="64"/>
      </top>
      <bottom style="medium">
        <color rgb="FFC00000"/>
      </bottom>
      <diagonal/>
    </border>
  </borders>
  <cellStyleXfs count="22">
    <xf numFmtId="0" fontId="0" fillId="0" borderId="0"/>
    <xf numFmtId="169"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xf numFmtId="0" fontId="1" fillId="14" borderId="25" applyNumberFormat="0" applyFont="0" applyAlignment="0" applyProtection="0"/>
    <xf numFmtId="0" fontId="10" fillId="16" borderId="0" applyNumberFormat="0" applyBorder="0" applyAlignment="0" applyProtection="0"/>
    <xf numFmtId="0" fontId="11" fillId="17" borderId="1" applyNumberFormat="0" applyAlignment="0" applyProtection="0"/>
    <xf numFmtId="0" fontId="18" fillId="0" borderId="0" applyNumberFormat="0" applyFill="0" applyBorder="0" applyAlignment="0" applyProtection="0"/>
    <xf numFmtId="0" fontId="21" fillId="0" borderId="0"/>
    <xf numFmtId="0" fontId="22" fillId="0" borderId="0"/>
    <xf numFmtId="0" fontId="23" fillId="0" borderId="0"/>
    <xf numFmtId="0" fontId="24" fillId="0" borderId="0"/>
    <xf numFmtId="0" fontId="3" fillId="65" borderId="154" applyNumberFormat="0" applyAlignment="0" applyProtection="0"/>
    <xf numFmtId="0" fontId="157" fillId="0" borderId="0"/>
    <xf numFmtId="168" fontId="1" fillId="0" borderId="0" applyFont="0" applyFill="0" applyBorder="0" applyAlignment="0" applyProtection="0"/>
    <xf numFmtId="9" fontId="1" fillId="0" borderId="0" applyFont="0" applyFill="0" applyBorder="0" applyAlignment="0" applyProtection="0"/>
    <xf numFmtId="168" fontId="1" fillId="0" borderId="0" applyFont="0" applyFill="0" applyBorder="0" applyAlignment="0" applyProtection="0"/>
    <xf numFmtId="169" fontId="1" fillId="0" borderId="0" applyFont="0" applyFill="0" applyBorder="0" applyAlignment="0" applyProtection="0"/>
    <xf numFmtId="0" fontId="22" fillId="0" borderId="0"/>
    <xf numFmtId="0" fontId="22" fillId="0" borderId="0"/>
    <xf numFmtId="168" fontId="1" fillId="0" borderId="0" applyFont="0" applyFill="0" applyBorder="0" applyAlignment="0" applyProtection="0"/>
    <xf numFmtId="168" fontId="1" fillId="0" borderId="0" applyFont="0" applyFill="0" applyBorder="0" applyAlignment="0" applyProtection="0"/>
  </cellStyleXfs>
  <cellXfs count="3882">
    <xf numFmtId="0" fontId="0" fillId="0" borderId="0" xfId="0"/>
    <xf numFmtId="0" fontId="0" fillId="3" borderId="0" xfId="0" applyFill="1"/>
    <xf numFmtId="0" fontId="0" fillId="7" borderId="2" xfId="0" applyFill="1" applyBorder="1" applyAlignment="1">
      <alignment horizontal="center" vertical="center"/>
    </xf>
    <xf numFmtId="0" fontId="4" fillId="7" borderId="2" xfId="0" applyFont="1" applyFill="1" applyBorder="1" applyAlignment="1">
      <alignment horizontal="center" vertical="center"/>
    </xf>
    <xf numFmtId="171" fontId="10" fillId="16" borderId="0" xfId="5" applyNumberFormat="1" applyAlignment="1">
      <alignment horizontal="center" vertical="center"/>
    </xf>
    <xf numFmtId="49" fontId="0" fillId="7" borderId="2" xfId="0" applyNumberFormat="1" applyFill="1" applyBorder="1"/>
    <xf numFmtId="0" fontId="12" fillId="19" borderId="0" xfId="0" applyFont="1" applyFill="1" applyAlignment="1">
      <alignment horizontal="center" vertical="center"/>
    </xf>
    <xf numFmtId="0" fontId="4" fillId="19" borderId="0" xfId="0" applyFont="1" applyFill="1" applyAlignment="1">
      <alignment horizontal="center" vertical="center"/>
    </xf>
    <xf numFmtId="49" fontId="12" fillId="19" borderId="0" xfId="5" applyNumberFormat="1" applyFont="1" applyFill="1" applyAlignment="1">
      <alignment horizontal="center" vertical="center"/>
    </xf>
    <xf numFmtId="171" fontId="16" fillId="17" borderId="1" xfId="6" applyNumberFormat="1" applyFont="1" applyAlignment="1">
      <alignment horizontal="center" vertical="center"/>
    </xf>
    <xf numFmtId="170" fontId="16" fillId="17" borderId="32" xfId="2" applyNumberFormat="1" applyFont="1" applyFill="1" applyBorder="1" applyAlignment="1">
      <alignment horizontal="center" vertical="center"/>
    </xf>
    <xf numFmtId="170" fontId="12" fillId="0" borderId="0" xfId="2" applyNumberFormat="1" applyFont="1" applyFill="1" applyBorder="1" applyAlignment="1">
      <alignment horizontal="center" vertical="center"/>
    </xf>
    <xf numFmtId="170" fontId="12" fillId="0" borderId="6" xfId="2" applyNumberFormat="1" applyFont="1" applyFill="1" applyBorder="1" applyAlignment="1">
      <alignment horizontal="center" vertical="center"/>
    </xf>
    <xf numFmtId="0" fontId="8" fillId="0" borderId="0" xfId="0" applyFont="1" applyAlignment="1">
      <alignment horizontal="right"/>
    </xf>
    <xf numFmtId="0" fontId="5" fillId="0" borderId="0" xfId="0" applyFont="1" applyAlignment="1">
      <alignment horizontal="left"/>
    </xf>
    <xf numFmtId="0" fontId="0" fillId="0" borderId="2" xfId="0" applyBorder="1"/>
    <xf numFmtId="0" fontId="5" fillId="0" borderId="2" xfId="0" applyFont="1" applyBorder="1"/>
    <xf numFmtId="175" fontId="0" fillId="0" borderId="0" xfId="0" applyNumberFormat="1"/>
    <xf numFmtId="0" fontId="9" fillId="0" borderId="0" xfId="0" applyFont="1" applyAlignment="1">
      <alignment horizontal="right"/>
    </xf>
    <xf numFmtId="0" fontId="9" fillId="0" borderId="6" xfId="0" applyFont="1" applyBorder="1" applyAlignment="1">
      <alignment horizontal="right"/>
    </xf>
    <xf numFmtId="170" fontId="0" fillId="0" borderId="6" xfId="2" applyNumberFormat="1" applyFont="1" applyFill="1" applyBorder="1" applyAlignment="1">
      <alignment horizontal="center" vertical="center"/>
    </xf>
    <xf numFmtId="9" fontId="0" fillId="0" borderId="0" xfId="2" applyFont="1" applyFill="1" applyBorder="1" applyAlignment="1">
      <alignment horizontal="center" vertical="center"/>
    </xf>
    <xf numFmtId="170" fontId="0" fillId="0" borderId="0" xfId="2" applyNumberFormat="1" applyFont="1" applyFill="1" applyAlignment="1">
      <alignment horizontal="center" vertical="center"/>
    </xf>
    <xf numFmtId="170" fontId="4" fillId="0" borderId="0" xfId="2" applyNumberFormat="1" applyFont="1" applyFill="1" applyAlignment="1">
      <alignment horizontal="center" vertical="center"/>
    </xf>
    <xf numFmtId="170" fontId="5" fillId="0" borderId="0" xfId="2" applyNumberFormat="1" applyFont="1" applyFill="1" applyAlignment="1">
      <alignment horizontal="center" vertical="center"/>
    </xf>
    <xf numFmtId="170" fontId="12" fillId="0" borderId="0" xfId="2" applyNumberFormat="1" applyFont="1" applyFill="1" applyAlignment="1">
      <alignment horizontal="center" vertical="center"/>
    </xf>
    <xf numFmtId="171" fontId="5" fillId="0" borderId="0" xfId="2" applyNumberFormat="1" applyFont="1" applyFill="1" applyAlignment="1">
      <alignment horizontal="center" vertical="center"/>
    </xf>
    <xf numFmtId="10" fontId="0" fillId="0" borderId="0" xfId="0" applyNumberFormat="1"/>
    <xf numFmtId="0" fontId="7" fillId="0" borderId="0" xfId="0" applyFont="1"/>
    <xf numFmtId="9" fontId="20" fillId="0" borderId="0" xfId="0" applyNumberFormat="1" applyFont="1"/>
    <xf numFmtId="0" fontId="12" fillId="19" borderId="0" xfId="5" applyNumberFormat="1" applyFont="1" applyFill="1" applyAlignment="1">
      <alignment horizontal="center" vertical="center"/>
    </xf>
    <xf numFmtId="0" fontId="6" fillId="0" borderId="0" xfId="0" applyFont="1" applyAlignment="1">
      <alignment horizontal="left"/>
    </xf>
    <xf numFmtId="0" fontId="3" fillId="69" borderId="35" xfId="0" applyFont="1" applyFill="1" applyBorder="1"/>
    <xf numFmtId="0" fontId="3" fillId="7" borderId="29" xfId="0" applyFont="1" applyFill="1" applyBorder="1" applyAlignment="1">
      <alignment horizontal="center" vertical="center"/>
    </xf>
    <xf numFmtId="0" fontId="3" fillId="7" borderId="135" xfId="0" applyFont="1" applyFill="1" applyBorder="1" applyAlignment="1">
      <alignment horizontal="center" vertical="center"/>
    </xf>
    <xf numFmtId="49" fontId="0" fillId="7" borderId="29" xfId="0" applyNumberFormat="1" applyFill="1" applyBorder="1"/>
    <xf numFmtId="171" fontId="10" fillId="16" borderId="29" xfId="5" applyNumberFormat="1" applyBorder="1" applyAlignment="1">
      <alignment horizontal="center" vertical="center"/>
    </xf>
    <xf numFmtId="171" fontId="5" fillId="70" borderId="30" xfId="2" applyNumberFormat="1" applyFont="1" applyFill="1" applyBorder="1" applyAlignment="1">
      <alignment horizontal="center" vertical="center"/>
    </xf>
    <xf numFmtId="171" fontId="5" fillId="70" borderId="187" xfId="2" applyNumberFormat="1" applyFont="1" applyFill="1" applyBorder="1" applyAlignment="1">
      <alignment horizontal="center" vertical="center"/>
    </xf>
    <xf numFmtId="171" fontId="10" fillId="16" borderId="188" xfId="5" applyNumberFormat="1" applyBorder="1" applyAlignment="1">
      <alignment horizontal="center" vertical="center"/>
    </xf>
    <xf numFmtId="171" fontId="5" fillId="0" borderId="36" xfId="2" applyNumberFormat="1" applyFont="1" applyBorder="1" applyAlignment="1">
      <alignment horizontal="center" vertical="center"/>
    </xf>
    <xf numFmtId="171" fontId="5" fillId="0" borderId="37" xfId="2" applyNumberFormat="1" applyFont="1" applyBorder="1" applyAlignment="1">
      <alignment horizontal="center" vertical="center"/>
    </xf>
    <xf numFmtId="171" fontId="5" fillId="70" borderId="36" xfId="2" applyNumberFormat="1" applyFont="1" applyFill="1" applyBorder="1" applyAlignment="1">
      <alignment horizontal="center" vertical="center"/>
    </xf>
    <xf numFmtId="171" fontId="5" fillId="70" borderId="37" xfId="2" applyNumberFormat="1" applyFont="1" applyFill="1" applyBorder="1" applyAlignment="1">
      <alignment horizontal="center" vertical="center"/>
    </xf>
    <xf numFmtId="49" fontId="0" fillId="7" borderId="8" xfId="0" applyNumberFormat="1" applyFill="1" applyBorder="1"/>
    <xf numFmtId="171" fontId="10" fillId="16" borderId="189" xfId="5" applyNumberFormat="1" applyBorder="1" applyAlignment="1">
      <alignment horizontal="center" vertical="center"/>
    </xf>
    <xf numFmtId="171" fontId="5" fillId="0" borderId="33" xfId="2" applyNumberFormat="1" applyFont="1" applyBorder="1" applyAlignment="1">
      <alignment horizontal="center" vertical="center"/>
    </xf>
    <xf numFmtId="171" fontId="5" fillId="0" borderId="34" xfId="2" applyNumberFormat="1" applyFont="1" applyBorder="1" applyAlignment="1">
      <alignment horizontal="center" vertical="center"/>
    </xf>
    <xf numFmtId="0" fontId="3" fillId="3" borderId="35" xfId="0" applyFont="1" applyFill="1" applyBorder="1"/>
    <xf numFmtId="0" fontId="19" fillId="19" borderId="36" xfId="0" applyFont="1" applyFill="1" applyBorder="1" applyAlignment="1">
      <alignment horizontal="center" vertical="center"/>
    </xf>
    <xf numFmtId="49" fontId="12" fillId="19" borderId="36" xfId="5" applyNumberFormat="1" applyFont="1" applyFill="1" applyBorder="1" applyAlignment="1">
      <alignment horizontal="center" vertical="center"/>
    </xf>
    <xf numFmtId="0" fontId="3" fillId="19" borderId="36" xfId="0" applyFont="1" applyFill="1" applyBorder="1" applyAlignment="1">
      <alignment horizontal="center" vertical="center"/>
    </xf>
    <xf numFmtId="0" fontId="3" fillId="19" borderId="37" xfId="0" applyFont="1" applyFill="1" applyBorder="1" applyAlignment="1">
      <alignment horizontal="center" vertical="center"/>
    </xf>
    <xf numFmtId="0" fontId="0" fillId="70" borderId="29" xfId="0" applyFill="1" applyBorder="1"/>
    <xf numFmtId="170" fontId="0" fillId="70" borderId="188" xfId="2" applyNumberFormat="1" applyFont="1" applyFill="1" applyBorder="1" applyAlignment="1">
      <alignment horizontal="center" vertical="center"/>
    </xf>
    <xf numFmtId="170" fontId="0" fillId="70" borderId="36" xfId="2" applyNumberFormat="1" applyFont="1" applyFill="1" applyBorder="1" applyAlignment="1">
      <alignment horizontal="center" vertical="center"/>
    </xf>
    <xf numFmtId="170" fontId="4" fillId="70" borderId="37" xfId="2" applyNumberFormat="1" applyFont="1" applyFill="1" applyBorder="1" applyAlignment="1">
      <alignment horizontal="center" vertical="center"/>
    </xf>
    <xf numFmtId="0" fontId="0" fillId="0" borderId="29" xfId="0" applyBorder="1"/>
    <xf numFmtId="170" fontId="0" fillId="0" borderId="188" xfId="2" applyNumberFormat="1" applyFont="1" applyBorder="1" applyAlignment="1">
      <alignment horizontal="center" vertical="center"/>
    </xf>
    <xf numFmtId="170" fontId="0" fillId="0" borderId="36" xfId="2" applyNumberFormat="1" applyFont="1" applyBorder="1" applyAlignment="1">
      <alignment horizontal="center" vertical="center"/>
    </xf>
    <xf numFmtId="170" fontId="4" fillId="0" borderId="37" xfId="2" applyNumberFormat="1" applyFont="1" applyBorder="1" applyAlignment="1">
      <alignment horizontal="center" vertical="center"/>
    </xf>
    <xf numFmtId="0" fontId="0" fillId="0" borderId="8" xfId="0" applyBorder="1"/>
    <xf numFmtId="170" fontId="0" fillId="0" borderId="189" xfId="2" applyNumberFormat="1" applyFont="1" applyBorder="1" applyAlignment="1">
      <alignment horizontal="center" vertical="center"/>
    </xf>
    <xf numFmtId="170" fontId="0" fillId="0" borderId="33" xfId="2" applyNumberFormat="1" applyFont="1" applyBorder="1" applyAlignment="1">
      <alignment horizontal="center" vertical="center"/>
    </xf>
    <xf numFmtId="170" fontId="4" fillId="0" borderId="34" xfId="2" applyNumberFormat="1" applyFont="1" applyBorder="1" applyAlignment="1">
      <alignment horizontal="center" vertical="center"/>
    </xf>
    <xf numFmtId="170" fontId="0" fillId="9" borderId="0" xfId="2" applyNumberFormat="1" applyFont="1" applyFill="1"/>
    <xf numFmtId="0" fontId="25" fillId="0" borderId="0" xfId="0" applyFont="1" applyAlignment="1">
      <alignment horizontal="center"/>
    </xf>
    <xf numFmtId="0" fontId="25" fillId="0" borderId="0" xfId="0" applyFont="1"/>
    <xf numFmtId="0" fontId="25" fillId="0" borderId="0" xfId="0" applyFont="1" applyAlignment="1">
      <alignment wrapText="1"/>
    </xf>
    <xf numFmtId="0" fontId="25" fillId="0" borderId="0" xfId="0" applyFont="1" applyAlignment="1">
      <alignment horizontal="center" vertical="center" wrapText="1"/>
    </xf>
    <xf numFmtId="0" fontId="29" fillId="0" borderId="0" xfId="8" applyFont="1"/>
    <xf numFmtId="0" fontId="30" fillId="0" borderId="0" xfId="8" applyFont="1" applyAlignment="1">
      <alignment horizontal="left"/>
    </xf>
    <xf numFmtId="0" fontId="30" fillId="0" borderId="0" xfId="8" applyFont="1" applyAlignment="1">
      <alignment horizontal="center"/>
    </xf>
    <xf numFmtId="0" fontId="31" fillId="0" borderId="0" xfId="8" applyFont="1" applyAlignment="1">
      <alignment horizontal="center"/>
    </xf>
    <xf numFmtId="0" fontId="32" fillId="0" borderId="0" xfId="8" applyFont="1" applyAlignment="1">
      <alignment horizontal="center"/>
    </xf>
    <xf numFmtId="0" fontId="30" fillId="0" borderId="0" xfId="8" applyFont="1"/>
    <xf numFmtId="0" fontId="31" fillId="0" borderId="0" xfId="8" applyFont="1"/>
    <xf numFmtId="0" fontId="33" fillId="0" borderId="6" xfId="8" applyFont="1" applyBorder="1"/>
    <xf numFmtId="0" fontId="30" fillId="0" borderId="6" xfId="8" applyFont="1" applyBorder="1" applyAlignment="1">
      <alignment horizontal="left"/>
    </xf>
    <xf numFmtId="0" fontId="30" fillId="0" borderId="6" xfId="8" applyFont="1" applyBorder="1" applyAlignment="1">
      <alignment horizontal="center"/>
    </xf>
    <xf numFmtId="0" fontId="31" fillId="0" borderId="6" xfId="8" applyFont="1" applyBorder="1" applyAlignment="1">
      <alignment horizontal="center"/>
    </xf>
    <xf numFmtId="0" fontId="32" fillId="0" borderId="6" xfId="8" applyFont="1" applyBorder="1" applyAlignment="1">
      <alignment horizontal="center"/>
    </xf>
    <xf numFmtId="0" fontId="30" fillId="0" borderId="6" xfId="8" applyFont="1" applyBorder="1"/>
    <xf numFmtId="0" fontId="34" fillId="0" borderId="0" xfId="8" applyFont="1"/>
    <xf numFmtId="0" fontId="34" fillId="0" borderId="0" xfId="8" applyFont="1" applyAlignment="1">
      <alignment horizontal="left"/>
    </xf>
    <xf numFmtId="0" fontId="34" fillId="0" borderId="0" xfId="8" applyFont="1" applyAlignment="1">
      <alignment horizontal="center"/>
    </xf>
    <xf numFmtId="0" fontId="29" fillId="0" borderId="0" xfId="8" applyFont="1" applyAlignment="1">
      <alignment horizontal="center"/>
    </xf>
    <xf numFmtId="0" fontId="35" fillId="0" borderId="0" xfId="8" applyFont="1"/>
    <xf numFmtId="0" fontId="35" fillId="0" borderId="0" xfId="8" applyFont="1" applyAlignment="1">
      <alignment horizontal="center"/>
    </xf>
    <xf numFmtId="180" fontId="35" fillId="0" borderId="0" xfId="8" applyNumberFormat="1" applyFont="1" applyAlignment="1">
      <alignment horizontal="center"/>
    </xf>
    <xf numFmtId="0" fontId="35" fillId="0" borderId="0" xfId="8" applyFont="1" applyAlignment="1">
      <alignment horizontal="left"/>
    </xf>
    <xf numFmtId="0" fontId="38" fillId="0" borderId="0" xfId="8" applyFont="1" applyAlignment="1">
      <alignment horizontal="center"/>
    </xf>
    <xf numFmtId="0" fontId="37" fillId="0" borderId="0" xfId="8" applyFont="1" applyAlignment="1">
      <alignment horizontal="center"/>
    </xf>
    <xf numFmtId="0" fontId="25" fillId="0" borderId="0" xfId="8" applyFont="1"/>
    <xf numFmtId="0" fontId="25" fillId="0" borderId="0" xfId="8" applyFont="1" applyAlignment="1">
      <alignment horizontal="left"/>
    </xf>
    <xf numFmtId="0" fontId="25" fillId="0" borderId="0" xfId="8" applyFont="1" applyAlignment="1">
      <alignment horizontal="center"/>
    </xf>
    <xf numFmtId="0" fontId="32" fillId="0" borderId="0" xfId="8" applyFont="1"/>
    <xf numFmtId="0" fontId="25" fillId="0" borderId="92" xfId="8" applyFont="1" applyBorder="1"/>
    <xf numFmtId="0" fontId="42" fillId="0" borderId="0" xfId="8" applyFont="1"/>
    <xf numFmtId="0" fontId="42" fillId="0" borderId="0" xfId="8" applyFont="1" applyAlignment="1">
      <alignment vertical="center" wrapText="1"/>
    </xf>
    <xf numFmtId="0" fontId="43" fillId="0" borderId="0" xfId="8" applyFont="1"/>
    <xf numFmtId="180" fontId="30" fillId="0" borderId="0" xfId="8" applyNumberFormat="1" applyFont="1" applyAlignment="1">
      <alignment horizontal="center"/>
    </xf>
    <xf numFmtId="0" fontId="25" fillId="41" borderId="0" xfId="0" applyFont="1" applyFill="1"/>
    <xf numFmtId="0" fontId="44" fillId="57" borderId="0" xfId="0" applyFont="1" applyFill="1"/>
    <xf numFmtId="0" fontId="44" fillId="57" borderId="0" xfId="0" quotePrefix="1" applyFont="1" applyFill="1"/>
    <xf numFmtId="0" fontId="25" fillId="20" borderId="0" xfId="0" applyFont="1" applyFill="1" applyAlignment="1">
      <alignment wrapText="1"/>
    </xf>
    <xf numFmtId="0" fontId="25" fillId="58" borderId="0" xfId="0" applyFont="1" applyFill="1"/>
    <xf numFmtId="0" fontId="25" fillId="58" borderId="0" xfId="0" quotePrefix="1" applyFont="1" applyFill="1"/>
    <xf numFmtId="0" fontId="25" fillId="54" borderId="0" xfId="0" applyFont="1" applyFill="1"/>
    <xf numFmtId="0" fontId="25" fillId="53" borderId="0" xfId="0" applyFont="1" applyFill="1"/>
    <xf numFmtId="0" fontId="44" fillId="52" borderId="0" xfId="0" applyFont="1" applyFill="1"/>
    <xf numFmtId="0" fontId="25" fillId="51" borderId="0" xfId="0" applyFont="1" applyFill="1"/>
    <xf numFmtId="0" fontId="25" fillId="34" borderId="0" xfId="0" applyFont="1" applyFill="1"/>
    <xf numFmtId="0" fontId="25" fillId="28" borderId="0" xfId="0" applyFont="1" applyFill="1"/>
    <xf numFmtId="0" fontId="25" fillId="50" borderId="0" xfId="0" applyFont="1" applyFill="1"/>
    <xf numFmtId="0" fontId="25" fillId="9" borderId="0" xfId="0" applyFont="1" applyFill="1"/>
    <xf numFmtId="0" fontId="25" fillId="49" borderId="0" xfId="0" applyFont="1" applyFill="1"/>
    <xf numFmtId="0" fontId="25" fillId="48" borderId="0" xfId="0" applyFont="1" applyFill="1"/>
    <xf numFmtId="0" fontId="44" fillId="47" borderId="0" xfId="0" applyFont="1" applyFill="1"/>
    <xf numFmtId="0" fontId="25" fillId="46" borderId="0" xfId="0" applyFont="1" applyFill="1"/>
    <xf numFmtId="0" fontId="44" fillId="45" borderId="0" xfId="0" applyFont="1" applyFill="1"/>
    <xf numFmtId="0" fontId="25" fillId="44" borderId="0" xfId="0" applyFont="1" applyFill="1"/>
    <xf numFmtId="0" fontId="44" fillId="43" borderId="0" xfId="0" applyFont="1" applyFill="1"/>
    <xf numFmtId="0" fontId="25" fillId="42" borderId="0" xfId="0" applyFont="1" applyFill="1"/>
    <xf numFmtId="0" fontId="25" fillId="56" borderId="0" xfId="0" applyFont="1" applyFill="1"/>
    <xf numFmtId="0" fontId="45" fillId="0" borderId="0" xfId="0" applyFont="1"/>
    <xf numFmtId="178" fontId="46" fillId="0" borderId="0" xfId="0" applyNumberFormat="1" applyFont="1" applyAlignment="1">
      <alignment horizontal="left"/>
    </xf>
    <xf numFmtId="0" fontId="47" fillId="0" borderId="0" xfId="0" applyFont="1" applyAlignment="1">
      <alignment wrapText="1"/>
    </xf>
    <xf numFmtId="0" fontId="47" fillId="0" borderId="0" xfId="0" applyFont="1"/>
    <xf numFmtId="0" fontId="47" fillId="0" borderId="0" xfId="0" applyFont="1" applyAlignment="1">
      <alignment horizontal="center"/>
    </xf>
    <xf numFmtId="0" fontId="39" fillId="0" borderId="0" xfId="0" applyFont="1"/>
    <xf numFmtId="0" fontId="39" fillId="25" borderId="0" xfId="0" applyFont="1" applyFill="1"/>
    <xf numFmtId="0" fontId="48" fillId="0" borderId="0" xfId="0" applyFont="1"/>
    <xf numFmtId="0" fontId="46" fillId="0" borderId="0" xfId="0" applyFont="1"/>
    <xf numFmtId="0" fontId="47" fillId="0" borderId="0" xfId="0" applyFont="1" applyAlignment="1">
      <alignment horizontal="center" vertical="center"/>
    </xf>
    <xf numFmtId="0" fontId="46" fillId="0" borderId="0" xfId="0" applyFont="1" applyAlignment="1">
      <alignment vertical="top"/>
    </xf>
    <xf numFmtId="0" fontId="45" fillId="0" borderId="0" xfId="0" applyFont="1" applyAlignment="1">
      <alignment vertical="center"/>
    </xf>
    <xf numFmtId="0" fontId="25" fillId="0" borderId="0" xfId="0" applyFont="1" applyAlignment="1">
      <alignment vertical="center"/>
    </xf>
    <xf numFmtId="0" fontId="39" fillId="0" borderId="0" xfId="0" applyFont="1" applyAlignment="1">
      <alignment vertical="center"/>
    </xf>
    <xf numFmtId="0" fontId="47" fillId="0" borderId="0" xfId="0" applyFont="1" applyAlignment="1">
      <alignment vertical="center"/>
    </xf>
    <xf numFmtId="0" fontId="46" fillId="0" borderId="0" xfId="0" applyFont="1" applyAlignment="1">
      <alignment wrapText="1"/>
    </xf>
    <xf numFmtId="0" fontId="49" fillId="0" borderId="0" xfId="0" applyFont="1" applyAlignment="1">
      <alignment horizontal="left"/>
    </xf>
    <xf numFmtId="0" fontId="39" fillId="10" borderId="0" xfId="0" applyFont="1" applyFill="1"/>
    <xf numFmtId="0" fontId="25" fillId="30" borderId="0" xfId="0" applyFont="1" applyFill="1"/>
    <xf numFmtId="10" fontId="47" fillId="0" borderId="0" xfId="0" applyNumberFormat="1" applyFont="1" applyAlignment="1">
      <alignment wrapText="1"/>
    </xf>
    <xf numFmtId="10" fontId="47" fillId="0" borderId="0" xfId="0" applyNumberFormat="1" applyFont="1"/>
    <xf numFmtId="0" fontId="39" fillId="0" borderId="16" xfId="0" applyFont="1" applyBorder="1"/>
    <xf numFmtId="173" fontId="39" fillId="31" borderId="17" xfId="1" applyNumberFormat="1" applyFont="1" applyFill="1" applyBorder="1"/>
    <xf numFmtId="0" fontId="49" fillId="0" borderId="86" xfId="0" applyFont="1" applyBorder="1"/>
    <xf numFmtId="10" fontId="50" fillId="0" borderId="76" xfId="0" applyNumberFormat="1" applyFont="1" applyBorder="1" applyAlignment="1">
      <alignment wrapText="1"/>
    </xf>
    <xf numFmtId="0" fontId="39" fillId="0" borderId="28" xfId="0" applyFont="1" applyBorder="1"/>
    <xf numFmtId="173" fontId="39" fillId="0" borderId="19" xfId="1" applyNumberFormat="1" applyFont="1" applyFill="1" applyBorder="1"/>
    <xf numFmtId="173" fontId="39" fillId="0" borderId="0" xfId="1" applyNumberFormat="1" applyFont="1"/>
    <xf numFmtId="0" fontId="49" fillId="0" borderId="0" xfId="0" applyFont="1"/>
    <xf numFmtId="0" fontId="39" fillId="0" borderId="0" xfId="0" applyFont="1" applyAlignment="1">
      <alignment horizontal="center"/>
    </xf>
    <xf numFmtId="14" fontId="25" fillId="0" borderId="0" xfId="0" applyNumberFormat="1" applyFont="1"/>
    <xf numFmtId="0" fontId="46" fillId="0" borderId="42" xfId="0" applyFont="1" applyBorder="1" applyAlignment="1">
      <alignment horizontal="center"/>
    </xf>
    <xf numFmtId="0" fontId="46" fillId="0" borderId="130" xfId="0" applyFont="1" applyBorder="1" applyAlignment="1">
      <alignment horizontal="center"/>
    </xf>
    <xf numFmtId="0" fontId="46" fillId="0" borderId="129" xfId="0" applyFont="1" applyBorder="1" applyAlignment="1">
      <alignment horizontal="center"/>
    </xf>
    <xf numFmtId="10" fontId="39" fillId="0" borderId="0" xfId="0" applyNumberFormat="1" applyFont="1"/>
    <xf numFmtId="15" fontId="47" fillId="0" borderId="0" xfId="0" applyNumberFormat="1" applyFont="1" applyAlignment="1">
      <alignment horizontal="center"/>
    </xf>
    <xf numFmtId="173" fontId="47" fillId="0" borderId="0" xfId="1" applyNumberFormat="1" applyFont="1"/>
    <xf numFmtId="0" fontId="47" fillId="0" borderId="3" xfId="0" applyFont="1" applyBorder="1"/>
    <xf numFmtId="173" fontId="47" fillId="0" borderId="4" xfId="1" applyNumberFormat="1" applyFont="1" applyBorder="1"/>
    <xf numFmtId="169" fontId="47" fillId="0" borderId="3" xfId="1" applyFont="1" applyBorder="1"/>
    <xf numFmtId="173" fontId="47" fillId="0" borderId="0" xfId="1" applyNumberFormat="1" applyFont="1" applyBorder="1"/>
    <xf numFmtId="169" fontId="47" fillId="0" borderId="4" xfId="1" applyFont="1" applyBorder="1"/>
    <xf numFmtId="173" fontId="47" fillId="0" borderId="0" xfId="0" applyNumberFormat="1" applyFont="1" applyAlignment="1">
      <alignment horizontal="center"/>
    </xf>
    <xf numFmtId="173" fontId="25" fillId="0" borderId="0" xfId="1" applyNumberFormat="1" applyFont="1"/>
    <xf numFmtId="173" fontId="47" fillId="0" borderId="3" xfId="1" applyNumberFormat="1" applyFont="1" applyBorder="1"/>
    <xf numFmtId="173" fontId="47" fillId="0" borderId="122" xfId="1" applyNumberFormat="1" applyFont="1" applyBorder="1"/>
    <xf numFmtId="173" fontId="47" fillId="0" borderId="123" xfId="1" applyNumberFormat="1" applyFont="1" applyBorder="1"/>
    <xf numFmtId="173" fontId="47" fillId="0" borderId="22" xfId="1" applyNumberFormat="1" applyFont="1" applyBorder="1"/>
    <xf numFmtId="15" fontId="45" fillId="0" borderId="0" xfId="0" applyNumberFormat="1" applyFont="1"/>
    <xf numFmtId="173" fontId="38" fillId="0" borderId="85" xfId="1" applyNumberFormat="1" applyFont="1" applyFill="1" applyBorder="1" applyAlignment="1">
      <alignment horizontal="center"/>
    </xf>
    <xf numFmtId="173" fontId="47" fillId="0" borderId="0" xfId="0" applyNumberFormat="1" applyFont="1" applyAlignment="1">
      <alignment wrapText="1"/>
    </xf>
    <xf numFmtId="173" fontId="47" fillId="0" borderId="125" xfId="1" applyNumberFormat="1" applyFont="1" applyBorder="1"/>
    <xf numFmtId="173" fontId="47" fillId="0" borderId="124" xfId="1" applyNumberFormat="1" applyFont="1" applyBorder="1"/>
    <xf numFmtId="173" fontId="47" fillId="0" borderId="27" xfId="1" applyNumberFormat="1" applyFont="1" applyBorder="1"/>
    <xf numFmtId="0" fontId="39" fillId="31" borderId="0" xfId="0" applyFont="1" applyFill="1"/>
    <xf numFmtId="15" fontId="39" fillId="31" borderId="0" xfId="0" applyNumberFormat="1" applyFont="1" applyFill="1"/>
    <xf numFmtId="173" fontId="39" fillId="31" borderId="0" xfId="1" applyNumberFormat="1" applyFont="1" applyFill="1"/>
    <xf numFmtId="10" fontId="39" fillId="31" borderId="0" xfId="0" applyNumberFormat="1" applyFont="1" applyFill="1"/>
    <xf numFmtId="173" fontId="39" fillId="0" borderId="0" xfId="1" applyNumberFormat="1" applyFont="1" applyFill="1"/>
    <xf numFmtId="15" fontId="39" fillId="0" borderId="0" xfId="0" applyNumberFormat="1" applyFont="1"/>
    <xf numFmtId="14" fontId="47" fillId="0" borderId="0" xfId="0" applyNumberFormat="1" applyFont="1" applyAlignment="1">
      <alignment wrapText="1"/>
    </xf>
    <xf numFmtId="15" fontId="39" fillId="31" borderId="16" xfId="0" applyNumberFormat="1" applyFont="1" applyFill="1" applyBorder="1"/>
    <xf numFmtId="173" fontId="47" fillId="0" borderId="0" xfId="1" applyNumberFormat="1" applyFont="1" applyFill="1"/>
    <xf numFmtId="173" fontId="47" fillId="0" borderId="3" xfId="1" applyNumberFormat="1" applyFont="1" applyFill="1" applyBorder="1"/>
    <xf numFmtId="173" fontId="47" fillId="0" borderId="4" xfId="1" applyNumberFormat="1" applyFont="1" applyFill="1" applyBorder="1"/>
    <xf numFmtId="173" fontId="47" fillId="0" borderId="0" xfId="1" applyNumberFormat="1" applyFont="1" applyFill="1" applyBorder="1"/>
    <xf numFmtId="173" fontId="39" fillId="0" borderId="0" xfId="0" applyNumberFormat="1" applyFont="1"/>
    <xf numFmtId="15" fontId="47" fillId="0" borderId="91" xfId="0" applyNumberFormat="1" applyFont="1" applyBorder="1"/>
    <xf numFmtId="0" fontId="47" fillId="0" borderId="91" xfId="0" applyFont="1" applyBorder="1" applyAlignment="1">
      <alignment wrapText="1"/>
    </xf>
    <xf numFmtId="0" fontId="47" fillId="0" borderId="91" xfId="0" applyFont="1" applyBorder="1"/>
    <xf numFmtId="173" fontId="47" fillId="0" borderId="91" xfId="1" applyNumberFormat="1" applyFont="1" applyBorder="1"/>
    <xf numFmtId="173" fontId="47" fillId="0" borderId="91" xfId="1" applyNumberFormat="1" applyFont="1" applyBorder="1" applyAlignment="1">
      <alignment horizontal="center"/>
    </xf>
    <xf numFmtId="3" fontId="39" fillId="0" borderId="0" xfId="0" applyNumberFormat="1" applyFont="1"/>
    <xf numFmtId="15" fontId="53" fillId="0" borderId="0" xfId="0" applyNumberFormat="1" applyFont="1"/>
    <xf numFmtId="15" fontId="47" fillId="0" borderId="0" xfId="0" applyNumberFormat="1" applyFont="1"/>
    <xf numFmtId="173" fontId="47" fillId="0" borderId="0" xfId="1" applyNumberFormat="1" applyFont="1" applyAlignment="1">
      <alignment horizontal="center"/>
    </xf>
    <xf numFmtId="3" fontId="47" fillId="0" borderId="0" xfId="0" applyNumberFormat="1" applyFont="1" applyAlignment="1">
      <alignment horizontal="center"/>
    </xf>
    <xf numFmtId="15" fontId="47" fillId="0" borderId="0" xfId="0" applyNumberFormat="1" applyFont="1" applyAlignment="1">
      <alignment horizontal="center" wrapText="1"/>
    </xf>
    <xf numFmtId="0" fontId="54" fillId="0" borderId="86" xfId="0" applyFont="1" applyBorder="1" applyAlignment="1">
      <alignment horizontal="center" vertical="center" wrapText="1"/>
    </xf>
    <xf numFmtId="0" fontId="26" fillId="0" borderId="76" xfId="0" applyFont="1" applyBorder="1" applyAlignment="1">
      <alignment horizontal="center" vertical="center" wrapText="1"/>
    </xf>
    <xf numFmtId="0" fontId="46" fillId="0" borderId="86" xfId="0" applyFont="1" applyBorder="1" applyAlignment="1">
      <alignment horizontal="center" vertical="center" wrapText="1"/>
    </xf>
    <xf numFmtId="178" fontId="26" fillId="0" borderId="76" xfId="0" applyNumberFormat="1" applyFont="1" applyBorder="1" applyAlignment="1">
      <alignment horizontal="center" vertical="center" wrapText="1"/>
    </xf>
    <xf numFmtId="0" fontId="25" fillId="31" borderId="0" xfId="0" applyFont="1" applyFill="1" applyAlignment="1">
      <alignment horizontal="center" vertical="center"/>
    </xf>
    <xf numFmtId="0" fontId="25" fillId="0" borderId="0" xfId="0" applyFont="1" applyAlignment="1">
      <alignment horizontal="center" vertical="center"/>
    </xf>
    <xf numFmtId="0" fontId="54" fillId="0" borderId="16" xfId="0" applyFont="1" applyBorder="1" applyAlignment="1">
      <alignment horizontal="center" vertical="center" wrapText="1"/>
    </xf>
    <xf numFmtId="0" fontId="26" fillId="0" borderId="17" xfId="0" applyFont="1" applyBorder="1" applyAlignment="1">
      <alignment horizontal="center" vertical="center" wrapText="1"/>
    </xf>
    <xf numFmtId="0" fontId="46" fillId="0" borderId="27" xfId="0" applyFont="1" applyBorder="1" applyAlignment="1">
      <alignment horizontal="center" vertical="center" wrapText="1"/>
    </xf>
    <xf numFmtId="0" fontId="25" fillId="21" borderId="0" xfId="0" applyFont="1" applyFill="1" applyAlignment="1">
      <alignment horizontal="center" vertical="center"/>
    </xf>
    <xf numFmtId="0" fontId="25" fillId="0" borderId="17" xfId="0" applyFont="1" applyBorder="1" applyAlignment="1">
      <alignment horizontal="center" vertical="center" wrapText="1"/>
    </xf>
    <xf numFmtId="0" fontId="25" fillId="13" borderId="0" xfId="0" applyFont="1" applyFill="1" applyAlignment="1">
      <alignment horizontal="center" vertical="center"/>
    </xf>
    <xf numFmtId="0" fontId="54" fillId="0" borderId="28" xfId="0" applyFont="1" applyBorder="1" applyAlignment="1">
      <alignment horizontal="center" vertical="center" wrapText="1"/>
    </xf>
    <xf numFmtId="0" fontId="26" fillId="0" borderId="19" xfId="0" applyFont="1" applyBorder="1" applyAlignment="1">
      <alignment horizontal="center" vertical="center" wrapText="1"/>
    </xf>
    <xf numFmtId="0" fontId="39" fillId="30" borderId="0" xfId="0" applyFont="1" applyFill="1" applyAlignment="1">
      <alignment horizontal="center" vertical="center"/>
    </xf>
    <xf numFmtId="0" fontId="54" fillId="0" borderId="0" xfId="0" applyFont="1" applyAlignment="1">
      <alignment horizontal="center" vertical="center"/>
    </xf>
    <xf numFmtId="0" fontId="25" fillId="22" borderId="0" xfId="0" applyFont="1" applyFill="1" applyAlignment="1">
      <alignment horizontal="center" vertical="center"/>
    </xf>
    <xf numFmtId="0" fontId="54" fillId="0" borderId="26" xfId="0" applyFont="1" applyBorder="1" applyAlignment="1">
      <alignment horizontal="center" vertical="center" wrapText="1"/>
    </xf>
    <xf numFmtId="0" fontId="26" fillId="0" borderId="18" xfId="0" applyFont="1" applyBorder="1" applyAlignment="1">
      <alignment horizontal="center" vertical="center" wrapText="1"/>
    </xf>
    <xf numFmtId="0" fontId="46" fillId="0" borderId="26" xfId="0" applyFont="1" applyBorder="1" applyAlignment="1">
      <alignment horizontal="center" vertical="center" wrapText="1"/>
    </xf>
    <xf numFmtId="0" fontId="26" fillId="0" borderId="18" xfId="0" quotePrefix="1" applyFont="1" applyBorder="1" applyAlignment="1">
      <alignment horizontal="justify" vertical="center" wrapText="1"/>
    </xf>
    <xf numFmtId="0" fontId="25" fillId="29" borderId="0" xfId="0" applyFont="1" applyFill="1" applyAlignment="1">
      <alignment horizontal="center" vertical="center"/>
    </xf>
    <xf numFmtId="0" fontId="26" fillId="0" borderId="28" xfId="0" applyFont="1" applyBorder="1" applyAlignment="1">
      <alignment horizontal="center" vertical="center" wrapText="1"/>
    </xf>
    <xf numFmtId="0" fontId="46" fillId="0" borderId="28" xfId="0" applyFont="1" applyBorder="1" applyAlignment="1">
      <alignment horizontal="center" vertical="center" wrapText="1"/>
    </xf>
    <xf numFmtId="49" fontId="55" fillId="0" borderId="19" xfId="7" applyNumberFormat="1" applyFont="1" applyBorder="1" applyAlignment="1">
      <alignment horizontal="justify" vertical="center" wrapText="1"/>
    </xf>
    <xf numFmtId="0" fontId="56" fillId="0" borderId="86" xfId="0" applyFont="1" applyBorder="1" applyAlignment="1">
      <alignment horizontal="center" vertical="center"/>
    </xf>
    <xf numFmtId="0" fontId="56" fillId="0" borderId="85" xfId="0" applyFont="1" applyBorder="1" applyAlignment="1">
      <alignment horizontal="center" vertical="center"/>
    </xf>
    <xf numFmtId="0" fontId="56" fillId="0" borderId="85" xfId="0" applyFont="1" applyBorder="1" applyAlignment="1">
      <alignment vertical="center"/>
    </xf>
    <xf numFmtId="0" fontId="56" fillId="0" borderId="76" xfId="0" applyFont="1" applyBorder="1" applyAlignment="1">
      <alignment horizontal="center" vertical="center"/>
    </xf>
    <xf numFmtId="0" fontId="36" fillId="0" borderId="26" xfId="0" applyFont="1" applyBorder="1" applyAlignment="1">
      <alignment vertical="center"/>
    </xf>
    <xf numFmtId="0" fontId="36" fillId="0" borderId="27" xfId="0" applyFont="1" applyBorder="1" applyAlignment="1">
      <alignment horizontal="left" vertical="top" wrapText="1"/>
    </xf>
    <xf numFmtId="0" fontId="39" fillId="0" borderId="18" xfId="0" applyFont="1" applyBorder="1" applyAlignment="1">
      <alignment horizontal="center" vertical="center"/>
    </xf>
    <xf numFmtId="0" fontId="36" fillId="28" borderId="67" xfId="0" applyFont="1" applyFill="1" applyBorder="1" applyAlignment="1">
      <alignment horizontal="center" vertical="center"/>
    </xf>
    <xf numFmtId="0" fontId="36" fillId="28" borderId="65" xfId="0" applyFont="1" applyFill="1" applyBorder="1" applyAlignment="1">
      <alignment horizontal="center" vertical="center"/>
    </xf>
    <xf numFmtId="0" fontId="36" fillId="28" borderId="63" xfId="0" applyFont="1" applyFill="1" applyBorder="1" applyAlignment="1">
      <alignment horizontal="center" vertical="center"/>
    </xf>
    <xf numFmtId="0" fontId="36" fillId="0" borderId="16" xfId="0" applyFont="1" applyBorder="1" applyAlignment="1">
      <alignment vertical="center"/>
    </xf>
    <xf numFmtId="0" fontId="36" fillId="0" borderId="0" xfId="0" applyFont="1" applyAlignment="1">
      <alignment horizontal="left" vertical="top" wrapText="1"/>
    </xf>
    <xf numFmtId="0" fontId="39" fillId="0" borderId="0" xfId="0" applyFont="1" applyAlignment="1" applyProtection="1">
      <alignment horizontal="left" vertical="top" wrapText="1"/>
      <protection locked="0"/>
    </xf>
    <xf numFmtId="0" fontId="25" fillId="0" borderId="17" xfId="0" applyFont="1" applyBorder="1" applyAlignment="1">
      <alignment horizontal="center" vertical="center"/>
    </xf>
    <xf numFmtId="0" fontId="36" fillId="0" borderId="61" xfId="0" applyFont="1" applyBorder="1" applyAlignment="1">
      <alignment horizontal="center"/>
    </xf>
    <xf numFmtId="0" fontId="36" fillId="0" borderId="17" xfId="0" applyFont="1" applyBorder="1" applyAlignment="1">
      <alignment horizontal="center"/>
    </xf>
    <xf numFmtId="0" fontId="36" fillId="12" borderId="46" xfId="0" applyFont="1" applyFill="1" applyBorder="1" applyAlignment="1">
      <alignment vertical="center"/>
    </xf>
    <xf numFmtId="0" fontId="25" fillId="0" borderId="28" xfId="0" applyFont="1" applyBorder="1" applyAlignment="1">
      <alignment horizontal="center"/>
    </xf>
    <xf numFmtId="0" fontId="25" fillId="0" borderId="22" xfId="0" applyFont="1" applyBorder="1"/>
    <xf numFmtId="0" fontId="39" fillId="0" borderId="22" xfId="0" applyFont="1" applyBorder="1" applyProtection="1">
      <protection locked="0"/>
    </xf>
    <xf numFmtId="0" fontId="36" fillId="0" borderId="41" xfId="0" applyFont="1" applyBorder="1" applyAlignment="1">
      <alignment horizontal="center"/>
    </xf>
    <xf numFmtId="0" fontId="36" fillId="0" borderId="0" xfId="0" applyFont="1" applyAlignment="1">
      <alignment vertical="center"/>
    </xf>
    <xf numFmtId="0" fontId="25" fillId="0" borderId="0" xfId="0" applyFont="1" applyAlignment="1">
      <alignment horizontal="left" vertical="top" wrapText="1"/>
    </xf>
    <xf numFmtId="0" fontId="36" fillId="0" borderId="16" xfId="0" applyFont="1" applyBorder="1" applyAlignment="1">
      <alignment horizontal="center" vertical="center"/>
    </xf>
    <xf numFmtId="0" fontId="36" fillId="0" borderId="18" xfId="0" applyFont="1" applyBorder="1" applyAlignment="1">
      <alignment horizontal="center"/>
    </xf>
    <xf numFmtId="0" fontId="36" fillId="28" borderId="67" xfId="0" applyFont="1" applyFill="1" applyBorder="1" applyAlignment="1">
      <alignment horizontal="center"/>
    </xf>
    <xf numFmtId="0" fontId="36" fillId="28" borderId="65" xfId="0" applyFont="1" applyFill="1" applyBorder="1" applyAlignment="1">
      <alignment horizontal="center"/>
    </xf>
    <xf numFmtId="0" fontId="36" fillId="28" borderId="63" xfId="0" applyFont="1" applyFill="1" applyBorder="1" applyAlignment="1">
      <alignment horizontal="center"/>
    </xf>
    <xf numFmtId="0" fontId="57" fillId="0" borderId="16" xfId="0" applyFont="1" applyBorder="1" applyAlignment="1">
      <alignment horizontal="center" vertical="center"/>
    </xf>
    <xf numFmtId="0" fontId="25" fillId="0" borderId="19" xfId="0" applyFont="1" applyBorder="1" applyAlignment="1">
      <alignment horizontal="center" vertical="center"/>
    </xf>
    <xf numFmtId="0" fontId="36" fillId="12" borderId="74" xfId="0" applyFont="1" applyFill="1" applyBorder="1" applyAlignment="1">
      <alignment vertical="center"/>
    </xf>
    <xf numFmtId="178" fontId="36" fillId="12" borderId="2" xfId="0" applyNumberFormat="1" applyFont="1" applyFill="1" applyBorder="1" applyAlignment="1">
      <alignment horizontal="left" vertical="center"/>
    </xf>
    <xf numFmtId="0" fontId="25" fillId="0" borderId="76" xfId="0" applyFont="1" applyBorder="1"/>
    <xf numFmtId="0" fontId="57" fillId="0" borderId="0" xfId="0" applyFont="1" applyAlignment="1">
      <alignment horizontal="center" vertical="center"/>
    </xf>
    <xf numFmtId="0" fontId="36" fillId="0" borderId="17" xfId="0" quotePrefix="1" applyFont="1" applyBorder="1" applyAlignment="1">
      <alignment horizontal="center"/>
    </xf>
    <xf numFmtId="0" fontId="25" fillId="0" borderId="83" xfId="0" applyFont="1" applyBorder="1" applyAlignment="1">
      <alignment horizontal="center" vertical="center"/>
    </xf>
    <xf numFmtId="0" fontId="57" fillId="12" borderId="45" xfId="0" applyFont="1" applyFill="1" applyBorder="1" applyAlignment="1">
      <alignment horizontal="center" vertical="center"/>
    </xf>
    <xf numFmtId="0" fontId="36" fillId="28" borderId="79" xfId="0" applyFont="1" applyFill="1" applyBorder="1" applyAlignment="1">
      <alignment horizontal="center" vertical="top"/>
    </xf>
    <xf numFmtId="0" fontId="36" fillId="0" borderId="44" xfId="0" applyFont="1" applyBorder="1" applyAlignment="1">
      <alignment horizontal="center" vertical="top"/>
    </xf>
    <xf numFmtId="0" fontId="36" fillId="12" borderId="74" xfId="0" applyFont="1" applyFill="1" applyBorder="1" applyAlignment="1">
      <alignment horizontal="left" vertical="center"/>
    </xf>
    <xf numFmtId="0" fontId="36" fillId="12" borderId="59" xfId="0" applyFont="1" applyFill="1" applyBorder="1" applyAlignment="1">
      <alignment horizontal="left" vertical="center"/>
    </xf>
    <xf numFmtId="0" fontId="36" fillId="12" borderId="82" xfId="0" applyFont="1" applyFill="1" applyBorder="1" applyAlignment="1">
      <alignment horizontal="left" vertical="center"/>
    </xf>
    <xf numFmtId="0" fontId="36" fillId="12" borderId="81" xfId="0" applyFont="1" applyFill="1" applyBorder="1" applyAlignment="1">
      <alignment horizontal="left" vertical="center"/>
    </xf>
    <xf numFmtId="0" fontId="36" fillId="28" borderId="80" xfId="0" applyFont="1" applyFill="1" applyBorder="1" applyAlignment="1">
      <alignment horizontal="center"/>
    </xf>
    <xf numFmtId="0" fontId="39" fillId="0" borderId="0" xfId="0" applyFont="1" applyProtection="1">
      <protection locked="0"/>
    </xf>
    <xf numFmtId="0" fontId="36" fillId="28" borderId="79" xfId="0" applyFont="1" applyFill="1" applyBorder="1" applyAlignment="1">
      <alignment horizontal="center"/>
    </xf>
    <xf numFmtId="0" fontId="25" fillId="0" borderId="44" xfId="0" applyFont="1" applyBorder="1"/>
    <xf numFmtId="0" fontId="36" fillId="28" borderId="52" xfId="0" applyFont="1" applyFill="1" applyBorder="1" applyAlignment="1">
      <alignment horizontal="center"/>
    </xf>
    <xf numFmtId="0" fontId="36" fillId="28" borderId="71" xfId="0" applyFont="1" applyFill="1" applyBorder="1" applyAlignment="1">
      <alignment horizontal="center"/>
    </xf>
    <xf numFmtId="0" fontId="36" fillId="28" borderId="70" xfId="0" applyFont="1" applyFill="1" applyBorder="1" applyAlignment="1">
      <alignment horizontal="center"/>
    </xf>
    <xf numFmtId="0" fontId="36" fillId="28" borderId="44" xfId="0" applyFont="1" applyFill="1" applyBorder="1" applyAlignment="1">
      <alignment horizontal="center"/>
    </xf>
    <xf numFmtId="0" fontId="36" fillId="0" borderId="44" xfId="0" applyFont="1" applyBorder="1" applyAlignment="1">
      <alignment horizontal="center"/>
    </xf>
    <xf numFmtId="0" fontId="36" fillId="0" borderId="62" xfId="0" applyFont="1" applyBorder="1" applyAlignment="1">
      <alignment horizontal="left" vertical="center"/>
    </xf>
    <xf numFmtId="0" fontId="36" fillId="0" borderId="0" xfId="0" applyFont="1" applyAlignment="1">
      <alignment horizontal="center"/>
    </xf>
    <xf numFmtId="0" fontId="26" fillId="0" borderId="0" xfId="0" applyFont="1" applyAlignment="1">
      <alignment horizontal="center"/>
    </xf>
    <xf numFmtId="0" fontId="58" fillId="38" borderId="8" xfId="0" applyFont="1" applyFill="1" applyBorder="1"/>
    <xf numFmtId="0" fontId="44" fillId="38" borderId="9" xfId="0" applyFont="1" applyFill="1" applyBorder="1"/>
    <xf numFmtId="0" fontId="44" fillId="38" borderId="9" xfId="0" applyFont="1" applyFill="1" applyBorder="1" applyAlignment="1">
      <alignment horizontal="center" vertical="center"/>
    </xf>
    <xf numFmtId="0" fontId="44" fillId="38" borderId="10" xfId="0" applyFont="1" applyFill="1" applyBorder="1"/>
    <xf numFmtId="0" fontId="25" fillId="3" borderId="0" xfId="0" applyFont="1" applyFill="1"/>
    <xf numFmtId="0" fontId="58" fillId="3" borderId="0" xfId="0" applyFont="1" applyFill="1"/>
    <xf numFmtId="0" fontId="44" fillId="3" borderId="0" xfId="0" applyFont="1" applyFill="1"/>
    <xf numFmtId="0" fontId="44" fillId="3" borderId="0" xfId="0" applyFont="1" applyFill="1" applyAlignment="1">
      <alignment horizontal="center" vertical="center"/>
    </xf>
    <xf numFmtId="0" fontId="59" fillId="3" borderId="0" xfId="0" applyFont="1" applyFill="1" applyAlignment="1">
      <alignment horizontal="right" vertical="center"/>
    </xf>
    <xf numFmtId="10" fontId="60" fillId="2" borderId="2" xfId="3" applyNumberFormat="1" applyFont="1" applyBorder="1" applyAlignment="1">
      <alignment horizontal="center" vertical="center"/>
    </xf>
    <xf numFmtId="0" fontId="25" fillId="3" borderId="0" xfId="0" applyFont="1" applyFill="1" applyAlignment="1">
      <alignment horizontal="center" vertical="center"/>
    </xf>
    <xf numFmtId="0" fontId="59" fillId="3" borderId="0" xfId="0" applyFont="1" applyFill="1"/>
    <xf numFmtId="0" fontId="61" fillId="3" borderId="0" xfId="0" applyFont="1" applyFill="1"/>
    <xf numFmtId="0" fontId="62" fillId="3" borderId="0" xfId="0" applyFont="1" applyFill="1"/>
    <xf numFmtId="10" fontId="63" fillId="0" borderId="2" xfId="0" applyNumberFormat="1" applyFont="1" applyBorder="1" applyAlignment="1">
      <alignment horizontal="center" vertical="center"/>
    </xf>
    <xf numFmtId="165" fontId="60" fillId="2" borderId="120" xfId="3" applyNumberFormat="1" applyFont="1" applyBorder="1" applyAlignment="1">
      <alignment horizontal="center" vertical="center"/>
    </xf>
    <xf numFmtId="0" fontId="60" fillId="2" borderId="119" xfId="3" applyFont="1" applyBorder="1" applyAlignment="1">
      <alignment horizontal="center" vertical="center"/>
    </xf>
    <xf numFmtId="0" fontId="64" fillId="3" borderId="0" xfId="0" applyFont="1" applyFill="1" applyAlignment="1">
      <alignment horizontal="left" vertical="center"/>
    </xf>
    <xf numFmtId="1" fontId="60" fillId="2" borderId="118" xfId="3" applyNumberFormat="1" applyFont="1" applyBorder="1" applyAlignment="1">
      <alignment horizontal="center" vertical="center"/>
    </xf>
    <xf numFmtId="0" fontId="65" fillId="3" borderId="0" xfId="0" applyFont="1" applyFill="1" applyAlignment="1">
      <alignment horizontal="right" vertical="center"/>
    </xf>
    <xf numFmtId="0" fontId="66" fillId="0" borderId="2" xfId="0" applyFont="1" applyBorder="1" applyAlignment="1">
      <alignment horizontal="center" vertical="center"/>
    </xf>
    <xf numFmtId="167" fontId="66" fillId="0" borderId="2" xfId="0" applyNumberFormat="1" applyFont="1" applyBorder="1" applyAlignment="1">
      <alignment horizontal="center" vertical="center"/>
    </xf>
    <xf numFmtId="167" fontId="67" fillId="0" borderId="2" xfId="0" applyNumberFormat="1" applyFont="1" applyBorder="1" applyAlignment="1">
      <alignment horizontal="center" vertical="center"/>
    </xf>
    <xf numFmtId="14" fontId="68" fillId="2" borderId="32" xfId="3" applyNumberFormat="1" applyFont="1" applyBorder="1" applyAlignment="1">
      <alignment horizontal="center" vertical="center"/>
    </xf>
    <xf numFmtId="0" fontId="69" fillId="3" borderId="0" xfId="0" applyFont="1" applyFill="1" applyAlignment="1">
      <alignment horizontal="left" vertical="center"/>
    </xf>
    <xf numFmtId="0" fontId="30" fillId="3" borderId="0" xfId="0" applyFont="1" applyFill="1" applyAlignment="1">
      <alignment horizontal="center" vertical="center"/>
    </xf>
    <xf numFmtId="1" fontId="60" fillId="2" borderId="117" xfId="1" applyNumberFormat="1" applyFont="1" applyFill="1" applyBorder="1" applyAlignment="1">
      <alignment horizontal="center" vertical="center"/>
    </xf>
    <xf numFmtId="0" fontId="70" fillId="3" borderId="0" xfId="0" applyFont="1" applyFill="1" applyAlignment="1">
      <alignment horizontal="center" vertical="center"/>
    </xf>
    <xf numFmtId="0" fontId="70" fillId="3" borderId="0" xfId="0" applyFont="1" applyFill="1" applyAlignment="1">
      <alignment horizontal="left" vertical="center"/>
    </xf>
    <xf numFmtId="0" fontId="71" fillId="3" borderId="2" xfId="0" applyFont="1" applyFill="1" applyBorder="1" applyAlignment="1">
      <alignment horizontal="center" vertical="center"/>
    </xf>
    <xf numFmtId="0" fontId="25" fillId="3" borderId="0" xfId="0" applyFont="1" applyFill="1" applyAlignment="1">
      <alignment horizontal="right"/>
    </xf>
    <xf numFmtId="0" fontId="26" fillId="0" borderId="0" xfId="0" applyFont="1" applyAlignment="1">
      <alignment horizontal="right"/>
    </xf>
    <xf numFmtId="0" fontId="25" fillId="3" borderId="0" xfId="0" applyFont="1" applyFill="1" applyAlignment="1">
      <alignment horizontal="center" vertical="center" wrapText="1"/>
    </xf>
    <xf numFmtId="0" fontId="26" fillId="11" borderId="2" xfId="0" applyFont="1" applyFill="1" applyBorder="1" applyAlignment="1">
      <alignment horizontal="center" vertical="center" wrapText="1"/>
    </xf>
    <xf numFmtId="0" fontId="31" fillId="11" borderId="2" xfId="0" applyFont="1" applyFill="1" applyBorder="1" applyAlignment="1">
      <alignment horizontal="center" vertical="center" wrapText="1"/>
    </xf>
    <xf numFmtId="0" fontId="59" fillId="11" borderId="2" xfId="0" applyFont="1" applyFill="1" applyBorder="1" applyAlignment="1">
      <alignment horizontal="center" vertical="center" wrapText="1"/>
    </xf>
    <xf numFmtId="0" fontId="25" fillId="0" borderId="2" xfId="0" applyFont="1" applyBorder="1" applyAlignment="1">
      <alignment horizontal="center" vertical="center"/>
    </xf>
    <xf numFmtId="0" fontId="61" fillId="0" borderId="2" xfId="0" applyFont="1" applyBorder="1" applyAlignment="1">
      <alignment horizontal="center" vertical="center"/>
    </xf>
    <xf numFmtId="1" fontId="72" fillId="0" borderId="2" xfId="1" applyNumberFormat="1" applyFont="1" applyBorder="1" applyAlignment="1">
      <alignment horizontal="center" vertical="center"/>
    </xf>
    <xf numFmtId="1" fontId="73" fillId="0" borderId="2" xfId="1" applyNumberFormat="1" applyFont="1" applyBorder="1" applyAlignment="1">
      <alignment horizontal="center" vertical="center"/>
    </xf>
    <xf numFmtId="183" fontId="61" fillId="0" borderId="2" xfId="0" applyNumberFormat="1" applyFont="1" applyBorder="1" applyAlignment="1">
      <alignment horizontal="center" vertical="center"/>
    </xf>
    <xf numFmtId="167" fontId="61" fillId="10" borderId="2" xfId="0" applyNumberFormat="1" applyFont="1" applyFill="1" applyBorder="1" applyAlignment="1">
      <alignment horizontal="center" vertical="center"/>
    </xf>
    <xf numFmtId="167" fontId="61" fillId="0" borderId="2" xfId="0" applyNumberFormat="1" applyFont="1" applyBorder="1" applyAlignment="1">
      <alignment horizontal="center" vertical="center"/>
    </xf>
    <xf numFmtId="167" fontId="74" fillId="3" borderId="0" xfId="0" applyNumberFormat="1" applyFont="1" applyFill="1"/>
    <xf numFmtId="167" fontId="72" fillId="0" borderId="0" xfId="0" applyNumberFormat="1" applyFont="1" applyAlignment="1">
      <alignment horizontal="center" vertical="center"/>
    </xf>
    <xf numFmtId="14" fontId="72" fillId="0" borderId="0" xfId="0" applyNumberFormat="1" applyFont="1"/>
    <xf numFmtId="0" fontId="72" fillId="3" borderId="0" xfId="0" applyFont="1" applyFill="1" applyAlignment="1">
      <alignment horizontal="center" vertical="center"/>
    </xf>
    <xf numFmtId="0" fontId="75" fillId="3" borderId="0" xfId="0" applyFont="1" applyFill="1" applyAlignment="1">
      <alignment horizontal="right" vertical="center"/>
    </xf>
    <xf numFmtId="0" fontId="76" fillId="36" borderId="2" xfId="0" applyFont="1" applyFill="1" applyBorder="1" applyAlignment="1">
      <alignment horizontal="left" vertical="center"/>
    </xf>
    <xf numFmtId="0" fontId="77" fillId="36" borderId="9" xfId="0" applyFont="1" applyFill="1" applyBorder="1" applyAlignment="1">
      <alignment horizontal="left"/>
    </xf>
    <xf numFmtId="0" fontId="77" fillId="36" borderId="10" xfId="0" applyFont="1" applyFill="1" applyBorder="1" applyAlignment="1">
      <alignment horizontal="left"/>
    </xf>
    <xf numFmtId="0" fontId="78" fillId="37" borderId="2" xfId="0" applyFont="1" applyFill="1" applyBorder="1" applyAlignment="1">
      <alignment horizontal="center" vertical="center"/>
    </xf>
    <xf numFmtId="0" fontId="26" fillId="3" borderId="0" xfId="0" applyFont="1" applyFill="1"/>
    <xf numFmtId="0" fontId="26" fillId="3" borderId="0" xfId="0" applyFont="1" applyFill="1" applyAlignment="1">
      <alignment horizontal="right"/>
    </xf>
    <xf numFmtId="172" fontId="61" fillId="3" borderId="2" xfId="0" applyNumberFormat="1" applyFont="1" applyFill="1" applyBorder="1" applyAlignment="1">
      <alignment horizontal="center" vertical="center"/>
    </xf>
    <xf numFmtId="167" fontId="61" fillId="3" borderId="2" xfId="0" applyNumberFormat="1" applyFont="1" applyFill="1" applyBorder="1" applyAlignment="1">
      <alignment horizontal="center" vertical="center"/>
    </xf>
    <xf numFmtId="167" fontId="62" fillId="3" borderId="0" xfId="0" applyNumberFormat="1" applyFont="1" applyFill="1"/>
    <xf numFmtId="49" fontId="62" fillId="3" borderId="0" xfId="0" applyNumberFormat="1" applyFont="1" applyFill="1" applyAlignment="1">
      <alignment horizontal="left" vertical="top"/>
    </xf>
    <xf numFmtId="167" fontId="25" fillId="3" borderId="0" xfId="0" applyNumberFormat="1" applyFont="1" applyFill="1" applyAlignment="1">
      <alignment horizontal="center" vertical="center"/>
    </xf>
    <xf numFmtId="0" fontId="79" fillId="3" borderId="0" xfId="0" applyFont="1" applyFill="1" applyAlignment="1">
      <alignment horizontal="center" vertical="center" wrapText="1"/>
    </xf>
    <xf numFmtId="167" fontId="80" fillId="3" borderId="0" xfId="0" applyNumberFormat="1" applyFont="1" applyFill="1" applyAlignment="1">
      <alignment horizontal="center" vertical="center"/>
    </xf>
    <xf numFmtId="167" fontId="79" fillId="3" borderId="0" xfId="0" applyNumberFormat="1" applyFont="1" applyFill="1" applyAlignment="1">
      <alignment horizontal="center" vertical="center"/>
    </xf>
    <xf numFmtId="0" fontId="26" fillId="3" borderId="0" xfId="0" applyFont="1" applyFill="1" applyAlignment="1">
      <alignment horizontal="center" vertical="center"/>
    </xf>
    <xf numFmtId="173" fontId="72" fillId="3" borderId="0" xfId="1" applyNumberFormat="1" applyFont="1" applyFill="1" applyAlignment="1">
      <alignment horizontal="center" vertical="center"/>
    </xf>
    <xf numFmtId="0" fontId="81" fillId="3" borderId="0" xfId="0" applyFont="1" applyFill="1" applyAlignment="1">
      <alignment horizontal="right"/>
    </xf>
    <xf numFmtId="167" fontId="82" fillId="3" borderId="2" xfId="0" applyNumberFormat="1" applyFont="1" applyFill="1" applyBorder="1" applyAlignment="1">
      <alignment horizontal="center" vertical="center"/>
    </xf>
    <xf numFmtId="0" fontId="81" fillId="3" borderId="0" xfId="0" applyFont="1" applyFill="1" applyAlignment="1">
      <alignment horizontal="right" vertical="center"/>
    </xf>
    <xf numFmtId="0" fontId="82" fillId="3" borderId="2" xfId="0" applyFont="1" applyFill="1" applyBorder="1" applyAlignment="1">
      <alignment horizontal="center" vertical="center"/>
    </xf>
    <xf numFmtId="0" fontId="82" fillId="3" borderId="0" xfId="0" applyFont="1" applyFill="1" applyAlignment="1">
      <alignment horizontal="center" vertical="center"/>
    </xf>
    <xf numFmtId="0" fontId="58" fillId="0" borderId="0" xfId="0" applyFont="1"/>
    <xf numFmtId="0" fontId="44" fillId="0" borderId="0" xfId="0" applyFont="1"/>
    <xf numFmtId="0" fontId="44" fillId="0" borderId="0" xfId="0" applyFont="1" applyAlignment="1">
      <alignment horizontal="center" vertical="center"/>
    </xf>
    <xf numFmtId="0" fontId="59" fillId="0" borderId="0" xfId="0" applyFont="1" applyAlignment="1">
      <alignment horizontal="right" vertical="center"/>
    </xf>
    <xf numFmtId="0" fontId="59" fillId="0" borderId="0" xfId="0" applyFont="1"/>
    <xf numFmtId="0" fontId="61" fillId="0" borderId="0" xfId="0" applyFont="1"/>
    <xf numFmtId="0" fontId="62" fillId="0" borderId="0" xfId="0" applyFont="1"/>
    <xf numFmtId="0" fontId="64" fillId="0" borderId="0" xfId="0" applyFont="1" applyAlignment="1">
      <alignment horizontal="left" vertical="center"/>
    </xf>
    <xf numFmtId="0" fontId="65" fillId="0" borderId="0" xfId="0" applyFont="1" applyAlignment="1">
      <alignment horizontal="right" vertical="center"/>
    </xf>
    <xf numFmtId="0" fontId="25" fillId="20" borderId="0" xfId="0" applyFont="1" applyFill="1" applyAlignment="1">
      <alignment horizontal="center" vertical="center"/>
    </xf>
    <xf numFmtId="0" fontId="69" fillId="0" borderId="0" xfId="0" applyFont="1" applyAlignment="1">
      <alignment horizontal="left" vertical="center"/>
    </xf>
    <xf numFmtId="0" fontId="30" fillId="0" borderId="0" xfId="0" applyFont="1" applyAlignment="1">
      <alignment horizontal="center" vertical="center"/>
    </xf>
    <xf numFmtId="14" fontId="25" fillId="0" borderId="0" xfId="0" applyNumberFormat="1" applyFont="1" applyAlignment="1">
      <alignment horizontal="center" vertical="center"/>
    </xf>
    <xf numFmtId="1" fontId="25" fillId="0" borderId="0" xfId="0" applyNumberFormat="1" applyFont="1"/>
    <xf numFmtId="0" fontId="70" fillId="0" borderId="0" xfId="0" applyFont="1" applyAlignment="1">
      <alignment horizontal="center" vertical="center"/>
    </xf>
    <xf numFmtId="0" fontId="70" fillId="0" borderId="0" xfId="0" applyFont="1" applyAlignment="1">
      <alignment horizontal="left" vertical="center"/>
    </xf>
    <xf numFmtId="0" fontId="71" fillId="0" borderId="2" xfId="0" applyFont="1" applyBorder="1" applyAlignment="1">
      <alignment horizontal="center" vertical="center"/>
    </xf>
    <xf numFmtId="173" fontId="25" fillId="0" borderId="0" xfId="1" applyNumberFormat="1" applyFont="1" applyFill="1"/>
    <xf numFmtId="0" fontId="25" fillId="0" borderId="0" xfId="0" applyFont="1" applyAlignment="1">
      <alignment horizontal="right"/>
    </xf>
    <xf numFmtId="167" fontId="25" fillId="0" borderId="0" xfId="0" applyNumberFormat="1" applyFont="1"/>
    <xf numFmtId="0" fontId="31" fillId="20" borderId="2" xfId="0" applyFont="1" applyFill="1" applyBorder="1" applyAlignment="1">
      <alignment horizontal="center" vertical="center" wrapText="1"/>
    </xf>
    <xf numFmtId="17" fontId="61" fillId="0" borderId="2" xfId="0" applyNumberFormat="1" applyFont="1" applyBorder="1" applyAlignment="1">
      <alignment horizontal="center" vertical="center"/>
    </xf>
    <xf numFmtId="1" fontId="72" fillId="20" borderId="2" xfId="1" applyNumberFormat="1" applyFont="1" applyFill="1" applyBorder="1" applyAlignment="1">
      <alignment horizontal="center" vertical="center"/>
    </xf>
    <xf numFmtId="1" fontId="73" fillId="20" borderId="2" xfId="1" applyNumberFormat="1" applyFont="1" applyFill="1" applyBorder="1" applyAlignment="1">
      <alignment horizontal="center" vertical="center"/>
    </xf>
    <xf numFmtId="167" fontId="74" fillId="0" borderId="0" xfId="0" applyNumberFormat="1" applyFont="1"/>
    <xf numFmtId="0" fontId="72" fillId="0" borderId="0" xfId="0" applyFont="1" applyAlignment="1">
      <alignment horizontal="center" vertical="center"/>
    </xf>
    <xf numFmtId="182" fontId="61" fillId="0" borderId="2" xfId="0" applyNumberFormat="1" applyFont="1" applyBorder="1" applyAlignment="1">
      <alignment horizontal="center" vertical="center"/>
    </xf>
    <xf numFmtId="0" fontId="75" fillId="0" borderId="0" xfId="0" applyFont="1" applyAlignment="1">
      <alignment horizontal="right" vertical="center"/>
    </xf>
    <xf numFmtId="1" fontId="73" fillId="0" borderId="2" xfId="1" applyNumberFormat="1" applyFont="1" applyFill="1" applyBorder="1" applyAlignment="1">
      <alignment horizontal="center" vertical="center"/>
    </xf>
    <xf numFmtId="0" fontId="26" fillId="0" borderId="0" xfId="0" applyFont="1"/>
    <xf numFmtId="172" fontId="61" fillId="0" borderId="2" xfId="0" applyNumberFormat="1" applyFont="1" applyBorder="1" applyAlignment="1">
      <alignment horizontal="center" vertical="center"/>
    </xf>
    <xf numFmtId="1" fontId="72" fillId="0" borderId="2" xfId="1" applyNumberFormat="1" applyFont="1" applyFill="1" applyBorder="1" applyAlignment="1">
      <alignment horizontal="center" vertical="center"/>
    </xf>
    <xf numFmtId="167" fontId="62" fillId="0" borderId="0" xfId="0" applyNumberFormat="1" applyFont="1"/>
    <xf numFmtId="49" fontId="62" fillId="0" borderId="0" xfId="0" applyNumberFormat="1" applyFont="1" applyAlignment="1">
      <alignment horizontal="left" vertical="top"/>
    </xf>
    <xf numFmtId="167" fontId="25" fillId="0" borderId="0" xfId="0" applyNumberFormat="1" applyFont="1" applyAlignment="1">
      <alignment horizontal="center" vertical="center"/>
    </xf>
    <xf numFmtId="0" fontId="79" fillId="0" borderId="0" xfId="0" applyFont="1" applyAlignment="1">
      <alignment horizontal="center" vertical="center" wrapText="1"/>
    </xf>
    <xf numFmtId="167" fontId="80" fillId="0" borderId="0" xfId="0" applyNumberFormat="1" applyFont="1" applyAlignment="1">
      <alignment horizontal="center" vertical="center"/>
    </xf>
    <xf numFmtId="167" fontId="79" fillId="0" borderId="0" xfId="0" applyNumberFormat="1" applyFont="1" applyAlignment="1">
      <alignment horizontal="center" vertical="center"/>
    </xf>
    <xf numFmtId="0" fontId="26" fillId="0" borderId="0" xfId="0" applyFont="1" applyAlignment="1">
      <alignment horizontal="center" vertical="center"/>
    </xf>
    <xf numFmtId="173" fontId="72" fillId="0" borderId="0" xfId="1" applyNumberFormat="1" applyFont="1" applyFill="1" applyAlignment="1">
      <alignment horizontal="center" vertical="center"/>
    </xf>
    <xf numFmtId="0" fontId="81" fillId="0" borderId="0" xfId="0" applyFont="1" applyAlignment="1">
      <alignment horizontal="right"/>
    </xf>
    <xf numFmtId="167" fontId="82" fillId="0" borderId="2" xfId="0" applyNumberFormat="1" applyFont="1" applyBorder="1" applyAlignment="1">
      <alignment horizontal="center" vertical="center"/>
    </xf>
    <xf numFmtId="0" fontId="81" fillId="0" borderId="0" xfId="0" applyFont="1" applyAlignment="1">
      <alignment horizontal="right" vertical="center"/>
    </xf>
    <xf numFmtId="0" fontId="82" fillId="0" borderId="2" xfId="0" applyFont="1" applyBorder="1" applyAlignment="1">
      <alignment horizontal="center" vertical="center"/>
    </xf>
    <xf numFmtId="0" fontId="82" fillId="0" borderId="0" xfId="0" applyFont="1" applyAlignment="1">
      <alignment horizontal="center" vertical="center"/>
    </xf>
    <xf numFmtId="0" fontId="30" fillId="0" borderId="0" xfId="0" applyFont="1"/>
    <xf numFmtId="0" fontId="61" fillId="0" borderId="0" xfId="0" applyFont="1" applyAlignment="1">
      <alignment wrapText="1"/>
    </xf>
    <xf numFmtId="0" fontId="32" fillId="0" borderId="0" xfId="0" applyFont="1" applyProtection="1">
      <protection locked="0"/>
    </xf>
    <xf numFmtId="0" fontId="88" fillId="0" borderId="0" xfId="0" applyFont="1" applyProtection="1">
      <protection locked="0"/>
    </xf>
    <xf numFmtId="0" fontId="25" fillId="0" borderId="0" xfId="0" applyFont="1" applyProtection="1">
      <protection locked="0"/>
    </xf>
    <xf numFmtId="0" fontId="54" fillId="0" borderId="48" xfId="0" applyFont="1" applyBorder="1" applyAlignment="1" applyProtection="1">
      <alignment vertical="center" wrapText="1"/>
      <protection locked="0"/>
    </xf>
    <xf numFmtId="0" fontId="90" fillId="0" borderId="0" xfId="0" applyFont="1" applyProtection="1">
      <protection locked="0"/>
    </xf>
    <xf numFmtId="0" fontId="47" fillId="0" borderId="8" xfId="0" applyFont="1" applyBorder="1" applyAlignment="1" applyProtection="1">
      <alignment horizontal="left"/>
      <protection locked="0"/>
    </xf>
    <xf numFmtId="0" fontId="47" fillId="0" borderId="44" xfId="0" applyFont="1" applyBorder="1" applyAlignment="1" applyProtection="1">
      <alignment horizontal="left"/>
      <protection locked="0"/>
    </xf>
    <xf numFmtId="0" fontId="25" fillId="25" borderId="0" xfId="0" applyFont="1" applyFill="1"/>
    <xf numFmtId="0" fontId="55" fillId="0" borderId="8" xfId="7" applyFont="1" applyFill="1" applyBorder="1" applyAlignment="1">
      <alignment horizontal="left" vertical="center"/>
    </xf>
    <xf numFmtId="0" fontId="91" fillId="0" borderId="44" xfId="7" applyFont="1" applyFill="1" applyBorder="1" applyAlignment="1">
      <alignment horizontal="left" vertical="center"/>
    </xf>
    <xf numFmtId="0" fontId="47" fillId="0" borderId="47" xfId="0" applyFont="1" applyBorder="1" applyAlignment="1" applyProtection="1">
      <alignment vertical="center" wrapText="1"/>
      <protection locked="0"/>
    </xf>
    <xf numFmtId="0" fontId="54" fillId="0" borderId="46" xfId="0" applyFont="1" applyBorder="1" applyAlignment="1" applyProtection="1">
      <alignment vertical="center" wrapText="1"/>
      <protection locked="0"/>
    </xf>
    <xf numFmtId="0" fontId="47" fillId="0" borderId="46" xfId="0" applyFont="1" applyBorder="1" applyAlignment="1" applyProtection="1">
      <alignment vertical="center" wrapText="1"/>
      <protection locked="0"/>
    </xf>
    <xf numFmtId="0" fontId="46" fillId="0" borderId="46" xfId="0" applyFont="1" applyBorder="1" applyAlignment="1" applyProtection="1">
      <alignment vertical="center" wrapText="1"/>
      <protection locked="0"/>
    </xf>
    <xf numFmtId="179" fontId="47" fillId="26" borderId="44" xfId="0" applyNumberFormat="1" applyFont="1" applyFill="1" applyBorder="1" applyAlignment="1" applyProtection="1">
      <alignment horizontal="left"/>
      <protection locked="0"/>
    </xf>
    <xf numFmtId="1" fontId="47" fillId="26" borderId="8" xfId="0" applyNumberFormat="1" applyFont="1" applyFill="1" applyBorder="1" applyAlignment="1" applyProtection="1">
      <alignment horizontal="left"/>
      <protection locked="0"/>
    </xf>
    <xf numFmtId="10" fontId="47" fillId="0" borderId="8" xfId="0" applyNumberFormat="1" applyFont="1" applyBorder="1" applyAlignment="1" applyProtection="1">
      <alignment horizontal="left"/>
      <protection locked="0"/>
    </xf>
    <xf numFmtId="0" fontId="93" fillId="0" borderId="0" xfId="0" applyFont="1"/>
    <xf numFmtId="0" fontId="94" fillId="0" borderId="0" xfId="0" applyFont="1"/>
    <xf numFmtId="0" fontId="46" fillId="27" borderId="46" xfId="0" applyFont="1" applyFill="1" applyBorder="1" applyAlignment="1" applyProtection="1">
      <alignment vertical="center" wrapText="1"/>
      <protection locked="0"/>
    </xf>
    <xf numFmtId="165" fontId="25" fillId="0" borderId="0" xfId="0" applyNumberFormat="1" applyFont="1"/>
    <xf numFmtId="167" fontId="88" fillId="0" borderId="0" xfId="0" applyNumberFormat="1" applyFont="1" applyProtection="1">
      <protection locked="0"/>
    </xf>
    <xf numFmtId="0" fontId="57" fillId="0" borderId="46" xfId="0" applyFont="1" applyBorder="1" applyAlignment="1" applyProtection="1">
      <alignment vertical="center" wrapText="1"/>
      <protection locked="0"/>
    </xf>
    <xf numFmtId="0" fontId="95" fillId="0" borderId="0" xfId="0" applyFont="1" applyProtection="1">
      <protection locked="0"/>
    </xf>
    <xf numFmtId="0" fontId="57" fillId="27" borderId="46" xfId="0" applyFont="1" applyFill="1" applyBorder="1" applyAlignment="1" applyProtection="1">
      <alignment vertical="center" wrapText="1"/>
      <protection locked="0"/>
    </xf>
    <xf numFmtId="0" fontId="44" fillId="0" borderId="0" xfId="0" applyFont="1" applyProtection="1">
      <protection locked="0"/>
    </xf>
    <xf numFmtId="0" fontId="97" fillId="0" borderId="0" xfId="0" applyFont="1" applyProtection="1">
      <protection locked="0"/>
    </xf>
    <xf numFmtId="0" fontId="98" fillId="0" borderId="0" xfId="0" applyFont="1" applyProtection="1">
      <protection locked="0"/>
    </xf>
    <xf numFmtId="0" fontId="99" fillId="0" borderId="0" xfId="0" applyFont="1" applyProtection="1">
      <protection locked="0"/>
    </xf>
    <xf numFmtId="165" fontId="46" fillId="0" borderId="8" xfId="0" applyNumberFormat="1" applyFont="1" applyBorder="1" applyAlignment="1" applyProtection="1">
      <alignment horizontal="left"/>
      <protection locked="0"/>
    </xf>
    <xf numFmtId="165" fontId="46" fillId="0" borderId="44" xfId="0" applyNumberFormat="1" applyFont="1" applyBorder="1" applyAlignment="1" applyProtection="1">
      <alignment horizontal="left"/>
      <protection locked="0"/>
    </xf>
    <xf numFmtId="165" fontId="47" fillId="0" borderId="8" xfId="0" applyNumberFormat="1" applyFont="1" applyBorder="1" applyAlignment="1" applyProtection="1">
      <alignment horizontal="left"/>
      <protection locked="0"/>
    </xf>
    <xf numFmtId="165" fontId="47" fillId="0" borderId="44" xfId="0" applyNumberFormat="1" applyFont="1" applyBorder="1" applyAlignment="1" applyProtection="1">
      <alignment horizontal="left"/>
      <protection locked="0"/>
    </xf>
    <xf numFmtId="0" fontId="92" fillId="27" borderId="46" xfId="0" applyFont="1" applyFill="1" applyBorder="1" applyAlignment="1" applyProtection="1">
      <alignment vertical="center" wrapText="1"/>
      <protection locked="0"/>
    </xf>
    <xf numFmtId="0" fontId="54" fillId="27" borderId="46" xfId="0" applyFont="1" applyFill="1" applyBorder="1" applyAlignment="1" applyProtection="1">
      <alignment vertical="center" wrapText="1"/>
      <protection locked="0"/>
    </xf>
    <xf numFmtId="0" fontId="54" fillId="0" borderId="43" xfId="0" applyFont="1" applyBorder="1" applyAlignment="1" applyProtection="1">
      <alignment vertical="center" wrapText="1"/>
      <protection locked="0"/>
    </xf>
    <xf numFmtId="0" fontId="25" fillId="0" borderId="0" xfId="0" applyFont="1" applyAlignment="1" applyProtection="1">
      <alignment vertical="center" wrapText="1"/>
      <protection locked="0"/>
    </xf>
    <xf numFmtId="0" fontId="97" fillId="0" borderId="0" xfId="0" applyFont="1" applyAlignment="1" applyProtection="1">
      <alignment vertical="center" wrapText="1"/>
      <protection locked="0"/>
    </xf>
    <xf numFmtId="0" fontId="100" fillId="0" borderId="0" xfId="0" applyFont="1" applyProtection="1">
      <protection locked="0"/>
    </xf>
    <xf numFmtId="0" fontId="97" fillId="0" borderId="0" xfId="0" applyFont="1" applyAlignment="1" applyProtection="1">
      <alignment wrapText="1"/>
      <protection locked="0"/>
    </xf>
    <xf numFmtId="0" fontId="25" fillId="0" borderId="0" xfId="0" applyFont="1" applyAlignment="1" applyProtection="1">
      <alignment wrapText="1"/>
      <protection locked="0"/>
    </xf>
    <xf numFmtId="0" fontId="25" fillId="0" borderId="0" xfId="0" applyFont="1" applyAlignment="1">
      <alignment horizontal="right" vertical="center"/>
    </xf>
    <xf numFmtId="0" fontId="25" fillId="0" borderId="0" xfId="0" applyFont="1" applyAlignment="1">
      <alignment horizontal="left"/>
    </xf>
    <xf numFmtId="0" fontId="101" fillId="3" borderId="0" xfId="0" applyFont="1" applyFill="1" applyAlignment="1">
      <alignment horizontal="center"/>
    </xf>
    <xf numFmtId="0" fontId="102" fillId="0" borderId="6" xfId="0" applyFont="1" applyBorder="1" applyAlignment="1">
      <alignment horizontal="center"/>
    </xf>
    <xf numFmtId="0" fontId="54" fillId="0" borderId="0" xfId="0" applyFont="1" applyAlignment="1">
      <alignment horizontal="left" vertical="center"/>
    </xf>
    <xf numFmtId="0" fontId="26" fillId="0" borderId="0" xfId="0" applyFont="1" applyAlignment="1">
      <alignment horizontal="right" vertical="center" indent="1"/>
    </xf>
    <xf numFmtId="165" fontId="68" fillId="8" borderId="40" xfId="3" applyNumberFormat="1" applyFont="1" applyFill="1" applyBorder="1" applyAlignment="1" applyProtection="1">
      <alignment horizontal="center" vertical="center"/>
      <protection locked="0"/>
    </xf>
    <xf numFmtId="0" fontId="25" fillId="0" borderId="0" xfId="0" applyFont="1" applyAlignment="1">
      <alignment horizontal="right" indent="1"/>
    </xf>
    <xf numFmtId="165" fontId="68" fillId="8" borderId="20" xfId="3" applyNumberFormat="1" applyFont="1" applyFill="1" applyBorder="1" applyAlignment="1" applyProtection="1">
      <alignment horizontal="center" vertical="center"/>
      <protection locked="0"/>
    </xf>
    <xf numFmtId="0" fontId="25" fillId="0" borderId="24" xfId="0" applyFont="1" applyBorder="1" applyAlignment="1">
      <alignment horizontal="right" vertical="center"/>
    </xf>
    <xf numFmtId="0" fontId="102" fillId="0" borderId="0" xfId="0" applyFont="1" applyAlignment="1">
      <alignment horizontal="left" vertical="center"/>
    </xf>
    <xf numFmtId="0" fontId="103" fillId="0" borderId="0" xfId="0" applyFont="1" applyAlignment="1">
      <alignment horizontal="right" vertical="center" indent="1"/>
    </xf>
    <xf numFmtId="165" fontId="103" fillId="0" borderId="0" xfId="0" applyNumberFormat="1" applyFont="1" applyAlignment="1">
      <alignment vertical="center"/>
    </xf>
    <xf numFmtId="0" fontId="26" fillId="0" borderId="0" xfId="0" applyFont="1" applyAlignment="1">
      <alignment horizontal="left" vertical="center"/>
    </xf>
    <xf numFmtId="1" fontId="68" fillId="8" borderId="20" xfId="3" applyNumberFormat="1" applyFont="1" applyFill="1" applyBorder="1" applyAlignment="1" applyProtection="1">
      <alignment horizontal="center" vertical="center"/>
      <protection locked="0"/>
    </xf>
    <xf numFmtId="0" fontId="102" fillId="0" borderId="0" xfId="0" applyFont="1" applyAlignment="1">
      <alignment horizontal="left" vertical="center" wrapText="1"/>
    </xf>
    <xf numFmtId="0" fontId="25" fillId="0" borderId="0" xfId="0" applyFont="1" applyAlignment="1">
      <alignment horizontal="left" vertical="center"/>
    </xf>
    <xf numFmtId="0" fontId="105" fillId="0" borderId="0" xfId="0" applyFont="1" applyAlignment="1">
      <alignment horizontal="left" vertical="center"/>
    </xf>
    <xf numFmtId="0" fontId="26" fillId="0" borderId="3" xfId="0" applyFont="1" applyBorder="1" applyAlignment="1">
      <alignment horizontal="center" vertical="center"/>
    </xf>
    <xf numFmtId="0" fontId="106" fillId="12" borderId="0" xfId="0" applyFont="1" applyFill="1" applyAlignment="1">
      <alignment horizontal="center"/>
    </xf>
    <xf numFmtId="0" fontId="106" fillId="24" borderId="4" xfId="0" applyFont="1" applyFill="1" applyBorder="1" applyAlignment="1">
      <alignment horizontal="left"/>
    </xf>
    <xf numFmtId="0" fontId="107" fillId="0" borderId="3" xfId="0" applyFont="1" applyBorder="1" applyAlignment="1">
      <alignment horizontal="right" vertical="center"/>
    </xf>
    <xf numFmtId="171" fontId="108" fillId="12" borderId="0" xfId="2" applyNumberFormat="1" applyFont="1" applyFill="1" applyBorder="1" applyAlignment="1">
      <alignment horizontal="center" vertical="center"/>
    </xf>
    <xf numFmtId="171" fontId="108" fillId="24" borderId="4" xfId="2" applyNumberFormat="1" applyFont="1" applyFill="1" applyBorder="1" applyAlignment="1">
      <alignment horizontal="center" vertical="center"/>
    </xf>
    <xf numFmtId="0" fontId="25" fillId="0" borderId="0" xfId="0" quotePrefix="1" applyFont="1" applyAlignment="1">
      <alignment horizontal="right" vertical="center"/>
    </xf>
    <xf numFmtId="167" fontId="109" fillId="0" borderId="0" xfId="0" applyNumberFormat="1" applyFont="1" applyAlignment="1">
      <alignment horizontal="left" vertical="center"/>
    </xf>
    <xf numFmtId="0" fontId="105" fillId="0" borderId="3" xfId="0" applyFont="1" applyBorder="1" applyAlignment="1">
      <alignment horizontal="left" vertical="center"/>
    </xf>
    <xf numFmtId="0" fontId="25" fillId="0" borderId="4" xfId="0" applyFont="1" applyBorder="1"/>
    <xf numFmtId="0" fontId="110" fillId="0" borderId="3" xfId="0" applyFont="1" applyBorder="1" applyAlignment="1">
      <alignment horizontal="center" vertical="center"/>
    </xf>
    <xf numFmtId="0" fontId="110" fillId="0" borderId="0" xfId="0" applyFont="1" applyAlignment="1">
      <alignment horizontal="center" vertical="center"/>
    </xf>
    <xf numFmtId="0" fontId="110" fillId="0" borderId="4" xfId="0" applyFont="1" applyBorder="1" applyAlignment="1">
      <alignment horizontal="center" vertical="center"/>
    </xf>
    <xf numFmtId="0" fontId="25" fillId="0" borderId="0" xfId="0" quotePrefix="1" applyFont="1" applyAlignment="1">
      <alignment horizontal="left" vertical="center"/>
    </xf>
    <xf numFmtId="1" fontId="108" fillId="3" borderId="0" xfId="1" applyNumberFormat="1" applyFont="1" applyFill="1" applyBorder="1" applyAlignment="1">
      <alignment horizontal="center" vertical="center"/>
    </xf>
    <xf numFmtId="171" fontId="108" fillId="3" borderId="4" xfId="2" applyNumberFormat="1" applyFont="1" applyFill="1" applyBorder="1" applyAlignment="1">
      <alignment horizontal="center" vertical="center"/>
    </xf>
    <xf numFmtId="0" fontId="111" fillId="0" borderId="8" xfId="0" applyFont="1" applyBorder="1" applyAlignment="1">
      <alignment horizontal="right" vertical="center"/>
    </xf>
    <xf numFmtId="165" fontId="84" fillId="12" borderId="9" xfId="0" applyNumberFormat="1" applyFont="1" applyFill="1" applyBorder="1" applyAlignment="1">
      <alignment horizontal="center" vertical="center"/>
    </xf>
    <xf numFmtId="171" fontId="84" fillId="24" borderId="10" xfId="2" applyNumberFormat="1" applyFont="1" applyFill="1" applyBorder="1" applyAlignment="1">
      <alignment horizontal="center" vertical="center"/>
    </xf>
    <xf numFmtId="0" fontId="102" fillId="3" borderId="0" xfId="0" applyFont="1" applyFill="1" applyAlignment="1">
      <alignment horizontal="left" vertical="center" wrapText="1"/>
    </xf>
    <xf numFmtId="0" fontId="65" fillId="0" borderId="0" xfId="0" applyFont="1" applyAlignment="1">
      <alignment horizontal="left" vertical="center"/>
    </xf>
    <xf numFmtId="9" fontId="65" fillId="0" borderId="0" xfId="2" applyFont="1" applyFill="1" applyBorder="1" applyAlignment="1">
      <alignment horizontal="center" vertical="center"/>
    </xf>
    <xf numFmtId="171" fontId="65" fillId="0" borderId="0" xfId="2" applyNumberFormat="1" applyFont="1" applyFill="1" applyBorder="1" applyAlignment="1">
      <alignment horizontal="center" vertical="center"/>
    </xf>
    <xf numFmtId="0" fontId="112" fillId="0" borderId="0" xfId="0" applyFont="1" applyAlignment="1">
      <alignment horizontal="left" vertical="center"/>
    </xf>
    <xf numFmtId="0" fontId="113" fillId="0" borderId="0" xfId="0" applyFont="1"/>
    <xf numFmtId="0" fontId="72" fillId="0" borderId="0" xfId="0" applyFont="1"/>
    <xf numFmtId="0" fontId="61" fillId="0" borderId="0" xfId="0" applyFont="1" applyAlignment="1">
      <alignment vertical="center"/>
    </xf>
    <xf numFmtId="171" fontId="25" fillId="0" borderId="0" xfId="0" applyNumberFormat="1" applyFont="1" applyAlignment="1">
      <alignment vertical="center"/>
    </xf>
    <xf numFmtId="172" fontId="25" fillId="0" borderId="0" xfId="0" applyNumberFormat="1" applyFont="1" applyAlignment="1">
      <alignment vertical="center"/>
    </xf>
    <xf numFmtId="0" fontId="72" fillId="0" borderId="0" xfId="0" applyFont="1" applyAlignment="1">
      <alignment vertical="center"/>
    </xf>
    <xf numFmtId="0" fontId="114" fillId="0" borderId="0" xfId="0" applyFont="1" applyAlignment="1">
      <alignment vertical="center"/>
    </xf>
    <xf numFmtId="0" fontId="26" fillId="0" borderId="0" xfId="0" applyFont="1" applyAlignment="1">
      <alignment horizontal="right" vertical="center"/>
    </xf>
    <xf numFmtId="10" fontId="115" fillId="0" borderId="1" xfId="3" applyNumberFormat="1" applyFont="1" applyFill="1" applyAlignment="1" applyProtection="1">
      <alignment horizontal="center" vertical="center"/>
    </xf>
    <xf numFmtId="10" fontId="115" fillId="3" borderId="1" xfId="3" applyNumberFormat="1" applyFont="1" applyFill="1" applyAlignment="1" applyProtection="1">
      <alignment horizontal="center" vertical="center"/>
    </xf>
    <xf numFmtId="1" fontId="115" fillId="28" borderId="1" xfId="1" applyNumberFormat="1" applyFont="1" applyFill="1" applyBorder="1" applyAlignment="1" applyProtection="1">
      <alignment horizontal="center" vertical="center"/>
      <protection locked="0"/>
    </xf>
    <xf numFmtId="170" fontId="115" fillId="28" borderId="1" xfId="3" applyNumberFormat="1" applyFont="1" applyFill="1" applyAlignment="1" applyProtection="1">
      <alignment horizontal="center" vertical="center"/>
      <protection locked="0"/>
    </xf>
    <xf numFmtId="0" fontId="116" fillId="0" borderId="0" xfId="0" applyFont="1" applyAlignment="1">
      <alignment vertical="center"/>
    </xf>
    <xf numFmtId="0" fontId="116" fillId="0" borderId="0" xfId="0" applyFont="1"/>
    <xf numFmtId="0" fontId="57" fillId="0" borderId="0" xfId="0" applyFont="1" applyAlignment="1">
      <alignment vertical="center"/>
    </xf>
    <xf numFmtId="0" fontId="75" fillId="0" borderId="0" xfId="0" applyFont="1" applyAlignment="1">
      <alignment horizontal="center"/>
    </xf>
    <xf numFmtId="0" fontId="72" fillId="9" borderId="0" xfId="0" applyFont="1" applyFill="1" applyProtection="1">
      <protection locked="0"/>
    </xf>
    <xf numFmtId="0" fontId="26" fillId="0" borderId="0" xfId="0" applyFont="1" applyAlignment="1">
      <alignment horizontal="right" vertical="top"/>
    </xf>
    <xf numFmtId="10" fontId="60" fillId="0" borderId="0" xfId="3" applyNumberFormat="1" applyFont="1" applyFill="1" applyBorder="1" applyAlignment="1" applyProtection="1">
      <alignment horizontal="center" vertical="center"/>
    </xf>
    <xf numFmtId="10" fontId="117" fillId="0" borderId="0" xfId="2" applyNumberFormat="1" applyFont="1" applyFill="1" applyBorder="1" applyAlignment="1" applyProtection="1">
      <alignment horizontal="center" vertical="center"/>
    </xf>
    <xf numFmtId="0" fontId="72" fillId="0" borderId="0" xfId="0" applyFont="1" applyProtection="1">
      <protection locked="0"/>
    </xf>
    <xf numFmtId="0" fontId="25" fillId="0" borderId="0" xfId="0" applyFont="1" applyAlignment="1">
      <alignment horizontal="center" vertical="top"/>
    </xf>
    <xf numFmtId="0" fontId="118" fillId="0" borderId="0" xfId="0" applyFont="1"/>
    <xf numFmtId="0" fontId="119" fillId="0" borderId="0" xfId="0" applyFont="1" applyAlignment="1">
      <alignment horizontal="right" vertical="top"/>
    </xf>
    <xf numFmtId="10" fontId="120" fillId="0" borderId="0" xfId="3" applyNumberFormat="1" applyFont="1" applyFill="1" applyBorder="1" applyAlignment="1" applyProtection="1">
      <alignment horizontal="center" vertical="center"/>
    </xf>
    <xf numFmtId="10" fontId="121" fillId="0" borderId="136" xfId="2" applyNumberFormat="1" applyFont="1" applyFill="1" applyBorder="1" applyAlignment="1" applyProtection="1">
      <alignment horizontal="center" vertical="center"/>
    </xf>
    <xf numFmtId="0" fontId="72" fillId="0" borderId="0" xfId="0" applyFont="1" applyAlignment="1">
      <alignment horizontal="right" vertical="center"/>
    </xf>
    <xf numFmtId="0" fontId="116" fillId="3" borderId="0" xfId="0" applyFont="1" applyFill="1" applyAlignment="1">
      <alignment vertical="center"/>
    </xf>
    <xf numFmtId="0" fontId="75" fillId="0" borderId="135" xfId="0" applyFont="1" applyBorder="1" applyAlignment="1">
      <alignment horizontal="center" vertical="center"/>
    </xf>
    <xf numFmtId="0" fontId="75" fillId="3" borderId="135" xfId="0" applyFont="1" applyFill="1" applyBorder="1" applyAlignment="1">
      <alignment horizontal="center" vertical="center"/>
    </xf>
    <xf numFmtId="0" fontId="123" fillId="0" borderId="0" xfId="0" applyFont="1" applyAlignment="1">
      <alignment vertical="center" wrapText="1"/>
    </xf>
    <xf numFmtId="0" fontId="54" fillId="0" borderId="0" xfId="0" applyFont="1" applyAlignment="1">
      <alignment horizontal="right" vertical="center"/>
    </xf>
    <xf numFmtId="10" fontId="124" fillId="0" borderId="23" xfId="0" applyNumberFormat="1" applyFont="1" applyBorder="1" applyAlignment="1">
      <alignment horizontal="center" vertical="center"/>
    </xf>
    <xf numFmtId="10" fontId="54" fillId="3" borderId="23" xfId="0" applyNumberFormat="1" applyFont="1" applyFill="1" applyBorder="1" applyAlignment="1">
      <alignment horizontal="center" vertical="center"/>
    </xf>
    <xf numFmtId="10" fontId="124" fillId="3" borderId="23" xfId="0" applyNumberFormat="1" applyFont="1" applyFill="1" applyBorder="1" applyAlignment="1">
      <alignment horizontal="center" vertical="center"/>
    </xf>
    <xf numFmtId="9" fontId="125" fillId="28" borderId="134" xfId="3" applyNumberFormat="1" applyFont="1" applyFill="1" applyBorder="1" applyAlignment="1" applyProtection="1">
      <alignment horizontal="center" vertical="center"/>
      <protection locked="0"/>
    </xf>
    <xf numFmtId="10" fontId="124" fillId="0" borderId="31" xfId="0" applyNumberFormat="1" applyFont="1" applyBorder="1" applyAlignment="1">
      <alignment horizontal="center" vertical="center"/>
    </xf>
    <xf numFmtId="10" fontId="54" fillId="0" borderId="114" xfId="0" applyNumberFormat="1" applyFont="1" applyBorder="1" applyAlignment="1">
      <alignment horizontal="center" vertical="center"/>
    </xf>
    <xf numFmtId="10" fontId="124" fillId="3" borderId="114" xfId="0" applyNumberFormat="1" applyFont="1" applyFill="1" applyBorder="1" applyAlignment="1">
      <alignment horizontal="center" vertical="center"/>
    </xf>
    <xf numFmtId="9" fontId="91" fillId="0" borderId="133" xfId="3" applyNumberFormat="1" applyFont="1" applyFill="1" applyBorder="1" applyAlignment="1" applyProtection="1">
      <alignment horizontal="center" vertical="center"/>
    </xf>
    <xf numFmtId="10" fontId="124" fillId="0" borderId="7" xfId="0" applyNumberFormat="1" applyFont="1" applyBorder="1" applyAlignment="1">
      <alignment horizontal="center" vertical="center"/>
    </xf>
    <xf numFmtId="9" fontId="69" fillId="0" borderId="0" xfId="0" applyNumberFormat="1" applyFont="1" applyAlignment="1">
      <alignment horizontal="center" vertical="center"/>
    </xf>
    <xf numFmtId="0" fontId="126" fillId="0" borderId="0" xfId="0" applyFont="1"/>
    <xf numFmtId="0" fontId="61" fillId="0" borderId="0" xfId="0" applyFont="1" applyAlignment="1">
      <alignment horizontal="right" vertical="center"/>
    </xf>
    <xf numFmtId="10" fontId="108" fillId="0" borderId="0" xfId="2" applyNumberFormat="1" applyFont="1" applyFill="1" applyBorder="1" applyAlignment="1" applyProtection="1">
      <alignment horizontal="center" vertical="center"/>
    </xf>
    <xf numFmtId="188" fontId="25" fillId="0" borderId="0" xfId="0" applyNumberFormat="1" applyFont="1"/>
    <xf numFmtId="187" fontId="108" fillId="11" borderId="0" xfId="2" applyNumberFormat="1" applyFont="1" applyFill="1" applyBorder="1" applyAlignment="1" applyProtection="1">
      <alignment horizontal="center" vertical="center"/>
    </xf>
    <xf numFmtId="10" fontId="25" fillId="0" borderId="0" xfId="0" applyNumberFormat="1" applyFont="1" applyAlignment="1">
      <alignment horizontal="center" vertical="center"/>
    </xf>
    <xf numFmtId="186" fontId="128" fillId="0" borderId="0" xfId="2" applyNumberFormat="1" applyFont="1" applyFill="1" applyBorder="1" applyAlignment="1" applyProtection="1">
      <alignment horizontal="center" vertical="center"/>
    </xf>
    <xf numFmtId="186" fontId="129" fillId="0" borderId="0" xfId="2" applyNumberFormat="1" applyFont="1" applyFill="1" applyAlignment="1" applyProtection="1">
      <alignment horizontal="left" vertical="center"/>
    </xf>
    <xf numFmtId="0" fontId="25" fillId="3" borderId="0" xfId="0" applyFont="1" applyFill="1" applyAlignment="1">
      <alignment vertical="center"/>
    </xf>
    <xf numFmtId="0" fontId="32" fillId="3" borderId="0" xfId="0" applyFont="1" applyFill="1" applyAlignment="1">
      <alignment horizontal="left" wrapText="1"/>
    </xf>
    <xf numFmtId="0" fontId="25" fillId="0" borderId="0" xfId="0" applyFont="1" applyAlignment="1">
      <alignment vertical="top"/>
    </xf>
    <xf numFmtId="0" fontId="133" fillId="0" borderId="0" xfId="0" applyFont="1" applyAlignment="1">
      <alignment vertical="center" wrapText="1"/>
    </xf>
    <xf numFmtId="0" fontId="32" fillId="0" borderId="0" xfId="0" applyFont="1" applyAlignment="1">
      <alignment horizontal="left" wrapText="1"/>
    </xf>
    <xf numFmtId="0" fontId="60" fillId="0" borderId="0" xfId="0" applyFont="1" applyAlignment="1">
      <alignment horizontal="center" vertical="center"/>
    </xf>
    <xf numFmtId="0" fontId="68" fillId="0" borderId="29" xfId="0" applyFont="1" applyBorder="1"/>
    <xf numFmtId="1" fontId="135" fillId="0" borderId="0" xfId="1" applyNumberFormat="1" applyFont="1" applyFill="1" applyBorder="1" applyAlignment="1" applyProtection="1">
      <alignment vertical="center"/>
    </xf>
    <xf numFmtId="0" fontId="68" fillId="9" borderId="5" xfId="0" applyFont="1" applyFill="1" applyBorder="1" applyProtection="1">
      <protection locked="0"/>
    </xf>
    <xf numFmtId="0" fontId="60" fillId="0" borderId="0" xfId="0" applyFont="1"/>
    <xf numFmtId="0" fontId="68" fillId="0" borderId="0" xfId="0" applyFont="1" applyAlignment="1">
      <alignment vertical="center"/>
    </xf>
    <xf numFmtId="0" fontId="60" fillId="0" borderId="0" xfId="0" applyFont="1" applyAlignment="1">
      <alignment horizontal="left" vertical="center"/>
    </xf>
    <xf numFmtId="0" fontId="137" fillId="0" borderId="0" xfId="0" applyFont="1" applyAlignment="1">
      <alignment vertical="center"/>
    </xf>
    <xf numFmtId="9" fontId="60" fillId="0" borderId="0" xfId="0" applyNumberFormat="1" applyFont="1"/>
    <xf numFmtId="0" fontId="138" fillId="0" borderId="0" xfId="0" applyFont="1" applyAlignment="1">
      <alignment horizontal="center" vertical="top" wrapText="1"/>
    </xf>
    <xf numFmtId="0" fontId="139" fillId="0" borderId="0" xfId="0" applyFont="1" applyAlignment="1">
      <alignment horizontal="center" vertical="center"/>
    </xf>
    <xf numFmtId="0" fontId="60" fillId="3" borderId="0" xfId="0" applyFont="1" applyFill="1"/>
    <xf numFmtId="0" fontId="25" fillId="26" borderId="0" xfId="0" applyFont="1" applyFill="1"/>
    <xf numFmtId="0" fontId="60" fillId="3" borderId="0" xfId="0" applyFont="1" applyFill="1" applyAlignment="1">
      <alignment horizontal="center" vertical="center"/>
    </xf>
    <xf numFmtId="0" fontId="54" fillId="0" borderId="0" xfId="0" applyFont="1"/>
    <xf numFmtId="0" fontId="143" fillId="0" borderId="0" xfId="0" applyFont="1"/>
    <xf numFmtId="0" fontId="26" fillId="8" borderId="0" xfId="0" applyFont="1" applyFill="1" applyAlignment="1" applyProtection="1">
      <alignment horizontal="center" vertical="center"/>
      <protection locked="0"/>
    </xf>
    <xf numFmtId="0" fontId="25" fillId="8" borderId="0" xfId="0" applyFont="1" applyFill="1"/>
    <xf numFmtId="0" fontId="26" fillId="0" borderId="0" xfId="0" applyFont="1" applyAlignment="1">
      <alignment horizontal="left"/>
    </xf>
    <xf numFmtId="164" fontId="25" fillId="0" borderId="0" xfId="0" applyNumberFormat="1" applyFont="1"/>
    <xf numFmtId="9" fontId="25" fillId="0" borderId="0" xfId="2" applyFont="1"/>
    <xf numFmtId="9" fontId="25" fillId="0" borderId="0" xfId="0" applyNumberFormat="1" applyFont="1"/>
    <xf numFmtId="10" fontId="25" fillId="0" borderId="0" xfId="2" applyNumberFormat="1" applyFont="1"/>
    <xf numFmtId="0" fontId="26" fillId="25" borderId="0" xfId="0" applyFont="1" applyFill="1" applyAlignment="1">
      <alignment horizontal="left"/>
    </xf>
    <xf numFmtId="10" fontId="25" fillId="0" borderId="0" xfId="0" applyNumberFormat="1" applyFont="1"/>
    <xf numFmtId="169" fontId="25" fillId="0" borderId="0" xfId="1" applyFont="1"/>
    <xf numFmtId="173" fontId="25" fillId="0" borderId="0" xfId="0" applyNumberFormat="1" applyFont="1"/>
    <xf numFmtId="173" fontId="25" fillId="25" borderId="0" xfId="1" applyNumberFormat="1" applyFont="1" applyFill="1"/>
    <xf numFmtId="170" fontId="25" fillId="0" borderId="0" xfId="2" applyNumberFormat="1" applyFont="1"/>
    <xf numFmtId="0" fontId="26" fillId="25" borderId="0" xfId="0" applyFont="1" applyFill="1"/>
    <xf numFmtId="0" fontId="47" fillId="0" borderId="8" xfId="0" applyFont="1" applyBorder="1" applyProtection="1">
      <protection locked="0"/>
    </xf>
    <xf numFmtId="0" fontId="25" fillId="19" borderId="0" xfId="0" applyFont="1" applyFill="1"/>
    <xf numFmtId="0" fontId="144" fillId="0" borderId="0" xfId="0" applyFont="1" applyAlignment="1">
      <alignment vertical="center"/>
    </xf>
    <xf numFmtId="0" fontId="144" fillId="0" borderId="0" xfId="0" applyFont="1" applyAlignment="1">
      <alignment horizontal="left" vertical="center"/>
    </xf>
    <xf numFmtId="0" fontId="57" fillId="15" borderId="36" xfId="0" applyFont="1" applyFill="1" applyBorder="1" applyAlignment="1">
      <alignment horizontal="center"/>
    </xf>
    <xf numFmtId="173" fontId="39" fillId="0" borderId="0" xfId="1" applyNumberFormat="1" applyFont="1" applyFill="1" applyBorder="1" applyAlignment="1">
      <alignment horizontal="left" vertical="center"/>
    </xf>
    <xf numFmtId="0" fontId="38" fillId="0" borderId="34" xfId="0" applyFont="1" applyBorder="1" applyAlignment="1">
      <alignment horizontal="left" vertical="center" wrapText="1"/>
    </xf>
    <xf numFmtId="0" fontId="38" fillId="0" borderId="33" xfId="0" applyFont="1" applyBorder="1" applyAlignment="1">
      <alignment horizontal="left" vertical="center" wrapText="1"/>
    </xf>
    <xf numFmtId="0" fontId="38" fillId="0" borderId="191" xfId="0" applyFont="1" applyBorder="1" applyAlignment="1">
      <alignment horizontal="left" vertical="center" wrapText="1"/>
    </xf>
    <xf numFmtId="0" fontId="38" fillId="0" borderId="0" xfId="0" applyFont="1" applyAlignment="1">
      <alignment vertical="center"/>
    </xf>
    <xf numFmtId="9" fontId="38" fillId="0" borderId="0" xfId="0" applyNumberFormat="1" applyFont="1" applyAlignment="1">
      <alignment horizontal="center" vertical="center"/>
    </xf>
    <xf numFmtId="0" fontId="38" fillId="0" borderId="190" xfId="0" applyFont="1" applyBorder="1" applyAlignment="1">
      <alignment horizontal="left" vertical="center" wrapText="1"/>
    </xf>
    <xf numFmtId="9" fontId="38" fillId="0" borderId="33" xfId="0" applyNumberFormat="1" applyFont="1" applyBorder="1" applyAlignment="1">
      <alignment horizontal="center" vertical="center" wrapText="1"/>
    </xf>
    <xf numFmtId="9" fontId="38" fillId="0" borderId="191" xfId="0" applyNumberFormat="1" applyFont="1" applyBorder="1" applyAlignment="1">
      <alignment horizontal="center" vertical="center" wrapText="1"/>
    </xf>
    <xf numFmtId="10" fontId="38" fillId="0" borderId="33" xfId="0" applyNumberFormat="1" applyFont="1" applyBorder="1" applyAlignment="1">
      <alignment horizontal="center" vertical="center" wrapText="1"/>
    </xf>
    <xf numFmtId="10" fontId="38" fillId="0" borderId="191" xfId="0" applyNumberFormat="1" applyFont="1" applyBorder="1" applyAlignment="1">
      <alignment horizontal="center" vertical="center" wrapText="1"/>
    </xf>
    <xf numFmtId="0" fontId="35" fillId="0" borderId="34" xfId="0" applyFont="1" applyBorder="1" applyAlignment="1">
      <alignment horizontal="left" vertical="center"/>
    </xf>
    <xf numFmtId="0" fontId="35" fillId="0" borderId="33" xfId="0" applyFont="1" applyBorder="1" applyAlignment="1">
      <alignment horizontal="left" vertical="center"/>
    </xf>
    <xf numFmtId="0" fontId="35" fillId="0" borderId="191" xfId="0" applyFont="1" applyBorder="1" applyAlignment="1">
      <alignment horizontal="left" vertical="center"/>
    </xf>
    <xf numFmtId="0" fontId="38" fillId="0" borderId="190" xfId="0" applyFont="1" applyBorder="1" applyAlignment="1">
      <alignment horizontal="left" vertical="center"/>
    </xf>
    <xf numFmtId="0" fontId="38" fillId="0" borderId="33" xfId="0" applyFont="1" applyBorder="1" applyAlignment="1">
      <alignment horizontal="left" vertical="center"/>
    </xf>
    <xf numFmtId="0" fontId="38" fillId="0" borderId="191" xfId="0" applyFont="1" applyBorder="1" applyAlignment="1">
      <alignment horizontal="left" vertical="center"/>
    </xf>
    <xf numFmtId="0" fontId="39" fillId="0" borderId="17" xfId="0" applyFont="1" applyBorder="1" applyAlignment="1">
      <alignment horizontal="left" vertical="center"/>
    </xf>
    <xf numFmtId="0" fontId="38" fillId="0" borderId="16" xfId="0" applyFont="1" applyBorder="1" applyAlignment="1">
      <alignment horizontal="left" vertical="center"/>
    </xf>
    <xf numFmtId="0" fontId="38" fillId="0" borderId="0" xfId="0" applyFont="1" applyAlignment="1">
      <alignment horizontal="left" vertical="center"/>
    </xf>
    <xf numFmtId="0" fontId="38" fillId="0" borderId="17" xfId="0" applyFont="1" applyBorder="1" applyAlignment="1">
      <alignment horizontal="left" vertical="center"/>
    </xf>
    <xf numFmtId="0" fontId="39" fillId="0" borderId="0" xfId="0" applyFont="1" applyAlignment="1">
      <alignment horizontal="left" vertical="center"/>
    </xf>
    <xf numFmtId="0" fontId="25" fillId="0" borderId="19" xfId="0" applyFont="1" applyBorder="1"/>
    <xf numFmtId="0" fontId="32" fillId="0" borderId="28" xfId="0" applyFont="1" applyBorder="1"/>
    <xf numFmtId="0" fontId="32" fillId="0" borderId="22" xfId="0" applyFont="1" applyBorder="1"/>
    <xf numFmtId="0" fontId="32" fillId="0" borderId="19" xfId="0" applyFont="1" applyBorder="1"/>
    <xf numFmtId="0" fontId="40" fillId="58" borderId="0" xfId="0" applyFont="1" applyFill="1" applyAlignment="1">
      <alignment horizontal="left" vertical="center"/>
    </xf>
    <xf numFmtId="173" fontId="147" fillId="19" borderId="39" xfId="1" applyNumberFormat="1" applyFont="1" applyFill="1" applyBorder="1" applyAlignment="1">
      <alignment horizontal="center" vertical="center"/>
    </xf>
    <xf numFmtId="176" fontId="68" fillId="54" borderId="0" xfId="0" applyNumberFormat="1" applyFont="1" applyFill="1" applyAlignment="1">
      <alignment horizontal="center" vertical="center"/>
    </xf>
    <xf numFmtId="0" fontId="140" fillId="0" borderId="0" xfId="0" applyFont="1" applyAlignment="1">
      <alignment horizontal="right" vertical="center"/>
    </xf>
    <xf numFmtId="169" fontId="25" fillId="0" borderId="0" xfId="0" applyNumberFormat="1" applyFont="1"/>
    <xf numFmtId="0" fontId="92" fillId="0" borderId="26" xfId="0" applyFont="1" applyBorder="1"/>
    <xf numFmtId="0" fontId="25" fillId="0" borderId="27" xfId="0" applyFont="1" applyBorder="1"/>
    <xf numFmtId="0" fontId="92" fillId="0" borderId="27" xfId="0" applyFont="1" applyBorder="1"/>
    <xf numFmtId="0" fontId="92" fillId="0" borderId="18" xfId="0" applyFont="1" applyBorder="1"/>
    <xf numFmtId="0" fontId="25" fillId="0" borderId="16" xfId="0" applyFont="1" applyBorder="1"/>
    <xf numFmtId="173" fontId="39" fillId="0" borderId="0" xfId="1" applyNumberFormat="1" applyFont="1" applyFill="1" applyBorder="1" applyAlignment="1">
      <alignment horizontal="center" vertical="center"/>
    </xf>
    <xf numFmtId="0" fontId="25" fillId="0" borderId="17" xfId="0" applyFont="1" applyBorder="1"/>
    <xf numFmtId="171" fontId="25" fillId="0" borderId="0" xfId="0" applyNumberFormat="1" applyFont="1" applyAlignment="1">
      <alignment horizontal="center" vertical="center"/>
    </xf>
    <xf numFmtId="1" fontId="39" fillId="0" borderId="0" xfId="4" applyNumberFormat="1" applyFont="1" applyFill="1" applyBorder="1" applyAlignment="1">
      <alignment horizontal="center" vertical="center"/>
    </xf>
    <xf numFmtId="173" fontId="61" fillId="0" borderId="0" xfId="0" applyNumberFormat="1" applyFont="1"/>
    <xf numFmtId="0" fontId="25" fillId="0" borderId="17" xfId="0" applyFont="1" applyBorder="1" applyAlignment="1">
      <alignment horizontal="center"/>
    </xf>
    <xf numFmtId="171" fontId="25" fillId="0" borderId="17" xfId="0" applyNumberFormat="1" applyFont="1" applyBorder="1" applyAlignment="1">
      <alignment horizontal="center" vertical="center"/>
    </xf>
    <xf numFmtId="10" fontId="39" fillId="0" borderId="0" xfId="2" applyNumberFormat="1" applyFont="1" applyFill="1" applyBorder="1" applyAlignment="1">
      <alignment horizontal="center" vertical="center"/>
    </xf>
    <xf numFmtId="171" fontId="30" fillId="0" borderId="17" xfId="1" applyNumberFormat="1" applyFont="1" applyFill="1" applyBorder="1" applyAlignment="1">
      <alignment horizontal="center"/>
    </xf>
    <xf numFmtId="172" fontId="30" fillId="0" borderId="0" xfId="0" applyNumberFormat="1" applyFont="1"/>
    <xf numFmtId="172" fontId="25" fillId="0" borderId="0" xfId="0" applyNumberFormat="1" applyFont="1"/>
    <xf numFmtId="170" fontId="118" fillId="0" borderId="2" xfId="2" applyNumberFormat="1" applyFont="1" applyFill="1" applyBorder="1"/>
    <xf numFmtId="0" fontId="47" fillId="22" borderId="16" xfId="0" applyFont="1" applyFill="1" applyBorder="1" applyAlignment="1">
      <alignment horizontal="center"/>
    </xf>
    <xf numFmtId="0" fontId="47" fillId="22" borderId="28" xfId="0" applyFont="1" applyFill="1" applyBorder="1" applyAlignment="1">
      <alignment horizontal="center"/>
    </xf>
    <xf numFmtId="9" fontId="39" fillId="0" borderId="0" xfId="2" applyFont="1"/>
    <xf numFmtId="0" fontId="26" fillId="19" borderId="0" xfId="0" applyFont="1" applyFill="1" applyAlignment="1">
      <alignment horizontal="right"/>
    </xf>
    <xf numFmtId="171" fontId="40" fillId="65" borderId="154" xfId="12" applyNumberFormat="1" applyFont="1"/>
    <xf numFmtId="0" fontId="60" fillId="19" borderId="0" xfId="0" applyFont="1" applyFill="1" applyAlignment="1">
      <alignment horizontal="right"/>
    </xf>
    <xf numFmtId="0" fontId="26" fillId="19" borderId="0" xfId="0" applyFont="1" applyFill="1"/>
    <xf numFmtId="0" fontId="31" fillId="19" borderId="0" xfId="0" applyFont="1" applyFill="1"/>
    <xf numFmtId="0" fontId="31" fillId="19" borderId="0" xfId="0" applyFont="1" applyFill="1" applyAlignment="1">
      <alignment horizontal="center"/>
    </xf>
    <xf numFmtId="0" fontId="33" fillId="19" borderId="0" xfId="0" applyFont="1" applyFill="1"/>
    <xf numFmtId="0" fontId="148" fillId="19" borderId="0" xfId="0" applyFont="1" applyFill="1"/>
    <xf numFmtId="0" fontId="31" fillId="19" borderId="0" xfId="0" applyFont="1" applyFill="1" applyAlignment="1">
      <alignment horizontal="center" vertical="center"/>
    </xf>
    <xf numFmtId="10" fontId="150" fillId="55" borderId="27" xfId="3" applyNumberFormat="1" applyFont="1" applyFill="1" applyBorder="1" applyAlignment="1" applyProtection="1">
      <alignment horizontal="center"/>
    </xf>
    <xf numFmtId="0" fontId="150" fillId="55" borderId="18" xfId="3" applyFont="1" applyFill="1" applyBorder="1" applyAlignment="1" applyProtection="1">
      <alignment horizontal="center" vertical="center"/>
    </xf>
    <xf numFmtId="171" fontId="31" fillId="21" borderId="27" xfId="0" applyNumberFormat="1" applyFont="1" applyFill="1" applyBorder="1" applyAlignment="1">
      <alignment vertical="center"/>
    </xf>
    <xf numFmtId="171" fontId="152" fillId="12" borderId="26" xfId="0" applyNumberFormat="1" applyFont="1" applyFill="1" applyBorder="1"/>
    <xf numFmtId="0" fontId="25" fillId="12" borderId="18" xfId="0" applyFont="1" applyFill="1" applyBorder="1"/>
    <xf numFmtId="10" fontId="150" fillId="55" borderId="0" xfId="3" applyNumberFormat="1" applyFont="1" applyFill="1" applyBorder="1" applyAlignment="1" applyProtection="1">
      <alignment horizontal="center"/>
    </xf>
    <xf numFmtId="0" fontId="150" fillId="55" borderId="17" xfId="3" applyFont="1" applyFill="1" applyBorder="1" applyAlignment="1" applyProtection="1">
      <alignment horizontal="center" vertical="center"/>
    </xf>
    <xf numFmtId="171" fontId="31" fillId="21" borderId="0" xfId="0" applyNumberFormat="1" applyFont="1" applyFill="1" applyAlignment="1">
      <alignment vertical="center"/>
    </xf>
    <xf numFmtId="171" fontId="152" fillId="12" borderId="16" xfId="0" applyNumberFormat="1" applyFont="1" applyFill="1" applyBorder="1"/>
    <xf numFmtId="0" fontId="25" fillId="12" borderId="17" xfId="0" applyFont="1" applyFill="1" applyBorder="1"/>
    <xf numFmtId="171" fontId="31" fillId="21" borderId="22" xfId="0" applyNumberFormat="1" applyFont="1" applyFill="1" applyBorder="1" applyAlignment="1">
      <alignment vertical="center"/>
    </xf>
    <xf numFmtId="171" fontId="152" fillId="12" borderId="28" xfId="0" applyNumberFormat="1" applyFont="1" applyFill="1" applyBorder="1"/>
    <xf numFmtId="0" fontId="25" fillId="12" borderId="19" xfId="0" applyFont="1" applyFill="1" applyBorder="1"/>
    <xf numFmtId="0" fontId="150" fillId="8" borderId="18" xfId="3" applyFont="1" applyFill="1" applyBorder="1" applyAlignment="1" applyProtection="1">
      <alignment horizontal="center" vertical="center"/>
    </xf>
    <xf numFmtId="171" fontId="152" fillId="24" borderId="26" xfId="0" applyNumberFormat="1" applyFont="1" applyFill="1" applyBorder="1"/>
    <xf numFmtId="0" fontId="25" fillId="24" borderId="18" xfId="0" applyFont="1" applyFill="1" applyBorder="1"/>
    <xf numFmtId="0" fontId="150" fillId="8" borderId="17" xfId="3" applyFont="1" applyFill="1" applyBorder="1" applyAlignment="1" applyProtection="1">
      <alignment horizontal="center" vertical="center"/>
    </xf>
    <xf numFmtId="171" fontId="152" fillId="24" borderId="16" xfId="0" applyNumberFormat="1" applyFont="1" applyFill="1" applyBorder="1"/>
    <xf numFmtId="0" fontId="25" fillId="24" borderId="17" xfId="0" applyFont="1" applyFill="1" applyBorder="1"/>
    <xf numFmtId="0" fontId="150" fillId="8" borderId="19" xfId="3" applyFont="1" applyFill="1" applyBorder="1" applyAlignment="1" applyProtection="1">
      <alignment horizontal="center" vertical="center"/>
    </xf>
    <xf numFmtId="171" fontId="152" fillId="24" borderId="28" xfId="0" applyNumberFormat="1" applyFont="1" applyFill="1" applyBorder="1"/>
    <xf numFmtId="171" fontId="152" fillId="11" borderId="26" xfId="0" applyNumberFormat="1" applyFont="1" applyFill="1" applyBorder="1"/>
    <xf numFmtId="0" fontId="25" fillId="11" borderId="18" xfId="0" applyFont="1" applyFill="1" applyBorder="1"/>
    <xf numFmtId="171" fontId="152" fillId="11" borderId="16" xfId="0" applyNumberFormat="1" applyFont="1" applyFill="1" applyBorder="1"/>
    <xf numFmtId="0" fontId="25" fillId="11" borderId="17" xfId="0" applyFont="1" applyFill="1" applyBorder="1"/>
    <xf numFmtId="0" fontId="31" fillId="25" borderId="158" xfId="0" applyFont="1" applyFill="1" applyBorder="1" applyAlignment="1">
      <alignment horizontal="center" vertical="center"/>
    </xf>
    <xf numFmtId="0" fontId="30" fillId="25" borderId="159" xfId="0" applyFont="1" applyFill="1" applyBorder="1" applyAlignment="1">
      <alignment horizontal="center" vertical="center"/>
    </xf>
    <xf numFmtId="9" fontId="30" fillId="25" borderId="160" xfId="0" applyNumberFormat="1" applyFont="1" applyFill="1" applyBorder="1" applyAlignment="1">
      <alignment vertical="center"/>
    </xf>
    <xf numFmtId="10" fontId="35" fillId="25" borderId="161" xfId="0" applyNumberFormat="1" applyFont="1" applyFill="1" applyBorder="1" applyAlignment="1">
      <alignment horizontal="center" vertical="center"/>
    </xf>
    <xf numFmtId="10" fontId="35" fillId="25" borderId="160" xfId="0" applyNumberFormat="1" applyFont="1" applyFill="1" applyBorder="1" applyAlignment="1">
      <alignment horizontal="center" vertical="center"/>
    </xf>
    <xf numFmtId="1" fontId="30" fillId="25" borderId="160" xfId="0" applyNumberFormat="1" applyFont="1" applyFill="1" applyBorder="1" applyAlignment="1">
      <alignment horizontal="center" vertical="center"/>
    </xf>
    <xf numFmtId="0" fontId="25" fillId="25" borderId="195" xfId="0" applyFont="1" applyFill="1" applyBorder="1"/>
    <xf numFmtId="0" fontId="134" fillId="39" borderId="0" xfId="0" applyFont="1" applyFill="1"/>
    <xf numFmtId="0" fontId="134" fillId="39" borderId="0" xfId="0" applyFont="1" applyFill="1" applyAlignment="1">
      <alignment horizontal="center" vertical="center" wrapText="1"/>
    </xf>
    <xf numFmtId="0" fontId="55" fillId="0" borderId="169" xfId="7" applyFont="1" applyBorder="1" applyAlignment="1">
      <alignment vertical="top"/>
    </xf>
    <xf numFmtId="0" fontId="39" fillId="20" borderId="0" xfId="0" applyFont="1" applyFill="1" applyAlignment="1">
      <alignment horizontal="left"/>
    </xf>
    <xf numFmtId="0" fontId="55" fillId="0" borderId="171" xfId="7" applyFont="1" applyBorder="1" applyAlignment="1">
      <alignment vertical="top"/>
    </xf>
    <xf numFmtId="0" fontId="39" fillId="19" borderId="0" xfId="0" applyFont="1" applyFill="1" applyAlignment="1">
      <alignment horizontal="left"/>
    </xf>
    <xf numFmtId="0" fontId="55" fillId="0" borderId="173" xfId="7" applyFont="1" applyBorder="1" applyAlignment="1">
      <alignment vertical="top"/>
    </xf>
    <xf numFmtId="0" fontId="39" fillId="0" borderId="0" xfId="0" applyFont="1" applyAlignment="1">
      <alignment horizontal="center" vertical="top"/>
    </xf>
    <xf numFmtId="0" fontId="134" fillId="39" borderId="0" xfId="0" applyFont="1" applyFill="1" applyAlignment="1">
      <alignment horizontal="center"/>
    </xf>
    <xf numFmtId="0" fontId="55" fillId="0" borderId="179" xfId="7" applyFont="1" applyBorder="1" applyAlignment="1">
      <alignment vertical="top" wrapText="1"/>
    </xf>
    <xf numFmtId="0" fontId="55" fillId="0" borderId="177" xfId="7" quotePrefix="1" applyFont="1" applyBorder="1" applyAlignment="1">
      <alignment vertical="top" wrapText="1"/>
    </xf>
    <xf numFmtId="0" fontId="55" fillId="20" borderId="177" xfId="7" applyFont="1" applyFill="1" applyBorder="1" applyAlignment="1">
      <alignment vertical="top" wrapText="1"/>
    </xf>
    <xf numFmtId="0" fontId="55" fillId="0" borderId="177" xfId="7" applyFont="1" applyBorder="1" applyAlignment="1">
      <alignment vertical="top" wrapText="1"/>
    </xf>
    <xf numFmtId="0" fontId="55" fillId="0" borderId="175" xfId="7" applyFont="1" applyBorder="1" applyAlignment="1">
      <alignment vertical="top" wrapText="1"/>
    </xf>
    <xf numFmtId="0" fontId="55" fillId="0" borderId="0" xfId="7" applyFont="1" applyBorder="1"/>
    <xf numFmtId="0" fontId="44" fillId="40" borderId="0" xfId="0" applyFont="1" applyFill="1"/>
    <xf numFmtId="0" fontId="25" fillId="0" borderId="170" xfId="0" applyFont="1" applyBorder="1" applyAlignment="1">
      <alignment vertical="top" wrapText="1"/>
    </xf>
    <xf numFmtId="0" fontId="25" fillId="0" borderId="172" xfId="0" applyFont="1" applyBorder="1" applyAlignment="1">
      <alignment vertical="top" wrapText="1"/>
    </xf>
    <xf numFmtId="0" fontId="55" fillId="0" borderId="0" xfId="7" applyFont="1"/>
    <xf numFmtId="0" fontId="25" fillId="0" borderId="174" xfId="0" applyFont="1" applyBorder="1" applyAlignment="1">
      <alignment vertical="top" wrapText="1"/>
    </xf>
    <xf numFmtId="0" fontId="55" fillId="0" borderId="0" xfId="7" applyFont="1" applyAlignment="1">
      <alignment vertical="top"/>
    </xf>
    <xf numFmtId="0" fontId="61" fillId="0" borderId="0" xfId="0" applyFont="1" applyAlignment="1">
      <alignment horizontal="center"/>
    </xf>
    <xf numFmtId="0" fontId="59" fillId="0" borderId="0" xfId="0" applyFont="1" applyAlignment="1">
      <alignment horizontal="center" vertical="center"/>
    </xf>
    <xf numFmtId="0" fontId="84" fillId="26" borderId="83" xfId="0" applyFont="1" applyFill="1" applyBorder="1" applyAlignment="1">
      <alignment horizontal="center" vertical="center"/>
    </xf>
    <xf numFmtId="0" fontId="131" fillId="0" borderId="113" xfId="0" applyFont="1" applyBorder="1" applyAlignment="1">
      <alignment horizontal="center" vertical="center"/>
    </xf>
    <xf numFmtId="0" fontId="132" fillId="0" borderId="113" xfId="0" applyFont="1" applyBorder="1" applyAlignment="1">
      <alignment vertical="center"/>
    </xf>
    <xf numFmtId="0" fontId="131" fillId="0" borderId="112" xfId="0" applyFont="1" applyBorder="1" applyAlignment="1">
      <alignment horizontal="center" vertical="center"/>
    </xf>
    <xf numFmtId="0" fontId="132" fillId="0" borderId="112" xfId="0" applyFont="1" applyBorder="1" applyAlignment="1">
      <alignment vertical="center"/>
    </xf>
    <xf numFmtId="0" fontId="131" fillId="0" borderId="111" xfId="0" applyFont="1" applyBorder="1" applyAlignment="1">
      <alignment horizontal="center" vertical="center"/>
    </xf>
    <xf numFmtId="0" fontId="132" fillId="0" borderId="111" xfId="0" applyFont="1" applyBorder="1" applyAlignment="1">
      <alignment vertical="center"/>
    </xf>
    <xf numFmtId="0" fontId="61" fillId="0" borderId="113" xfId="0" applyFont="1" applyBorder="1" applyAlignment="1">
      <alignment horizontal="center"/>
    </xf>
    <xf numFmtId="0" fontId="61" fillId="0" borderId="113" xfId="0" applyFont="1" applyBorder="1"/>
    <xf numFmtId="0" fontId="61" fillId="0" borderId="112" xfId="0" applyFont="1" applyBorder="1" applyAlignment="1">
      <alignment horizontal="center"/>
    </xf>
    <xf numFmtId="0" fontId="146" fillId="0" borderId="112" xfId="0" applyFont="1" applyBorder="1"/>
    <xf numFmtId="0" fontId="61" fillId="0" borderId="112" xfId="0" applyFont="1" applyBorder="1"/>
    <xf numFmtId="0" fontId="61" fillId="0" borderId="112" xfId="0" applyFont="1" applyBorder="1" applyAlignment="1">
      <alignment wrapText="1"/>
    </xf>
    <xf numFmtId="0" fontId="61" fillId="0" borderId="111" xfId="0" applyFont="1" applyBorder="1" applyAlignment="1">
      <alignment horizontal="center"/>
    </xf>
    <xf numFmtId="0" fontId="61" fillId="0" borderId="111" xfId="0" applyFont="1" applyBorder="1"/>
    <xf numFmtId="0" fontId="59" fillId="0" borderId="0" xfId="0" applyFont="1" applyAlignment="1">
      <alignment horizontal="center" vertical="top"/>
    </xf>
    <xf numFmtId="0" fontId="61" fillId="0" borderId="0" xfId="0" applyFont="1" applyAlignment="1">
      <alignment horizontal="left" vertical="top" wrapText="1"/>
    </xf>
    <xf numFmtId="0" fontId="67" fillId="0" borderId="0" xfId="0" applyFont="1" applyAlignment="1">
      <alignment horizontal="center"/>
    </xf>
    <xf numFmtId="15" fontId="59" fillId="0" borderId="0" xfId="0" applyNumberFormat="1" applyFont="1" applyAlignment="1">
      <alignment horizontal="left" vertical="center"/>
    </xf>
    <xf numFmtId="0" fontId="32" fillId="0" borderId="0" xfId="8" applyFont="1" applyAlignment="1">
      <alignment horizontal="left"/>
    </xf>
    <xf numFmtId="0" fontId="79" fillId="0" borderId="0" xfId="8" applyFont="1" applyAlignment="1">
      <alignment horizontal="center"/>
    </xf>
    <xf numFmtId="0" fontId="79" fillId="0" borderId="0" xfId="8" applyFont="1"/>
    <xf numFmtId="0" fontId="38" fillId="0" borderId="0" xfId="8" applyFont="1"/>
    <xf numFmtId="0" fontId="142" fillId="0" borderId="0" xfId="8" applyFont="1" applyAlignment="1">
      <alignment horizontal="left"/>
    </xf>
    <xf numFmtId="181" fontId="142" fillId="0" borderId="0" xfId="8" applyNumberFormat="1" applyFont="1" applyAlignment="1">
      <alignment horizontal="left"/>
    </xf>
    <xf numFmtId="0" fontId="32" fillId="0" borderId="92" xfId="8" applyFont="1" applyBorder="1"/>
    <xf numFmtId="0" fontId="38" fillId="33" borderId="0" xfId="8" applyFont="1" applyFill="1" applyAlignment="1">
      <alignment horizontal="center"/>
    </xf>
    <xf numFmtId="0" fontId="32" fillId="18" borderId="99" xfId="8" applyFont="1" applyFill="1" applyBorder="1" applyAlignment="1">
      <alignment horizontal="left"/>
    </xf>
    <xf numFmtId="0" fontId="79" fillId="3" borderId="0" xfId="8" applyFont="1" applyFill="1"/>
    <xf numFmtId="0" fontId="79" fillId="3" borderId="15" xfId="8" applyFont="1" applyFill="1" applyBorder="1" applyAlignment="1">
      <alignment wrapText="1"/>
    </xf>
    <xf numFmtId="0" fontId="38" fillId="33" borderId="15" xfId="8" applyFont="1" applyFill="1" applyBorder="1" applyAlignment="1">
      <alignment horizontal="center"/>
    </xf>
    <xf numFmtId="0" fontId="32" fillId="18" borderId="97" xfId="8" applyFont="1" applyFill="1" applyBorder="1" applyAlignment="1">
      <alignment horizontal="left"/>
    </xf>
    <xf numFmtId="0" fontId="79" fillId="0" borderId="100" xfId="8" applyFont="1" applyBorder="1" applyAlignment="1">
      <alignment horizontal="center"/>
    </xf>
    <xf numFmtId="0" fontId="79" fillId="3" borderId="0" xfId="8" applyFont="1" applyFill="1" applyAlignment="1">
      <alignment horizontal="left"/>
    </xf>
    <xf numFmtId="0" fontId="79" fillId="0" borderId="95" xfId="8" applyFont="1" applyBorder="1" applyAlignment="1">
      <alignment horizontal="center"/>
    </xf>
    <xf numFmtId="0" fontId="79" fillId="3" borderId="94" xfId="8" applyFont="1" applyFill="1" applyBorder="1" applyAlignment="1">
      <alignment horizontal="left"/>
    </xf>
    <xf numFmtId="0" fontId="32" fillId="18" borderId="93" xfId="8" applyFont="1" applyFill="1" applyBorder="1" applyAlignment="1">
      <alignment horizontal="left"/>
    </xf>
    <xf numFmtId="0" fontId="79" fillId="0" borderId="103" xfId="8" applyFont="1" applyBorder="1" applyAlignment="1">
      <alignment horizontal="center"/>
    </xf>
    <xf numFmtId="0" fontId="79" fillId="0" borderId="102" xfId="8" applyFont="1" applyBorder="1"/>
    <xf numFmtId="0" fontId="32" fillId="18" borderId="106" xfId="8" applyFont="1" applyFill="1" applyBorder="1" applyAlignment="1">
      <alignment horizontal="left"/>
    </xf>
    <xf numFmtId="0" fontId="38" fillId="18" borderId="0" xfId="8" applyFont="1" applyFill="1" applyAlignment="1">
      <alignment horizontal="center"/>
    </xf>
    <xf numFmtId="0" fontId="38" fillId="3" borderId="0" xfId="8" applyFont="1" applyFill="1" applyAlignment="1">
      <alignment horizontal="center"/>
    </xf>
    <xf numFmtId="0" fontId="79" fillId="0" borderId="98" xfId="8" applyFont="1" applyBorder="1" applyAlignment="1">
      <alignment horizontal="center"/>
    </xf>
    <xf numFmtId="0" fontId="38" fillId="18" borderId="15" xfId="8" applyFont="1" applyFill="1" applyBorder="1" applyAlignment="1">
      <alignment horizontal="center"/>
    </xf>
    <xf numFmtId="0" fontId="38" fillId="3" borderId="15" xfId="8" applyFont="1" applyFill="1" applyBorder="1" applyAlignment="1">
      <alignment horizontal="center"/>
    </xf>
    <xf numFmtId="0" fontId="38" fillId="18" borderId="101" xfId="8" applyFont="1" applyFill="1" applyBorder="1" applyAlignment="1">
      <alignment horizontal="center"/>
    </xf>
    <xf numFmtId="0" fontId="38" fillId="3" borderId="101" xfId="8" applyFont="1" applyFill="1" applyBorder="1" applyAlignment="1">
      <alignment horizontal="center"/>
    </xf>
    <xf numFmtId="0" fontId="130" fillId="33" borderId="96" xfId="8" applyFont="1" applyFill="1" applyBorder="1" applyAlignment="1">
      <alignment horizontal="center" vertical="center" wrapText="1"/>
    </xf>
    <xf numFmtId="0" fontId="79" fillId="0" borderId="109" xfId="8" applyFont="1" applyBorder="1" applyAlignment="1">
      <alignment horizontal="center"/>
    </xf>
    <xf numFmtId="0" fontId="79" fillId="0" borderId="108" xfId="8" applyFont="1" applyBorder="1"/>
    <xf numFmtId="0" fontId="32" fillId="18" borderId="107" xfId="8" applyFont="1" applyFill="1" applyBorder="1" applyAlignment="1">
      <alignment horizontal="left"/>
    </xf>
    <xf numFmtId="0" fontId="79" fillId="3" borderId="15" xfId="8" applyFont="1" applyFill="1" applyBorder="1" applyAlignment="1">
      <alignment horizontal="left"/>
    </xf>
    <xf numFmtId="0" fontId="79" fillId="3" borderId="102" xfId="8" applyFont="1" applyFill="1" applyBorder="1" applyAlignment="1">
      <alignment horizontal="left"/>
    </xf>
    <xf numFmtId="0" fontId="79" fillId="0" borderId="0" xfId="8" applyFont="1" applyAlignment="1">
      <alignment horizontal="left" indent="1"/>
    </xf>
    <xf numFmtId="0" fontId="79" fillId="3" borderId="0" xfId="8" applyFont="1" applyFill="1" applyAlignment="1">
      <alignment horizontal="left" indent="1"/>
    </xf>
    <xf numFmtId="0" fontId="79" fillId="3" borderId="102" xfId="8" applyFont="1" applyFill="1" applyBorder="1" applyAlignment="1">
      <alignment horizontal="left" indent="1"/>
    </xf>
    <xf numFmtId="0" fontId="84" fillId="0" borderId="0" xfId="8" applyFont="1" applyAlignment="1">
      <alignment horizontal="left"/>
    </xf>
    <xf numFmtId="0" fontId="83" fillId="0" borderId="0" xfId="8" applyFont="1" applyAlignment="1">
      <alignment horizontal="left"/>
    </xf>
    <xf numFmtId="0" fontId="84" fillId="0" borderId="6" xfId="8" applyFont="1" applyBorder="1" applyAlignment="1">
      <alignment horizontal="left"/>
    </xf>
    <xf numFmtId="0" fontId="61" fillId="0" borderId="0" xfId="8" applyFont="1"/>
    <xf numFmtId="0" fontId="61" fillId="0" borderId="92" xfId="8" applyFont="1" applyBorder="1"/>
    <xf numFmtId="0" fontId="78" fillId="33" borderId="96" xfId="8" applyFont="1" applyFill="1" applyBorder="1" applyAlignment="1">
      <alignment horizontal="center" vertical="center" wrapText="1"/>
    </xf>
    <xf numFmtId="0" fontId="31" fillId="0" borderId="0" xfId="8" applyFont="1" applyAlignment="1">
      <alignment horizontal="right"/>
    </xf>
    <xf numFmtId="0" fontId="32" fillId="18" borderId="0" xfId="8" applyFont="1" applyFill="1" applyAlignment="1">
      <alignment horizontal="center"/>
    </xf>
    <xf numFmtId="0" fontId="32" fillId="3" borderId="0" xfId="8" applyFont="1" applyFill="1" applyAlignment="1">
      <alignment horizontal="center"/>
    </xf>
    <xf numFmtId="0" fontId="41" fillId="3" borderId="0" xfId="8" applyFont="1" applyFill="1" applyAlignment="1">
      <alignment horizontal="center" vertical="center"/>
    </xf>
    <xf numFmtId="2" fontId="41" fillId="3" borderId="0" xfId="8" applyNumberFormat="1" applyFont="1" applyFill="1" applyAlignment="1">
      <alignment horizontal="center" vertical="center"/>
    </xf>
    <xf numFmtId="2" fontId="41" fillId="3" borderId="98" xfId="8" applyNumberFormat="1" applyFont="1" applyFill="1" applyBorder="1" applyAlignment="1">
      <alignment horizontal="center" vertical="center"/>
    </xf>
    <xf numFmtId="0" fontId="32" fillId="18" borderId="15" xfId="8" applyFont="1" applyFill="1" applyBorder="1" applyAlignment="1">
      <alignment horizontal="center"/>
    </xf>
    <xf numFmtId="0" fontId="32" fillId="3" borderId="15" xfId="8" applyFont="1" applyFill="1" applyBorder="1" applyAlignment="1">
      <alignment horizontal="center"/>
    </xf>
    <xf numFmtId="0" fontId="32" fillId="18" borderId="101" xfId="8" applyFont="1" applyFill="1" applyBorder="1" applyAlignment="1">
      <alignment horizontal="center"/>
    </xf>
    <xf numFmtId="0" fontId="32" fillId="3" borderId="101" xfId="8" applyFont="1" applyFill="1" applyBorder="1" applyAlignment="1">
      <alignment horizontal="center"/>
    </xf>
    <xf numFmtId="0" fontId="78" fillId="32" borderId="96" xfId="8" applyFont="1" applyFill="1" applyBorder="1" applyAlignment="1">
      <alignment horizontal="center" vertical="center" wrapText="1"/>
    </xf>
    <xf numFmtId="0" fontId="78" fillId="4" borderId="96" xfId="8" applyFont="1" applyFill="1" applyBorder="1" applyAlignment="1">
      <alignment horizontal="center" vertical="center" wrapText="1"/>
    </xf>
    <xf numFmtId="0" fontId="59" fillId="0" borderId="0" xfId="8" applyFont="1" applyAlignment="1">
      <alignment horizontal="left"/>
    </xf>
    <xf numFmtId="0" fontId="61" fillId="0" borderId="0" xfId="8" applyFont="1" applyAlignment="1">
      <alignment horizontal="center"/>
    </xf>
    <xf numFmtId="0" fontId="83" fillId="0" borderId="0" xfId="8" applyFont="1" applyAlignment="1">
      <alignment horizontal="center"/>
    </xf>
    <xf numFmtId="181" fontId="79" fillId="0" borderId="0" xfId="8" applyNumberFormat="1" applyFont="1" applyAlignment="1">
      <alignment horizontal="left"/>
    </xf>
    <xf numFmtId="0" fontId="79" fillId="0" borderId="0" xfId="8" applyFont="1" applyAlignment="1">
      <alignment horizontal="left"/>
    </xf>
    <xf numFmtId="0" fontId="83" fillId="0" borderId="0" xfId="8" applyFont="1"/>
    <xf numFmtId="0" fontId="83" fillId="0" borderId="6" xfId="8" applyFont="1" applyBorder="1"/>
    <xf numFmtId="0" fontId="83" fillId="0" borderId="6" xfId="8" applyFont="1" applyBorder="1" applyAlignment="1">
      <alignment horizontal="center"/>
    </xf>
    <xf numFmtId="0" fontId="84" fillId="0" borderId="6" xfId="8" applyFont="1" applyBorder="1"/>
    <xf numFmtId="0" fontId="83" fillId="0" borderId="6" xfId="8" applyFont="1" applyBorder="1" applyAlignment="1">
      <alignment horizontal="left"/>
    </xf>
    <xf numFmtId="0" fontId="61" fillId="0" borderId="0" xfId="8" applyFont="1" applyAlignment="1">
      <alignment horizontal="left"/>
    </xf>
    <xf numFmtId="0" fontId="78" fillId="33" borderId="96" xfId="8" applyFont="1" applyFill="1" applyBorder="1" applyAlignment="1">
      <alignment horizontal="center"/>
    </xf>
    <xf numFmtId="0" fontId="78" fillId="33" borderId="96" xfId="8" applyFont="1" applyFill="1" applyBorder="1" applyAlignment="1">
      <alignment horizontal="left"/>
    </xf>
    <xf numFmtId="0" fontId="153" fillId="3" borderId="6" xfId="8" applyFont="1" applyFill="1" applyBorder="1" applyAlignment="1">
      <alignment horizontal="left"/>
    </xf>
    <xf numFmtId="0" fontId="59" fillId="0" borderId="6" xfId="8" applyFont="1" applyBorder="1" applyAlignment="1">
      <alignment horizontal="left"/>
    </xf>
    <xf numFmtId="0" fontId="61" fillId="0" borderId="6" xfId="8" applyFont="1" applyBorder="1"/>
    <xf numFmtId="0" fontId="61" fillId="0" borderId="6" xfId="8" applyFont="1" applyBorder="1" applyAlignment="1">
      <alignment horizontal="center"/>
    </xf>
    <xf numFmtId="0" fontId="59" fillId="0" borderId="6" xfId="8" applyFont="1" applyBorder="1"/>
    <xf numFmtId="0" fontId="61" fillId="0" borderId="6" xfId="8" applyFont="1" applyBorder="1" applyAlignment="1">
      <alignment horizontal="left"/>
    </xf>
    <xf numFmtId="0" fontId="59" fillId="0" borderId="0" xfId="8" applyFont="1"/>
    <xf numFmtId="0" fontId="78" fillId="4" borderId="96" xfId="8" applyFont="1" applyFill="1" applyBorder="1" applyAlignment="1">
      <alignment horizontal="center"/>
    </xf>
    <xf numFmtId="0" fontId="78" fillId="4" borderId="96" xfId="8" applyFont="1" applyFill="1" applyBorder="1" applyAlignment="1">
      <alignment horizontal="left"/>
    </xf>
    <xf numFmtId="0" fontId="78" fillId="32" borderId="96" xfId="8" applyFont="1" applyFill="1" applyBorder="1" applyAlignment="1">
      <alignment horizontal="center"/>
    </xf>
    <xf numFmtId="0" fontId="78" fillId="32" borderId="96" xfId="8" applyFont="1" applyFill="1" applyBorder="1" applyAlignment="1">
      <alignment horizontal="left"/>
    </xf>
    <xf numFmtId="0" fontId="27" fillId="0" borderId="30" xfId="0" applyFont="1" applyBorder="1" applyAlignment="1">
      <alignment horizontal="center" vertical="center"/>
    </xf>
    <xf numFmtId="0" fontId="39" fillId="0" borderId="30" xfId="0" applyFont="1" applyBorder="1" applyAlignment="1">
      <alignment vertical="center"/>
    </xf>
    <xf numFmtId="0" fontId="35" fillId="0" borderId="30" xfId="0" applyFont="1" applyBorder="1" applyAlignment="1">
      <alignment horizontal="center" vertical="center"/>
    </xf>
    <xf numFmtId="0" fontId="47" fillId="0" borderId="0" xfId="0" applyFont="1" applyAlignment="1">
      <alignment horizontal="left"/>
    </xf>
    <xf numFmtId="10" fontId="25" fillId="0" borderId="0" xfId="2" applyNumberFormat="1" applyFont="1" applyFill="1" applyBorder="1" applyAlignment="1">
      <alignment horizontal="center" vertical="center"/>
    </xf>
    <xf numFmtId="0" fontId="142" fillId="0" borderId="0" xfId="0" applyFont="1" applyAlignment="1">
      <alignment horizontal="center" vertical="center"/>
    </xf>
    <xf numFmtId="0" fontId="142" fillId="0" borderId="0" xfId="0" applyFont="1" applyAlignment="1">
      <alignment vertical="center"/>
    </xf>
    <xf numFmtId="0" fontId="38" fillId="0" borderId="0" xfId="0" applyFont="1" applyAlignment="1">
      <alignment horizontal="right" vertical="center"/>
    </xf>
    <xf numFmtId="10" fontId="142" fillId="0" borderId="0" xfId="0" applyNumberFormat="1" applyFont="1" applyAlignment="1">
      <alignment horizontal="center" vertical="center"/>
    </xf>
    <xf numFmtId="0" fontId="38" fillId="0" borderId="0" xfId="0" applyFont="1"/>
    <xf numFmtId="10" fontId="38" fillId="0" borderId="0" xfId="0" applyNumberFormat="1" applyFont="1"/>
    <xf numFmtId="0" fontId="142" fillId="0" borderId="0" xfId="0" applyFont="1"/>
    <xf numFmtId="0" fontId="142" fillId="0" borderId="0" xfId="0" quotePrefix="1" applyFont="1" applyAlignment="1">
      <alignment horizontal="right"/>
    </xf>
    <xf numFmtId="174" fontId="142" fillId="0" borderId="0" xfId="2" applyNumberFormat="1" applyFont="1" applyFill="1" applyBorder="1" applyAlignment="1" applyProtection="1">
      <alignment horizontal="center"/>
    </xf>
    <xf numFmtId="0" fontId="154" fillId="0" borderId="0" xfId="0" applyFont="1" applyAlignment="1">
      <alignment horizontal="right" vertical="center"/>
    </xf>
    <xf numFmtId="10" fontId="155" fillId="0" borderId="0" xfId="0" applyNumberFormat="1" applyFont="1" applyAlignment="1">
      <alignment horizontal="center" vertical="center"/>
    </xf>
    <xf numFmtId="10" fontId="38" fillId="0" borderId="0" xfId="2" applyNumberFormat="1" applyFont="1" applyFill="1" applyBorder="1" applyProtection="1"/>
    <xf numFmtId="0" fontId="142" fillId="0" borderId="0" xfId="0" applyFont="1" applyAlignment="1">
      <alignment horizontal="left"/>
    </xf>
    <xf numFmtId="9" fontId="38" fillId="0" borderId="0" xfId="0" quotePrefix="1" applyNumberFormat="1" applyFont="1"/>
    <xf numFmtId="9" fontId="38" fillId="0" borderId="0" xfId="0" applyNumberFormat="1" applyFont="1"/>
    <xf numFmtId="0" fontId="145" fillId="0" borderId="0" xfId="0" applyFont="1" applyAlignment="1">
      <alignment horizontal="right"/>
    </xf>
    <xf numFmtId="0" fontId="38" fillId="0" borderId="0" xfId="0" applyFont="1" applyAlignment="1">
      <alignment horizontal="center" vertical="center"/>
    </xf>
    <xf numFmtId="0" fontId="145" fillId="0" borderId="0" xfId="0" applyFont="1" applyAlignment="1">
      <alignment horizontal="right" vertical="center"/>
    </xf>
    <xf numFmtId="0" fontId="145" fillId="0" borderId="6" xfId="0" applyFont="1" applyBorder="1" applyAlignment="1">
      <alignment horizontal="right" vertical="center"/>
    </xf>
    <xf numFmtId="0" fontId="38" fillId="0" borderId="6" xfId="0" applyFont="1" applyBorder="1" applyAlignment="1">
      <alignment horizontal="center" vertical="center"/>
    </xf>
    <xf numFmtId="0" fontId="156" fillId="0" borderId="6" xfId="0" applyFont="1" applyBorder="1" applyAlignment="1">
      <alignment horizontal="right" vertical="center"/>
    </xf>
    <xf numFmtId="9" fontId="156" fillId="0" borderId="6" xfId="2" applyFont="1" applyFill="1" applyBorder="1" applyAlignment="1" applyProtection="1">
      <alignment horizontal="center" vertical="center"/>
    </xf>
    <xf numFmtId="0" fontId="38" fillId="0" borderId="6" xfId="0" applyFont="1" applyBorder="1"/>
    <xf numFmtId="0" fontId="84" fillId="0" borderId="30" xfId="0" applyFont="1" applyBorder="1" applyAlignment="1">
      <alignment horizontal="center" vertical="center"/>
    </xf>
    <xf numFmtId="173" fontId="38" fillId="0" borderId="34" xfId="1" applyNumberFormat="1" applyFont="1" applyBorder="1" applyAlignment="1">
      <alignment horizontal="left" vertical="center" wrapText="1"/>
    </xf>
    <xf numFmtId="173" fontId="35" fillId="0" borderId="34" xfId="1" applyNumberFormat="1" applyFont="1" applyBorder="1" applyAlignment="1">
      <alignment horizontal="left" vertical="center"/>
    </xf>
    <xf numFmtId="0" fontId="84" fillId="15" borderId="36" xfId="0" applyFont="1" applyFill="1" applyBorder="1" applyAlignment="1">
      <alignment horizontal="center"/>
    </xf>
    <xf numFmtId="0" fontId="84" fillId="15" borderId="36" xfId="0" applyFont="1" applyFill="1" applyBorder="1" applyAlignment="1">
      <alignment horizontal="center" wrapText="1"/>
    </xf>
    <xf numFmtId="0" fontId="84" fillId="15" borderId="37" xfId="0" applyFont="1" applyFill="1" applyBorder="1" applyAlignment="1">
      <alignment horizontal="center"/>
    </xf>
    <xf numFmtId="0" fontId="84" fillId="15" borderId="26" xfId="0" applyFont="1" applyFill="1" applyBorder="1" applyAlignment="1">
      <alignment horizontal="center" wrapText="1"/>
    </xf>
    <xf numFmtId="0" fontId="84" fillId="15" borderId="18" xfId="0" applyFont="1" applyFill="1" applyBorder="1" applyAlignment="1">
      <alignment horizontal="center" wrapText="1"/>
    </xf>
    <xf numFmtId="0" fontId="84" fillId="15" borderId="27" xfId="0" applyFont="1" applyFill="1" applyBorder="1" applyAlignment="1">
      <alignment horizontal="center" wrapText="1"/>
    </xf>
    <xf numFmtId="0" fontId="32" fillId="0" borderId="0" xfId="0" applyFont="1" applyAlignment="1">
      <alignment horizontal="center" wrapText="1"/>
    </xf>
    <xf numFmtId="0" fontId="32" fillId="0" borderId="0" xfId="0" applyFont="1" applyAlignment="1">
      <alignment vertical="center" wrapText="1"/>
    </xf>
    <xf numFmtId="0" fontId="32" fillId="0" borderId="0" xfId="0" applyFont="1"/>
    <xf numFmtId="10" fontId="32" fillId="8" borderId="2" xfId="0" applyNumberFormat="1" applyFont="1" applyFill="1" applyBorder="1" applyAlignment="1">
      <alignment horizontal="center" vertical="center"/>
    </xf>
    <xf numFmtId="0" fontId="32" fillId="8" borderId="2" xfId="0" applyFont="1" applyFill="1" applyBorder="1" applyAlignment="1">
      <alignment horizontal="center" vertical="center"/>
    </xf>
    <xf numFmtId="173" fontId="32" fillId="8" borderId="2" xfId="1" applyNumberFormat="1" applyFont="1" applyFill="1" applyBorder="1" applyAlignment="1">
      <alignment horizontal="center" vertical="center"/>
    </xf>
    <xf numFmtId="0" fontId="32" fillId="0" borderId="3" xfId="0" applyFont="1" applyBorder="1"/>
    <xf numFmtId="9" fontId="32" fillId="8" borderId="2" xfId="0" applyNumberFormat="1" applyFont="1" applyFill="1" applyBorder="1" applyAlignment="1">
      <alignment horizontal="center" vertical="center"/>
    </xf>
    <xf numFmtId="0" fontId="84" fillId="15" borderId="37" xfId="0" applyFont="1" applyFill="1" applyBorder="1" applyAlignment="1">
      <alignment horizontal="center" wrapText="1"/>
    </xf>
    <xf numFmtId="0" fontId="38" fillId="0" borderId="34" xfId="0" applyFont="1" applyBorder="1" applyAlignment="1">
      <alignment horizontal="left" vertical="center"/>
    </xf>
    <xf numFmtId="0" fontId="38" fillId="0" borderId="192" xfId="0" applyFont="1" applyBorder="1" applyAlignment="1">
      <alignment horizontal="left" vertical="center"/>
    </xf>
    <xf numFmtId="0" fontId="32" fillId="0" borderId="144" xfId="0" applyFont="1" applyBorder="1"/>
    <xf numFmtId="1" fontId="32" fillId="0" borderId="0" xfId="0" applyNumberFormat="1" applyFont="1"/>
    <xf numFmtId="173" fontId="32" fillId="0" borderId="0" xfId="1" applyNumberFormat="1" applyFont="1" applyFill="1"/>
    <xf numFmtId="10" fontId="38" fillId="0" borderId="36" xfId="0" applyNumberFormat="1" applyFont="1" applyBorder="1" applyAlignment="1">
      <alignment horizontal="left" vertical="center"/>
    </xf>
    <xf numFmtId="173" fontId="38" fillId="0" borderId="36" xfId="1" applyNumberFormat="1" applyFont="1" applyFill="1" applyBorder="1" applyAlignment="1">
      <alignment horizontal="left" vertical="center"/>
    </xf>
    <xf numFmtId="10" fontId="38" fillId="0" borderId="33" xfId="0" applyNumberFormat="1" applyFont="1" applyBorder="1" applyAlignment="1">
      <alignment horizontal="left" vertical="center"/>
    </xf>
    <xf numFmtId="173" fontId="38" fillId="0" borderId="33" xfId="1" applyNumberFormat="1" applyFont="1" applyBorder="1" applyAlignment="1">
      <alignment horizontal="left" vertical="center"/>
    </xf>
    <xf numFmtId="10" fontId="38" fillId="0" borderId="36" xfId="2" applyNumberFormat="1" applyFont="1" applyFill="1" applyBorder="1" applyAlignment="1">
      <alignment horizontal="left" vertical="center"/>
    </xf>
    <xf numFmtId="0" fontId="157" fillId="0" borderId="0" xfId="13"/>
    <xf numFmtId="184" fontId="157" fillId="0" borderId="0" xfId="13" applyNumberFormat="1"/>
    <xf numFmtId="185" fontId="157" fillId="0" borderId="0" xfId="13" applyNumberFormat="1"/>
    <xf numFmtId="0" fontId="60" fillId="26" borderId="0" xfId="0" applyFont="1" applyFill="1" applyAlignment="1">
      <alignment horizontal="left" vertical="center"/>
    </xf>
    <xf numFmtId="171" fontId="62" fillId="73" borderId="26" xfId="0" applyNumberFormat="1" applyFont="1" applyFill="1" applyBorder="1"/>
    <xf numFmtId="171" fontId="62" fillId="73" borderId="16" xfId="0" applyNumberFormat="1" applyFont="1" applyFill="1" applyBorder="1"/>
    <xf numFmtId="173" fontId="147" fillId="19" borderId="0" xfId="1" applyNumberFormat="1" applyFont="1" applyFill="1" applyBorder="1" applyAlignment="1">
      <alignment horizontal="center" vertical="center"/>
    </xf>
    <xf numFmtId="0" fontId="30" fillId="25" borderId="160" xfId="0" applyFont="1" applyFill="1" applyBorder="1" applyAlignment="1">
      <alignment horizontal="center" vertical="center"/>
    </xf>
    <xf numFmtId="0" fontId="158" fillId="0" borderId="0" xfId="0" applyFont="1" applyAlignment="1">
      <alignment horizontal="left" vertical="center"/>
    </xf>
    <xf numFmtId="0" fontId="40" fillId="0" borderId="0" xfId="0" applyFont="1"/>
    <xf numFmtId="0" fontId="38" fillId="0" borderId="36" xfId="0" applyFont="1" applyBorder="1" applyAlignment="1">
      <alignment horizontal="left" vertical="center" wrapText="1"/>
    </xf>
    <xf numFmtId="0" fontId="35" fillId="0" borderId="36" xfId="0" applyFont="1" applyBorder="1" applyAlignment="1">
      <alignment horizontal="left" vertical="center"/>
    </xf>
    <xf numFmtId="0" fontId="84" fillId="15" borderId="223" xfId="0" applyFont="1" applyFill="1" applyBorder="1" applyAlignment="1">
      <alignment horizontal="center" wrapText="1"/>
    </xf>
    <xf numFmtId="0" fontId="38" fillId="0" borderId="224" xfId="0" applyFont="1" applyBorder="1" applyAlignment="1">
      <alignment horizontal="left" vertical="center" wrapText="1"/>
    </xf>
    <xf numFmtId="0" fontId="38" fillId="0" borderId="225" xfId="0" applyFont="1" applyBorder="1" applyAlignment="1">
      <alignment horizontal="left" vertical="center" wrapText="1"/>
    </xf>
    <xf numFmtId="0" fontId="35" fillId="0" borderId="224" xfId="0" applyFont="1" applyBorder="1" applyAlignment="1">
      <alignment horizontal="left" vertical="center"/>
    </xf>
    <xf numFmtId="0" fontId="35" fillId="0" borderId="225" xfId="0" applyFont="1" applyBorder="1" applyAlignment="1">
      <alignment horizontal="left" vertical="center"/>
    </xf>
    <xf numFmtId="0" fontId="25" fillId="0" borderId="28" xfId="0" applyFont="1" applyBorder="1"/>
    <xf numFmtId="0" fontId="11" fillId="17" borderId="1" xfId="6"/>
    <xf numFmtId="0" fontId="11" fillId="17" borderId="229" xfId="6" applyBorder="1"/>
    <xf numFmtId="0" fontId="25" fillId="0" borderId="16" xfId="0" applyFont="1" applyBorder="1" applyAlignment="1">
      <alignment horizontal="right"/>
    </xf>
    <xf numFmtId="0" fontId="0" fillId="0" borderId="0" xfId="0" applyAlignment="1">
      <alignment vertical="center"/>
    </xf>
    <xf numFmtId="173" fontId="0" fillId="0" borderId="0" xfId="1" applyNumberFormat="1" applyFont="1"/>
    <xf numFmtId="0" fontId="0" fillId="0" borderId="0" xfId="0" applyAlignment="1">
      <alignment wrapText="1"/>
    </xf>
    <xf numFmtId="0" fontId="0" fillId="0" borderId="0" xfId="0" applyAlignment="1">
      <alignment horizontal="left" vertical="center"/>
    </xf>
    <xf numFmtId="0" fontId="0" fillId="20" borderId="0" xfId="0" applyFill="1" applyAlignment="1">
      <alignment horizontal="left" vertical="center"/>
    </xf>
    <xf numFmtId="0" fontId="162" fillId="20" borderId="0" xfId="0" applyFont="1" applyFill="1" applyAlignment="1">
      <alignment vertical="center"/>
    </xf>
    <xf numFmtId="173" fontId="0" fillId="0" borderId="0" xfId="1" applyNumberFormat="1" applyFont="1" applyFill="1"/>
    <xf numFmtId="0" fontId="25" fillId="0" borderId="0" xfId="0" applyFont="1" applyAlignment="1">
      <alignment vertical="top" wrapText="1"/>
    </xf>
    <xf numFmtId="0" fontId="0" fillId="0" borderId="23" xfId="0" applyBorder="1"/>
    <xf numFmtId="10" fontId="0" fillId="0" borderId="23" xfId="0" applyNumberFormat="1" applyBorder="1"/>
    <xf numFmtId="1" fontId="0" fillId="0" borderId="23" xfId="0" applyNumberFormat="1" applyBorder="1"/>
    <xf numFmtId="9" fontId="0" fillId="0" borderId="23" xfId="0" applyNumberFormat="1" applyBorder="1"/>
    <xf numFmtId="0" fontId="0" fillId="20" borderId="23" xfId="0" applyFill="1" applyBorder="1"/>
    <xf numFmtId="173" fontId="0" fillId="0" borderId="23" xfId="1" applyNumberFormat="1" applyFont="1" applyBorder="1"/>
    <xf numFmtId="0" fontId="0" fillId="0" borderId="114" xfId="0" applyBorder="1"/>
    <xf numFmtId="0" fontId="0" fillId="0" borderId="3" xfId="0" applyBorder="1"/>
    <xf numFmtId="0" fontId="0" fillId="0" borderId="4" xfId="0" applyBorder="1"/>
    <xf numFmtId="10" fontId="0" fillId="0" borderId="3" xfId="0" applyNumberFormat="1" applyBorder="1"/>
    <xf numFmtId="173" fontId="0" fillId="0" borderId="0" xfId="1" applyNumberFormat="1" applyFont="1" applyBorder="1"/>
    <xf numFmtId="173" fontId="0" fillId="77" borderId="4" xfId="1" applyNumberFormat="1" applyFont="1" applyFill="1" applyBorder="1"/>
    <xf numFmtId="9" fontId="0" fillId="0" borderId="3" xfId="0" applyNumberFormat="1" applyBorder="1"/>
    <xf numFmtId="173" fontId="0" fillId="0" borderId="3" xfId="1" applyNumberFormat="1" applyFont="1" applyBorder="1"/>
    <xf numFmtId="173" fontId="0" fillId="0" borderId="4" xfId="1" applyNumberFormat="1" applyFont="1" applyBorder="1"/>
    <xf numFmtId="0" fontId="0" fillId="0" borderId="5" xfId="0" applyBorder="1"/>
    <xf numFmtId="173" fontId="0" fillId="0" borderId="6" xfId="1" applyNumberFormat="1" applyFont="1" applyBorder="1"/>
    <xf numFmtId="173" fontId="0" fillId="0" borderId="7" xfId="1" applyNumberFormat="1" applyFont="1" applyBorder="1"/>
    <xf numFmtId="0" fontId="0" fillId="25" borderId="3" xfId="0" applyFill="1" applyBorder="1"/>
    <xf numFmtId="173" fontId="0" fillId="25" borderId="0" xfId="1" applyNumberFormat="1" applyFont="1" applyFill="1" applyBorder="1"/>
    <xf numFmtId="0" fontId="3" fillId="37" borderId="135" xfId="0" applyFont="1" applyFill="1" applyBorder="1"/>
    <xf numFmtId="0" fontId="26" fillId="0" borderId="0" xfId="0" applyFont="1" applyAlignment="1">
      <alignment vertical="top" wrapText="1"/>
    </xf>
    <xf numFmtId="17" fontId="25" fillId="0" borderId="0" xfId="0" applyNumberFormat="1" applyFont="1"/>
    <xf numFmtId="0" fontId="3" fillId="5" borderId="137" xfId="0" applyFont="1" applyFill="1" applyBorder="1" applyAlignment="1" applyProtection="1">
      <alignment horizontal="right" vertical="center" indent="1"/>
      <protection locked="0"/>
    </xf>
    <xf numFmtId="0" fontId="3" fillId="5" borderId="121" xfId="0" applyFont="1" applyFill="1" applyBorder="1" applyAlignment="1" applyProtection="1">
      <alignment horizontal="right" vertical="center" indent="1"/>
      <protection locked="0"/>
    </xf>
    <xf numFmtId="0" fontId="171" fillId="0" borderId="9" xfId="0" applyFont="1" applyBorder="1" applyAlignment="1" applyProtection="1">
      <alignment vertical="center"/>
      <protection locked="0"/>
    </xf>
    <xf numFmtId="171" fontId="170" fillId="0" borderId="9" xfId="0" applyNumberFormat="1" applyFont="1" applyBorder="1" applyAlignment="1" applyProtection="1">
      <alignment vertical="center"/>
      <protection locked="0"/>
    </xf>
    <xf numFmtId="171" fontId="170" fillId="0" borderId="10" xfId="0" applyNumberFormat="1" applyFont="1" applyBorder="1" applyAlignment="1" applyProtection="1">
      <alignment vertical="center"/>
      <protection locked="0"/>
    </xf>
    <xf numFmtId="0" fontId="0" fillId="3" borderId="0" xfId="0" applyFill="1" applyAlignment="1">
      <alignment vertical="center"/>
    </xf>
    <xf numFmtId="0" fontId="171" fillId="0" borderId="10" xfId="0" applyFont="1" applyBorder="1" applyAlignment="1" applyProtection="1">
      <alignment vertical="center"/>
      <protection locked="0"/>
    </xf>
    <xf numFmtId="176" fontId="175" fillId="0" borderId="29" xfId="0" quotePrefix="1" applyNumberFormat="1" applyFont="1" applyBorder="1" applyAlignment="1" applyProtection="1">
      <alignment horizontal="left" vertical="center" indent="1"/>
      <protection locked="0"/>
    </xf>
    <xf numFmtId="176" fontId="175" fillId="0" borderId="30" xfId="0" quotePrefix="1" applyNumberFormat="1" applyFont="1" applyBorder="1" applyAlignment="1" applyProtection="1">
      <alignment horizontal="left" vertical="center" indent="1"/>
      <protection locked="0"/>
    </xf>
    <xf numFmtId="176" fontId="175" fillId="0" borderId="31" xfId="0" quotePrefix="1" applyNumberFormat="1" applyFont="1" applyBorder="1" applyAlignment="1" applyProtection="1">
      <alignment horizontal="left" vertical="center" indent="1"/>
      <protection locked="0"/>
    </xf>
    <xf numFmtId="165" fontId="173" fillId="0" borderId="30" xfId="0" applyNumberFormat="1" applyFont="1" applyBorder="1" applyAlignment="1" applyProtection="1">
      <alignment horizontal="left" vertical="center" indent="1"/>
      <protection locked="0"/>
    </xf>
    <xf numFmtId="165" fontId="173" fillId="0" borderId="31" xfId="0" applyNumberFormat="1" applyFont="1" applyBorder="1" applyAlignment="1" applyProtection="1">
      <alignment horizontal="left" vertical="center" indent="1"/>
      <protection locked="0"/>
    </xf>
    <xf numFmtId="0" fontId="173" fillId="0" borderId="29" xfId="0" applyFont="1" applyBorder="1" applyAlignment="1" applyProtection="1">
      <alignment horizontal="left" vertical="center" indent="1"/>
      <protection locked="0"/>
    </xf>
    <xf numFmtId="0" fontId="173" fillId="0" borderId="30" xfId="0" applyFont="1" applyBorder="1" applyAlignment="1" applyProtection="1">
      <alignment horizontal="left" vertical="center" indent="1"/>
      <protection locked="0"/>
    </xf>
    <xf numFmtId="0" fontId="173" fillId="0" borderId="31" xfId="0" applyFont="1" applyBorder="1" applyAlignment="1" applyProtection="1">
      <alignment horizontal="left" vertical="center" indent="1"/>
      <protection locked="0"/>
    </xf>
    <xf numFmtId="0" fontId="4" fillId="0" borderId="29" xfId="0" applyFont="1" applyBorder="1" applyAlignment="1">
      <alignment horizontal="left" vertical="center" indent="2"/>
    </xf>
    <xf numFmtId="9" fontId="0" fillId="0" borderId="30" xfId="0" applyNumberFormat="1" applyBorder="1" applyAlignment="1">
      <alignment horizontal="left" vertical="center"/>
    </xf>
    <xf numFmtId="0" fontId="0" fillId="0" borderId="226" xfId="0" applyBorder="1" applyAlignment="1">
      <alignment horizontal="center" vertical="center"/>
    </xf>
    <xf numFmtId="0" fontId="177" fillId="38" borderId="30" xfId="0" applyFont="1" applyFill="1" applyBorder="1" applyAlignment="1">
      <alignment horizontal="left" vertical="top" indent="1"/>
    </xf>
    <xf numFmtId="171" fontId="3" fillId="38" borderId="31" xfId="0" applyNumberFormat="1" applyFont="1" applyFill="1" applyBorder="1" applyAlignment="1">
      <alignment horizontal="left"/>
    </xf>
    <xf numFmtId="0" fontId="4" fillId="0" borderId="3" xfId="0" applyFont="1" applyBorder="1" applyAlignment="1">
      <alignment horizontal="left" vertical="center" indent="2"/>
    </xf>
    <xf numFmtId="0" fontId="0" fillId="0" borderId="0" xfId="0" applyAlignment="1">
      <alignment horizontal="center" vertical="center"/>
    </xf>
    <xf numFmtId="0" fontId="0" fillId="0" borderId="227" xfId="0" applyBorder="1" applyAlignment="1">
      <alignment horizontal="center" vertical="center"/>
    </xf>
    <xf numFmtId="0" fontId="0" fillId="0" borderId="0" xfId="0" applyAlignment="1">
      <alignment horizontal="left" indent="1"/>
    </xf>
    <xf numFmtId="0" fontId="178" fillId="0" borderId="4" xfId="0" applyFont="1" applyBorder="1"/>
    <xf numFmtId="0" fontId="4" fillId="0" borderId="3" xfId="0" applyFont="1" applyBorder="1" applyAlignment="1">
      <alignment horizontal="left" indent="2"/>
    </xf>
    <xf numFmtId="0" fontId="179" fillId="0" borderId="0" xfId="0" applyFont="1" applyAlignment="1">
      <alignment horizontal="left" vertical="top" wrapText="1" indent="1"/>
    </xf>
    <xf numFmtId="0" fontId="180" fillId="0" borderId="4" xfId="0" applyFont="1" applyBorder="1" applyAlignment="1">
      <alignment vertical="top" wrapText="1"/>
    </xf>
    <xf numFmtId="0" fontId="0" fillId="0" borderId="227" xfId="0" applyBorder="1"/>
    <xf numFmtId="0" fontId="182" fillId="0" borderId="3" xfId="0" applyFont="1" applyBorder="1" applyAlignment="1">
      <alignment horizontal="left" vertical="top" indent="2"/>
    </xf>
    <xf numFmtId="0" fontId="177" fillId="76" borderId="0" xfId="0" applyFont="1" applyFill="1" applyAlignment="1">
      <alignment horizontal="left" vertical="center" indent="1"/>
    </xf>
    <xf numFmtId="171" fontId="3" fillId="76" borderId="4" xfId="0" applyNumberFormat="1" applyFont="1" applyFill="1" applyBorder="1" applyAlignment="1">
      <alignment horizontal="left" vertical="center"/>
    </xf>
    <xf numFmtId="0" fontId="9" fillId="0" borderId="4" xfId="0" applyFont="1" applyBorder="1"/>
    <xf numFmtId="0" fontId="4" fillId="0" borderId="5" xfId="0" applyFont="1" applyBorder="1" applyAlignment="1">
      <alignment horizontal="left" vertical="center" indent="2"/>
    </xf>
    <xf numFmtId="0" fontId="183" fillId="0" borderId="6" xfId="0" applyFont="1" applyBorder="1" applyAlignment="1">
      <alignment horizontal="left" indent="1"/>
    </xf>
    <xf numFmtId="0" fontId="0" fillId="0" borderId="7" xfId="0" applyBorder="1"/>
    <xf numFmtId="0" fontId="184" fillId="0" borderId="0" xfId="0" applyFont="1" applyAlignment="1">
      <alignment vertical="center"/>
    </xf>
    <xf numFmtId="0" fontId="0" fillId="0" borderId="0" xfId="0" applyAlignment="1">
      <alignment horizontal="right" vertical="center"/>
    </xf>
    <xf numFmtId="0" fontId="185" fillId="0" borderId="0" xfId="0" applyFont="1" applyAlignment="1">
      <alignment vertical="center"/>
    </xf>
    <xf numFmtId="0" fontId="186" fillId="0" borderId="0" xfId="0" applyFont="1" applyAlignment="1">
      <alignment vertical="center"/>
    </xf>
    <xf numFmtId="9" fontId="187" fillId="0" borderId="0" xfId="2" applyFont="1" applyFill="1" applyBorder="1" applyAlignment="1" applyProtection="1">
      <alignment horizontal="center" vertical="center"/>
    </xf>
    <xf numFmtId="0" fontId="186" fillId="0" borderId="0" xfId="0" applyFont="1" applyAlignment="1">
      <alignment vertical="center" wrapText="1"/>
    </xf>
    <xf numFmtId="0" fontId="186" fillId="0" borderId="0" xfId="0" applyFont="1" applyAlignment="1">
      <alignment horizontal="left" vertical="center" wrapText="1" indent="1"/>
    </xf>
    <xf numFmtId="0" fontId="189" fillId="0" borderId="0" xfId="0" applyFont="1" applyAlignment="1">
      <alignment vertical="top" wrapText="1"/>
    </xf>
    <xf numFmtId="0" fontId="164" fillId="62" borderId="30" xfId="0" applyFont="1" applyFill="1" applyBorder="1"/>
    <xf numFmtId="0" fontId="164" fillId="62" borderId="31" xfId="0" applyFont="1" applyFill="1" applyBorder="1"/>
    <xf numFmtId="0" fontId="164" fillId="62" borderId="0" xfId="0" applyFont="1" applyFill="1"/>
    <xf numFmtId="0" fontId="164" fillId="62" borderId="4" xfId="0" applyFont="1" applyFill="1" applyBorder="1"/>
    <xf numFmtId="0" fontId="164" fillId="62" borderId="6" xfId="0" applyFont="1" applyFill="1" applyBorder="1"/>
    <xf numFmtId="0" fontId="164" fillId="62" borderId="7" xfId="0" applyFont="1" applyFill="1" applyBorder="1"/>
    <xf numFmtId="0" fontId="190" fillId="0" borderId="230" xfId="0" applyFont="1" applyBorder="1" applyAlignment="1">
      <alignment vertical="center"/>
    </xf>
    <xf numFmtId="0" fontId="190" fillId="0" borderId="0" xfId="0" applyFont="1" applyAlignment="1">
      <alignment horizontal="left" vertical="center"/>
    </xf>
    <xf numFmtId="0" fontId="3" fillId="0" borderId="0" xfId="0" applyFont="1" applyAlignment="1">
      <alignment horizontal="center" vertical="center" wrapText="1"/>
    </xf>
    <xf numFmtId="9" fontId="184" fillId="0" borderId="0" xfId="2" applyFont="1" applyFill="1" applyBorder="1" applyAlignment="1" applyProtection="1"/>
    <xf numFmtId="0" fontId="1" fillId="0" borderId="0" xfId="0" applyFont="1" applyAlignment="1">
      <alignment horizontal="center" vertical="center"/>
    </xf>
    <xf numFmtId="0" fontId="188" fillId="0" borderId="0" xfId="0" applyFont="1" applyAlignment="1">
      <alignment horizontal="right"/>
    </xf>
    <xf numFmtId="0" fontId="1" fillId="0" borderId="0" xfId="0" applyFont="1" applyAlignment="1">
      <alignment horizontal="right" vertical="center"/>
    </xf>
    <xf numFmtId="0" fontId="188"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xf numFmtId="0" fontId="2" fillId="0" borderId="151" xfId="0" applyFont="1" applyBorder="1"/>
    <xf numFmtId="0" fontId="188" fillId="0" borderId="152" xfId="0" applyFont="1" applyBorder="1" applyAlignment="1">
      <alignment horizontal="right" vertical="center"/>
    </xf>
    <xf numFmtId="0" fontId="192" fillId="0" borderId="152" xfId="0" applyFont="1" applyBorder="1" applyAlignment="1">
      <alignment horizontal="right" vertical="center"/>
    </xf>
    <xf numFmtId="0" fontId="194" fillId="0" borderId="0" xfId="0" applyFont="1" applyAlignment="1">
      <alignment vertical="center"/>
    </xf>
    <xf numFmtId="171" fontId="188" fillId="0" borderId="0" xfId="3" applyNumberFormat="1" applyFont="1" applyFill="1" applyBorder="1" applyAlignment="1" applyProtection="1">
      <alignment vertical="center"/>
    </xf>
    <xf numFmtId="0" fontId="188" fillId="0" borderId="0" xfId="0" applyFont="1" applyAlignment="1">
      <alignment horizontal="right" vertical="center"/>
    </xf>
    <xf numFmtId="0" fontId="192" fillId="0" borderId="0" xfId="0" applyFont="1" applyAlignment="1">
      <alignment horizontal="right" vertical="center"/>
    </xf>
    <xf numFmtId="0" fontId="2" fillId="0" borderId="0" xfId="0" applyFont="1" applyAlignment="1">
      <alignment vertical="center"/>
    </xf>
    <xf numFmtId="0" fontId="195" fillId="0" borderId="0" xfId="7" applyFont="1" applyFill="1" applyProtection="1"/>
    <xf numFmtId="0" fontId="2" fillId="0" borderId="0" xfId="0" applyFont="1" applyAlignment="1">
      <alignment horizontal="left" vertical="center"/>
    </xf>
    <xf numFmtId="1" fontId="188" fillId="0" borderId="0" xfId="1" applyNumberFormat="1" applyFont="1" applyFill="1" applyBorder="1" applyAlignment="1" applyProtection="1">
      <alignment vertical="center"/>
    </xf>
    <xf numFmtId="0" fontId="188" fillId="0" borderId="151" xfId="0" applyFont="1" applyBorder="1"/>
    <xf numFmtId="0" fontId="192" fillId="0" borderId="151" xfId="0" applyFont="1" applyBorder="1"/>
    <xf numFmtId="0" fontId="188" fillId="0" borderId="151" xfId="0" applyFont="1" applyBorder="1" applyAlignment="1">
      <alignment horizontal="right"/>
    </xf>
    <xf numFmtId="0" fontId="196" fillId="0" borderId="0" xfId="0" applyFont="1" applyAlignment="1">
      <alignment vertical="center"/>
    </xf>
    <xf numFmtId="0" fontId="188" fillId="0" borderId="152" xfId="0" applyFont="1" applyBorder="1"/>
    <xf numFmtId="0" fontId="192" fillId="0" borderId="152" xfId="0" applyFont="1" applyBorder="1"/>
    <xf numFmtId="176" fontId="188" fillId="0" borderId="0" xfId="1" applyNumberFormat="1" applyFont="1" applyFill="1" applyBorder="1" applyAlignment="1" applyProtection="1">
      <alignment vertical="center"/>
    </xf>
    <xf numFmtId="0" fontId="198" fillId="0" borderId="0" xfId="0" applyFont="1"/>
    <xf numFmtId="0" fontId="182" fillId="0" borderId="0" xfId="0" applyFont="1"/>
    <xf numFmtId="0" fontId="198" fillId="0" borderId="0" xfId="0" applyFont="1" applyAlignment="1">
      <alignment horizontal="right"/>
    </xf>
    <xf numFmtId="165" fontId="198" fillId="0" borderId="0" xfId="3" applyNumberFormat="1" applyFont="1" applyFill="1" applyBorder="1" applyAlignment="1" applyProtection="1">
      <alignment vertical="center"/>
    </xf>
    <xf numFmtId="1" fontId="198" fillId="0" borderId="0" xfId="1" applyNumberFormat="1" applyFont="1" applyFill="1" applyBorder="1" applyAlignment="1" applyProtection="1">
      <alignment vertical="center"/>
    </xf>
    <xf numFmtId="0" fontId="198" fillId="0" borderId="0" xfId="0" applyFont="1" applyAlignment="1">
      <alignment vertical="center" wrapText="1"/>
    </xf>
    <xf numFmtId="0" fontId="182" fillId="0" borderId="0" xfId="0" applyFont="1" applyAlignment="1">
      <alignment vertical="center" wrapText="1"/>
    </xf>
    <xf numFmtId="0" fontId="198" fillId="0" borderId="0" xfId="0" applyFont="1" applyAlignment="1">
      <alignment horizontal="right" vertical="center"/>
    </xf>
    <xf numFmtId="0" fontId="182" fillId="0" borderId="0" xfId="0" applyFont="1" applyAlignment="1">
      <alignment horizontal="center" vertical="center"/>
    </xf>
    <xf numFmtId="0" fontId="204" fillId="0" borderId="153" xfId="0" applyFont="1" applyBorder="1" applyAlignment="1">
      <alignment vertical="center"/>
    </xf>
    <xf numFmtId="0" fontId="205" fillId="0" borderId="3" xfId="0" applyFont="1" applyBorder="1" applyAlignment="1">
      <alignment vertical="center"/>
    </xf>
    <xf numFmtId="0" fontId="206" fillId="0" borderId="145" xfId="0" applyFont="1" applyBorder="1" applyAlignment="1">
      <alignment horizontal="center" vertical="center"/>
    </xf>
    <xf numFmtId="0" fontId="198" fillId="0" borderId="0" xfId="0" applyFont="1" applyAlignment="1">
      <alignment horizontal="center" vertical="center"/>
    </xf>
    <xf numFmtId="0" fontId="207" fillId="0" borderId="0" xfId="0" applyFont="1" applyAlignment="1">
      <alignment vertical="top"/>
    </xf>
    <xf numFmtId="0" fontId="180" fillId="0" borderId="0" xfId="0" applyFont="1" applyAlignment="1">
      <alignment horizontal="left" vertical="center"/>
    </xf>
    <xf numFmtId="0" fontId="2" fillId="3" borderId="0" xfId="0" applyFont="1" applyFill="1" applyAlignment="1">
      <alignment horizontal="center" vertical="center"/>
    </xf>
    <xf numFmtId="0" fontId="208" fillId="3" borderId="0" xfId="0" applyFont="1" applyFill="1"/>
    <xf numFmtId="0" fontId="197" fillId="3" borderId="0" xfId="0" applyFont="1" applyFill="1"/>
    <xf numFmtId="0" fontId="171" fillId="0" borderId="0" xfId="0" applyFont="1"/>
    <xf numFmtId="0" fontId="208" fillId="0" borderId="0" xfId="0" applyFont="1"/>
    <xf numFmtId="0" fontId="164" fillId="0" borderId="0" xfId="0" applyFont="1" applyAlignment="1">
      <alignment vertical="center"/>
    </xf>
    <xf numFmtId="0" fontId="2" fillId="3" borderId="0" xfId="0" applyFont="1" applyFill="1"/>
    <xf numFmtId="0" fontId="188" fillId="3" borderId="152" xfId="0" applyFont="1" applyFill="1" applyBorder="1" applyAlignment="1">
      <alignment vertical="center"/>
    </xf>
    <xf numFmtId="1" fontId="206" fillId="0" borderId="145" xfId="1" applyNumberFormat="1" applyFont="1" applyFill="1" applyBorder="1" applyAlignment="1" applyProtection="1">
      <alignment horizontal="center" vertical="center"/>
    </xf>
    <xf numFmtId="1" fontId="210" fillId="0" borderId="0" xfId="1" applyNumberFormat="1" applyFont="1" applyFill="1" applyBorder="1" applyAlignment="1" applyProtection="1">
      <alignment horizontal="center" vertical="center"/>
    </xf>
    <xf numFmtId="0" fontId="166" fillId="63" borderId="30" xfId="0" applyFont="1" applyFill="1" applyBorder="1" applyAlignment="1">
      <alignment horizontal="right" vertical="center"/>
    </xf>
    <xf numFmtId="0" fontId="212" fillId="3" borderId="0" xfId="0" applyFont="1" applyFill="1" applyAlignment="1">
      <alignment horizontal="left" vertical="center"/>
    </xf>
    <xf numFmtId="0" fontId="198" fillId="3" borderId="0" xfId="0" applyFont="1" applyFill="1" applyAlignment="1">
      <alignment vertical="center"/>
    </xf>
    <xf numFmtId="0" fontId="182" fillId="3" borderId="0" xfId="0" applyFont="1" applyFill="1" applyAlignment="1">
      <alignment vertical="center"/>
    </xf>
    <xf numFmtId="0" fontId="166" fillId="63" borderId="0" xfId="0" applyFont="1" applyFill="1" applyAlignment="1">
      <alignment horizontal="right" vertical="center"/>
    </xf>
    <xf numFmtId="0" fontId="188" fillId="3" borderId="0" xfId="0" applyFont="1" applyFill="1" applyAlignment="1">
      <alignment vertical="center"/>
    </xf>
    <xf numFmtId="0" fontId="192" fillId="3" borderId="0" xfId="0" applyFont="1" applyFill="1" applyAlignment="1">
      <alignment vertical="center"/>
    </xf>
    <xf numFmtId="0" fontId="166" fillId="63" borderId="6" xfId="0" applyFont="1" applyFill="1" applyBorder="1" applyAlignment="1">
      <alignment horizontal="right" vertical="center"/>
    </xf>
    <xf numFmtId="9" fontId="213" fillId="0" borderId="145" xfId="2" applyFont="1" applyFill="1" applyBorder="1" applyAlignment="1" applyProtection="1">
      <alignment horizontal="left" wrapText="1"/>
    </xf>
    <xf numFmtId="9" fontId="213" fillId="0" borderId="0" xfId="2" applyFont="1" applyFill="1" applyBorder="1" applyAlignment="1" applyProtection="1">
      <alignment horizontal="left" wrapText="1"/>
    </xf>
    <xf numFmtId="0" fontId="173" fillId="0" borderId="0" xfId="0" applyFont="1" applyAlignment="1">
      <alignment horizontal="center" vertical="center" textRotation="90" wrapText="1"/>
    </xf>
    <xf numFmtId="0" fontId="166" fillId="3" borderId="0" xfId="0" applyFont="1" applyFill="1" applyAlignment="1">
      <alignment horizontal="right" vertical="center"/>
    </xf>
    <xf numFmtId="171" fontId="168" fillId="0" borderId="0" xfId="0" applyNumberFormat="1" applyFont="1" applyAlignment="1">
      <alignment horizontal="center" vertical="center"/>
    </xf>
    <xf numFmtId="10" fontId="208" fillId="0" borderId="0" xfId="2" applyNumberFormat="1" applyFont="1" applyFill="1" applyBorder="1" applyAlignment="1" applyProtection="1">
      <alignment horizontal="center" vertical="center"/>
    </xf>
    <xf numFmtId="0" fontId="161" fillId="0" borderId="0" xfId="0" applyFont="1" applyAlignment="1">
      <alignment horizontal="center" vertical="center"/>
    </xf>
    <xf numFmtId="0" fontId="198" fillId="3" borderId="151" xfId="0" applyFont="1" applyFill="1" applyBorder="1" applyAlignment="1">
      <alignment vertical="center"/>
    </xf>
    <xf numFmtId="9" fontId="171" fillId="0" borderId="145" xfId="2" applyFont="1" applyFill="1" applyBorder="1" applyAlignment="1" applyProtection="1">
      <alignment horizontal="center" vertical="center"/>
    </xf>
    <xf numFmtId="9" fontId="208" fillId="0" borderId="0" xfId="2" applyFont="1" applyFill="1" applyBorder="1" applyAlignment="1" applyProtection="1">
      <alignment horizontal="center" vertical="center"/>
    </xf>
    <xf numFmtId="0" fontId="192" fillId="3" borderId="152" xfId="0" applyFont="1" applyFill="1" applyBorder="1" applyAlignment="1">
      <alignment vertical="center"/>
    </xf>
    <xf numFmtId="10" fontId="167" fillId="0" borderId="145" xfId="2" applyNumberFormat="1" applyFont="1" applyFill="1" applyBorder="1" applyAlignment="1" applyProtection="1">
      <alignment vertical="center"/>
    </xf>
    <xf numFmtId="10" fontId="167" fillId="0" borderId="0" xfId="2" applyNumberFormat="1" applyFont="1" applyFill="1" applyBorder="1" applyAlignment="1" applyProtection="1">
      <alignment vertical="center"/>
    </xf>
    <xf numFmtId="0" fontId="166" fillId="62" borderId="30" xfId="0" applyFont="1" applyFill="1" applyBorder="1" applyAlignment="1">
      <alignment horizontal="right" vertical="center"/>
    </xf>
    <xf numFmtId="0" fontId="197" fillId="0" borderId="0" xfId="0" applyFont="1" applyAlignment="1">
      <alignment horizontal="center" vertical="center"/>
    </xf>
    <xf numFmtId="0" fontId="166" fillId="62" borderId="0" xfId="0" applyFont="1" applyFill="1" applyAlignment="1">
      <alignment horizontal="right" vertical="center"/>
    </xf>
    <xf numFmtId="0" fontId="181" fillId="0" borderId="0" xfId="0" applyFont="1" applyAlignment="1">
      <alignment horizontal="center" vertical="center" wrapText="1"/>
    </xf>
    <xf numFmtId="0" fontId="166" fillId="62" borderId="6" xfId="0" applyFont="1" applyFill="1" applyBorder="1" applyAlignment="1">
      <alignment horizontal="right" vertical="center"/>
    </xf>
    <xf numFmtId="0" fontId="199" fillId="0" borderId="0" xfId="0" applyFont="1" applyAlignment="1">
      <alignment horizontal="left"/>
    </xf>
    <xf numFmtId="0" fontId="214" fillId="74" borderId="0" xfId="0" applyFont="1" applyFill="1" applyAlignment="1">
      <alignment horizontal="center" vertical="top"/>
    </xf>
    <xf numFmtId="0" fontId="161" fillId="74" borderId="0" xfId="0" applyFont="1" applyFill="1" applyAlignment="1">
      <alignment horizontal="center" vertical="center" wrapText="1"/>
    </xf>
    <xf numFmtId="0" fontId="194" fillId="8" borderId="2" xfId="0" applyFont="1" applyFill="1" applyBorder="1" applyAlignment="1" applyProtection="1">
      <alignment horizontal="center"/>
      <protection locked="0"/>
    </xf>
    <xf numFmtId="1" fontId="221" fillId="8" borderId="2" xfId="2" applyNumberFormat="1" applyFont="1" applyFill="1" applyBorder="1" applyAlignment="1" applyProtection="1">
      <alignment horizontal="center" vertical="center"/>
    </xf>
    <xf numFmtId="0" fontId="222" fillId="0" borderId="137" xfId="0" applyFont="1" applyBorder="1" applyAlignment="1">
      <alignment horizontal="left" vertical="center" indent="1"/>
    </xf>
    <xf numFmtId="0" fontId="222" fillId="0" borderId="137" xfId="0" applyFont="1" applyBorder="1" applyAlignment="1">
      <alignment vertical="center"/>
    </xf>
    <xf numFmtId="0" fontId="184" fillId="0" borderId="137" xfId="0" applyFont="1" applyBorder="1" applyAlignment="1">
      <alignment vertical="center"/>
    </xf>
    <xf numFmtId="0" fontId="222" fillId="0" borderId="137" xfId="0" applyFont="1" applyBorder="1" applyAlignment="1">
      <alignment horizontal="left"/>
    </xf>
    <xf numFmtId="0" fontId="223" fillId="0" borderId="137" xfId="0" applyFont="1" applyBorder="1" applyAlignment="1">
      <alignment horizontal="left"/>
    </xf>
    <xf numFmtId="0" fontId="8" fillId="0" borderId="0" xfId="0" applyFont="1" applyAlignment="1">
      <alignment horizontal="right" vertical="center"/>
    </xf>
    <xf numFmtId="171" fontId="187" fillId="0" borderId="0" xfId="3" applyNumberFormat="1" applyFont="1" applyFill="1" applyBorder="1" applyAlignment="1" applyProtection="1">
      <alignment horizontal="center" vertical="center"/>
    </xf>
    <xf numFmtId="9" fontId="213" fillId="0" borderId="11" xfId="2" applyFont="1" applyFill="1" applyBorder="1" applyAlignment="1" applyProtection="1">
      <alignment horizontal="right" vertical="top"/>
      <protection locked="0"/>
    </xf>
    <xf numFmtId="9" fontId="213" fillId="3" borderId="12" xfId="2" applyFont="1" applyFill="1" applyBorder="1" applyAlignment="1" applyProtection="1">
      <alignment horizontal="right" vertical="top"/>
      <protection locked="0"/>
    </xf>
    <xf numFmtId="0" fontId="188" fillId="3" borderId="12" xfId="0" applyFont="1" applyFill="1" applyBorder="1" applyAlignment="1" applyProtection="1">
      <alignment horizontal="center" vertical="center"/>
      <protection locked="0"/>
    </xf>
    <xf numFmtId="9" fontId="213" fillId="3" borderId="12" xfId="2" applyFont="1" applyFill="1" applyBorder="1" applyAlignment="1" applyProtection="1">
      <alignment vertical="top"/>
      <protection locked="0"/>
    </xf>
    <xf numFmtId="9" fontId="213" fillId="3" borderId="0" xfId="2" applyFont="1" applyFill="1" applyBorder="1" applyAlignment="1" applyProtection="1">
      <alignment vertical="top"/>
      <protection locked="0"/>
    </xf>
    <xf numFmtId="0" fontId="0" fillId="0" borderId="12" xfId="0" applyBorder="1" applyProtection="1">
      <protection locked="0"/>
    </xf>
    <xf numFmtId="0" fontId="0" fillId="0" borderId="193" xfId="0" applyBorder="1" applyProtection="1">
      <protection locked="0"/>
    </xf>
    <xf numFmtId="9" fontId="213" fillId="0" borderId="13" xfId="2" applyFont="1" applyFill="1" applyBorder="1" applyAlignment="1" applyProtection="1">
      <alignment horizontal="right" vertical="top"/>
      <protection locked="0"/>
    </xf>
    <xf numFmtId="0" fontId="0" fillId="0" borderId="0" xfId="0" applyProtection="1">
      <protection locked="0"/>
    </xf>
    <xf numFmtId="0" fontId="0" fillId="0" borderId="14" xfId="0" applyBorder="1" applyProtection="1">
      <protection locked="0"/>
    </xf>
    <xf numFmtId="0" fontId="0" fillId="0" borderId="13" xfId="0" applyBorder="1" applyAlignment="1" applyProtection="1">
      <alignment horizontal="left" vertical="center"/>
      <protection locked="0"/>
    </xf>
    <xf numFmtId="0" fontId="0" fillId="0" borderId="13" xfId="0" applyBorder="1" applyProtection="1">
      <protection locked="0"/>
    </xf>
    <xf numFmtId="0" fontId="226" fillId="0" borderId="0" xfId="0" applyFont="1" applyAlignment="1" applyProtection="1">
      <alignment horizontal="center"/>
      <protection locked="0"/>
    </xf>
    <xf numFmtId="9" fontId="159" fillId="0" borderId="0" xfId="0" applyNumberFormat="1" applyFont="1" applyAlignment="1" applyProtection="1">
      <alignment horizontal="left" vertical="center"/>
      <protection locked="0"/>
    </xf>
    <xf numFmtId="9" fontId="159" fillId="0" borderId="14" xfId="0" applyNumberFormat="1" applyFont="1" applyBorder="1" applyAlignment="1" applyProtection="1">
      <alignment horizontal="left" vertical="center"/>
      <protection locked="0"/>
    </xf>
    <xf numFmtId="171" fontId="159" fillId="0" borderId="0" xfId="0" applyNumberFormat="1" applyFont="1" applyAlignment="1" applyProtection="1">
      <alignment horizontal="left" vertical="center"/>
      <protection locked="0"/>
    </xf>
    <xf numFmtId="171" fontId="159" fillId="0" borderId="14" xfId="0" applyNumberFormat="1" applyFont="1" applyBorder="1" applyAlignment="1" applyProtection="1">
      <alignment horizontal="left" vertical="center"/>
      <protection locked="0"/>
    </xf>
    <xf numFmtId="9" fontId="163" fillId="0" borderId="0" xfId="0" applyNumberFormat="1" applyFont="1" applyAlignment="1" applyProtection="1">
      <alignment horizontal="left" vertical="center"/>
      <protection locked="0"/>
    </xf>
    <xf numFmtId="0" fontId="0" fillId="0" borderId="13" xfId="0" applyBorder="1" applyAlignment="1" applyProtection="1">
      <alignment vertical="center"/>
      <protection locked="0"/>
    </xf>
    <xf numFmtId="10" fontId="163" fillId="0" borderId="0" xfId="0" applyNumberFormat="1" applyFont="1" applyAlignment="1" applyProtection="1">
      <alignment horizontal="left" vertical="center"/>
      <protection locked="0"/>
    </xf>
    <xf numFmtId="10" fontId="163" fillId="0" borderId="14" xfId="0" applyNumberFormat="1" applyFont="1" applyBorder="1" applyAlignment="1" applyProtection="1">
      <alignment horizontal="left" vertical="center"/>
      <protection locked="0"/>
    </xf>
    <xf numFmtId="176" fontId="6" fillId="0" borderId="0" xfId="0" quotePrefix="1" applyNumberFormat="1" applyFont="1" applyAlignment="1" applyProtection="1">
      <alignment horizontal="left" vertical="center"/>
      <protection locked="0"/>
    </xf>
    <xf numFmtId="176" fontId="6" fillId="0" borderId="14" xfId="0" quotePrefix="1" applyNumberFormat="1" applyFont="1" applyBorder="1" applyAlignment="1" applyProtection="1">
      <alignment horizontal="left" vertical="center"/>
      <protection locked="0"/>
    </xf>
    <xf numFmtId="171" fontId="163" fillId="0" borderId="0" xfId="0" applyNumberFormat="1" applyFont="1" applyAlignment="1" applyProtection="1">
      <alignment horizontal="left" vertical="center"/>
      <protection locked="0"/>
    </xf>
    <xf numFmtId="0" fontId="231" fillId="0" borderId="0" xfId="0" applyFont="1" applyAlignment="1" applyProtection="1">
      <alignment horizontal="left" vertical="center" wrapText="1"/>
      <protection locked="0"/>
    </xf>
    <xf numFmtId="0" fontId="231" fillId="0" borderId="14" xfId="0" applyFont="1" applyBorder="1" applyAlignment="1" applyProtection="1">
      <alignment horizontal="left" vertical="center" wrapText="1"/>
      <protection locked="0"/>
    </xf>
    <xf numFmtId="165" fontId="163" fillId="0" borderId="0" xfId="0" applyNumberFormat="1" applyFont="1" applyAlignment="1" applyProtection="1">
      <alignment horizontal="left" vertical="center"/>
      <protection locked="0"/>
    </xf>
    <xf numFmtId="165" fontId="163" fillId="0" borderId="14" xfId="0" applyNumberFormat="1" applyFont="1" applyBorder="1" applyAlignment="1" applyProtection="1">
      <alignment horizontal="left" vertical="center"/>
      <protection locked="0"/>
    </xf>
    <xf numFmtId="0" fontId="173" fillId="0" borderId="0" xfId="0" applyFont="1" applyAlignment="1" applyProtection="1">
      <alignment horizontal="left" vertical="center"/>
      <protection locked="0"/>
    </xf>
    <xf numFmtId="0" fontId="173" fillId="0" borderId="14" xfId="0" applyFont="1" applyBorder="1" applyAlignment="1" applyProtection="1">
      <alignment horizontal="left" vertical="center"/>
      <protection locked="0"/>
    </xf>
    <xf numFmtId="9" fontId="159" fillId="0" borderId="0" xfId="2" applyFont="1" applyFill="1" applyBorder="1" applyAlignment="1" applyProtection="1">
      <alignment horizontal="left" vertical="center"/>
      <protection locked="0"/>
    </xf>
    <xf numFmtId="9" fontId="159" fillId="0" borderId="14" xfId="2" applyFont="1" applyFill="1" applyBorder="1" applyAlignment="1" applyProtection="1">
      <alignment horizontal="left" vertical="center"/>
      <protection locked="0"/>
    </xf>
    <xf numFmtId="172" fontId="163" fillId="0" borderId="0" xfId="0" applyNumberFormat="1" applyFont="1" applyAlignment="1" applyProtection="1">
      <alignment horizontal="left" vertical="center"/>
      <protection locked="0"/>
    </xf>
    <xf numFmtId="172" fontId="163" fillId="0" borderId="14" xfId="0" applyNumberFormat="1" applyFont="1" applyBorder="1" applyAlignment="1" applyProtection="1">
      <alignment horizontal="left" vertical="center"/>
      <protection locked="0"/>
    </xf>
    <xf numFmtId="0" fontId="171" fillId="0" borderId="0" xfId="0" applyFont="1" applyAlignment="1" applyProtection="1">
      <alignment horizontal="left" vertical="top" wrapText="1"/>
      <protection locked="0"/>
    </xf>
    <xf numFmtId="0" fontId="161" fillId="0" borderId="0" xfId="0" applyFont="1" applyAlignment="1">
      <alignment vertical="center"/>
    </xf>
    <xf numFmtId="0" fontId="171" fillId="0" borderId="14" xfId="0" applyFont="1" applyBorder="1" applyAlignment="1" applyProtection="1">
      <alignment horizontal="left" vertical="top" wrapText="1"/>
      <protection locked="0"/>
    </xf>
    <xf numFmtId="0" fontId="0" fillId="0" borderId="0" xfId="0" applyAlignment="1">
      <alignment vertical="center" wrapText="1"/>
    </xf>
    <xf numFmtId="0" fontId="0" fillId="0" borderId="13" xfId="0" applyBorder="1" applyAlignment="1" applyProtection="1">
      <alignment horizontal="center" vertical="center"/>
      <protection locked="0"/>
    </xf>
    <xf numFmtId="0" fontId="219" fillId="26" borderId="0" xfId="0" applyFont="1" applyFill="1" applyAlignment="1">
      <alignment vertical="center"/>
    </xf>
    <xf numFmtId="0" fontId="171" fillId="0" borderId="13" xfId="0" applyFont="1" applyBorder="1" applyAlignment="1" applyProtection="1">
      <alignment horizontal="left" vertical="top" wrapText="1"/>
      <protection locked="0"/>
    </xf>
    <xf numFmtId="0" fontId="171" fillId="26" borderId="0" xfId="0" applyFont="1" applyFill="1" applyAlignment="1">
      <alignment vertical="top" wrapText="1"/>
    </xf>
    <xf numFmtId="0" fontId="5" fillId="0" borderId="0" xfId="0" applyFont="1" applyAlignment="1">
      <alignment horizontal="left" vertical="center"/>
    </xf>
    <xf numFmtId="0" fontId="0" fillId="0" borderId="0" xfId="0" applyAlignment="1">
      <alignment vertical="top" wrapText="1"/>
    </xf>
    <xf numFmtId="0" fontId="0" fillId="0" borderId="163" xfId="0" applyBorder="1" applyAlignment="1" applyProtection="1">
      <alignment horizontal="center" vertical="center"/>
      <protection locked="0"/>
    </xf>
    <xf numFmtId="0" fontId="171" fillId="0" borderId="15" xfId="0" applyFont="1" applyBorder="1" applyAlignment="1" applyProtection="1">
      <alignment horizontal="left" vertical="top" wrapText="1"/>
      <protection locked="0"/>
    </xf>
    <xf numFmtId="0" fontId="171" fillId="0" borderId="164" xfId="0" applyFont="1" applyBorder="1" applyAlignment="1" applyProtection="1">
      <alignment horizontal="left" vertical="top" wrapText="1"/>
      <protection locked="0"/>
    </xf>
    <xf numFmtId="0" fontId="227" fillId="0" borderId="0" xfId="0" applyFont="1" applyAlignment="1">
      <alignment vertical="top" wrapText="1"/>
    </xf>
    <xf numFmtId="0" fontId="0" fillId="0" borderId="0" xfId="0" applyAlignment="1" applyProtection="1">
      <alignment horizontal="center" vertical="center"/>
      <protection locked="0"/>
    </xf>
    <xf numFmtId="0" fontId="227" fillId="0" borderId="0" xfId="0" applyFont="1" applyAlignment="1" applyProtection="1">
      <alignment horizontal="center" vertical="top" wrapText="1"/>
      <protection locked="0"/>
    </xf>
    <xf numFmtId="0" fontId="164" fillId="39" borderId="29" xfId="0" applyFont="1" applyFill="1" applyBorder="1"/>
    <xf numFmtId="171" fontId="164" fillId="39" borderId="30" xfId="2" applyNumberFormat="1" applyFont="1" applyFill="1" applyBorder="1" applyAlignment="1" applyProtection="1">
      <alignment horizontal="left" vertical="center"/>
    </xf>
    <xf numFmtId="0" fontId="216" fillId="39" borderId="30" xfId="0" applyFont="1" applyFill="1" applyBorder="1"/>
    <xf numFmtId="0" fontId="216" fillId="39" borderId="31" xfId="0" applyFont="1" applyFill="1" applyBorder="1"/>
    <xf numFmtId="0" fontId="164" fillId="39" borderId="3" xfId="0" applyFont="1" applyFill="1" applyBorder="1"/>
    <xf numFmtId="0" fontId="164" fillId="39" borderId="0" xfId="0" applyFont="1" applyFill="1"/>
    <xf numFmtId="0" fontId="164" fillId="39" borderId="0" xfId="0" applyFont="1" applyFill="1" applyAlignment="1">
      <alignment horizontal="right" vertical="center"/>
    </xf>
    <xf numFmtId="171" fontId="164" fillId="39" borderId="0" xfId="2" applyNumberFormat="1" applyFont="1" applyFill="1" applyBorder="1" applyAlignment="1" applyProtection="1">
      <alignment horizontal="left" vertical="center"/>
    </xf>
    <xf numFmtId="0" fontId="216" fillId="39" borderId="0" xfId="0" applyFont="1" applyFill="1"/>
    <xf numFmtId="0" fontId="216" fillId="39" borderId="4" xfId="0" applyFont="1" applyFill="1" applyBorder="1"/>
    <xf numFmtId="0" fontId="164" fillId="39" borderId="5" xfId="0" applyFont="1" applyFill="1" applyBorder="1"/>
    <xf numFmtId="0" fontId="164" fillId="39" borderId="6" xfId="0" applyFont="1" applyFill="1" applyBorder="1"/>
    <xf numFmtId="0" fontId="3" fillId="39" borderId="6" xfId="0" applyFont="1" applyFill="1" applyBorder="1" applyAlignment="1">
      <alignment horizontal="right" vertical="center"/>
    </xf>
    <xf numFmtId="171" fontId="232" fillId="39" borderId="6" xfId="1" applyNumberFormat="1" applyFont="1" applyFill="1" applyBorder="1" applyAlignment="1" applyProtection="1">
      <alignment horizontal="left" vertical="center"/>
    </xf>
    <xf numFmtId="0" fontId="233" fillId="39" borderId="9" xfId="0" applyFont="1" applyFill="1" applyBorder="1"/>
    <xf numFmtId="0" fontId="216" fillId="39" borderId="6" xfId="0" applyFont="1" applyFill="1" applyBorder="1"/>
    <xf numFmtId="0" fontId="216" fillId="39" borderId="7" xfId="0" applyFont="1" applyFill="1" applyBorder="1"/>
    <xf numFmtId="0" fontId="4" fillId="0" borderId="0" xfId="0" applyFont="1" applyAlignment="1">
      <alignment vertical="top" wrapText="1"/>
    </xf>
    <xf numFmtId="0" fontId="171" fillId="0" borderId="0" xfId="0" applyFont="1" applyAlignment="1">
      <alignment horizontal="left" vertical="top" wrapText="1"/>
    </xf>
    <xf numFmtId="0" fontId="223" fillId="58" borderId="137" xfId="0" applyFont="1" applyFill="1" applyBorder="1" applyAlignment="1">
      <alignment horizontal="left"/>
    </xf>
    <xf numFmtId="0" fontId="234" fillId="0" borderId="0" xfId="0" applyFont="1" applyAlignment="1">
      <alignment horizontal="center" vertical="center"/>
    </xf>
    <xf numFmtId="0" fontId="223" fillId="0" borderId="0" xfId="0" applyFont="1" applyAlignment="1">
      <alignment horizontal="left"/>
    </xf>
    <xf numFmtId="0" fontId="235" fillId="0" borderId="0" xfId="0" applyFont="1" applyAlignment="1">
      <alignment horizontal="left"/>
    </xf>
    <xf numFmtId="0" fontId="12" fillId="0" borderId="0" xfId="0" applyFont="1" applyAlignment="1">
      <alignment horizontal="center"/>
    </xf>
    <xf numFmtId="0" fontId="171" fillId="0" borderId="0" xfId="0" applyFont="1" applyAlignment="1">
      <alignment horizontal="left" vertical="center" wrapText="1"/>
    </xf>
    <xf numFmtId="0" fontId="238" fillId="0" borderId="0" xfId="0" applyFont="1" applyAlignment="1">
      <alignment horizontal="left" vertical="top" wrapText="1"/>
    </xf>
    <xf numFmtId="0" fontId="183" fillId="0" borderId="0" xfId="0" applyFont="1" applyAlignment="1">
      <alignment horizontal="left" vertical="center"/>
    </xf>
    <xf numFmtId="0" fontId="161" fillId="0" borderId="0" xfId="0" applyFont="1" applyAlignment="1">
      <alignment horizontal="right"/>
    </xf>
    <xf numFmtId="0" fontId="0" fillId="0" borderId="16" xfId="0" applyBorder="1"/>
    <xf numFmtId="0" fontId="12" fillId="0" borderId="0" xfId="0" applyFont="1" applyAlignment="1">
      <alignment horizontal="left" vertical="center"/>
    </xf>
    <xf numFmtId="0" fontId="0" fillId="0" borderId="17" xfId="0" applyBorder="1"/>
    <xf numFmtId="0" fontId="171" fillId="0" borderId="0" xfId="0" applyFont="1" applyAlignment="1">
      <alignment horizontal="right" vertical="center"/>
    </xf>
    <xf numFmtId="0" fontId="240" fillId="0" borderId="0" xfId="0" applyFont="1"/>
    <xf numFmtId="0" fontId="0" fillId="0" borderId="51" xfId="0" applyBorder="1"/>
    <xf numFmtId="0" fontId="0" fillId="0" borderId="6" xfId="0" applyBorder="1" applyAlignment="1">
      <alignment vertical="center"/>
    </xf>
    <xf numFmtId="0" fontId="0" fillId="0" borderId="6" xfId="0" applyBorder="1" applyAlignment="1">
      <alignment horizontal="left" vertical="center"/>
    </xf>
    <xf numFmtId="0" fontId="171" fillId="0" borderId="6" xfId="0" applyFont="1" applyBorder="1" applyAlignment="1">
      <alignment horizontal="right" vertical="center"/>
    </xf>
    <xf numFmtId="0" fontId="171" fillId="0" borderId="16" xfId="0" applyFont="1" applyBorder="1" applyAlignment="1">
      <alignment horizontal="right" vertical="center"/>
    </xf>
    <xf numFmtId="10" fontId="243" fillId="0" borderId="0" xfId="2" applyNumberFormat="1" applyFont="1" applyFill="1" applyBorder="1" applyAlignment="1" applyProtection="1">
      <alignment vertical="center"/>
    </xf>
    <xf numFmtId="10" fontId="243" fillId="0" borderId="0" xfId="2" applyNumberFormat="1" applyFont="1" applyFill="1" applyBorder="1" applyAlignment="1" applyProtection="1">
      <alignment vertical="center" wrapText="1"/>
    </xf>
    <xf numFmtId="10" fontId="243" fillId="0" borderId="17" xfId="2" applyNumberFormat="1" applyFont="1" applyFill="1" applyBorder="1" applyAlignment="1" applyProtection="1">
      <alignment vertical="center" wrapText="1"/>
    </xf>
    <xf numFmtId="0" fontId="171" fillId="0" borderId="6" xfId="0" applyFont="1" applyBorder="1" applyAlignment="1">
      <alignment horizontal="right" vertical="center" wrapText="1"/>
    </xf>
    <xf numFmtId="10" fontId="243" fillId="0" borderId="6" xfId="2" applyNumberFormat="1" applyFont="1" applyFill="1" applyBorder="1" applyAlignment="1" applyProtection="1">
      <alignment vertical="center"/>
    </xf>
    <xf numFmtId="10" fontId="243" fillId="0" borderId="6" xfId="2" applyNumberFormat="1" applyFont="1" applyFill="1" applyBorder="1" applyAlignment="1" applyProtection="1">
      <alignment vertical="center" wrapText="1"/>
    </xf>
    <xf numFmtId="0" fontId="206" fillId="0" borderId="9" xfId="0" applyFont="1" applyBorder="1" applyAlignment="1">
      <alignment horizontal="right" vertical="center"/>
    </xf>
    <xf numFmtId="0" fontId="0" fillId="0" borderId="9" xfId="0" applyBorder="1" applyAlignment="1">
      <alignment vertical="center"/>
    </xf>
    <xf numFmtId="0" fontId="171" fillId="0" borderId="9" xfId="0" applyFont="1" applyBorder="1" applyAlignment="1">
      <alignment horizontal="right" vertical="center"/>
    </xf>
    <xf numFmtId="0" fontId="183" fillId="0" borderId="0" xfId="0" applyFont="1" applyAlignment="1">
      <alignment horizontal="left"/>
    </xf>
    <xf numFmtId="172" fontId="8" fillId="0" borderId="0" xfId="2" applyNumberFormat="1" applyFont="1" applyFill="1" applyBorder="1" applyAlignment="1" applyProtection="1">
      <alignment horizontal="right" vertical="center"/>
    </xf>
    <xf numFmtId="172" fontId="8" fillId="0" borderId="16" xfId="2" applyNumberFormat="1" applyFont="1" applyFill="1" applyBorder="1" applyAlignment="1" applyProtection="1">
      <alignment horizontal="right" vertical="center"/>
    </xf>
    <xf numFmtId="172" fontId="8" fillId="0" borderId="0" xfId="2" applyNumberFormat="1" applyFont="1" applyFill="1" applyBorder="1" applyAlignment="1" applyProtection="1">
      <alignment horizontal="center" vertical="center"/>
    </xf>
    <xf numFmtId="0" fontId="246" fillId="0" borderId="0" xfId="0" applyFont="1" applyAlignment="1">
      <alignment horizontal="right" vertical="center"/>
    </xf>
    <xf numFmtId="0" fontId="246" fillId="0" borderId="16" xfId="0" applyFont="1" applyBorder="1" applyAlignment="1">
      <alignment horizontal="right" vertical="center"/>
    </xf>
    <xf numFmtId="10" fontId="243" fillId="0" borderId="0" xfId="2" applyNumberFormat="1" applyFont="1" applyFill="1" applyBorder="1" applyAlignment="1" applyProtection="1">
      <alignment horizontal="left" vertical="center"/>
    </xf>
    <xf numFmtId="0" fontId="0" fillId="0" borderId="17" xfId="0" applyBorder="1" applyAlignment="1">
      <alignment vertical="center"/>
    </xf>
    <xf numFmtId="0" fontId="206" fillId="0" borderId="6" xfId="0" applyFont="1" applyBorder="1" applyAlignment="1">
      <alignment horizontal="right" vertical="center"/>
    </xf>
    <xf numFmtId="0" fontId="248" fillId="0" borderId="6" xfId="0" applyFont="1" applyBorder="1" applyAlignment="1">
      <alignment vertical="center"/>
    </xf>
    <xf numFmtId="0" fontId="0" fillId="0" borderId="6" xfId="0" applyBorder="1"/>
    <xf numFmtId="0" fontId="0" fillId="0" borderId="50" xfId="0" applyBorder="1"/>
    <xf numFmtId="0" fontId="164" fillId="0" borderId="0" xfId="0" applyFont="1" applyAlignment="1">
      <alignment horizontal="right" vertical="center"/>
    </xf>
    <xf numFmtId="171" fontId="9" fillId="0" borderId="0" xfId="2" applyNumberFormat="1" applyFont="1" applyFill="1" applyBorder="1" applyAlignment="1" applyProtection="1">
      <alignment horizontal="left" vertical="center"/>
    </xf>
    <xf numFmtId="0" fontId="248"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center" vertical="center"/>
    </xf>
    <xf numFmtId="0" fontId="219" fillId="0" borderId="0" xfId="0" applyFont="1" applyAlignment="1">
      <alignment vertical="center"/>
    </xf>
    <xf numFmtId="0" fontId="164" fillId="0" borderId="0" xfId="0" applyFont="1"/>
    <xf numFmtId="0" fontId="251" fillId="0" borderId="0" xfId="0" applyFont="1" applyAlignment="1">
      <alignment horizontal="center" vertical="center"/>
    </xf>
    <xf numFmtId="0" fontId="206" fillId="0" borderId="0" xfId="0" applyFont="1" applyAlignment="1">
      <alignment horizontal="right" vertical="center"/>
    </xf>
    <xf numFmtId="0" fontId="0" fillId="0" borderId="28" xfId="0" applyBorder="1"/>
    <xf numFmtId="0" fontId="0" fillId="0" borderId="22" xfId="0" applyBorder="1" applyAlignment="1">
      <alignment horizontal="left" vertical="center"/>
    </xf>
    <xf numFmtId="0" fontId="183" fillId="0" borderId="22" xfId="0" applyFont="1" applyBorder="1" applyAlignment="1">
      <alignment horizontal="left"/>
    </xf>
    <xf numFmtId="0" fontId="0" fillId="0" borderId="22" xfId="0" applyBorder="1"/>
    <xf numFmtId="0" fontId="0" fillId="0" borderId="19" xfId="0" applyBorder="1"/>
    <xf numFmtId="0" fontId="255" fillId="0" borderId="0" xfId="0" applyFont="1" applyAlignment="1">
      <alignment vertical="center"/>
    </xf>
    <xf numFmtId="0" fontId="3" fillId="60" borderId="0" xfId="0" applyFont="1" applyFill="1" applyAlignment="1">
      <alignment horizontal="center"/>
    </xf>
    <xf numFmtId="0" fontId="256" fillId="0" borderId="0" xfId="0" applyFont="1" applyAlignment="1">
      <alignment horizontal="left" vertical="center" wrapText="1"/>
    </xf>
    <xf numFmtId="0" fontId="178" fillId="0" borderId="0" xfId="0" applyFont="1" applyAlignment="1">
      <alignment horizontal="left" wrapText="1"/>
    </xf>
    <xf numFmtId="0" fontId="0" fillId="60" borderId="0" xfId="0" applyFill="1"/>
    <xf numFmtId="0" fontId="3" fillId="38" borderId="2" xfId="0" applyFont="1" applyFill="1" applyBorder="1" applyAlignment="1">
      <alignment vertical="center"/>
    </xf>
    <xf numFmtId="0" fontId="3" fillId="38" borderId="8" xfId="0" applyFont="1" applyFill="1" applyBorder="1"/>
    <xf numFmtId="0" fontId="3" fillId="38" borderId="113" xfId="0" applyFont="1" applyFill="1" applyBorder="1"/>
    <xf numFmtId="0" fontId="3" fillId="38" borderId="10" xfId="0" applyFont="1" applyFill="1" applyBorder="1" applyAlignment="1">
      <alignment vertical="center"/>
    </xf>
    <xf numFmtId="0" fontId="3" fillId="38" borderId="2" xfId="0" applyFont="1" applyFill="1" applyBorder="1"/>
    <xf numFmtId="0" fontId="218" fillId="38" borderId="2" xfId="0" applyFont="1" applyFill="1" applyBorder="1" applyAlignment="1">
      <alignment horizontal="left" wrapText="1"/>
    </xf>
    <xf numFmtId="0" fontId="257" fillId="3" borderId="0" xfId="0" applyFont="1" applyFill="1" applyAlignment="1">
      <alignment vertical="center"/>
    </xf>
    <xf numFmtId="178" fontId="258" fillId="60" borderId="0" xfId="0" applyNumberFormat="1" applyFont="1" applyFill="1" applyAlignment="1">
      <alignment horizontal="right" vertical="center"/>
    </xf>
    <xf numFmtId="0" fontId="259" fillId="3" borderId="0" xfId="0" applyFont="1" applyFill="1" applyAlignment="1">
      <alignment vertical="center"/>
    </xf>
    <xf numFmtId="15" fontId="2" fillId="2" borderId="138" xfId="3" applyNumberFormat="1" applyBorder="1" applyAlignment="1" applyProtection="1">
      <alignment vertical="center"/>
      <protection locked="0"/>
    </xf>
    <xf numFmtId="178" fontId="261" fillId="0" borderId="0" xfId="0" applyNumberFormat="1" applyFont="1" applyAlignment="1">
      <alignment horizontal="left" vertical="center" wrapText="1"/>
    </xf>
    <xf numFmtId="0" fontId="0" fillId="3" borderId="0" xfId="0" applyFill="1" applyAlignment="1">
      <alignment vertical="top"/>
    </xf>
    <xf numFmtId="0" fontId="0" fillId="0" borderId="0" xfId="0" applyAlignment="1">
      <alignment vertical="top"/>
    </xf>
    <xf numFmtId="0" fontId="262" fillId="60" borderId="0" xfId="0" applyFont="1" applyFill="1" applyAlignment="1">
      <alignment horizontal="left" vertical="center"/>
    </xf>
    <xf numFmtId="0" fontId="263" fillId="0" borderId="0" xfId="0" applyFont="1" applyAlignment="1">
      <alignment horizontal="left" vertical="center" wrapText="1"/>
    </xf>
    <xf numFmtId="0" fontId="262" fillId="60" borderId="0" xfId="0" applyFont="1" applyFill="1" applyAlignment="1">
      <alignment horizontal="left" vertical="top" wrapText="1"/>
    </xf>
    <xf numFmtId="0" fontId="161" fillId="3" borderId="0" xfId="0" applyFont="1" applyFill="1" applyAlignment="1">
      <alignment horizontal="left" vertical="center" wrapText="1"/>
    </xf>
    <xf numFmtId="0" fontId="178" fillId="3" borderId="0" xfId="0" applyFont="1" applyFill="1" applyAlignment="1">
      <alignment horizontal="left" vertical="center" wrapText="1"/>
    </xf>
    <xf numFmtId="0" fontId="9" fillId="60" borderId="0" xfId="0" applyFont="1" applyFill="1"/>
    <xf numFmtId="0" fontId="0" fillId="3" borderId="0" xfId="0" applyFill="1" applyAlignment="1">
      <alignment vertical="center" wrapText="1"/>
    </xf>
    <xf numFmtId="0" fontId="263" fillId="0" borderId="0" xfId="0" applyFont="1" applyAlignment="1">
      <alignment vertical="center" wrapText="1"/>
    </xf>
    <xf numFmtId="10" fontId="262" fillId="60" borderId="0" xfId="0" applyNumberFormat="1" applyFont="1" applyFill="1" applyAlignment="1">
      <alignment horizontal="left" vertical="top" wrapText="1"/>
    </xf>
    <xf numFmtId="0" fontId="262" fillId="60" borderId="0" xfId="0" applyFont="1" applyFill="1" applyAlignment="1" applyProtection="1">
      <alignment horizontal="left" vertical="top" wrapText="1"/>
      <protection locked="0"/>
    </xf>
    <xf numFmtId="0" fontId="169" fillId="20" borderId="0" xfId="0" applyFont="1" applyFill="1" applyAlignment="1" applyProtection="1">
      <alignment horizontal="center" vertical="center"/>
      <protection locked="0"/>
    </xf>
    <xf numFmtId="0" fontId="3" fillId="20" borderId="0" xfId="0" applyFont="1" applyFill="1" applyAlignment="1" applyProtection="1">
      <alignment vertical="center"/>
      <protection locked="0"/>
    </xf>
    <xf numFmtId="0" fontId="0" fillId="0" borderId="0" xfId="0" applyAlignment="1" applyProtection="1">
      <alignment vertical="center"/>
      <protection locked="0"/>
    </xf>
    <xf numFmtId="0" fontId="0" fillId="3" borderId="0" xfId="0" applyFill="1" applyProtection="1">
      <protection locked="0"/>
    </xf>
    <xf numFmtId="0" fontId="4" fillId="3" borderId="0" xfId="0" applyFont="1" applyFill="1" applyAlignment="1">
      <alignment vertical="center"/>
    </xf>
    <xf numFmtId="0" fontId="264" fillId="3" borderId="0" xfId="0" applyFont="1" applyFill="1" applyAlignment="1" applyProtection="1">
      <alignment vertical="center"/>
      <protection locked="0"/>
    </xf>
    <xf numFmtId="0" fontId="0" fillId="3" borderId="0" xfId="0" quotePrefix="1" applyFill="1" applyAlignment="1" applyProtection="1">
      <alignment vertical="center"/>
      <protection locked="0"/>
    </xf>
    <xf numFmtId="0" fontId="0" fillId="0" borderId="0" xfId="0" quotePrefix="1" applyAlignment="1">
      <alignment vertical="center"/>
    </xf>
    <xf numFmtId="0" fontId="265" fillId="3" borderId="0" xfId="0" applyFont="1" applyFill="1" applyAlignment="1">
      <alignment vertical="center"/>
    </xf>
    <xf numFmtId="0" fontId="3" fillId="20" borderId="0" xfId="0" applyFont="1" applyFill="1" applyAlignment="1" applyProtection="1">
      <alignment horizontal="left" vertical="center"/>
      <protection locked="0"/>
    </xf>
    <xf numFmtId="0" fontId="178" fillId="3" borderId="0" xfId="0" applyFont="1" applyFill="1" applyAlignment="1">
      <alignment horizontal="left" wrapText="1"/>
    </xf>
    <xf numFmtId="0" fontId="0" fillId="0" borderId="0" xfId="0" quotePrefix="1" applyAlignment="1">
      <alignment vertical="center" wrapText="1"/>
    </xf>
    <xf numFmtId="0" fontId="9" fillId="60" borderId="0" xfId="0" applyFont="1" applyFill="1" applyAlignment="1">
      <alignment vertical="center"/>
    </xf>
    <xf numFmtId="0" fontId="258" fillId="3" borderId="0" xfId="0" applyFont="1" applyFill="1" applyAlignment="1">
      <alignment horizontal="justify" vertical="top"/>
    </xf>
    <xf numFmtId="0" fontId="9" fillId="3" borderId="0" xfId="0" applyFont="1" applyFill="1" applyAlignment="1">
      <alignment vertical="top"/>
    </xf>
    <xf numFmtId="0" fontId="9" fillId="3" borderId="0" xfId="0" applyFont="1" applyFill="1"/>
    <xf numFmtId="0" fontId="4" fillId="0" borderId="0" xfId="0" applyFont="1" applyAlignment="1">
      <alignment vertical="center"/>
    </xf>
    <xf numFmtId="0" fontId="258" fillId="60" borderId="0" xfId="0" applyFont="1" applyFill="1" applyAlignment="1">
      <alignment horizontal="center" vertical="center" wrapText="1"/>
    </xf>
    <xf numFmtId="0" fontId="177" fillId="3" borderId="0" xfId="0" applyFont="1" applyFill="1" applyAlignment="1">
      <alignment vertical="center" wrapText="1"/>
    </xf>
    <xf numFmtId="0" fontId="258" fillId="60" borderId="0" xfId="0" applyFont="1" applyFill="1" applyAlignment="1">
      <alignment vertical="center" wrapText="1"/>
    </xf>
    <xf numFmtId="0" fontId="0" fillId="9" borderId="0" xfId="0" applyFill="1" applyAlignment="1">
      <alignment vertical="center"/>
    </xf>
    <xf numFmtId="189" fontId="262" fillId="60" borderId="0" xfId="0" applyNumberFormat="1" applyFont="1" applyFill="1" applyAlignment="1">
      <alignment horizontal="left" vertical="center" wrapText="1"/>
    </xf>
    <xf numFmtId="173" fontId="267" fillId="0" borderId="0" xfId="1" applyNumberFormat="1" applyFont="1" applyFill="1" applyProtection="1">
      <protection locked="0"/>
    </xf>
    <xf numFmtId="0" fontId="267" fillId="0" borderId="0" xfId="0" applyFont="1" applyProtection="1">
      <protection locked="0"/>
    </xf>
    <xf numFmtId="0" fontId="270" fillId="60" borderId="0" xfId="0" applyFont="1" applyFill="1" applyAlignment="1">
      <alignment horizontal="left" vertical="top" wrapText="1"/>
    </xf>
    <xf numFmtId="0" fontId="258" fillId="3" borderId="0" xfId="0" applyFont="1" applyFill="1" applyAlignment="1">
      <alignment horizontal="justify" vertical="center"/>
    </xf>
    <xf numFmtId="0" fontId="258" fillId="60" borderId="0" xfId="0" applyFont="1" applyFill="1" applyAlignment="1">
      <alignment horizontal="left" vertical="top" wrapText="1"/>
    </xf>
    <xf numFmtId="0" fontId="258" fillId="3" borderId="0" xfId="0" applyFont="1" applyFill="1" applyAlignment="1">
      <alignment horizontal="left" vertical="center"/>
    </xf>
    <xf numFmtId="0" fontId="262" fillId="3" borderId="6" xfId="0" applyFont="1" applyFill="1" applyBorder="1" applyAlignment="1">
      <alignment horizontal="justify" vertical="center"/>
    </xf>
    <xf numFmtId="0" fontId="9" fillId="3" borderId="6" xfId="0" applyFont="1" applyFill="1" applyBorder="1"/>
    <xf numFmtId="0" fontId="262" fillId="3" borderId="0" xfId="0" applyFont="1" applyFill="1" applyAlignment="1" applyProtection="1">
      <alignment horizontal="justify" vertical="center"/>
      <protection locked="0"/>
    </xf>
    <xf numFmtId="0" fontId="9" fillId="3" borderId="0" xfId="0" applyFont="1" applyFill="1" applyProtection="1">
      <protection locked="0"/>
    </xf>
    <xf numFmtId="0" fontId="258" fillId="3" borderId="0" xfId="0" applyFont="1" applyFill="1" applyAlignment="1" applyProtection="1">
      <alignment vertical="center"/>
      <protection locked="0"/>
    </xf>
    <xf numFmtId="0" fontId="258" fillId="60" borderId="0" xfId="0" applyFont="1" applyFill="1" applyAlignment="1">
      <alignment vertical="center"/>
    </xf>
    <xf numFmtId="0" fontId="9" fillId="3" borderId="0" xfId="0" applyFont="1" applyFill="1" applyAlignment="1" applyProtection="1">
      <alignment vertical="center"/>
      <protection locked="0"/>
    </xf>
    <xf numFmtId="0" fontId="262" fillId="3" borderId="0" xfId="0" applyFont="1" applyFill="1" applyAlignment="1" applyProtection="1">
      <alignment vertical="center"/>
      <protection locked="0"/>
    </xf>
    <xf numFmtId="0" fontId="262" fillId="3" borderId="0" xfId="0" applyFont="1" applyFill="1" applyAlignment="1" applyProtection="1">
      <alignment horizontal="left" vertical="center"/>
      <protection locked="0"/>
    </xf>
    <xf numFmtId="0" fontId="258" fillId="3" borderId="0" xfId="0" applyFont="1" applyFill="1" applyAlignment="1" applyProtection="1">
      <alignment horizontal="left" vertical="top"/>
      <protection locked="0"/>
    </xf>
    <xf numFmtId="0" fontId="258" fillId="3" borderId="0" xfId="0" applyFont="1" applyFill="1" applyAlignment="1" applyProtection="1">
      <alignment horizontal="left" vertical="center"/>
      <protection locked="0"/>
    </xf>
    <xf numFmtId="0" fontId="4" fillId="3" borderId="0" xfId="0" applyFont="1" applyFill="1" applyAlignment="1">
      <alignment horizontal="center"/>
    </xf>
    <xf numFmtId="0" fontId="191" fillId="0" borderId="22" xfId="0" applyFont="1" applyBorder="1" applyAlignment="1">
      <alignment horizontal="center" wrapText="1"/>
    </xf>
    <xf numFmtId="0" fontId="274" fillId="0" borderId="0" xfId="0" applyFont="1"/>
    <xf numFmtId="171" fontId="243" fillId="0" borderId="50" xfId="2" applyNumberFormat="1" applyFont="1" applyFill="1" applyBorder="1" applyAlignment="1" applyProtection="1">
      <alignment vertical="center" wrapText="1"/>
    </xf>
    <xf numFmtId="167" fontId="32" fillId="0" borderId="2" xfId="0" applyNumberFormat="1" applyFont="1" applyBorder="1" applyAlignment="1">
      <alignment horizontal="center" vertical="center"/>
    </xf>
    <xf numFmtId="0" fontId="164" fillId="20" borderId="0" xfId="0" applyFont="1" applyFill="1" applyAlignment="1">
      <alignment vertical="center" wrapText="1"/>
    </xf>
    <xf numFmtId="1" fontId="47" fillId="0" borderId="8" xfId="0" applyNumberFormat="1" applyFont="1" applyBorder="1" applyAlignment="1" applyProtection="1">
      <alignment horizontal="left"/>
      <protection locked="0"/>
    </xf>
    <xf numFmtId="0" fontId="59" fillId="0" borderId="0" xfId="2" applyNumberFormat="1" applyFont="1" applyFill="1" applyBorder="1" applyAlignment="1" applyProtection="1">
      <alignment horizontal="center" vertical="center"/>
    </xf>
    <xf numFmtId="1" fontId="60" fillId="2" borderId="119" xfId="3" applyNumberFormat="1" applyFont="1" applyBorder="1" applyAlignment="1">
      <alignment horizontal="center" vertical="center"/>
    </xf>
    <xf numFmtId="9" fontId="4" fillId="8" borderId="2" xfId="0" applyNumberFormat="1" applyFont="1" applyFill="1" applyBorder="1" applyAlignment="1" applyProtection="1">
      <alignment horizontal="center"/>
      <protection locked="0"/>
    </xf>
    <xf numFmtId="0" fontId="248" fillId="0" borderId="17" xfId="0" applyFont="1" applyBorder="1" applyAlignment="1">
      <alignment horizontal="right"/>
    </xf>
    <xf numFmtId="172" fontId="216" fillId="39" borderId="30" xfId="0" applyNumberFormat="1" applyFont="1" applyFill="1" applyBorder="1"/>
    <xf numFmtId="9" fontId="3" fillId="0" borderId="0" xfId="0" applyNumberFormat="1" applyFont="1" applyAlignment="1" applyProtection="1">
      <alignment horizontal="left" vertical="center"/>
      <protection locked="0"/>
    </xf>
    <xf numFmtId="9" fontId="3" fillId="0" borderId="14" xfId="0" applyNumberFormat="1" applyFont="1" applyBorder="1" applyAlignment="1" applyProtection="1">
      <alignment horizontal="left" vertical="center"/>
      <protection locked="0"/>
    </xf>
    <xf numFmtId="0" fontId="0" fillId="3" borderId="0" xfId="0" applyFill="1" applyAlignment="1" applyProtection="1">
      <alignment vertical="center"/>
      <protection locked="0"/>
    </xf>
    <xf numFmtId="0" fontId="0" fillId="0" borderId="0" xfId="0" applyAlignment="1">
      <alignment horizontal="left" vertical="center" wrapText="1"/>
    </xf>
    <xf numFmtId="0" fontId="0" fillId="25" borderId="0" xfId="0" applyFill="1"/>
    <xf numFmtId="0" fontId="276" fillId="0" borderId="0" xfId="0" applyFont="1" applyAlignment="1">
      <alignment vertical="center"/>
    </xf>
    <xf numFmtId="0" fontId="280" fillId="0" borderId="0" xfId="0" applyFont="1" applyAlignment="1">
      <alignment vertical="center"/>
    </xf>
    <xf numFmtId="0" fontId="288" fillId="0" borderId="0" xfId="0" applyFont="1" applyAlignment="1">
      <alignment vertical="center"/>
    </xf>
    <xf numFmtId="0" fontId="276" fillId="0" borderId="0" xfId="0" applyFont="1" applyAlignment="1">
      <alignment vertical="center" wrapText="1"/>
    </xf>
    <xf numFmtId="0" fontId="276" fillId="0" borderId="0" xfId="0" applyFont="1" applyAlignment="1">
      <alignment horizontal="left" vertical="center" wrapText="1"/>
    </xf>
    <xf numFmtId="0" fontId="282" fillId="0" borderId="0" xfId="0" applyFont="1" applyAlignment="1">
      <alignment horizontal="left" vertical="center" wrapText="1"/>
    </xf>
    <xf numFmtId="0" fontId="279" fillId="0" borderId="0" xfId="0" applyFont="1" applyAlignment="1">
      <alignment horizontal="left" vertical="center" wrapText="1"/>
    </xf>
    <xf numFmtId="0" fontId="276" fillId="0" borderId="0" xfId="0" applyFont="1" applyAlignment="1">
      <alignment horizontal="justify" vertical="center" wrapText="1"/>
    </xf>
    <xf numFmtId="0" fontId="277" fillId="0" borderId="0" xfId="0" applyFont="1" applyAlignment="1">
      <alignment horizontal="left" vertical="center" wrapText="1" indent="2"/>
    </xf>
    <xf numFmtId="0" fontId="0" fillId="9" borderId="0" xfId="0" applyFill="1"/>
    <xf numFmtId="0" fontId="276" fillId="25" borderId="0" xfId="0" applyFont="1" applyFill="1" applyAlignment="1">
      <alignment horizontal="left" vertical="center" wrapText="1"/>
    </xf>
    <xf numFmtId="9" fontId="276" fillId="0" borderId="0" xfId="2" applyFont="1" applyAlignment="1">
      <alignment horizontal="left" vertical="center" wrapText="1"/>
    </xf>
    <xf numFmtId="0" fontId="0" fillId="24" borderId="0" xfId="0" applyFill="1"/>
    <xf numFmtId="0" fontId="277" fillId="0" borderId="0" xfId="0" applyFont="1" applyAlignment="1">
      <alignment horizontal="left" vertical="top" wrapText="1" indent="2"/>
    </xf>
    <xf numFmtId="0" fontId="277" fillId="0" borderId="0" xfId="0" applyFont="1" applyAlignment="1">
      <alignment horizontal="left" vertical="top" wrapText="1" indent="4"/>
    </xf>
    <xf numFmtId="0" fontId="0" fillId="0" borderId="0" xfId="0" applyAlignment="1">
      <alignment horizontal="left" vertical="top" indent="4"/>
    </xf>
    <xf numFmtId="0" fontId="276" fillId="25" borderId="0" xfId="0" applyFont="1" applyFill="1" applyAlignment="1">
      <alignment horizontal="left" vertical="top" wrapText="1"/>
    </xf>
    <xf numFmtId="0" fontId="0" fillId="0" borderId="0" xfId="0" applyAlignment="1">
      <alignment horizontal="left" vertical="top" wrapText="1" indent="2"/>
    </xf>
    <xf numFmtId="169" fontId="0" fillId="0" borderId="0" xfId="1" applyFont="1"/>
    <xf numFmtId="173" fontId="0" fillId="25" borderId="0" xfId="1" applyNumberFormat="1" applyFont="1" applyFill="1"/>
    <xf numFmtId="0" fontId="282" fillId="25" borderId="0" xfId="0" applyFont="1" applyFill="1" applyAlignment="1">
      <alignment horizontal="left" vertical="center" wrapText="1"/>
    </xf>
    <xf numFmtId="0" fontId="0" fillId="25" borderId="0" xfId="0" quotePrefix="1" applyFill="1"/>
    <xf numFmtId="0" fontId="289" fillId="0" borderId="0" xfId="0" applyFont="1" applyAlignment="1">
      <alignment vertical="center"/>
    </xf>
    <xf numFmtId="0" fontId="276" fillId="20" borderId="0" xfId="0" applyFont="1" applyFill="1" applyAlignment="1">
      <alignment horizontal="left" vertical="center" wrapText="1"/>
    </xf>
    <xf numFmtId="0" fontId="291" fillId="0" borderId="0" xfId="0" applyFont="1" applyAlignment="1">
      <alignment vertical="center"/>
    </xf>
    <xf numFmtId="0" fontId="173" fillId="3" borderId="0" xfId="0" applyFont="1" applyFill="1" applyAlignment="1">
      <alignment horizontal="center" vertical="center" textRotation="90" wrapText="1"/>
    </xf>
    <xf numFmtId="0" fontId="2" fillId="8" borderId="83" xfId="3" applyFill="1" applyBorder="1" applyAlignment="1" applyProtection="1">
      <alignment vertical="center"/>
      <protection locked="0"/>
    </xf>
    <xf numFmtId="0" fontId="2" fillId="8" borderId="138" xfId="3" applyFill="1" applyBorder="1" applyAlignment="1" applyProtection="1">
      <alignment vertical="center"/>
      <protection locked="0"/>
    </xf>
    <xf numFmtId="0" fontId="2" fillId="8" borderId="139" xfId="3" applyFill="1" applyBorder="1" applyAlignment="1" applyProtection="1">
      <alignment vertical="center"/>
      <protection locked="0"/>
    </xf>
    <xf numFmtId="0" fontId="2" fillId="8" borderId="138" xfId="3" applyFill="1" applyBorder="1" applyAlignment="1" applyProtection="1">
      <alignment horizontal="left" vertical="top"/>
      <protection locked="0"/>
    </xf>
    <xf numFmtId="0" fontId="2" fillId="8" borderId="138" xfId="3" applyFill="1" applyBorder="1" applyAlignment="1" applyProtection="1">
      <alignment vertical="top"/>
      <protection locked="0"/>
    </xf>
    <xf numFmtId="178" fontId="2" fillId="8" borderId="83" xfId="3" applyNumberFormat="1" applyFill="1" applyBorder="1" applyAlignment="1" applyProtection="1">
      <alignment horizontal="center" vertical="center"/>
      <protection locked="0"/>
    </xf>
    <xf numFmtId="0" fontId="166" fillId="0" borderId="0" xfId="0" applyFont="1" applyAlignment="1">
      <alignment horizontal="right" vertical="center"/>
    </xf>
    <xf numFmtId="0" fontId="0" fillId="8" borderId="0" xfId="0" applyFill="1"/>
    <xf numFmtId="0" fontId="0" fillId="0" borderId="0" xfId="0" applyAlignment="1">
      <alignment horizontal="left" vertical="top" wrapText="1"/>
    </xf>
    <xf numFmtId="0" fontId="17" fillId="38" borderId="86" xfId="0" applyFont="1" applyFill="1" applyBorder="1" applyAlignment="1">
      <alignment vertical="center"/>
    </xf>
    <xf numFmtId="0" fontId="17" fillId="38" borderId="85" xfId="0" applyFont="1" applyFill="1" applyBorder="1" applyAlignment="1">
      <alignment vertical="center"/>
    </xf>
    <xf numFmtId="0" fontId="17" fillId="38" borderId="76" xfId="0" applyFont="1" applyFill="1" applyBorder="1" applyAlignment="1">
      <alignment vertical="center"/>
    </xf>
    <xf numFmtId="0" fontId="0" fillId="0" borderId="30" xfId="0" applyBorder="1" applyAlignment="1">
      <alignment horizontal="right" vertical="center"/>
    </xf>
    <xf numFmtId="0" fontId="171" fillId="0" borderId="30" xfId="0" applyFont="1" applyBorder="1" applyAlignment="1">
      <alignment horizontal="right" vertical="center"/>
    </xf>
    <xf numFmtId="10" fontId="243" fillId="0" borderId="9" xfId="2" applyNumberFormat="1" applyFont="1" applyFill="1" applyBorder="1" applyAlignment="1" applyProtection="1">
      <alignment vertical="center" wrapText="1"/>
    </xf>
    <xf numFmtId="10" fontId="243" fillId="0" borderId="44" xfId="2" applyNumberFormat="1" applyFont="1" applyFill="1" applyBorder="1" applyAlignment="1" applyProtection="1">
      <alignment vertical="center" wrapText="1"/>
    </xf>
    <xf numFmtId="171" fontId="241" fillId="0" borderId="6" xfId="2" applyNumberFormat="1" applyFont="1" applyFill="1" applyBorder="1" applyAlignment="1" applyProtection="1">
      <alignment vertical="center"/>
    </xf>
    <xf numFmtId="171" fontId="241" fillId="0" borderId="50" xfId="2" applyNumberFormat="1" applyFont="1" applyFill="1" applyBorder="1" applyAlignment="1" applyProtection="1">
      <alignment vertical="center"/>
    </xf>
    <xf numFmtId="0" fontId="248" fillId="0" borderId="0" xfId="0" applyFont="1" applyAlignment="1">
      <alignment vertical="center" wrapText="1"/>
    </xf>
    <xf numFmtId="0" fontId="248" fillId="0" borderId="17" xfId="0" applyFont="1" applyBorder="1" applyAlignment="1">
      <alignment vertical="center" wrapText="1"/>
    </xf>
    <xf numFmtId="0" fontId="248" fillId="0" borderId="6" xfId="0" applyFont="1" applyBorder="1" applyAlignment="1">
      <alignment vertical="center" wrapText="1"/>
    </xf>
    <xf numFmtId="0" fontId="248" fillId="0" borderId="50" xfId="0" applyFont="1" applyBorder="1" applyAlignment="1">
      <alignment vertical="center" wrapText="1"/>
    </xf>
    <xf numFmtId="0" fontId="282" fillId="8" borderId="0" xfId="0" applyFont="1" applyFill="1" applyAlignment="1">
      <alignment horizontal="left" vertical="center" wrapText="1"/>
    </xf>
    <xf numFmtId="173" fontId="0" fillId="8" borderId="0" xfId="1" applyNumberFormat="1" applyFont="1" applyFill="1"/>
    <xf numFmtId="171" fontId="225" fillId="0" borderId="29" xfId="0" applyNumberFormat="1" applyFont="1" applyBorder="1" applyAlignment="1" applyProtection="1">
      <alignment horizontal="left" vertical="center" indent="1"/>
      <protection locked="0"/>
    </xf>
    <xf numFmtId="171" fontId="225" fillId="0" borderId="30" xfId="0" applyNumberFormat="1" applyFont="1" applyBorder="1" applyAlignment="1" applyProtection="1">
      <alignment vertical="center"/>
      <protection locked="0"/>
    </xf>
    <xf numFmtId="0" fontId="162" fillId="0" borderId="0" xfId="0" applyFont="1" applyAlignment="1">
      <alignment horizontal="left" vertical="center" wrapText="1"/>
    </xf>
    <xf numFmtId="0" fontId="192" fillId="3" borderId="0" xfId="0" applyFont="1" applyFill="1" applyAlignment="1">
      <alignment horizontal="right" vertical="center"/>
    </xf>
    <xf numFmtId="0" fontId="240" fillId="0" borderId="0" xfId="0" applyFont="1" applyAlignment="1">
      <alignment horizontal="left" vertical="center"/>
    </xf>
    <xf numFmtId="0" fontId="173" fillId="0" borderId="0" xfId="0" applyFont="1" applyAlignment="1" applyProtection="1">
      <alignment vertical="center" wrapText="1"/>
      <protection locked="0"/>
    </xf>
    <xf numFmtId="0" fontId="180" fillId="0" borderId="3" xfId="0" applyFont="1" applyBorder="1" applyAlignment="1" applyProtection="1">
      <alignment vertical="top" wrapText="1"/>
      <protection locked="0"/>
    </xf>
    <xf numFmtId="0" fontId="180" fillId="0" borderId="14" xfId="0" applyFont="1" applyBorder="1" applyAlignment="1" applyProtection="1">
      <alignment vertical="top" wrapText="1"/>
      <protection locked="0"/>
    </xf>
    <xf numFmtId="0" fontId="188" fillId="9" borderId="0" xfId="0" applyFont="1" applyFill="1" applyAlignment="1">
      <alignment vertical="center"/>
    </xf>
    <xf numFmtId="10" fontId="144" fillId="0" borderId="0" xfId="0" applyNumberFormat="1" applyFont="1" applyAlignment="1">
      <alignment horizontal="center" vertical="center"/>
    </xf>
    <xf numFmtId="0" fontId="39" fillId="0" borderId="0" xfId="2" applyNumberFormat="1" applyFont="1" applyFill="1" applyBorder="1" applyAlignment="1">
      <alignment horizontal="center" vertical="center"/>
    </xf>
    <xf numFmtId="0" fontId="188" fillId="3" borderId="0" xfId="0" applyFont="1" applyFill="1" applyAlignment="1">
      <alignment horizontal="right" vertical="center"/>
    </xf>
    <xf numFmtId="0" fontId="258" fillId="3" borderId="0" xfId="0" applyFont="1" applyFill="1" applyAlignment="1">
      <alignment horizontal="left" vertical="top"/>
    </xf>
    <xf numFmtId="0" fontId="6" fillId="0" borderId="0" xfId="0" applyFont="1" applyAlignment="1">
      <alignment horizontal="left" vertical="center"/>
    </xf>
    <xf numFmtId="0" fontId="183" fillId="0" borderId="30" xfId="0" applyFont="1" applyBorder="1" applyAlignment="1">
      <alignment horizontal="left"/>
    </xf>
    <xf numFmtId="172" fontId="8" fillId="0" borderId="30" xfId="2" applyNumberFormat="1" applyFont="1" applyFill="1" applyBorder="1" applyAlignment="1" applyProtection="1">
      <alignment horizontal="right" vertical="center"/>
    </xf>
    <xf numFmtId="0" fontId="258" fillId="3" borderId="0" xfId="0" applyFont="1" applyFill="1" applyAlignment="1">
      <alignment vertical="top"/>
    </xf>
    <xf numFmtId="0" fontId="212" fillId="3" borderId="0" xfId="0" quotePrefix="1" applyFont="1" applyFill="1" applyAlignment="1">
      <alignment horizontal="left" vertical="center"/>
    </xf>
    <xf numFmtId="0" fontId="189" fillId="0" borderId="0" xfId="0" applyFont="1" applyAlignment="1">
      <alignment vertical="top"/>
    </xf>
    <xf numFmtId="0" fontId="25" fillId="0" borderId="30" xfId="0" applyFont="1" applyBorder="1" applyAlignment="1">
      <alignment horizontal="center" vertical="center"/>
    </xf>
    <xf numFmtId="0" fontId="62" fillId="0" borderId="0" xfId="0" applyFont="1" applyAlignment="1">
      <alignment horizontal="left" vertical="center"/>
    </xf>
    <xf numFmtId="0" fontId="168" fillId="0" borderId="0" xfId="0" applyFont="1" applyAlignment="1">
      <alignment horizontal="left" vertical="center"/>
    </xf>
    <xf numFmtId="0" fontId="161" fillId="0" borderId="0" xfId="0" applyFont="1" applyAlignment="1">
      <alignment horizontal="left" vertical="center"/>
    </xf>
    <xf numFmtId="0" fontId="161" fillId="0" borderId="0" xfId="0" applyFont="1"/>
    <xf numFmtId="0" fontId="297" fillId="0" borderId="0" xfId="0" applyFont="1" applyAlignment="1">
      <alignment horizontal="left" vertical="center"/>
    </xf>
    <xf numFmtId="0" fontId="298" fillId="0" borderId="0" xfId="0" applyFont="1" applyAlignment="1">
      <alignment horizontal="center"/>
    </xf>
    <xf numFmtId="0" fontId="168" fillId="0" borderId="0" xfId="0" applyFont="1" applyAlignment="1">
      <alignment horizontal="right" vertical="center"/>
    </xf>
    <xf numFmtId="0" fontId="161" fillId="0" borderId="0" xfId="0" applyFont="1" applyAlignment="1">
      <alignment horizontal="right" vertical="center"/>
    </xf>
    <xf numFmtId="0" fontId="161" fillId="0" borderId="6" xfId="0" applyFont="1" applyBorder="1" applyAlignment="1">
      <alignment horizontal="right" vertical="center"/>
    </xf>
    <xf numFmtId="0" fontId="297" fillId="0" borderId="30" xfId="0" applyFont="1" applyBorder="1" applyAlignment="1">
      <alignment horizontal="right" vertical="center"/>
    </xf>
    <xf numFmtId="0" fontId="25" fillId="0" borderId="29" xfId="0" applyFont="1" applyBorder="1" applyAlignment="1">
      <alignment horizontal="center" vertical="center"/>
    </xf>
    <xf numFmtId="0" fontId="8" fillId="0" borderId="30" xfId="0" applyFont="1" applyBorder="1" applyAlignment="1">
      <alignment horizontal="right"/>
    </xf>
    <xf numFmtId="0" fontId="0" fillId="0" borderId="30" xfId="0" applyBorder="1" applyAlignment="1">
      <alignment horizontal="center" vertical="center"/>
    </xf>
    <xf numFmtId="0" fontId="0" fillId="0" borderId="31" xfId="0" applyBorder="1" applyAlignment="1">
      <alignment horizontal="center" vertical="center"/>
    </xf>
    <xf numFmtId="0" fontId="25" fillId="0" borderId="3" xfId="0" applyFont="1" applyBorder="1" applyAlignment="1">
      <alignment horizontal="center" vertical="center"/>
    </xf>
    <xf numFmtId="0" fontId="0" fillId="0" borderId="4" xfId="0" applyBorder="1" applyAlignment="1">
      <alignment horizontal="center" vertical="center"/>
    </xf>
    <xf numFmtId="0" fontId="25" fillId="3" borderId="3" xfId="0" applyFont="1" applyFill="1" applyBorder="1" applyAlignment="1">
      <alignment horizontal="center" vertical="center"/>
    </xf>
    <xf numFmtId="10" fontId="9" fillId="0" borderId="0" xfId="0" applyNumberFormat="1" applyFont="1" applyAlignment="1">
      <alignment horizontal="right"/>
    </xf>
    <xf numFmtId="0" fontId="183" fillId="0" borderId="0" xfId="0" applyFont="1"/>
    <xf numFmtId="0" fontId="25" fillId="3" borderId="5" xfId="0" applyFont="1" applyFill="1" applyBorder="1" applyAlignment="1">
      <alignment horizontal="center" vertical="center"/>
    </xf>
    <xf numFmtId="0" fontId="25" fillId="3" borderId="6" xfId="0" applyFont="1" applyFill="1" applyBorder="1" applyAlignment="1">
      <alignment horizontal="center" vertical="center"/>
    </xf>
    <xf numFmtId="10" fontId="9" fillId="0" borderId="6" xfId="0" applyNumberFormat="1" applyFont="1" applyBorder="1" applyAlignment="1">
      <alignment horizontal="right"/>
    </xf>
    <xf numFmtId="0" fontId="0" fillId="0" borderId="6" xfId="0" applyBorder="1" applyAlignment="1">
      <alignment horizontal="center" vertical="center"/>
    </xf>
    <xf numFmtId="0" fontId="0" fillId="0" borderId="7" xfId="0" applyBorder="1" applyAlignment="1">
      <alignment horizontal="center" vertical="center"/>
    </xf>
    <xf numFmtId="166" fontId="88" fillId="0" borderId="0" xfId="0" applyNumberFormat="1" applyFont="1" applyProtection="1">
      <protection locked="0"/>
    </xf>
    <xf numFmtId="171" fontId="39" fillId="0" borderId="0" xfId="0" applyNumberFormat="1" applyFont="1"/>
    <xf numFmtId="0" fontId="198" fillId="0" borderId="152" xfId="0" applyFont="1" applyBorder="1" applyAlignment="1">
      <alignment horizontal="right"/>
    </xf>
    <xf numFmtId="1" fontId="32" fillId="8" borderId="2" xfId="0" applyNumberFormat="1" applyFont="1" applyFill="1" applyBorder="1" applyAlignment="1">
      <alignment horizontal="center" vertical="center"/>
    </xf>
    <xf numFmtId="9" fontId="141" fillId="25" borderId="162" xfId="2" applyFont="1" applyFill="1" applyBorder="1" applyAlignment="1" applyProtection="1">
      <alignment horizontal="center" vertical="center"/>
    </xf>
    <xf numFmtId="0" fontId="296" fillId="3" borderId="30" xfId="0" applyFont="1" applyFill="1" applyBorder="1" applyAlignment="1">
      <alignment vertical="center"/>
    </xf>
    <xf numFmtId="0" fontId="3" fillId="5" borderId="114" xfId="0" applyFont="1" applyFill="1" applyBorder="1" applyAlignment="1">
      <alignment horizontal="center" vertical="center"/>
    </xf>
    <xf numFmtId="0" fontId="296" fillId="3" borderId="0" xfId="0" applyFont="1" applyFill="1" applyAlignment="1">
      <alignment vertical="center"/>
    </xf>
    <xf numFmtId="10" fontId="39" fillId="0" borderId="38" xfId="0" applyNumberFormat="1" applyFont="1" applyBorder="1" applyAlignment="1">
      <alignment horizontal="left" vertical="center"/>
    </xf>
    <xf numFmtId="10" fontId="39" fillId="0" borderId="0" xfId="0" applyNumberFormat="1" applyFont="1" applyAlignment="1">
      <alignment horizontal="left" vertical="center"/>
    </xf>
    <xf numFmtId="0" fontId="21" fillId="0" borderId="0" xfId="8"/>
    <xf numFmtId="171" fontId="0" fillId="0" borderId="0" xfId="0" applyNumberFormat="1"/>
    <xf numFmtId="0" fontId="24" fillId="0" borderId="0" xfId="11"/>
    <xf numFmtId="0" fontId="23" fillId="0" borderId="0" xfId="10"/>
    <xf numFmtId="0" fontId="294" fillId="0" borderId="3" xfId="0" applyFont="1" applyBorder="1"/>
    <xf numFmtId="0" fontId="294" fillId="0" borderId="0" xfId="0" applyFont="1"/>
    <xf numFmtId="172" fontId="2" fillId="0" borderId="0" xfId="0" applyNumberFormat="1" applyFont="1" applyAlignment="1">
      <alignment horizontal="center" vertical="center"/>
    </xf>
    <xf numFmtId="9" fontId="300" fillId="79" borderId="2" xfId="2" applyFont="1" applyFill="1" applyBorder="1" applyAlignment="1" applyProtection="1">
      <alignment horizontal="center"/>
      <protection locked="0"/>
    </xf>
    <xf numFmtId="0" fontId="295" fillId="0" borderId="0" xfId="0" applyFont="1" applyAlignment="1">
      <alignment horizontal="left" vertical="top" wrapText="1"/>
    </xf>
    <xf numFmtId="0" fontId="204" fillId="0" borderId="145" xfId="0" applyFont="1" applyBorder="1" applyAlignment="1">
      <alignment vertical="center"/>
    </xf>
    <xf numFmtId="0" fontId="205" fillId="0" borderId="0" xfId="0" applyFont="1" applyAlignment="1">
      <alignment vertical="center"/>
    </xf>
    <xf numFmtId="172" fontId="36" fillId="0" borderId="0" xfId="0" applyNumberFormat="1" applyFont="1"/>
    <xf numFmtId="0" fontId="0" fillId="0" borderId="0" xfId="0" applyAlignment="1">
      <alignment horizontal="center"/>
    </xf>
    <xf numFmtId="0" fontId="13" fillId="26" borderId="241" xfId="0" applyFont="1" applyFill="1" applyBorder="1" applyAlignment="1">
      <alignment horizontal="center" vertical="center" wrapText="1"/>
    </xf>
    <xf numFmtId="0" fontId="13" fillId="26" borderId="243" xfId="0" applyFont="1" applyFill="1" applyBorder="1" applyAlignment="1">
      <alignment horizontal="center" vertical="center" wrapText="1"/>
    </xf>
    <xf numFmtId="171" fontId="13" fillId="26" borderId="241" xfId="0" applyNumberFormat="1" applyFont="1" applyFill="1" applyBorder="1" applyAlignment="1">
      <alignment horizontal="center" vertical="center" wrapText="1"/>
    </xf>
    <xf numFmtId="171" fontId="13" fillId="26" borderId="243" xfId="0" applyNumberFormat="1" applyFont="1" applyFill="1" applyBorder="1" applyAlignment="1">
      <alignment horizontal="center" vertical="center" wrapText="1"/>
    </xf>
    <xf numFmtId="171" fontId="13" fillId="26" borderId="2" xfId="0" applyNumberFormat="1" applyFont="1" applyFill="1" applyBorder="1" applyAlignment="1">
      <alignment horizontal="center" vertical="center" wrapText="1"/>
    </xf>
    <xf numFmtId="0" fontId="13" fillId="26" borderId="2" xfId="0" applyFont="1" applyFill="1" applyBorder="1" applyAlignment="1">
      <alignment horizontal="center" vertical="center" wrapText="1"/>
    </xf>
    <xf numFmtId="171" fontId="13" fillId="26" borderId="9" xfId="0" applyNumberFormat="1" applyFont="1" applyFill="1" applyBorder="1" applyAlignment="1">
      <alignment horizontal="center" vertical="center" wrapText="1"/>
    </xf>
    <xf numFmtId="0" fontId="302" fillId="0" borderId="246" xfId="0" applyFont="1" applyBorder="1" applyAlignment="1" applyProtection="1">
      <alignment horizontal="center" vertical="center" wrapText="1"/>
      <protection locked="0"/>
    </xf>
    <xf numFmtId="192" fontId="302" fillId="0" borderId="90" xfId="0" applyNumberFormat="1" applyFont="1" applyBorder="1" applyAlignment="1" applyProtection="1">
      <alignment horizontal="center" vertical="center"/>
      <protection locked="0"/>
    </xf>
    <xf numFmtId="171" fontId="302" fillId="0" borderId="58" xfId="0" applyNumberFormat="1" applyFont="1" applyBorder="1" applyAlignment="1" applyProtection="1">
      <alignment horizontal="center" vertical="center"/>
      <protection locked="0"/>
    </xf>
    <xf numFmtId="171" fontId="302" fillId="0" borderId="247" xfId="0" applyNumberFormat="1" applyFont="1" applyBorder="1" applyAlignment="1" applyProtection="1">
      <alignment horizontal="center" vertical="center"/>
      <protection locked="0"/>
    </xf>
    <xf numFmtId="0" fontId="302" fillId="0" borderId="57" xfId="0" applyFont="1" applyBorder="1" applyAlignment="1" applyProtection="1">
      <alignment horizontal="center" vertical="center"/>
      <protection locked="0"/>
    </xf>
    <xf numFmtId="171" fontId="13" fillId="24" borderId="241" xfId="0" applyNumberFormat="1" applyFont="1" applyFill="1" applyBorder="1" applyAlignment="1">
      <alignment horizontal="center" vertical="top"/>
    </xf>
    <xf numFmtId="192" fontId="302" fillId="24" borderId="2" xfId="0" applyNumberFormat="1" applyFont="1" applyFill="1" applyBorder="1" applyAlignment="1">
      <alignment horizontal="center"/>
    </xf>
    <xf numFmtId="0" fontId="302" fillId="24" borderId="243" xfId="0" applyFont="1" applyFill="1" applyBorder="1" applyAlignment="1">
      <alignment horizontal="center"/>
    </xf>
    <xf numFmtId="171" fontId="0" fillId="0" borderId="0" xfId="0" applyNumberFormat="1" applyAlignment="1">
      <alignment horizontal="center"/>
    </xf>
    <xf numFmtId="0" fontId="303" fillId="0" borderId="26" xfId="0" applyFont="1" applyBorder="1"/>
    <xf numFmtId="0" fontId="0" fillId="0" borderId="27" xfId="0" applyBorder="1" applyAlignment="1">
      <alignment horizontal="center"/>
    </xf>
    <xf numFmtId="0" fontId="0" fillId="0" borderId="18" xfId="0" applyBorder="1" applyAlignment="1">
      <alignment horizontal="center"/>
    </xf>
    <xf numFmtId="0" fontId="303" fillId="0" borderId="16" xfId="0" applyFont="1" applyBorder="1"/>
    <xf numFmtId="0" fontId="304" fillId="0" borderId="0" xfId="0" applyFont="1"/>
    <xf numFmtId="0" fontId="304" fillId="0" borderId="17" xfId="0" applyFont="1" applyBorder="1"/>
    <xf numFmtId="171" fontId="302" fillId="0" borderId="60" xfId="0" applyNumberFormat="1" applyFont="1" applyBorder="1" applyAlignment="1" applyProtection="1">
      <alignment horizontal="center" vertical="top"/>
      <protection locked="0"/>
    </xf>
    <xf numFmtId="0" fontId="13" fillId="0" borderId="0" xfId="0" applyFont="1"/>
    <xf numFmtId="3" fontId="302" fillId="80" borderId="60" xfId="0" applyNumberFormat="1" applyFont="1" applyFill="1" applyBorder="1" applyAlignment="1" applyProtection="1">
      <alignment horizontal="center" vertical="top"/>
      <protection locked="0"/>
    </xf>
    <xf numFmtId="0" fontId="302" fillId="0" borderId="17" xfId="0" applyFont="1" applyBorder="1"/>
    <xf numFmtId="9" fontId="302" fillId="0" borderId="0" xfId="2" applyFont="1" applyBorder="1"/>
    <xf numFmtId="173" fontId="302" fillId="0" borderId="0" xfId="1" applyNumberFormat="1" applyFont="1" applyBorder="1"/>
    <xf numFmtId="10" fontId="302" fillId="0" borderId="17" xfId="0" applyNumberFormat="1" applyFont="1" applyBorder="1" applyAlignment="1" applyProtection="1">
      <alignment horizontal="center" vertical="top"/>
      <protection locked="0"/>
    </xf>
    <xf numFmtId="10" fontId="305" fillId="0" borderId="0" xfId="2" applyNumberFormat="1" applyFont="1" applyBorder="1"/>
    <xf numFmtId="10" fontId="302" fillId="80" borderId="17" xfId="0" applyNumberFormat="1" applyFont="1" applyFill="1" applyBorder="1" applyAlignment="1" applyProtection="1">
      <alignment horizontal="center" vertical="top"/>
      <protection locked="0"/>
    </xf>
    <xf numFmtId="169" fontId="302" fillId="0" borderId="0" xfId="1" applyFont="1" applyBorder="1"/>
    <xf numFmtId="169" fontId="302" fillId="0" borderId="0" xfId="2" applyNumberFormat="1" applyFont="1" applyBorder="1"/>
    <xf numFmtId="0" fontId="303" fillId="0" borderId="28" xfId="0" applyFont="1" applyBorder="1"/>
    <xf numFmtId="0" fontId="304" fillId="0" borderId="22" xfId="0" applyFont="1" applyBorder="1"/>
    <xf numFmtId="0" fontId="304" fillId="0" borderId="19" xfId="0" applyFont="1" applyBorder="1"/>
    <xf numFmtId="10" fontId="302" fillId="80" borderId="19" xfId="0" applyNumberFormat="1" applyFont="1" applyFill="1" applyBorder="1" applyAlignment="1" applyProtection="1">
      <alignment horizontal="center" vertical="top"/>
      <protection locked="0"/>
    </xf>
    <xf numFmtId="0" fontId="306" fillId="8" borderId="249" xfId="0" applyFont="1" applyFill="1" applyBorder="1"/>
    <xf numFmtId="0" fontId="307" fillId="8" borderId="250" xfId="0" applyFont="1" applyFill="1" applyBorder="1"/>
    <xf numFmtId="0" fontId="302" fillId="8" borderId="251" xfId="0" applyFont="1" applyFill="1" applyBorder="1"/>
    <xf numFmtId="0" fontId="302" fillId="8" borderId="18" xfId="0" applyFont="1" applyFill="1" applyBorder="1"/>
    <xf numFmtId="171" fontId="302" fillId="8" borderId="252" xfId="0" applyNumberFormat="1" applyFont="1" applyFill="1" applyBorder="1" applyAlignment="1">
      <alignment horizontal="center" vertical="top"/>
    </xf>
    <xf numFmtId="0" fontId="306" fillId="81" borderId="253" xfId="0" applyFont="1" applyFill="1" applyBorder="1"/>
    <xf numFmtId="0" fontId="307" fillId="81" borderId="254" xfId="0" applyFont="1" applyFill="1" applyBorder="1"/>
    <xf numFmtId="0" fontId="302" fillId="81" borderId="255" xfId="0" applyFont="1" applyFill="1" applyBorder="1"/>
    <xf numFmtId="0" fontId="302" fillId="81" borderId="17" xfId="0" applyFont="1" applyFill="1" applyBorder="1"/>
    <xf numFmtId="171" fontId="302" fillId="81" borderId="256" xfId="0" applyNumberFormat="1" applyFont="1" applyFill="1" applyBorder="1" applyAlignment="1">
      <alignment horizontal="center" vertical="top"/>
    </xf>
    <xf numFmtId="0" fontId="306" fillId="0" borderId="257" xfId="0" applyFont="1" applyBorder="1"/>
    <xf numFmtId="0" fontId="307" fillId="0" borderId="258" xfId="0" applyFont="1" applyBorder="1"/>
    <xf numFmtId="0" fontId="302" fillId="0" borderId="259" xfId="0" applyFont="1" applyBorder="1"/>
    <xf numFmtId="3" fontId="302" fillId="0" borderId="17" xfId="0" applyNumberFormat="1" applyFont="1" applyBorder="1" applyAlignment="1">
      <alignment horizontal="center" vertical="center"/>
    </xf>
    <xf numFmtId="171" fontId="302" fillId="0" borderId="260" xfId="0" applyNumberFormat="1" applyFont="1" applyBorder="1" applyAlignment="1">
      <alignment horizontal="center" vertical="top"/>
    </xf>
    <xf numFmtId="0" fontId="308" fillId="0" borderId="261" xfId="0" applyFont="1" applyBorder="1"/>
    <xf numFmtId="0" fontId="309" fillId="0" borderId="262" xfId="0" applyFont="1" applyBorder="1"/>
    <xf numFmtId="0" fontId="307" fillId="0" borderId="262" xfId="0" applyFont="1" applyBorder="1"/>
    <xf numFmtId="0" fontId="302" fillId="0" borderId="263" xfId="0" applyFont="1" applyBorder="1"/>
    <xf numFmtId="0" fontId="302" fillId="0" borderId="19" xfId="0" applyFont="1" applyBorder="1"/>
    <xf numFmtId="171" fontId="302" fillId="0" borderId="264" xfId="0" applyNumberFormat="1" applyFont="1" applyBorder="1" applyAlignment="1">
      <alignment horizontal="center" vertical="top"/>
    </xf>
    <xf numFmtId="0" fontId="302" fillId="0" borderId="245" xfId="0" applyFont="1" applyBorder="1" applyAlignment="1" applyProtection="1">
      <alignment horizontal="center" vertical="center" wrapText="1"/>
      <protection locked="0"/>
    </xf>
    <xf numFmtId="171" fontId="302" fillId="0" borderId="246" xfId="0" applyNumberFormat="1" applyFont="1" applyBorder="1" applyAlignment="1" applyProtection="1">
      <alignment horizontal="center" vertical="center"/>
      <protection locked="0"/>
    </xf>
    <xf numFmtId="171" fontId="302" fillId="0" borderId="245" xfId="0" applyNumberFormat="1" applyFont="1" applyBorder="1" applyAlignment="1" applyProtection="1">
      <alignment horizontal="center" vertical="center"/>
      <protection locked="0"/>
    </xf>
    <xf numFmtId="171" fontId="302" fillId="24" borderId="135" xfId="0" applyNumberFormat="1" applyFont="1" applyFill="1" applyBorder="1" applyAlignment="1">
      <alignment horizontal="center" vertical="center"/>
    </xf>
    <xf numFmtId="192" fontId="302" fillId="0" borderId="135" xfId="0" applyNumberFormat="1" applyFont="1" applyBorder="1" applyAlignment="1" applyProtection="1">
      <alignment horizontal="center" vertical="center"/>
      <protection locked="0"/>
    </xf>
    <xf numFmtId="9" fontId="302" fillId="24" borderId="248" xfId="2" applyFont="1" applyFill="1" applyBorder="1" applyAlignment="1">
      <alignment horizontal="center" vertical="center"/>
    </xf>
    <xf numFmtId="9" fontId="302" fillId="24" borderId="242" xfId="2" applyFont="1" applyFill="1" applyBorder="1" applyAlignment="1">
      <alignment horizontal="center" vertical="center"/>
    </xf>
    <xf numFmtId="9" fontId="4" fillId="0" borderId="75" xfId="0" applyNumberFormat="1" applyFont="1" applyBorder="1" applyAlignment="1" applyProtection="1">
      <alignment horizontal="center"/>
      <protection locked="0"/>
    </xf>
    <xf numFmtId="3" fontId="302" fillId="0" borderId="60" xfId="0" applyNumberFormat="1" applyFont="1" applyBorder="1" applyAlignment="1">
      <alignment horizontal="center" vertical="top"/>
    </xf>
    <xf numFmtId="171" fontId="302" fillId="0" borderId="60" xfId="0" applyNumberFormat="1" applyFont="1" applyBorder="1" applyAlignment="1">
      <alignment horizontal="center" vertical="top"/>
    </xf>
    <xf numFmtId="171" fontId="302" fillId="0" borderId="56" xfId="0" applyNumberFormat="1" applyFont="1" applyBorder="1" applyAlignment="1">
      <alignment horizontal="center" vertical="top"/>
    </xf>
    <xf numFmtId="171" fontId="302" fillId="80" borderId="60" xfId="0" applyNumberFormat="1" applyFont="1" applyFill="1" applyBorder="1" applyAlignment="1" applyProtection="1">
      <alignment horizontal="center" vertical="top"/>
      <protection locked="0"/>
    </xf>
    <xf numFmtId="171" fontId="0" fillId="0" borderId="0" xfId="0" applyNumberFormat="1" applyAlignment="1">
      <alignment horizontal="center" wrapText="1"/>
    </xf>
    <xf numFmtId="9" fontId="0" fillId="0" borderId="18" xfId="2" applyFont="1" applyBorder="1" applyAlignment="1" applyProtection="1">
      <alignment horizontal="center"/>
    </xf>
    <xf numFmtId="0" fontId="311" fillId="0" borderId="0" xfId="0" applyFont="1" applyAlignment="1">
      <alignment horizontal="left" vertical="center"/>
    </xf>
    <xf numFmtId="0" fontId="301" fillId="0" borderId="145" xfId="0" applyFont="1" applyBorder="1" applyAlignment="1">
      <alignment vertical="center" wrapText="1"/>
    </xf>
    <xf numFmtId="0" fontId="301" fillId="0" borderId="0" xfId="0" applyFont="1" applyAlignment="1">
      <alignment vertical="center" wrapText="1"/>
    </xf>
    <xf numFmtId="0" fontId="301" fillId="0" borderId="4" xfId="0" applyFont="1" applyBorder="1" applyAlignment="1">
      <alignment vertical="center" wrapText="1"/>
    </xf>
    <xf numFmtId="0" fontId="175" fillId="9" borderId="145" xfId="0" applyFont="1" applyFill="1" applyBorder="1" applyAlignment="1">
      <alignment vertical="center"/>
    </xf>
    <xf numFmtId="0" fontId="208" fillId="9" borderId="0" xfId="0" applyFont="1" applyFill="1" applyAlignment="1">
      <alignment vertical="center" wrapText="1"/>
    </xf>
    <xf numFmtId="0" fontId="208" fillId="9" borderId="4" xfId="0" applyFont="1" applyFill="1" applyBorder="1" applyAlignment="1">
      <alignment vertical="center" wrapText="1"/>
    </xf>
    <xf numFmtId="9" fontId="213" fillId="0" borderId="145" xfId="2" applyFont="1" applyFill="1" applyBorder="1" applyAlignment="1" applyProtection="1"/>
    <xf numFmtId="9" fontId="213" fillId="0" borderId="0" xfId="2" applyFont="1" applyFill="1" applyBorder="1" applyAlignment="1" applyProtection="1"/>
    <xf numFmtId="0" fontId="25" fillId="9" borderId="0" xfId="0" applyFont="1" applyFill="1" applyAlignment="1">
      <alignment horizontal="center" vertical="center"/>
    </xf>
    <xf numFmtId="9" fontId="175" fillId="9" borderId="145" xfId="2" applyFont="1" applyFill="1" applyBorder="1" applyAlignment="1" applyProtection="1"/>
    <xf numFmtId="9" fontId="256" fillId="9" borderId="0" xfId="2" applyFont="1" applyFill="1" applyBorder="1" applyAlignment="1" applyProtection="1"/>
    <xf numFmtId="0" fontId="62" fillId="9" borderId="0" xfId="0" applyFont="1" applyFill="1" applyAlignment="1">
      <alignment horizontal="center" vertical="center"/>
    </xf>
    <xf numFmtId="0" fontId="25" fillId="9" borderId="0" xfId="0" applyFont="1" applyFill="1" applyAlignment="1">
      <alignment horizontal="left" vertical="center"/>
    </xf>
    <xf numFmtId="0" fontId="0" fillId="9" borderId="0" xfId="0" applyFill="1" applyAlignment="1">
      <alignment horizontal="center" vertical="center"/>
    </xf>
    <xf numFmtId="171" fontId="168" fillId="9" borderId="0" xfId="0" applyNumberFormat="1" applyFont="1" applyFill="1" applyAlignment="1">
      <alignment horizontal="center" vertical="center"/>
    </xf>
    <xf numFmtId="0" fontId="212" fillId="9" borderId="0" xfId="0" applyFont="1" applyFill="1" applyAlignment="1">
      <alignment horizontal="left" vertical="center"/>
    </xf>
    <xf numFmtId="0" fontId="25" fillId="9" borderId="0" xfId="0" applyFont="1" applyFill="1" applyAlignment="1">
      <alignment horizontal="right" vertical="center"/>
    </xf>
    <xf numFmtId="0" fontId="60" fillId="9" borderId="0" xfId="0" applyFont="1" applyFill="1"/>
    <xf numFmtId="0" fontId="2" fillId="9" borderId="0" xfId="0" applyFont="1" applyFill="1" applyAlignment="1">
      <alignment horizontal="left" vertical="center"/>
    </xf>
    <xf numFmtId="0" fontId="2" fillId="9" borderId="0" xfId="0" applyFont="1" applyFill="1" applyAlignment="1">
      <alignment horizontal="center" vertical="center"/>
    </xf>
    <xf numFmtId="0" fontId="9" fillId="9" borderId="0" xfId="0" applyFont="1" applyFill="1" applyAlignment="1">
      <alignment horizontal="left" vertical="center"/>
    </xf>
    <xf numFmtId="0" fontId="60" fillId="9" borderId="0" xfId="0" applyFont="1" applyFill="1" applyAlignment="1">
      <alignment horizontal="center" vertical="center"/>
    </xf>
    <xf numFmtId="0" fontId="222" fillId="9" borderId="137" xfId="0" applyFont="1" applyFill="1" applyBorder="1" applyAlignment="1">
      <alignment horizontal="left"/>
    </xf>
    <xf numFmtId="0" fontId="6" fillId="9" borderId="30" xfId="0" applyFont="1" applyFill="1" applyBorder="1" applyAlignment="1">
      <alignment vertical="center"/>
    </xf>
    <xf numFmtId="0" fontId="6" fillId="9" borderId="30" xfId="0" applyFont="1" applyFill="1" applyBorder="1" applyAlignment="1">
      <alignment horizontal="right" vertical="center"/>
    </xf>
    <xf numFmtId="9" fontId="213" fillId="9" borderId="12" xfId="2" applyFont="1" applyFill="1" applyBorder="1" applyAlignment="1" applyProtection="1">
      <alignment horizontal="left" vertical="top"/>
      <protection locked="0"/>
    </xf>
    <xf numFmtId="9" fontId="213" fillId="9" borderId="12" xfId="2" applyFont="1" applyFill="1" applyBorder="1" applyAlignment="1" applyProtection="1">
      <alignment horizontal="right" vertical="top"/>
      <protection locked="0"/>
    </xf>
    <xf numFmtId="0" fontId="6" fillId="9" borderId="0" xfId="0" applyFont="1" applyFill="1" applyAlignment="1">
      <alignment horizontal="left" vertical="center"/>
    </xf>
    <xf numFmtId="0" fontId="6" fillId="9" borderId="0" xfId="0" applyFont="1" applyFill="1"/>
    <xf numFmtId="0" fontId="32" fillId="0" borderId="0" xfId="0" applyFont="1" applyAlignment="1">
      <alignment horizontal="center"/>
    </xf>
    <xf numFmtId="10" fontId="144" fillId="0" borderId="0" xfId="0" applyNumberFormat="1" applyFont="1" applyAlignment="1">
      <alignment vertical="center"/>
    </xf>
    <xf numFmtId="10" fontId="144" fillId="0" borderId="0" xfId="0" applyNumberFormat="1" applyFont="1" applyAlignment="1">
      <alignment horizontal="right" vertical="center"/>
    </xf>
    <xf numFmtId="0" fontId="311" fillId="0" borderId="16" xfId="0" applyFont="1" applyBorder="1" applyAlignment="1">
      <alignment horizontal="left" vertical="center"/>
    </xf>
    <xf numFmtId="0" fontId="311" fillId="0" borderId="28" xfId="0" applyFont="1" applyBorder="1" applyAlignment="1">
      <alignment horizontal="left" vertical="center"/>
    </xf>
    <xf numFmtId="10" fontId="144" fillId="0" borderId="22" xfId="0" applyNumberFormat="1" applyFont="1" applyBorder="1" applyAlignment="1">
      <alignment vertical="center"/>
    </xf>
    <xf numFmtId="10" fontId="144" fillId="0" borderId="22" xfId="0" applyNumberFormat="1" applyFont="1" applyBorder="1" applyAlignment="1">
      <alignment horizontal="center" vertical="center"/>
    </xf>
    <xf numFmtId="0" fontId="144" fillId="0" borderId="22" xfId="0" applyFont="1" applyBorder="1" applyAlignment="1">
      <alignment horizontal="left" vertical="center"/>
    </xf>
    <xf numFmtId="10" fontId="144" fillId="0" borderId="22" xfId="0" applyNumberFormat="1" applyFont="1" applyBorder="1" applyAlignment="1">
      <alignment horizontal="right" vertical="center"/>
    </xf>
    <xf numFmtId="10" fontId="144" fillId="8" borderId="0" xfId="0" applyNumberFormat="1" applyFont="1" applyFill="1" applyAlignment="1">
      <alignment horizontal="center" vertical="center"/>
    </xf>
    <xf numFmtId="10" fontId="144" fillId="8" borderId="17" xfId="0" applyNumberFormat="1" applyFont="1" applyFill="1" applyBorder="1" applyAlignment="1">
      <alignment horizontal="center" vertical="center"/>
    </xf>
    <xf numFmtId="0" fontId="53" fillId="64" borderId="0" xfId="0" applyFont="1" applyFill="1" applyAlignment="1">
      <alignment horizontal="right" vertical="center"/>
    </xf>
    <xf numFmtId="10" fontId="53" fillId="64" borderId="0" xfId="0" applyNumberFormat="1" applyFont="1" applyFill="1" applyAlignment="1">
      <alignment horizontal="center" vertical="center"/>
    </xf>
    <xf numFmtId="0" fontId="144" fillId="0" borderId="16" xfId="0" applyFont="1" applyBorder="1" applyAlignment="1">
      <alignment vertical="center"/>
    </xf>
    <xf numFmtId="0" fontId="46" fillId="0" borderId="26" xfId="0" applyFont="1" applyBorder="1"/>
    <xf numFmtId="0" fontId="35" fillId="0" borderId="265" xfId="0" applyFont="1" applyBorder="1" applyAlignment="1">
      <alignment horizontal="left" vertical="center" wrapText="1"/>
    </xf>
    <xf numFmtId="10" fontId="39" fillId="0" borderId="9" xfId="0" applyNumberFormat="1" applyFont="1" applyBorder="1" applyAlignment="1">
      <alignment horizontal="center" vertical="center"/>
    </xf>
    <xf numFmtId="10" fontId="39" fillId="8" borderId="9" xfId="0" applyNumberFormat="1" applyFont="1" applyFill="1" applyBorder="1" applyAlignment="1">
      <alignment horizontal="center" vertical="center"/>
    </xf>
    <xf numFmtId="10" fontId="39" fillId="61" borderId="9" xfId="0" applyNumberFormat="1" applyFont="1" applyFill="1" applyBorder="1" applyAlignment="1">
      <alignment horizontal="center" vertical="center"/>
    </xf>
    <xf numFmtId="10" fontId="39" fillId="0" borderId="129" xfId="0" applyNumberFormat="1" applyFont="1" applyBorder="1" applyAlignment="1">
      <alignment horizontal="center" vertical="center"/>
    </xf>
    <xf numFmtId="10" fontId="39" fillId="8" borderId="129" xfId="0" applyNumberFormat="1" applyFont="1" applyFill="1" applyBorder="1" applyAlignment="1">
      <alignment horizontal="center" vertical="center"/>
    </xf>
    <xf numFmtId="10" fontId="39" fillId="61" borderId="129" xfId="0" applyNumberFormat="1" applyFont="1" applyFill="1" applyBorder="1" applyAlignment="1">
      <alignment horizontal="center" vertical="center"/>
    </xf>
    <xf numFmtId="0" fontId="78" fillId="23" borderId="27" xfId="0" applyFont="1" applyFill="1" applyBorder="1" applyAlignment="1">
      <alignment horizontal="center"/>
    </xf>
    <xf numFmtId="0" fontId="78" fillId="23" borderId="27" xfId="0" applyFont="1" applyFill="1" applyBorder="1" applyAlignment="1">
      <alignment horizontal="center" wrapText="1"/>
    </xf>
    <xf numFmtId="0" fontId="78" fillId="23" borderId="18" xfId="0" applyFont="1" applyFill="1" applyBorder="1" applyAlignment="1">
      <alignment horizontal="center"/>
    </xf>
    <xf numFmtId="10" fontId="314" fillId="30" borderId="9" xfId="0" applyNumberFormat="1" applyFont="1" applyFill="1" applyBorder="1" applyAlignment="1">
      <alignment horizontal="center" vertical="center"/>
    </xf>
    <xf numFmtId="0" fontId="312" fillId="61" borderId="44" xfId="0" applyFont="1" applyFill="1" applyBorder="1" applyAlignment="1">
      <alignment horizontal="left" vertical="center" wrapText="1"/>
    </xf>
    <xf numFmtId="0" fontId="313" fillId="61" borderId="41" xfId="0" applyFont="1" applyFill="1" applyBorder="1" applyAlignment="1">
      <alignment horizontal="left" vertical="center" wrapText="1"/>
    </xf>
    <xf numFmtId="0" fontId="78" fillId="0" borderId="0" xfId="0" applyFont="1" applyAlignment="1">
      <alignment horizontal="center"/>
    </xf>
    <xf numFmtId="0" fontId="312" fillId="0" borderId="0" xfId="0" applyFont="1" applyAlignment="1">
      <alignment horizontal="left" vertical="center" wrapText="1"/>
    </xf>
    <xf numFmtId="0" fontId="313" fillId="0" borderId="0" xfId="0" applyFont="1" applyAlignment="1">
      <alignment horizontal="left" vertical="center" wrapText="1"/>
    </xf>
    <xf numFmtId="0" fontId="35" fillId="0" borderId="0" xfId="0" applyFont="1" applyAlignment="1">
      <alignment horizontal="left" vertical="center" wrapText="1"/>
    </xf>
    <xf numFmtId="0" fontId="37" fillId="0" borderId="0" xfId="0" applyFont="1" applyAlignment="1">
      <alignment horizontal="left" vertical="center" wrapText="1"/>
    </xf>
    <xf numFmtId="10" fontId="144" fillId="0" borderId="16" xfId="0" applyNumberFormat="1" applyFont="1" applyBorder="1" applyAlignment="1">
      <alignment vertical="center"/>
    </xf>
    <xf numFmtId="0" fontId="144" fillId="0" borderId="16" xfId="0" applyFont="1" applyBorder="1" applyAlignment="1">
      <alignment horizontal="left" vertical="center"/>
    </xf>
    <xf numFmtId="0" fontId="144" fillId="0" borderId="17" xfId="0" applyFont="1" applyBorder="1" applyAlignment="1">
      <alignment horizontal="left" vertical="center"/>
    </xf>
    <xf numFmtId="0" fontId="144" fillId="0" borderId="28" xfId="0" applyFont="1" applyBorder="1" applyAlignment="1">
      <alignment horizontal="left" vertical="center"/>
    </xf>
    <xf numFmtId="0" fontId="144" fillId="0" borderId="19" xfId="0" applyFont="1" applyBorder="1" applyAlignment="1">
      <alignment horizontal="left" vertical="center"/>
    </xf>
    <xf numFmtId="0" fontId="311" fillId="0" borderId="18" xfId="0" applyFont="1" applyBorder="1" applyAlignment="1">
      <alignment horizontal="left" vertical="center"/>
    </xf>
    <xf numFmtId="0" fontId="84" fillId="0" borderId="37" xfId="0" applyFont="1" applyBorder="1" applyAlignment="1">
      <alignment horizontal="center"/>
    </xf>
    <xf numFmtId="0" fontId="38" fillId="0" borderId="0" xfId="0" applyFont="1" applyAlignment="1">
      <alignment horizontal="left" vertical="center" wrapText="1"/>
    </xf>
    <xf numFmtId="0" fontId="78" fillId="82" borderId="27" xfId="0" applyFont="1" applyFill="1" applyBorder="1" applyAlignment="1">
      <alignment horizontal="center"/>
    </xf>
    <xf numFmtId="0" fontId="78" fillId="82" borderId="27" xfId="0" applyFont="1" applyFill="1" applyBorder="1" applyAlignment="1">
      <alignment horizontal="center" wrapText="1"/>
    </xf>
    <xf numFmtId="0" fontId="78" fillId="82" borderId="18" xfId="0" applyFont="1" applyFill="1" applyBorder="1" applyAlignment="1">
      <alignment horizontal="center"/>
    </xf>
    <xf numFmtId="10" fontId="314" fillId="30" borderId="129" xfId="0" applyNumberFormat="1" applyFont="1" applyFill="1" applyBorder="1" applyAlignment="1">
      <alignment horizontal="center" vertical="center"/>
    </xf>
    <xf numFmtId="9" fontId="227" fillId="9" borderId="0" xfId="2" applyFont="1" applyFill="1" applyBorder="1" applyAlignment="1" applyProtection="1"/>
    <xf numFmtId="0" fontId="78" fillId="83" borderId="27" xfId="0" applyFont="1" applyFill="1" applyBorder="1" applyAlignment="1">
      <alignment horizontal="center"/>
    </xf>
    <xf numFmtId="0" fontId="78" fillId="83" borderId="27" xfId="0" applyFont="1" applyFill="1" applyBorder="1" applyAlignment="1">
      <alignment horizontal="center" wrapText="1"/>
    </xf>
    <xf numFmtId="0" fontId="78" fillId="83" borderId="18" xfId="0" applyFont="1" applyFill="1" applyBorder="1" applyAlignment="1">
      <alignment horizontal="center"/>
    </xf>
    <xf numFmtId="0" fontId="78" fillId="23" borderId="27" xfId="0" applyFont="1" applyFill="1" applyBorder="1" applyAlignment="1">
      <alignment horizontal="center" vertical="center" wrapText="1"/>
    </xf>
    <xf numFmtId="0" fontId="78" fillId="82" borderId="27" xfId="0" applyFont="1" applyFill="1" applyBorder="1" applyAlignment="1">
      <alignment horizontal="center" vertical="center" wrapText="1"/>
    </xf>
    <xf numFmtId="0" fontId="78" fillId="83" borderId="27" xfId="0" applyFont="1" applyFill="1" applyBorder="1" applyAlignment="1">
      <alignment horizontal="center" vertical="center" wrapText="1"/>
    </xf>
    <xf numFmtId="10" fontId="62" fillId="0" borderId="33" xfId="0" applyNumberFormat="1" applyFont="1" applyBorder="1" applyAlignment="1">
      <alignment horizontal="left" vertical="center"/>
    </xf>
    <xf numFmtId="0" fontId="40" fillId="0" borderId="0" xfId="0" applyFont="1" applyAlignment="1">
      <alignment horizontal="center"/>
    </xf>
    <xf numFmtId="0" fontId="25" fillId="8" borderId="2" xfId="0" applyFont="1" applyFill="1" applyBorder="1"/>
    <xf numFmtId="0" fontId="0" fillId="9" borderId="0" xfId="0" applyFill="1" applyAlignment="1">
      <alignment horizontal="left" vertical="center"/>
    </xf>
    <xf numFmtId="0" fontId="316" fillId="9" borderId="137" xfId="0" applyFont="1" applyFill="1" applyBorder="1" applyAlignment="1">
      <alignment horizontal="left"/>
    </xf>
    <xf numFmtId="0" fontId="7" fillId="0" borderId="0" xfId="0" applyFont="1" applyAlignment="1">
      <alignment horizontal="center" vertical="center"/>
    </xf>
    <xf numFmtId="10" fontId="61" fillId="9" borderId="0" xfId="0" applyNumberFormat="1" applyFont="1" applyFill="1" applyAlignment="1">
      <alignment vertical="center"/>
    </xf>
    <xf numFmtId="0" fontId="61" fillId="9" borderId="0" xfId="0" applyFont="1" applyFill="1"/>
    <xf numFmtId="10" fontId="61" fillId="9" borderId="0" xfId="0" applyNumberFormat="1" applyFont="1" applyFill="1" applyAlignment="1">
      <alignment vertical="center" wrapText="1"/>
    </xf>
    <xf numFmtId="0" fontId="228" fillId="9" borderId="0" xfId="5" applyFont="1" applyFill="1" applyBorder="1" applyAlignment="1" applyProtection="1">
      <alignment vertical="center"/>
    </xf>
    <xf numFmtId="0" fontId="228" fillId="9" borderId="0" xfId="5" applyFont="1" applyFill="1" applyBorder="1" applyAlignment="1" applyProtection="1">
      <alignment horizontal="left" vertical="center" wrapText="1"/>
    </xf>
    <xf numFmtId="0" fontId="228" fillId="9" borderId="0" xfId="5" applyFont="1" applyFill="1" applyBorder="1" applyAlignment="1" applyProtection="1">
      <alignment horizontal="left" vertical="center"/>
    </xf>
    <xf numFmtId="0" fontId="315" fillId="79" borderId="0" xfId="0" applyFont="1" applyFill="1" applyAlignment="1">
      <alignment horizontal="left"/>
    </xf>
    <xf numFmtId="0" fontId="315" fillId="79" borderId="137" xfId="0" applyFont="1" applyFill="1" applyBorder="1" applyAlignment="1">
      <alignment horizontal="left"/>
    </xf>
    <xf numFmtId="0" fontId="223" fillId="79" borderId="137" xfId="0" applyFont="1" applyFill="1" applyBorder="1" applyAlignment="1">
      <alignment horizontal="left"/>
    </xf>
    <xf numFmtId="0" fontId="25" fillId="84" borderId="0" xfId="0" applyFont="1" applyFill="1"/>
    <xf numFmtId="0" fontId="222" fillId="0" borderId="0" xfId="0" applyFont="1" applyAlignment="1">
      <alignment vertical="center"/>
    </xf>
    <xf numFmtId="0" fontId="9" fillId="3" borderId="152" xfId="0" applyFont="1" applyFill="1" applyBorder="1" applyAlignment="1">
      <alignment vertical="center"/>
    </xf>
    <xf numFmtId="0" fontId="9" fillId="3" borderId="152" xfId="0" applyFont="1" applyFill="1" applyBorder="1" applyAlignment="1">
      <alignment horizontal="right" vertical="center"/>
    </xf>
    <xf numFmtId="0" fontId="9" fillId="3" borderId="0" xfId="0" applyFont="1" applyFill="1" applyAlignment="1">
      <alignment vertical="center"/>
    </xf>
    <xf numFmtId="0" fontId="9" fillId="3" borderId="0" xfId="0" applyFont="1" applyFill="1" applyAlignment="1">
      <alignment horizontal="right" vertical="center"/>
    </xf>
    <xf numFmtId="0" fontId="9" fillId="9" borderId="0" xfId="0" applyFont="1" applyFill="1" applyAlignment="1">
      <alignment horizontal="right" vertical="center"/>
    </xf>
    <xf numFmtId="0" fontId="9" fillId="3" borderId="151" xfId="0" applyFont="1" applyFill="1" applyBorder="1" applyAlignment="1">
      <alignment vertical="center"/>
    </xf>
    <xf numFmtId="0" fontId="9" fillId="3" borderId="151" xfId="0" applyFont="1" applyFill="1" applyBorder="1" applyAlignment="1">
      <alignment horizontal="right" vertical="center"/>
    </xf>
    <xf numFmtId="0" fontId="9" fillId="0" borderId="152" xfId="0" applyFont="1" applyBorder="1"/>
    <xf numFmtId="0" fontId="9" fillId="0" borderId="0" xfId="0" applyFont="1"/>
    <xf numFmtId="0" fontId="9" fillId="0" borderId="152" xfId="0" applyFont="1" applyBorder="1" applyAlignment="1">
      <alignment horizontal="right" vertical="center"/>
    </xf>
    <xf numFmtId="0" fontId="9" fillId="0" borderId="152" xfId="0" applyFont="1" applyBorder="1" applyAlignment="1">
      <alignment horizontal="right"/>
    </xf>
    <xf numFmtId="0" fontId="183" fillId="0" borderId="0" xfId="0" applyFont="1" applyAlignment="1">
      <alignment horizontal="right" vertical="center"/>
    </xf>
    <xf numFmtId="0" fontId="9" fillId="0" borderId="0" xfId="0" applyFont="1" applyAlignment="1">
      <alignment vertical="center"/>
    </xf>
    <xf numFmtId="0" fontId="183" fillId="0" borderId="0" xfId="0" applyFont="1" applyAlignment="1">
      <alignment vertical="center"/>
    </xf>
    <xf numFmtId="0" fontId="9" fillId="9" borderId="0" xfId="0" applyFont="1" applyFill="1" applyAlignment="1">
      <alignment vertical="center"/>
    </xf>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9" fillId="9" borderId="16" xfId="0" applyFont="1" applyFill="1" applyBorder="1" applyAlignment="1">
      <alignment vertical="center"/>
    </xf>
    <xf numFmtId="0" fontId="61" fillId="0" borderId="16" xfId="0" applyFont="1" applyBorder="1"/>
    <xf numFmtId="0" fontId="60" fillId="0" borderId="28" xfId="0" applyFont="1" applyBorder="1"/>
    <xf numFmtId="0" fontId="9" fillId="3" borderId="22" xfId="0" applyFont="1" applyFill="1" applyBorder="1" applyAlignment="1">
      <alignment vertical="center"/>
    </xf>
    <xf numFmtId="0" fontId="9" fillId="0" borderId="18" xfId="0" applyFont="1" applyBorder="1" applyAlignment="1">
      <alignment horizontal="right" vertical="center" indent="1"/>
    </xf>
    <xf numFmtId="0" fontId="9" fillId="0" borderId="17" xfId="0" applyFont="1" applyBorder="1" applyAlignment="1">
      <alignment horizontal="right" vertical="center" indent="1"/>
    </xf>
    <xf numFmtId="176" fontId="183" fillId="0" borderId="17" xfId="1" applyNumberFormat="1" applyFont="1" applyFill="1" applyBorder="1" applyAlignment="1" applyProtection="1">
      <alignment horizontal="right" vertical="center" indent="1"/>
    </xf>
    <xf numFmtId="0" fontId="9" fillId="9" borderId="17" xfId="0" applyFont="1" applyFill="1" applyBorder="1" applyAlignment="1">
      <alignment horizontal="right" vertical="center" indent="1"/>
    </xf>
    <xf numFmtId="0" fontId="9" fillId="3" borderId="19" xfId="0" applyFont="1" applyFill="1" applyBorder="1" applyAlignment="1">
      <alignment horizontal="right" vertical="center" indent="1"/>
    </xf>
    <xf numFmtId="0" fontId="161" fillId="3" borderId="0" xfId="0" applyFont="1" applyFill="1" applyAlignment="1">
      <alignment vertical="center"/>
    </xf>
    <xf numFmtId="0" fontId="0" fillId="3" borderId="0" xfId="0" applyFill="1" applyAlignment="1">
      <alignment horizontal="center" vertical="center"/>
    </xf>
    <xf numFmtId="0" fontId="8" fillId="0" borderId="0" xfId="0" applyFont="1" applyAlignment="1">
      <alignment vertical="center" wrapText="1"/>
    </xf>
    <xf numFmtId="0" fontId="8" fillId="0" borderId="151" xfId="0" applyFont="1" applyBorder="1" applyAlignment="1">
      <alignment vertical="center"/>
    </xf>
    <xf numFmtId="0" fontId="168" fillId="0" borderId="151" xfId="0" applyFont="1" applyBorder="1" applyAlignment="1">
      <alignment vertical="center"/>
    </xf>
    <xf numFmtId="0" fontId="161" fillId="0" borderId="151" xfId="0" applyFont="1" applyBorder="1"/>
    <xf numFmtId="0" fontId="298" fillId="0" borderId="151" xfId="0" applyFont="1" applyBorder="1" applyAlignment="1">
      <alignment horizontal="right" vertical="center"/>
    </xf>
    <xf numFmtId="0" fontId="8" fillId="0" borderId="151" xfId="0" applyFont="1" applyBorder="1" applyAlignment="1">
      <alignment horizontal="right" vertical="center"/>
    </xf>
    <xf numFmtId="0" fontId="237" fillId="0" borderId="0" xfId="0" applyFont="1" applyAlignment="1">
      <alignment horizontal="right" vertical="center"/>
    </xf>
    <xf numFmtId="0" fontId="186" fillId="0" borderId="149" xfId="0" applyFont="1" applyBorder="1" applyAlignment="1">
      <alignment vertical="center" wrapText="1"/>
    </xf>
    <xf numFmtId="0" fontId="186" fillId="0" borderId="151" xfId="0" applyFont="1" applyBorder="1" applyAlignment="1">
      <alignment vertical="center" wrapText="1"/>
    </xf>
    <xf numFmtId="0" fontId="186" fillId="0" borderId="150" xfId="0" applyFont="1" applyBorder="1" applyAlignment="1">
      <alignment vertical="center" wrapText="1"/>
    </xf>
    <xf numFmtId="0" fontId="194" fillId="3" borderId="145" xfId="0" applyFont="1" applyFill="1" applyBorder="1" applyAlignment="1">
      <alignment vertical="center"/>
    </xf>
    <xf numFmtId="0" fontId="194" fillId="3" borderId="0" xfId="0" applyFont="1" applyFill="1" applyAlignment="1">
      <alignment vertical="center"/>
    </xf>
    <xf numFmtId="0" fontId="194" fillId="3" borderId="151" xfId="0" applyFont="1" applyFill="1" applyBorder="1" applyAlignment="1">
      <alignment vertical="center"/>
    </xf>
    <xf numFmtId="0" fontId="9" fillId="0" borderId="151" xfId="0" applyFont="1" applyBorder="1" applyAlignment="1">
      <alignment vertical="center"/>
    </xf>
    <xf numFmtId="0" fontId="0" fillId="85" borderId="27" xfId="0" applyFill="1" applyBorder="1"/>
    <xf numFmtId="0" fontId="161" fillId="8" borderId="8" xfId="0" applyFont="1" applyFill="1" applyBorder="1" applyAlignment="1">
      <alignment horizontal="center" vertical="center"/>
    </xf>
    <xf numFmtId="10" fontId="185" fillId="8" borderId="2" xfId="0" applyNumberFormat="1" applyFont="1" applyFill="1" applyBorder="1" applyAlignment="1">
      <alignment horizontal="center" vertical="center"/>
    </xf>
    <xf numFmtId="10" fontId="161" fillId="8" borderId="2" xfId="0" applyNumberFormat="1" applyFont="1" applyFill="1" applyBorder="1" applyAlignment="1">
      <alignment horizontal="center" vertical="center"/>
    </xf>
    <xf numFmtId="0" fontId="180" fillId="85" borderId="129" xfId="0" applyFont="1" applyFill="1" applyBorder="1" applyAlignment="1">
      <alignment horizontal="center" vertical="top"/>
    </xf>
    <xf numFmtId="0" fontId="251" fillId="85" borderId="22" xfId="0" applyFont="1" applyFill="1" applyBorder="1" applyAlignment="1">
      <alignment vertical="top"/>
    </xf>
    <xf numFmtId="0" fontId="180" fillId="85" borderId="22" xfId="0" applyFont="1" applyFill="1" applyBorder="1" applyAlignment="1">
      <alignment vertical="top"/>
    </xf>
    <xf numFmtId="0" fontId="25" fillId="3" borderId="0" xfId="0" applyFont="1" applyFill="1" applyAlignment="1">
      <alignment horizontal="right" vertical="center"/>
    </xf>
    <xf numFmtId="0" fontId="222" fillId="0" borderId="0" xfId="0" applyFont="1" applyAlignment="1">
      <alignment horizontal="left" vertical="center" indent="1"/>
    </xf>
    <xf numFmtId="0" fontId="251" fillId="85" borderId="26" xfId="0" applyFont="1" applyFill="1" applyBorder="1"/>
    <xf numFmtId="0" fontId="0" fillId="85" borderId="18" xfId="0" applyFill="1" applyBorder="1"/>
    <xf numFmtId="0" fontId="251" fillId="85" borderId="16" xfId="0" applyFont="1" applyFill="1" applyBorder="1"/>
    <xf numFmtId="0" fontId="0" fillId="85" borderId="17" xfId="0" applyFill="1" applyBorder="1"/>
    <xf numFmtId="0" fontId="251" fillId="85" borderId="28" xfId="0" applyFont="1" applyFill="1" applyBorder="1"/>
    <xf numFmtId="0" fontId="0" fillId="85" borderId="19" xfId="0" applyFill="1" applyBorder="1"/>
    <xf numFmtId="0" fontId="161" fillId="3" borderId="0" xfId="0" applyFont="1" applyFill="1"/>
    <xf numFmtId="10" fontId="207" fillId="3" borderId="0" xfId="0" applyNumberFormat="1" applyFont="1" applyFill="1"/>
    <xf numFmtId="0" fontId="207" fillId="3" borderId="0" xfId="0" applyFont="1" applyFill="1"/>
    <xf numFmtId="9" fontId="230" fillId="3" borderId="0" xfId="2" applyFont="1" applyFill="1" applyBorder="1" applyAlignment="1">
      <alignment horizontal="center" vertical="center"/>
    </xf>
    <xf numFmtId="0" fontId="161" fillId="0" borderId="0" xfId="0" applyFont="1" applyAlignment="1">
      <alignment wrapText="1"/>
    </xf>
    <xf numFmtId="0" fontId="166" fillId="3" borderId="0" xfId="0" applyFont="1" applyFill="1" applyAlignment="1">
      <alignment horizontal="left" vertical="center"/>
    </xf>
    <xf numFmtId="0" fontId="178" fillId="3" borderId="0" xfId="0" applyFont="1" applyFill="1" applyAlignment="1">
      <alignment vertical="top"/>
    </xf>
    <xf numFmtId="9" fontId="212" fillId="3" borderId="0" xfId="2" applyFont="1" applyFill="1" applyBorder="1" applyAlignment="1">
      <alignment horizontal="left" vertical="top"/>
    </xf>
    <xf numFmtId="171" fontId="161" fillId="3" borderId="0" xfId="14" applyNumberFormat="1" applyFont="1" applyFill="1" applyBorder="1" applyAlignment="1">
      <alignment horizontal="center" vertical="center"/>
    </xf>
    <xf numFmtId="171" fontId="230" fillId="3" borderId="0" xfId="14" applyNumberFormat="1" applyFont="1" applyFill="1" applyBorder="1" applyAlignment="1">
      <alignment horizontal="center" vertical="center"/>
    </xf>
    <xf numFmtId="9" fontId="161" fillId="3" borderId="0" xfId="2" applyFont="1" applyFill="1" applyBorder="1" applyAlignment="1">
      <alignment horizontal="center" vertical="center"/>
    </xf>
    <xf numFmtId="10" fontId="168" fillId="3" borderId="0" xfId="0" applyNumberFormat="1" applyFont="1" applyFill="1" applyAlignment="1">
      <alignment horizontal="center" vertical="center"/>
    </xf>
    <xf numFmtId="193" fontId="161" fillId="3" borderId="0" xfId="14" applyNumberFormat="1" applyFont="1" applyFill="1" applyBorder="1" applyAlignment="1">
      <alignment vertical="top"/>
    </xf>
    <xf numFmtId="171" fontId="168" fillId="3" borderId="0" xfId="14" applyNumberFormat="1" applyFont="1" applyFill="1" applyBorder="1" applyAlignment="1">
      <alignment horizontal="center" vertical="center"/>
    </xf>
    <xf numFmtId="193" fontId="161" fillId="3" borderId="0" xfId="14" applyNumberFormat="1" applyFont="1" applyFill="1" applyBorder="1" applyAlignment="1">
      <alignment vertical="center"/>
    </xf>
    <xf numFmtId="0" fontId="25" fillId="85" borderId="27" xfId="0" applyFont="1" applyFill="1" applyBorder="1" applyAlignment="1">
      <alignment horizontal="right" vertical="center"/>
    </xf>
    <xf numFmtId="0" fontId="25" fillId="85" borderId="27" xfId="0" applyFont="1" applyFill="1" applyBorder="1" applyAlignment="1">
      <alignment horizontal="center" vertical="center"/>
    </xf>
    <xf numFmtId="0" fontId="161" fillId="85" borderId="0" xfId="0" applyFont="1" applyFill="1" applyAlignment="1">
      <alignment horizontal="center" vertical="center"/>
    </xf>
    <xf numFmtId="0" fontId="25" fillId="85" borderId="0" xfId="0" applyFont="1" applyFill="1" applyAlignment="1">
      <alignment horizontal="right" vertical="center"/>
    </xf>
    <xf numFmtId="0" fontId="25" fillId="85" borderId="0" xfId="0" applyFont="1" applyFill="1" applyAlignment="1">
      <alignment horizontal="center" vertical="center"/>
    </xf>
    <xf numFmtId="10" fontId="298" fillId="85" borderId="0" xfId="0" applyNumberFormat="1" applyFont="1" applyFill="1"/>
    <xf numFmtId="0" fontId="25" fillId="85" borderId="22" xfId="0" applyFont="1" applyFill="1" applyBorder="1" applyAlignment="1">
      <alignment horizontal="right" vertical="center"/>
    </xf>
    <xf numFmtId="0" fontId="25" fillId="85" borderId="22" xfId="0" applyFont="1" applyFill="1" applyBorder="1" applyAlignment="1">
      <alignment horizontal="center" vertical="center"/>
    </xf>
    <xf numFmtId="0" fontId="8" fillId="3" borderId="2" xfId="0" applyFont="1" applyFill="1" applyBorder="1" applyAlignment="1">
      <alignment horizontal="center" vertical="center" wrapText="1"/>
    </xf>
    <xf numFmtId="0" fontId="8" fillId="61" borderId="2" xfId="0" applyFont="1" applyFill="1" applyBorder="1" applyAlignment="1">
      <alignment horizontal="center" vertical="center" wrapText="1"/>
    </xf>
    <xf numFmtId="0" fontId="167" fillId="76" borderId="2" xfId="0" applyFont="1" applyFill="1" applyBorder="1" applyAlignment="1">
      <alignment horizontal="center" vertical="center" wrapText="1"/>
    </xf>
    <xf numFmtId="0" fontId="167" fillId="87" borderId="2" xfId="0" applyFont="1" applyFill="1" applyBorder="1" applyAlignment="1">
      <alignment horizontal="center" vertical="center" wrapText="1"/>
    </xf>
    <xf numFmtId="0" fontId="179" fillId="3" borderId="2" xfId="0" applyFont="1" applyFill="1" applyBorder="1" applyAlignment="1">
      <alignment horizontal="center" vertical="center" wrapText="1"/>
    </xf>
    <xf numFmtId="0" fontId="167" fillId="3" borderId="0" xfId="0" applyFont="1" applyFill="1" applyAlignment="1">
      <alignment horizontal="center" vertical="center" wrapText="1"/>
    </xf>
    <xf numFmtId="0" fontId="317" fillId="3" borderId="0" xfId="0" applyFont="1" applyFill="1" applyAlignment="1">
      <alignment horizontal="center" wrapText="1"/>
    </xf>
    <xf numFmtId="10" fontId="229" fillId="3" borderId="8" xfId="0" applyNumberFormat="1" applyFont="1" applyFill="1" applyBorder="1" applyAlignment="1">
      <alignment horizontal="right" vertical="center"/>
    </xf>
    <xf numFmtId="0" fontId="9" fillId="3" borderId="10" xfId="0" applyFont="1" applyFill="1" applyBorder="1" applyAlignment="1">
      <alignment horizontal="center" vertical="center"/>
    </xf>
    <xf numFmtId="0" fontId="9" fillId="3" borderId="10" xfId="0" applyFont="1" applyFill="1" applyBorder="1" applyAlignment="1">
      <alignment horizontal="center"/>
    </xf>
    <xf numFmtId="171" fontId="8" fillId="3" borderId="2" xfId="14" applyNumberFormat="1" applyFont="1" applyFill="1" applyBorder="1" applyAlignment="1">
      <alignment horizontal="right" vertical="center"/>
    </xf>
    <xf numFmtId="0" fontId="167" fillId="76" borderId="135" xfId="0" applyFont="1" applyFill="1" applyBorder="1" applyAlignment="1">
      <alignment horizontal="center" vertical="center" wrapText="1"/>
    </xf>
    <xf numFmtId="0" fontId="8" fillId="3" borderId="0" xfId="0" applyFont="1" applyFill="1" applyAlignment="1">
      <alignment horizontal="center" vertical="center" wrapText="1"/>
    </xf>
    <xf numFmtId="10" fontId="13" fillId="9" borderId="0" xfId="0" applyNumberFormat="1" applyFont="1" applyFill="1" applyAlignment="1">
      <alignment vertical="center"/>
    </xf>
    <xf numFmtId="10" fontId="178" fillId="9" borderId="0" xfId="0" applyNumberFormat="1" applyFont="1" applyFill="1" applyAlignment="1">
      <alignment vertical="center" wrapText="1"/>
    </xf>
    <xf numFmtId="0" fontId="25" fillId="9" borderId="0" xfId="0" applyFont="1" applyFill="1" applyAlignment="1">
      <alignment horizontal="center"/>
    </xf>
    <xf numFmtId="0" fontId="9" fillId="8" borderId="8" xfId="0" applyFont="1" applyFill="1" applyBorder="1" applyAlignment="1">
      <alignment horizontal="center" vertical="center"/>
    </xf>
    <xf numFmtId="10" fontId="229" fillId="88" borderId="8" xfId="0" applyNumberFormat="1" applyFont="1" applyFill="1" applyBorder="1" applyAlignment="1">
      <alignment horizontal="right" vertical="center"/>
    </xf>
    <xf numFmtId="0" fontId="9" fillId="88" borderId="10" xfId="0" applyFont="1" applyFill="1" applyBorder="1" applyAlignment="1">
      <alignment horizontal="center" vertical="center"/>
    </xf>
    <xf numFmtId="0" fontId="9" fillId="88" borderId="0" xfId="0" applyFont="1" applyFill="1" applyAlignment="1">
      <alignment vertical="top"/>
    </xf>
    <xf numFmtId="0" fontId="9" fillId="88" borderId="10" xfId="0" applyFont="1" applyFill="1" applyBorder="1" applyAlignment="1">
      <alignment horizontal="center"/>
    </xf>
    <xf numFmtId="0" fontId="9" fillId="88" borderId="0" xfId="0" applyFont="1" applyFill="1"/>
    <xf numFmtId="10" fontId="229" fillId="88" borderId="0" xfId="0" applyNumberFormat="1" applyFont="1" applyFill="1" applyAlignment="1">
      <alignment horizontal="right" vertical="center"/>
    </xf>
    <xf numFmtId="0" fontId="9" fillId="88" borderId="0" xfId="0" applyFont="1" applyFill="1" applyAlignment="1">
      <alignment horizontal="center"/>
    </xf>
    <xf numFmtId="171" fontId="8" fillId="88" borderId="2" xfId="14" applyNumberFormat="1" applyFont="1" applyFill="1" applyBorder="1" applyAlignment="1">
      <alignment horizontal="right" vertical="center"/>
    </xf>
    <xf numFmtId="9" fontId="171" fillId="88" borderId="2" xfId="2" applyFont="1" applyFill="1" applyBorder="1" applyAlignment="1">
      <alignment horizontal="left" vertical="center"/>
    </xf>
    <xf numFmtId="171" fontId="167" fillId="88" borderId="0" xfId="14" applyNumberFormat="1" applyFont="1" applyFill="1" applyBorder="1" applyAlignment="1">
      <alignment horizontal="center"/>
    </xf>
    <xf numFmtId="171" fontId="8" fillId="88" borderId="135" xfId="14" applyNumberFormat="1" applyFont="1" applyFill="1" applyBorder="1" applyAlignment="1">
      <alignment horizontal="right" vertical="center"/>
    </xf>
    <xf numFmtId="9" fontId="171" fillId="88" borderId="135" xfId="2" applyFont="1" applyFill="1" applyBorder="1" applyAlignment="1">
      <alignment horizontal="left" vertical="center"/>
    </xf>
    <xf numFmtId="0" fontId="9" fillId="88" borderId="0" xfId="0" applyFont="1" applyFill="1" applyAlignment="1">
      <alignment vertical="center"/>
    </xf>
    <xf numFmtId="193" fontId="318" fillId="88" borderId="0" xfId="14" applyNumberFormat="1" applyFont="1" applyFill="1" applyBorder="1" applyAlignment="1">
      <alignment horizontal="center" vertical="center"/>
    </xf>
    <xf numFmtId="0" fontId="25" fillId="88" borderId="0" xfId="0" applyFont="1" applyFill="1"/>
    <xf numFmtId="171" fontId="171" fillId="88" borderId="8" xfId="14" applyNumberFormat="1" applyFont="1" applyFill="1" applyBorder="1" applyAlignment="1">
      <alignment horizontal="center" vertical="center"/>
    </xf>
    <xf numFmtId="171" fontId="171" fillId="88" borderId="10" xfId="14" applyNumberFormat="1" applyFont="1" applyFill="1" applyBorder="1" applyAlignment="1">
      <alignment horizontal="center" vertical="center"/>
    </xf>
    <xf numFmtId="10" fontId="183" fillId="88" borderId="0" xfId="0" applyNumberFormat="1" applyFont="1" applyFill="1" applyAlignment="1">
      <alignment horizontal="right"/>
    </xf>
    <xf numFmtId="171" fontId="171" fillId="88" borderId="0" xfId="14" applyNumberFormat="1" applyFont="1" applyFill="1" applyBorder="1" applyAlignment="1">
      <alignment horizontal="center"/>
    </xf>
    <xf numFmtId="171" fontId="319" fillId="88" borderId="0" xfId="14" applyNumberFormat="1" applyFont="1" applyFill="1" applyBorder="1" applyAlignment="1">
      <alignment horizontal="right" vertical="center"/>
    </xf>
    <xf numFmtId="10" fontId="183" fillId="88" borderId="0" xfId="0" applyNumberFormat="1" applyFont="1" applyFill="1" applyAlignment="1">
      <alignment horizontal="right" vertical="center"/>
    </xf>
    <xf numFmtId="9" fontId="225" fillId="88" borderId="0" xfId="2" applyFont="1" applyFill="1" applyBorder="1" applyAlignment="1">
      <alignment horizontal="center" vertical="center"/>
    </xf>
    <xf numFmtId="9" fontId="9" fillId="88" borderId="8" xfId="2" applyFont="1" applyFill="1" applyBorder="1" applyAlignment="1">
      <alignment horizontal="center" vertical="center"/>
    </xf>
    <xf numFmtId="9" fontId="9" fillId="88" borderId="10" xfId="2" applyFont="1" applyFill="1" applyBorder="1" applyAlignment="1">
      <alignment horizontal="center" vertical="center"/>
    </xf>
    <xf numFmtId="9" fontId="171" fillId="88" borderId="0" xfId="2" applyFont="1" applyFill="1" applyBorder="1" applyAlignment="1">
      <alignment horizontal="center" vertical="center"/>
    </xf>
    <xf numFmtId="10" fontId="229" fillId="88" borderId="8" xfId="0" applyNumberFormat="1" applyFont="1" applyFill="1" applyBorder="1" applyAlignment="1">
      <alignment horizontal="center" vertical="center"/>
    </xf>
    <xf numFmtId="10" fontId="229" fillId="88" borderId="10" xfId="0" applyNumberFormat="1" applyFont="1" applyFill="1" applyBorder="1" applyAlignment="1">
      <alignment horizontal="center" vertical="center"/>
    </xf>
    <xf numFmtId="10" fontId="8" fillId="88" borderId="0" xfId="0" applyNumberFormat="1" applyFont="1" applyFill="1" applyAlignment="1">
      <alignment horizontal="center" vertical="center"/>
    </xf>
    <xf numFmtId="171" fontId="9" fillId="88" borderId="8" xfId="14" applyNumberFormat="1" applyFont="1" applyFill="1" applyBorder="1" applyAlignment="1">
      <alignment vertical="center"/>
    </xf>
    <xf numFmtId="194" fontId="171" fillId="88" borderId="10" xfId="14" applyNumberFormat="1" applyFont="1" applyFill="1" applyBorder="1" applyAlignment="1">
      <alignment horizontal="center" vertical="center"/>
    </xf>
    <xf numFmtId="171" fontId="9" fillId="88" borderId="42" xfId="14" applyNumberFormat="1" applyFont="1" applyFill="1" applyBorder="1" applyAlignment="1">
      <alignment vertical="center"/>
    </xf>
    <xf numFmtId="194" fontId="171" fillId="88" borderId="130" xfId="14" applyNumberFormat="1" applyFont="1" applyFill="1" applyBorder="1" applyAlignment="1">
      <alignment horizontal="center" vertical="center"/>
    </xf>
    <xf numFmtId="171" fontId="9" fillId="88" borderId="42" xfId="14" applyNumberFormat="1" applyFont="1" applyFill="1" applyBorder="1" applyAlignment="1">
      <alignment horizontal="right" vertical="center"/>
    </xf>
    <xf numFmtId="171" fontId="8" fillId="88" borderId="5" xfId="14" applyNumberFormat="1" applyFont="1" applyFill="1" applyBorder="1" applyAlignment="1">
      <alignment horizontal="right" vertical="top"/>
    </xf>
    <xf numFmtId="194" fontId="171" fillId="88" borderId="7" xfId="14" applyNumberFormat="1" applyFont="1" applyFill="1" applyBorder="1" applyAlignment="1">
      <alignment horizontal="center" vertical="top"/>
    </xf>
    <xf numFmtId="10" fontId="183" fillId="88" borderId="0" xfId="0" applyNumberFormat="1" applyFont="1" applyFill="1" applyAlignment="1">
      <alignment horizontal="right" vertical="top"/>
    </xf>
    <xf numFmtId="193" fontId="318" fillId="88" borderId="0" xfId="14" applyNumberFormat="1" applyFont="1" applyFill="1" applyBorder="1" applyAlignment="1">
      <alignment vertical="top"/>
    </xf>
    <xf numFmtId="171" fontId="8" fillId="88" borderId="8" xfId="14" applyNumberFormat="1" applyFont="1" applyFill="1" applyBorder="1" applyAlignment="1">
      <alignment vertical="center"/>
    </xf>
    <xf numFmtId="171" fontId="320" fillId="88" borderId="10" xfId="14" applyNumberFormat="1" applyFont="1" applyFill="1" applyBorder="1" applyAlignment="1">
      <alignment horizontal="center" vertical="center"/>
    </xf>
    <xf numFmtId="171" fontId="318" fillId="88" borderId="0" xfId="14" applyNumberFormat="1" applyFont="1" applyFill="1" applyBorder="1" applyAlignment="1"/>
    <xf numFmtId="171" fontId="8" fillId="88" borderId="8" xfId="14" applyNumberFormat="1" applyFont="1" applyFill="1" applyBorder="1" applyAlignment="1">
      <alignment horizontal="center" vertical="center"/>
    </xf>
    <xf numFmtId="171" fontId="8" fillId="88" borderId="10" xfId="14" applyNumberFormat="1" applyFont="1" applyFill="1" applyBorder="1" applyAlignment="1">
      <alignment horizontal="center" vertical="center"/>
    </xf>
    <xf numFmtId="10" fontId="237" fillId="88" borderId="0" xfId="0" applyNumberFormat="1" applyFont="1" applyFill="1" applyAlignment="1">
      <alignment horizontal="right"/>
    </xf>
    <xf numFmtId="171" fontId="206" fillId="88" borderId="0" xfId="14" applyNumberFormat="1" applyFont="1" applyFill="1" applyBorder="1" applyAlignment="1">
      <alignment horizontal="center"/>
    </xf>
    <xf numFmtId="193" fontId="9" fillId="88" borderId="0" xfId="14" applyNumberFormat="1" applyFont="1" applyFill="1" applyBorder="1" applyAlignment="1">
      <alignment vertical="center"/>
    </xf>
    <xf numFmtId="193" fontId="318" fillId="88" borderId="0" xfId="14" applyNumberFormat="1" applyFont="1" applyFill="1" applyBorder="1" applyAlignment="1">
      <alignment horizontal="center"/>
    </xf>
    <xf numFmtId="9" fontId="171" fillId="88" borderId="10" xfId="2" applyFont="1" applyFill="1" applyBorder="1" applyAlignment="1">
      <alignment horizontal="left" vertical="center"/>
    </xf>
    <xf numFmtId="171" fontId="319" fillId="88" borderId="30" xfId="14" applyNumberFormat="1" applyFont="1" applyFill="1" applyBorder="1" applyAlignment="1">
      <alignment horizontal="right" vertical="center"/>
    </xf>
    <xf numFmtId="171" fontId="233" fillId="88" borderId="0" xfId="14" applyNumberFormat="1" applyFont="1" applyFill="1" applyBorder="1" applyAlignment="1">
      <alignment vertical="center"/>
    </xf>
    <xf numFmtId="171" fontId="318" fillId="88" borderId="0" xfId="14" applyNumberFormat="1" applyFont="1" applyFill="1" applyBorder="1" applyAlignment="1">
      <alignment horizontal="center"/>
    </xf>
    <xf numFmtId="171" fontId="8" fillId="88" borderId="2" xfId="14" applyNumberFormat="1" applyFont="1" applyFill="1" applyBorder="1" applyAlignment="1">
      <alignment horizontal="left" vertical="center" indent="2"/>
    </xf>
    <xf numFmtId="171" fontId="8" fillId="88" borderId="2" xfId="14" applyNumberFormat="1" applyFont="1" applyFill="1" applyBorder="1" applyAlignment="1">
      <alignment horizontal="center" vertical="center"/>
    </xf>
    <xf numFmtId="10" fontId="8" fillId="88" borderId="8" xfId="0" applyNumberFormat="1" applyFont="1" applyFill="1" applyBorder="1" applyAlignment="1">
      <alignment horizontal="right" vertical="center"/>
    </xf>
    <xf numFmtId="0" fontId="8" fillId="88" borderId="10" xfId="0" applyFont="1" applyFill="1" applyBorder="1" applyAlignment="1">
      <alignment horizontal="left" vertical="center"/>
    </xf>
    <xf numFmtId="10" fontId="171" fillId="88" borderId="0" xfId="0" applyNumberFormat="1" applyFont="1" applyFill="1" applyAlignment="1">
      <alignment horizontal="left" vertical="center"/>
    </xf>
    <xf numFmtId="0" fontId="9" fillId="88" borderId="10" xfId="0" applyFont="1" applyFill="1" applyBorder="1" applyAlignment="1">
      <alignment horizontal="left" vertical="center"/>
    </xf>
    <xf numFmtId="171" fontId="187" fillId="9" borderId="0" xfId="3" applyNumberFormat="1" applyFont="1" applyFill="1" applyBorder="1" applyAlignment="1" applyProtection="1">
      <alignment horizontal="center" vertical="center"/>
    </xf>
    <xf numFmtId="0" fontId="316" fillId="9" borderId="0" xfId="0" applyFont="1" applyFill="1" applyAlignment="1">
      <alignment horizontal="left"/>
    </xf>
    <xf numFmtId="0" fontId="7" fillId="9" borderId="0" xfId="0" applyFont="1" applyFill="1" applyAlignment="1">
      <alignment horizontal="center" vertical="center"/>
    </xf>
    <xf numFmtId="0" fontId="169" fillId="9" borderId="0" xfId="0" applyFont="1" applyFill="1" applyAlignment="1">
      <alignment vertical="center"/>
    </xf>
    <xf numFmtId="0" fontId="164" fillId="3" borderId="0" xfId="0" applyFont="1" applyFill="1"/>
    <xf numFmtId="0" fontId="222" fillId="3" borderId="0" xfId="0" applyFont="1" applyFill="1" applyAlignment="1">
      <alignment horizontal="left"/>
    </xf>
    <xf numFmtId="0" fontId="0" fillId="3" borderId="0" xfId="0" applyFill="1" applyAlignment="1">
      <alignment vertical="top" wrapText="1"/>
    </xf>
    <xf numFmtId="9" fontId="159" fillId="3" borderId="0" xfId="2" applyFont="1" applyFill="1" applyBorder="1" applyAlignment="1" applyProtection="1">
      <alignment horizontal="left" vertical="center"/>
      <protection locked="0"/>
    </xf>
    <xf numFmtId="0" fontId="226" fillId="3" borderId="0" xfId="0" applyFont="1" applyFill="1" applyAlignment="1" applyProtection="1">
      <alignment horizontal="center"/>
      <protection locked="0"/>
    </xf>
    <xf numFmtId="9" fontId="159" fillId="3" borderId="0" xfId="0" applyNumberFormat="1" applyFont="1" applyFill="1" applyAlignment="1" applyProtection="1">
      <alignment horizontal="left" vertical="center"/>
      <protection locked="0"/>
    </xf>
    <xf numFmtId="171" fontId="170" fillId="3" borderId="0" xfId="0" applyNumberFormat="1" applyFont="1" applyFill="1" applyAlignment="1" applyProtection="1">
      <alignment vertical="center"/>
      <protection locked="0"/>
    </xf>
    <xf numFmtId="171" fontId="159" fillId="3" borderId="0" xfId="0" applyNumberFormat="1" applyFont="1" applyFill="1" applyAlignment="1" applyProtection="1">
      <alignment horizontal="left" vertical="center"/>
      <protection locked="0"/>
    </xf>
    <xf numFmtId="9" fontId="3" fillId="3" borderId="0" xfId="0" applyNumberFormat="1" applyFont="1" applyFill="1" applyAlignment="1" applyProtection="1">
      <alignment horizontal="left" vertical="center"/>
      <protection locked="0"/>
    </xf>
    <xf numFmtId="10" fontId="163" fillId="3" borderId="0" xfId="0" applyNumberFormat="1" applyFont="1" applyFill="1" applyAlignment="1" applyProtection="1">
      <alignment horizontal="left" vertical="center"/>
      <protection locked="0"/>
    </xf>
    <xf numFmtId="176" fontId="6" fillId="3" borderId="0" xfId="0" quotePrefix="1" applyNumberFormat="1" applyFont="1" applyFill="1" applyAlignment="1" applyProtection="1">
      <alignment horizontal="left" vertical="center"/>
      <protection locked="0"/>
    </xf>
    <xf numFmtId="0" fontId="231" fillId="3" borderId="0" xfId="0" applyFont="1" applyFill="1" applyAlignment="1" applyProtection="1">
      <alignment horizontal="left" vertical="center" wrapText="1"/>
      <protection locked="0"/>
    </xf>
    <xf numFmtId="165" fontId="163" fillId="3" borderId="0" xfId="0" applyNumberFormat="1" applyFont="1" applyFill="1" applyAlignment="1" applyProtection="1">
      <alignment horizontal="left" vertical="center"/>
      <protection locked="0"/>
    </xf>
    <xf numFmtId="0" fontId="173" fillId="3" borderId="0" xfId="0" applyFont="1" applyFill="1" applyAlignment="1" applyProtection="1">
      <alignment horizontal="left" vertical="center"/>
      <protection locked="0"/>
    </xf>
    <xf numFmtId="172" fontId="163" fillId="3" borderId="0" xfId="0" applyNumberFormat="1" applyFont="1" applyFill="1" applyAlignment="1" applyProtection="1">
      <alignment horizontal="left" vertical="center"/>
      <protection locked="0"/>
    </xf>
    <xf numFmtId="0" fontId="171" fillId="3" borderId="0" xfId="0" applyFont="1" applyFill="1" applyAlignment="1" applyProtection="1">
      <alignment horizontal="left" vertical="top" wrapText="1"/>
      <protection locked="0"/>
    </xf>
    <xf numFmtId="0" fontId="173" fillId="3" borderId="0" xfId="0" applyFont="1" applyFill="1" applyAlignment="1" applyProtection="1">
      <alignment vertical="center" wrapText="1"/>
      <protection locked="0"/>
    </xf>
    <xf numFmtId="0" fontId="180" fillId="3" borderId="0" xfId="0" applyFont="1" applyFill="1" applyAlignment="1" applyProtection="1">
      <alignment vertical="top" wrapText="1"/>
      <protection locked="0"/>
    </xf>
    <xf numFmtId="0" fontId="216" fillId="3" borderId="0" xfId="0" applyFont="1" applyFill="1"/>
    <xf numFmtId="0" fontId="4" fillId="3" borderId="0" xfId="0" applyFont="1" applyFill="1" applyAlignment="1">
      <alignment vertical="top" wrapText="1"/>
    </xf>
    <xf numFmtId="0" fontId="3" fillId="3" borderId="0" xfId="0" applyFont="1" applyFill="1" applyAlignment="1" applyProtection="1">
      <alignment vertical="center"/>
      <protection locked="0"/>
    </xf>
    <xf numFmtId="0" fontId="225" fillId="3" borderId="0" xfId="0" applyFont="1" applyFill="1" applyAlignment="1">
      <alignment vertical="center" wrapText="1"/>
    </xf>
    <xf numFmtId="0" fontId="3" fillId="3" borderId="0" xfId="0" quotePrefix="1" applyFont="1" applyFill="1" applyAlignment="1" applyProtection="1">
      <alignment vertical="center"/>
      <protection locked="0"/>
    </xf>
    <xf numFmtId="0" fontId="171" fillId="3" borderId="0" xfId="0" applyFont="1" applyFill="1" applyAlignment="1" applyProtection="1">
      <alignment vertical="top" wrapText="1"/>
      <protection locked="0"/>
    </xf>
    <xf numFmtId="9" fontId="217" fillId="3" borderId="0" xfId="2" applyFont="1" applyFill="1" applyBorder="1" applyAlignment="1" applyProtection="1">
      <alignment vertical="center"/>
      <protection locked="0"/>
    </xf>
    <xf numFmtId="0" fontId="17" fillId="3" borderId="0" xfId="0" applyFont="1" applyFill="1" applyProtection="1">
      <protection locked="0"/>
    </xf>
    <xf numFmtId="9" fontId="172" fillId="3" borderId="0" xfId="0" applyNumberFormat="1" applyFont="1" applyFill="1" applyAlignment="1" applyProtection="1">
      <alignment vertical="center"/>
      <protection locked="0"/>
    </xf>
    <xf numFmtId="172" fontId="173" fillId="3" borderId="0" xfId="0" applyNumberFormat="1" applyFont="1" applyFill="1" applyAlignment="1" applyProtection="1">
      <alignment vertical="center"/>
      <protection locked="0"/>
    </xf>
    <xf numFmtId="10" fontId="229" fillId="3" borderId="0" xfId="0" applyNumberFormat="1" applyFont="1" applyFill="1" applyAlignment="1">
      <alignment horizontal="right" vertical="center"/>
    </xf>
    <xf numFmtId="0" fontId="9" fillId="3" borderId="0" xfId="0" applyFont="1" applyFill="1" applyAlignment="1">
      <alignment horizontal="center"/>
    </xf>
    <xf numFmtId="171" fontId="167" fillId="3" borderId="0" xfId="14" applyNumberFormat="1" applyFont="1" applyFill="1" applyBorder="1" applyAlignment="1">
      <alignment horizontal="center"/>
    </xf>
    <xf numFmtId="193" fontId="318" fillId="3" borderId="0" xfId="14" applyNumberFormat="1" applyFont="1" applyFill="1" applyBorder="1" applyAlignment="1">
      <alignment horizontal="center" vertical="center"/>
    </xf>
    <xf numFmtId="171" fontId="171" fillId="3" borderId="0" xfId="14" applyNumberFormat="1" applyFont="1" applyFill="1" applyBorder="1" applyAlignment="1">
      <alignment horizontal="center"/>
    </xf>
    <xf numFmtId="10" fontId="183" fillId="3" borderId="0" xfId="0" applyNumberFormat="1" applyFont="1" applyFill="1" applyAlignment="1">
      <alignment horizontal="right"/>
    </xf>
    <xf numFmtId="171" fontId="319" fillId="3" borderId="0" xfId="14" applyNumberFormat="1" applyFont="1" applyFill="1" applyBorder="1" applyAlignment="1">
      <alignment horizontal="right" vertical="center"/>
    </xf>
    <xf numFmtId="10" fontId="183" fillId="3" borderId="0" xfId="0" applyNumberFormat="1" applyFont="1" applyFill="1" applyAlignment="1">
      <alignment horizontal="right" vertical="center"/>
    </xf>
    <xf numFmtId="9" fontId="225" fillId="3" borderId="0" xfId="2" applyFont="1" applyFill="1" applyBorder="1" applyAlignment="1">
      <alignment horizontal="center" vertical="center"/>
    </xf>
    <xf numFmtId="9" fontId="171" fillId="3" borderId="0" xfId="2" applyFont="1" applyFill="1" applyBorder="1" applyAlignment="1">
      <alignment horizontal="center" vertical="center"/>
    </xf>
    <xf numFmtId="10" fontId="8" fillId="3" borderId="0" xfId="0" applyNumberFormat="1" applyFont="1" applyFill="1" applyAlignment="1">
      <alignment horizontal="center" vertical="center"/>
    </xf>
    <xf numFmtId="10" fontId="183" fillId="3" borderId="0" xfId="0" applyNumberFormat="1" applyFont="1" applyFill="1" applyAlignment="1">
      <alignment horizontal="right" vertical="top"/>
    </xf>
    <xf numFmtId="193" fontId="318" fillId="3" borderId="0" xfId="14" applyNumberFormat="1" applyFont="1" applyFill="1" applyBorder="1" applyAlignment="1">
      <alignment vertical="top"/>
    </xf>
    <xf numFmtId="171" fontId="318" fillId="3" borderId="0" xfId="14" applyNumberFormat="1" applyFont="1" applyFill="1" applyBorder="1" applyAlignment="1">
      <alignment horizontal="center"/>
    </xf>
    <xf numFmtId="193" fontId="9" fillId="3" borderId="0" xfId="14" applyNumberFormat="1" applyFont="1" applyFill="1" applyBorder="1" applyAlignment="1">
      <alignment vertical="center"/>
    </xf>
    <xf numFmtId="193" fontId="318" fillId="3" borderId="0" xfId="14" applyNumberFormat="1" applyFont="1" applyFill="1" applyBorder="1" applyAlignment="1">
      <alignment horizontal="center"/>
    </xf>
    <xf numFmtId="0" fontId="223" fillId="3" borderId="0" xfId="0" applyFont="1" applyFill="1" applyAlignment="1">
      <alignment horizontal="left"/>
    </xf>
    <xf numFmtId="10" fontId="237" fillId="3" borderId="0" xfId="0" applyNumberFormat="1" applyFont="1" applyFill="1" applyAlignment="1">
      <alignment horizontal="right"/>
    </xf>
    <xf numFmtId="171" fontId="206" fillId="3" borderId="0" xfId="14" applyNumberFormat="1" applyFont="1" applyFill="1" applyBorder="1" applyAlignment="1">
      <alignment horizontal="center"/>
    </xf>
    <xf numFmtId="171" fontId="233" fillId="7" borderId="0" xfId="14" applyNumberFormat="1" applyFont="1" applyFill="1" applyBorder="1" applyAlignment="1">
      <alignment vertical="center"/>
    </xf>
    <xf numFmtId="171" fontId="167" fillId="7" borderId="30" xfId="14" applyNumberFormat="1" applyFont="1" applyFill="1" applyBorder="1" applyAlignment="1">
      <alignment horizontal="left" vertical="center"/>
    </xf>
    <xf numFmtId="0" fontId="25" fillId="7" borderId="0" xfId="0" applyFont="1" applyFill="1" applyAlignment="1">
      <alignment vertical="center"/>
    </xf>
    <xf numFmtId="0" fontId="167" fillId="87" borderId="114" xfId="0" applyFont="1" applyFill="1" applyBorder="1" applyAlignment="1">
      <alignment horizontal="center" vertical="center" wrapText="1"/>
    </xf>
    <xf numFmtId="0" fontId="167" fillId="87" borderId="266" xfId="0" applyFont="1" applyFill="1" applyBorder="1" applyAlignment="1">
      <alignment horizontal="center" vertical="center" wrapText="1"/>
    </xf>
    <xf numFmtId="10" fontId="171" fillId="3" borderId="0" xfId="0" applyNumberFormat="1" applyFont="1" applyFill="1" applyAlignment="1">
      <alignment horizontal="left" vertical="center"/>
    </xf>
    <xf numFmtId="0" fontId="62" fillId="0" borderId="0" xfId="0" applyFont="1" applyAlignment="1">
      <alignment horizontal="center" vertical="center"/>
    </xf>
    <xf numFmtId="0" fontId="2" fillId="0" borderId="26" xfId="0" applyFont="1" applyBorder="1" applyAlignment="1">
      <alignment vertical="center"/>
    </xf>
    <xf numFmtId="0" fontId="2" fillId="0" borderId="27" xfId="0" applyFont="1" applyBorder="1" applyAlignment="1">
      <alignment vertical="center"/>
    </xf>
    <xf numFmtId="0" fontId="2" fillId="0" borderId="16" xfId="0" applyFont="1" applyBorder="1" applyAlignment="1">
      <alignment vertical="center"/>
    </xf>
    <xf numFmtId="0" fontId="60" fillId="0" borderId="16" xfId="0" applyFont="1" applyBorder="1"/>
    <xf numFmtId="10" fontId="13" fillId="0" borderId="0" xfId="0" applyNumberFormat="1" applyFont="1" applyAlignment="1">
      <alignment vertical="center"/>
    </xf>
    <xf numFmtId="10" fontId="61" fillId="0" borderId="0" xfId="0" applyNumberFormat="1" applyFont="1" applyAlignment="1">
      <alignment vertical="center"/>
    </xf>
    <xf numFmtId="0" fontId="0" fillId="3" borderId="0" xfId="0" applyFill="1" applyAlignment="1">
      <alignment horizontal="right" vertical="center"/>
    </xf>
    <xf numFmtId="0" fontId="186" fillId="3" borderId="0" xfId="0" applyFont="1" applyFill="1" applyAlignment="1">
      <alignment vertical="center" wrapText="1"/>
    </xf>
    <xf numFmtId="9" fontId="187" fillId="3" borderId="0" xfId="2" applyFont="1" applyFill="1" applyBorder="1" applyAlignment="1" applyProtection="1">
      <alignment horizontal="center" vertical="center"/>
    </xf>
    <xf numFmtId="0" fontId="24" fillId="3" borderId="0" xfId="11" applyFill="1"/>
    <xf numFmtId="1" fontId="221" fillId="3" borderId="0" xfId="2" applyNumberFormat="1" applyFont="1" applyFill="1" applyBorder="1" applyAlignment="1" applyProtection="1">
      <alignment horizontal="center" vertical="center"/>
    </xf>
    <xf numFmtId="172" fontId="220" fillId="3" borderId="0" xfId="2" applyNumberFormat="1" applyFont="1" applyFill="1" applyBorder="1" applyAlignment="1" applyProtection="1">
      <alignment vertical="center"/>
      <protection locked="0"/>
    </xf>
    <xf numFmtId="0" fontId="190" fillId="3" borderId="0" xfId="0" applyFont="1" applyFill="1" applyAlignment="1">
      <alignment vertical="center"/>
    </xf>
    <xf numFmtId="0" fontId="4" fillId="0" borderId="0" xfId="0" applyFont="1"/>
    <xf numFmtId="1" fontId="25" fillId="19" borderId="26" xfId="0" applyNumberFormat="1" applyFont="1" applyFill="1" applyBorder="1"/>
    <xf numFmtId="1" fontId="25" fillId="19" borderId="27" xfId="0" applyNumberFormat="1" applyFont="1" applyFill="1" applyBorder="1"/>
    <xf numFmtId="1" fontId="25" fillId="0" borderId="27" xfId="0" applyNumberFormat="1" applyFont="1" applyBorder="1"/>
    <xf numFmtId="0" fontId="25" fillId="0" borderId="18" xfId="0" applyFont="1" applyBorder="1"/>
    <xf numFmtId="0" fontId="57" fillId="15" borderId="16" xfId="0" applyFont="1" applyFill="1" applyBorder="1" applyAlignment="1">
      <alignment horizontal="center"/>
    </xf>
    <xf numFmtId="0" fontId="57" fillId="15" borderId="17" xfId="0" applyFont="1" applyFill="1" applyBorder="1" applyAlignment="1">
      <alignment horizontal="center"/>
    </xf>
    <xf numFmtId="0" fontId="39" fillId="19" borderId="16" xfId="0" applyFont="1" applyFill="1" applyBorder="1"/>
    <xf numFmtId="1" fontId="25" fillId="0" borderId="17" xfId="0" applyNumberFormat="1" applyFont="1" applyBorder="1"/>
    <xf numFmtId="0" fontId="25" fillId="19" borderId="28" xfId="0" applyFont="1" applyFill="1" applyBorder="1"/>
    <xf numFmtId="0" fontId="25" fillId="19" borderId="22" xfId="0" applyFont="1" applyFill="1" applyBorder="1"/>
    <xf numFmtId="169" fontId="25" fillId="0" borderId="22" xfId="0" applyNumberFormat="1" applyFont="1" applyBorder="1"/>
    <xf numFmtId="1" fontId="25" fillId="0" borderId="22" xfId="0" applyNumberFormat="1" applyFont="1" applyBorder="1"/>
    <xf numFmtId="1" fontId="25" fillId="0" borderId="19" xfId="0" applyNumberFormat="1" applyFont="1" applyBorder="1"/>
    <xf numFmtId="9" fontId="325" fillId="3" borderId="0" xfId="2" applyFont="1" applyFill="1" applyBorder="1" applyAlignment="1" applyProtection="1">
      <alignment horizontal="left" vertical="top"/>
      <protection locked="0"/>
    </xf>
    <xf numFmtId="9" fontId="325" fillId="3" borderId="0" xfId="2" applyFont="1" applyFill="1" applyBorder="1" applyAlignment="1" applyProtection="1">
      <alignment horizontal="right" vertical="top"/>
      <protection locked="0"/>
    </xf>
    <xf numFmtId="9" fontId="325" fillId="3" borderId="0" xfId="2" applyFont="1" applyFill="1" applyBorder="1" applyAlignment="1" applyProtection="1">
      <alignment vertical="top"/>
      <protection locked="0"/>
    </xf>
    <xf numFmtId="0" fontId="39" fillId="0" borderId="0" xfId="0" applyFont="1" applyAlignment="1">
      <alignment horizontal="center" vertical="center"/>
    </xf>
    <xf numFmtId="10" fontId="0" fillId="3" borderId="0" xfId="2" applyNumberFormat="1" applyFont="1" applyFill="1" applyBorder="1" applyAlignment="1"/>
    <xf numFmtId="0" fontId="13" fillId="3" borderId="0" xfId="0" applyFont="1" applyFill="1"/>
    <xf numFmtId="0" fontId="0" fillId="0" borderId="0" xfId="0" applyAlignment="1">
      <alignment horizontal="right"/>
    </xf>
    <xf numFmtId="0" fontId="263" fillId="22" borderId="0" xfId="0" applyFont="1" applyFill="1" applyAlignment="1">
      <alignment horizontal="left" vertical="center" wrapText="1"/>
    </xf>
    <xf numFmtId="0" fontId="17" fillId="3" borderId="0" xfId="0" applyFont="1" applyFill="1" applyAlignment="1">
      <alignment vertical="top" wrapText="1"/>
    </xf>
    <xf numFmtId="171" fontId="168" fillId="3" borderId="0" xfId="0" applyNumberFormat="1" applyFont="1" applyFill="1" applyAlignment="1">
      <alignment horizontal="center" vertical="center"/>
    </xf>
    <xf numFmtId="165" fontId="2" fillId="8" borderId="140" xfId="3" applyNumberFormat="1" applyFill="1" applyBorder="1" applyAlignment="1" applyProtection="1">
      <alignment horizontal="left" vertical="center"/>
      <protection locked="0"/>
    </xf>
    <xf numFmtId="0" fontId="178" fillId="22" borderId="0" xfId="0" applyFont="1" applyFill="1" applyAlignment="1">
      <alignment horizontal="left" wrapText="1"/>
    </xf>
    <xf numFmtId="9" fontId="263" fillId="22" borderId="0" xfId="0" applyNumberFormat="1" applyFont="1" applyFill="1" applyAlignment="1" applyProtection="1">
      <alignment horizontal="left" vertical="center" wrapText="1"/>
      <protection locked="0"/>
    </xf>
    <xf numFmtId="9" fontId="175" fillId="3" borderId="0" xfId="2" applyFont="1" applyFill="1" applyBorder="1" applyAlignment="1" applyProtection="1"/>
    <xf numFmtId="0" fontId="2" fillId="3" borderId="26" xfId="0" applyFont="1" applyFill="1" applyBorder="1" applyAlignment="1">
      <alignment horizontal="center" vertical="center"/>
    </xf>
    <xf numFmtId="0" fontId="251" fillId="3" borderId="27" xfId="0" applyFont="1" applyFill="1" applyBorder="1" applyAlignment="1">
      <alignment vertical="center"/>
    </xf>
    <xf numFmtId="0" fontId="2" fillId="3" borderId="16" xfId="0" applyFont="1" applyFill="1" applyBorder="1" applyAlignment="1">
      <alignment horizontal="center" vertical="center"/>
    </xf>
    <xf numFmtId="0" fontId="251" fillId="3" borderId="0" xfId="0" applyFont="1" applyFill="1" applyAlignment="1">
      <alignment vertical="center"/>
    </xf>
    <xf numFmtId="0" fontId="0" fillId="3" borderId="16" xfId="0" applyFill="1" applyBorder="1" applyAlignment="1">
      <alignment horizontal="center" vertical="center"/>
    </xf>
    <xf numFmtId="0" fontId="2" fillId="0" borderId="16" xfId="0" applyFont="1" applyBorder="1" applyAlignment="1">
      <alignment horizontal="center" vertical="center"/>
    </xf>
    <xf numFmtId="0" fontId="2" fillId="8" borderId="85" xfId="0" applyFont="1" applyFill="1" applyBorder="1" applyAlignment="1">
      <alignment horizontal="right" vertical="center"/>
    </xf>
    <xf numFmtId="0" fontId="2" fillId="8" borderId="76" xfId="0" applyFont="1" applyFill="1" applyBorder="1" applyAlignment="1">
      <alignment horizontal="right" vertical="center"/>
    </xf>
    <xf numFmtId="0" fontId="208" fillId="3" borderId="0" xfId="0" applyFont="1" applyFill="1" applyAlignment="1">
      <alignment horizontal="right" indent="1"/>
    </xf>
    <xf numFmtId="0" fontId="188" fillId="0" borderId="26" xfId="0" applyFont="1" applyBorder="1" applyAlignment="1">
      <alignment horizontal="right" vertical="center"/>
    </xf>
    <xf numFmtId="0" fontId="188" fillId="0" borderId="27" xfId="0" applyFont="1" applyBorder="1" applyAlignment="1">
      <alignment horizontal="right" vertical="center"/>
    </xf>
    <xf numFmtId="0" fontId="180" fillId="0" borderId="27" xfId="0" applyFont="1" applyBorder="1" applyAlignment="1">
      <alignment horizontal="right" vertical="center"/>
    </xf>
    <xf numFmtId="0" fontId="60" fillId="0" borderId="27" xfId="0" applyFont="1" applyBorder="1" applyAlignment="1">
      <alignment horizontal="center" vertical="center"/>
    </xf>
    <xf numFmtId="0" fontId="180" fillId="0" borderId="27" xfId="0" applyFont="1" applyBorder="1" applyAlignment="1">
      <alignment horizontal="right" vertical="center" indent="1"/>
    </xf>
    <xf numFmtId="0" fontId="188" fillId="0" borderId="16" xfId="0" applyFont="1" applyBorder="1" applyAlignment="1">
      <alignment horizontal="right" vertical="center"/>
    </xf>
    <xf numFmtId="0" fontId="180" fillId="0" borderId="0" xfId="0" applyFont="1" applyAlignment="1">
      <alignment horizontal="right" vertical="center" indent="1"/>
    </xf>
    <xf numFmtId="0" fontId="224" fillId="0" borderId="0" xfId="0" applyFont="1"/>
    <xf numFmtId="0" fontId="2" fillId="0" borderId="28" xfId="0" applyFont="1" applyBorder="1"/>
    <xf numFmtId="0" fontId="2" fillId="0" borderId="16" xfId="0" applyFont="1" applyBorder="1"/>
    <xf numFmtId="0" fontId="179" fillId="3" borderId="0" xfId="0" applyFont="1" applyFill="1" applyAlignment="1">
      <alignment vertical="center"/>
    </xf>
    <xf numFmtId="0" fontId="25" fillId="0" borderId="26" xfId="0" applyFont="1" applyBorder="1" applyAlignment="1">
      <alignment horizontal="center" vertical="center"/>
    </xf>
    <xf numFmtId="0" fontId="25" fillId="0" borderId="27" xfId="0" applyFont="1" applyBorder="1" applyAlignment="1">
      <alignment horizontal="center" vertical="center"/>
    </xf>
    <xf numFmtId="0" fontId="25" fillId="0" borderId="18" xfId="0" applyFont="1" applyBorder="1" applyAlignment="1">
      <alignment horizontal="center" vertical="center"/>
    </xf>
    <xf numFmtId="0" fontId="25" fillId="0" borderId="16" xfId="0" applyFont="1" applyBorder="1" applyAlignment="1">
      <alignment horizontal="center" vertical="center"/>
    </xf>
    <xf numFmtId="10" fontId="0" fillId="3" borderId="17" xfId="2" applyNumberFormat="1" applyFont="1" applyFill="1" applyBorder="1" applyAlignment="1">
      <alignment wrapText="1"/>
    </xf>
    <xf numFmtId="10" fontId="178" fillId="0" borderId="16" xfId="0" applyNumberFormat="1" applyFont="1" applyBorder="1" applyAlignment="1">
      <alignment vertical="center" wrapText="1"/>
    </xf>
    <xf numFmtId="0" fontId="25" fillId="3" borderId="16" xfId="0" applyFont="1" applyFill="1" applyBorder="1" applyAlignment="1">
      <alignment vertical="center"/>
    </xf>
    <xf numFmtId="0" fontId="25" fillId="0" borderId="16" xfId="0" applyFont="1" applyBorder="1" applyAlignment="1">
      <alignment vertical="center"/>
    </xf>
    <xf numFmtId="10" fontId="178" fillId="3" borderId="16" xfId="0" applyNumberFormat="1" applyFont="1" applyFill="1" applyBorder="1" applyAlignment="1">
      <alignment vertical="center" wrapText="1"/>
    </xf>
    <xf numFmtId="0" fontId="0" fillId="0" borderId="16" xfId="0" applyBorder="1" applyAlignment="1">
      <alignment horizontal="right"/>
    </xf>
    <xf numFmtId="10" fontId="4" fillId="0" borderId="0" xfId="0" applyNumberFormat="1" applyFont="1" applyAlignment="1">
      <alignment vertical="center"/>
    </xf>
    <xf numFmtId="10" fontId="25" fillId="0" borderId="0" xfId="0" applyNumberFormat="1" applyFont="1" applyAlignment="1">
      <alignment vertical="center" wrapText="1"/>
    </xf>
    <xf numFmtId="10" fontId="25" fillId="0" borderId="0" xfId="0" applyNumberFormat="1" applyFont="1" applyAlignment="1">
      <alignment horizontal="center" vertical="center" wrapText="1"/>
    </xf>
    <xf numFmtId="0" fontId="60" fillId="0" borderId="22" xfId="0" applyFont="1" applyBorder="1"/>
    <xf numFmtId="0" fontId="224" fillId="0" borderId="16" xfId="0" applyFont="1" applyBorder="1" applyAlignment="1">
      <alignment horizontal="left" indent="1"/>
    </xf>
    <xf numFmtId="0" fontId="25" fillId="3" borderId="0" xfId="0" applyFont="1" applyFill="1" applyAlignment="1">
      <alignment horizontal="center"/>
    </xf>
    <xf numFmtId="0" fontId="222" fillId="3" borderId="0" xfId="0" applyFont="1" applyFill="1" applyAlignment="1">
      <alignment vertical="center"/>
    </xf>
    <xf numFmtId="0" fontId="205" fillId="3" borderId="0" xfId="0" applyFont="1" applyFill="1" applyAlignment="1">
      <alignment vertical="center"/>
    </xf>
    <xf numFmtId="0" fontId="295" fillId="3" borderId="0" xfId="0" applyFont="1" applyFill="1" applyAlignment="1">
      <alignment horizontal="left" vertical="top" wrapText="1"/>
    </xf>
    <xf numFmtId="0" fontId="198" fillId="3" borderId="0" xfId="0" applyFont="1" applyFill="1" applyAlignment="1">
      <alignment horizontal="center" vertical="center"/>
    </xf>
    <xf numFmtId="0" fontId="166" fillId="3" borderId="0" xfId="0" applyFont="1" applyFill="1" applyAlignment="1">
      <alignment horizontal="center" vertical="center" wrapText="1"/>
    </xf>
    <xf numFmtId="0" fontId="207" fillId="3" borderId="0" xfId="0" applyFont="1" applyFill="1" applyAlignment="1">
      <alignment vertical="top"/>
    </xf>
    <xf numFmtId="0" fontId="164" fillId="3" borderId="0" xfId="0" applyFont="1" applyFill="1" applyAlignment="1">
      <alignment vertical="center"/>
    </xf>
    <xf numFmtId="0" fontId="196" fillId="0" borderId="0" xfId="0" applyFont="1" applyAlignment="1">
      <alignment horizontal="left" vertical="center" indent="1"/>
    </xf>
    <xf numFmtId="10" fontId="4" fillId="0" borderId="8" xfId="0" applyNumberFormat="1" applyFont="1" applyBorder="1" applyAlignment="1">
      <alignment vertical="center"/>
    </xf>
    <xf numFmtId="10" fontId="25" fillId="0" borderId="8" xfId="0" applyNumberFormat="1" applyFont="1" applyBorder="1" applyAlignment="1">
      <alignment vertical="center" wrapText="1"/>
    </xf>
    <xf numFmtId="10" fontId="229" fillId="3" borderId="271" xfId="0" applyNumberFormat="1" applyFont="1" applyFill="1" applyBorder="1" applyAlignment="1">
      <alignment horizontal="center" vertical="center"/>
    </xf>
    <xf numFmtId="171" fontId="9" fillId="3" borderId="41" xfId="14" applyNumberFormat="1" applyFont="1" applyFill="1" applyBorder="1" applyAlignment="1">
      <alignment horizontal="center" vertical="center"/>
    </xf>
    <xf numFmtId="171" fontId="8" fillId="3" borderId="76" xfId="14" applyNumberFormat="1" applyFont="1" applyFill="1" applyBorder="1" applyAlignment="1">
      <alignment horizontal="center" vertical="center"/>
    </xf>
    <xf numFmtId="0" fontId="25" fillId="3" borderId="2" xfId="0" applyFont="1" applyFill="1" applyBorder="1"/>
    <xf numFmtId="171" fontId="8" fillId="3" borderId="28" xfId="14" applyNumberFormat="1" applyFont="1" applyFill="1" applyBorder="1" applyAlignment="1">
      <alignment horizontal="right" vertical="center"/>
    </xf>
    <xf numFmtId="171" fontId="4" fillId="3" borderId="141" xfId="14" applyNumberFormat="1" applyFont="1" applyFill="1" applyBorder="1" applyAlignment="1">
      <alignment horizontal="right" vertical="center"/>
    </xf>
    <xf numFmtId="0" fontId="8" fillId="61" borderId="113" xfId="0" applyFont="1" applyFill="1" applyBorder="1" applyAlignment="1">
      <alignment horizontal="center" vertical="center" wrapText="1"/>
    </xf>
    <xf numFmtId="0" fontId="8" fillId="61" borderId="111" xfId="0" applyFont="1" applyFill="1" applyBorder="1" applyAlignment="1">
      <alignment horizontal="center" vertical="center" wrapText="1"/>
    </xf>
    <xf numFmtId="171" fontId="8" fillId="3" borderId="19" xfId="14" applyNumberFormat="1" applyFont="1" applyFill="1" applyBorder="1" applyAlignment="1">
      <alignment horizontal="center" vertical="center"/>
    </xf>
    <xf numFmtId="171" fontId="8" fillId="3" borderId="141" xfId="14" applyNumberFormat="1" applyFont="1" applyFill="1" applyBorder="1" applyAlignment="1">
      <alignment horizontal="center" vertical="center"/>
    </xf>
    <xf numFmtId="171" fontId="8" fillId="3" borderId="45" xfId="14" applyNumberFormat="1" applyFont="1" applyFill="1" applyBorder="1" applyAlignment="1">
      <alignment horizontal="center" vertical="center"/>
    </xf>
    <xf numFmtId="165" fontId="180" fillId="3" borderId="16" xfId="0" applyNumberFormat="1" applyFont="1" applyFill="1" applyBorder="1" applyAlignment="1">
      <alignment horizontal="right" vertical="center"/>
    </xf>
    <xf numFmtId="165" fontId="180" fillId="3" borderId="26" xfId="0" applyNumberFormat="1" applyFont="1" applyFill="1" applyBorder="1" applyAlignment="1">
      <alignment horizontal="right" vertical="center"/>
    </xf>
    <xf numFmtId="171" fontId="8" fillId="3" borderId="86" xfId="14" applyNumberFormat="1" applyFont="1" applyFill="1" applyBorder="1" applyAlignment="1">
      <alignment vertical="center"/>
    </xf>
    <xf numFmtId="9" fontId="171" fillId="3" borderId="76" xfId="2" applyFont="1" applyFill="1" applyBorder="1" applyAlignment="1">
      <alignment horizontal="left" vertical="center"/>
    </xf>
    <xf numFmtId="172" fontId="8" fillId="3" borderId="239" xfId="0" applyNumberFormat="1" applyFont="1" applyFill="1" applyBorder="1" applyAlignment="1">
      <alignment horizontal="center" vertical="center"/>
    </xf>
    <xf numFmtId="0" fontId="8" fillId="3" borderId="41" xfId="0" applyFont="1" applyFill="1" applyBorder="1" applyAlignment="1">
      <alignment horizontal="center" vertical="center"/>
    </xf>
    <xf numFmtId="171" fontId="8" fillId="3" borderId="44" xfId="14" applyNumberFormat="1" applyFont="1" applyFill="1" applyBorder="1" applyAlignment="1">
      <alignment horizontal="center" vertical="center"/>
    </xf>
    <xf numFmtId="0" fontId="60" fillId="0" borderId="16" xfId="0" applyFont="1" applyBorder="1" applyAlignment="1">
      <alignment horizontal="center" vertical="center"/>
    </xf>
    <xf numFmtId="0" fontId="180" fillId="0" borderId="22" xfId="0" applyFont="1" applyBorder="1" applyAlignment="1">
      <alignment horizontal="right" vertical="center" indent="1"/>
    </xf>
    <xf numFmtId="0" fontId="25" fillId="3" borderId="0" xfId="0" applyFont="1" applyFill="1" applyAlignment="1">
      <alignment horizontal="left" vertical="center"/>
    </xf>
    <xf numFmtId="0" fontId="258" fillId="3" borderId="0" xfId="0" applyFont="1" applyFill="1" applyAlignment="1">
      <alignment vertical="top" wrapText="1"/>
    </xf>
    <xf numFmtId="0" fontId="169" fillId="0" borderId="0" xfId="0" applyFont="1" applyAlignment="1" applyProtection="1">
      <alignment horizontal="center" vertical="center"/>
      <protection locked="0"/>
    </xf>
    <xf numFmtId="0" fontId="169" fillId="0" borderId="0" xfId="0" applyFont="1" applyAlignment="1" applyProtection="1">
      <alignment horizontal="center" vertical="center" wrapText="1"/>
      <protection locked="0"/>
    </xf>
    <xf numFmtId="0" fontId="25" fillId="87" borderId="0" xfId="0" applyFont="1" applyFill="1"/>
    <xf numFmtId="10" fontId="4" fillId="0" borderId="29" xfId="0" applyNumberFormat="1" applyFont="1" applyBorder="1" applyAlignment="1">
      <alignment vertical="center"/>
    </xf>
    <xf numFmtId="10" fontId="25" fillId="0" borderId="29" xfId="0" applyNumberFormat="1" applyFont="1" applyBorder="1" applyAlignment="1">
      <alignment vertical="center" wrapText="1"/>
    </xf>
    <xf numFmtId="0" fontId="25" fillId="0" borderId="9" xfId="0" applyFont="1" applyBorder="1" applyAlignment="1">
      <alignment horizontal="center" vertical="center"/>
    </xf>
    <xf numFmtId="171" fontId="332" fillId="3" borderId="0" xfId="3" applyNumberFormat="1" applyFont="1" applyFill="1" applyBorder="1" applyAlignment="1" applyProtection="1">
      <alignment vertical="center"/>
    </xf>
    <xf numFmtId="9" fontId="44" fillId="3" borderId="0" xfId="0" applyNumberFormat="1" applyFont="1" applyFill="1"/>
    <xf numFmtId="0" fontId="333" fillId="3" borderId="0" xfId="0" applyFont="1" applyFill="1" applyAlignment="1">
      <alignment vertical="center"/>
    </xf>
    <xf numFmtId="0" fontId="177" fillId="3" borderId="0" xfId="0" applyFont="1" applyFill="1" applyAlignment="1">
      <alignment horizontal="left" vertical="top" wrapText="1"/>
    </xf>
    <xf numFmtId="0" fontId="3" fillId="3" borderId="0" xfId="0" applyFont="1" applyFill="1" applyAlignment="1">
      <alignment vertical="center"/>
    </xf>
    <xf numFmtId="0" fontId="3" fillId="3" borderId="0" xfId="0" applyFont="1" applyFill="1" applyAlignment="1">
      <alignment horizontal="center" vertical="center"/>
    </xf>
    <xf numFmtId="0" fontId="44" fillId="3" borderId="0" xfId="0" applyFont="1" applyFill="1" applyAlignment="1">
      <alignment horizontal="right" vertical="center"/>
    </xf>
    <xf numFmtId="0" fontId="334" fillId="3" borderId="0" xfId="0" applyFont="1" applyFill="1" applyAlignment="1">
      <alignment horizontal="left" vertical="top" wrapText="1"/>
    </xf>
    <xf numFmtId="0" fontId="44" fillId="3" borderId="0" xfId="0" applyFont="1" applyFill="1" applyAlignment="1">
      <alignment horizontal="left" vertical="center"/>
    </xf>
    <xf numFmtId="0" fontId="321" fillId="3" borderId="0" xfId="0" applyFont="1" applyFill="1" applyAlignment="1">
      <alignment horizontal="left" vertical="center"/>
    </xf>
    <xf numFmtId="165" fontId="336" fillId="8" borderId="86" xfId="3" applyNumberFormat="1" applyFont="1" applyFill="1" applyBorder="1" applyAlignment="1" applyProtection="1">
      <alignment vertical="center"/>
    </xf>
    <xf numFmtId="165" fontId="7" fillId="0" borderId="0" xfId="3" applyNumberFormat="1" applyFont="1" applyFill="1" applyBorder="1" applyAlignment="1" applyProtection="1">
      <alignment vertical="center"/>
    </xf>
    <xf numFmtId="0" fontId="0" fillId="0" borderId="0" xfId="0" applyAlignment="1">
      <alignment horizontal="right" indent="1"/>
    </xf>
    <xf numFmtId="0" fontId="0" fillId="0" borderId="0" xfId="0" applyAlignment="1">
      <alignment horizontal="right" vertical="center" indent="1"/>
    </xf>
    <xf numFmtId="0" fontId="175" fillId="0" borderId="0" xfId="0" applyFont="1" applyAlignment="1">
      <alignment vertical="center"/>
    </xf>
    <xf numFmtId="0" fontId="294" fillId="0" borderId="0" xfId="0" applyFont="1" applyAlignment="1">
      <alignment horizontal="right" vertical="center" indent="1"/>
    </xf>
    <xf numFmtId="0" fontId="335" fillId="3" borderId="0" xfId="0" applyFont="1" applyFill="1" applyAlignment="1">
      <alignment horizontal="center" vertical="center"/>
    </xf>
    <xf numFmtId="0" fontId="9" fillId="0" borderId="0" xfId="0" applyFont="1" applyAlignment="1">
      <alignment horizontal="left" vertical="top" wrapText="1" indent="1"/>
    </xf>
    <xf numFmtId="10" fontId="8" fillId="3" borderId="45" xfId="0" applyNumberFormat="1" applyFont="1" applyFill="1" applyBorder="1" applyAlignment="1">
      <alignment horizontal="center" vertical="center"/>
    </xf>
    <xf numFmtId="0" fontId="328" fillId="3" borderId="0" xfId="0" applyFont="1" applyFill="1" applyAlignment="1">
      <alignment vertical="top" wrapText="1"/>
    </xf>
    <xf numFmtId="165" fontId="328" fillId="26" borderId="26" xfId="0" applyNumberFormat="1" applyFont="1" applyFill="1" applyBorder="1" applyAlignment="1">
      <alignment horizontal="right" vertical="center"/>
    </xf>
    <xf numFmtId="0" fontId="180" fillId="3" borderId="0" xfId="0" applyFont="1" applyFill="1" applyAlignment="1">
      <alignment horizontal="right" vertical="center" indent="1"/>
    </xf>
    <xf numFmtId="0" fontId="324" fillId="0" borderId="0" xfId="0" applyFont="1" applyAlignment="1">
      <alignment horizontal="left"/>
    </xf>
    <xf numFmtId="9" fontId="325" fillId="0" borderId="0" xfId="2" applyFont="1" applyBorder="1" applyAlignment="1" applyProtection="1">
      <alignment horizontal="right" vertical="top"/>
      <protection locked="0"/>
    </xf>
    <xf numFmtId="0" fontId="179" fillId="3" borderId="0" xfId="0" applyFont="1" applyFill="1" applyAlignment="1" applyProtection="1">
      <alignment horizontal="center" vertical="center"/>
      <protection locked="0"/>
    </xf>
    <xf numFmtId="171" fontId="8" fillId="3" borderId="271" xfId="14" applyNumberFormat="1" applyFont="1" applyFill="1" applyBorder="1" applyAlignment="1">
      <alignment horizontal="center" vertical="center"/>
    </xf>
    <xf numFmtId="172" fontId="8" fillId="3" borderId="45" xfId="14" applyNumberFormat="1" applyFont="1" applyFill="1" applyBorder="1" applyAlignment="1">
      <alignment horizontal="center" vertical="center"/>
    </xf>
    <xf numFmtId="0" fontId="9" fillId="3" borderId="44" xfId="0" applyFont="1" applyFill="1" applyBorder="1" applyAlignment="1">
      <alignment horizontal="center"/>
    </xf>
    <xf numFmtId="171" fontId="171" fillId="3" borderId="271" xfId="14" applyNumberFormat="1" applyFont="1" applyFill="1" applyBorder="1" applyAlignment="1">
      <alignment horizontal="center" vertical="center"/>
    </xf>
    <xf numFmtId="171" fontId="171" fillId="3" borderId="44" xfId="14" applyNumberFormat="1" applyFont="1" applyFill="1" applyBorder="1" applyAlignment="1">
      <alignment horizontal="center" vertical="center"/>
    </xf>
    <xf numFmtId="171" fontId="8" fillId="3" borderId="28" xfId="14" applyNumberFormat="1" applyFont="1" applyFill="1" applyBorder="1" applyAlignment="1">
      <alignment horizontal="center" vertical="center"/>
    </xf>
    <xf numFmtId="10" fontId="229" fillId="3" borderId="141" xfId="0" applyNumberFormat="1" applyFont="1" applyFill="1" applyBorder="1" applyAlignment="1">
      <alignment horizontal="center" vertical="center"/>
    </xf>
    <xf numFmtId="171" fontId="9" fillId="3" borderId="45" xfId="14" applyNumberFormat="1" applyFont="1" applyFill="1" applyBorder="1" applyAlignment="1">
      <alignment horizontal="center" vertical="center"/>
    </xf>
    <xf numFmtId="171" fontId="9" fillId="3" borderId="239" xfId="14" applyNumberFormat="1" applyFont="1" applyFill="1" applyBorder="1" applyAlignment="1">
      <alignment horizontal="center" vertical="center"/>
    </xf>
    <xf numFmtId="171" fontId="8" fillId="3" borderId="86" xfId="14" applyNumberFormat="1" applyFont="1" applyFill="1" applyBorder="1" applyAlignment="1">
      <alignment horizontal="center" vertical="center"/>
    </xf>
    <xf numFmtId="9" fontId="171" fillId="3" borderId="19" xfId="2" applyFont="1" applyFill="1" applyBorder="1" applyAlignment="1">
      <alignment horizontal="left" vertical="center"/>
    </xf>
    <xf numFmtId="9" fontId="171" fillId="3" borderId="271" xfId="2" applyFont="1" applyFill="1" applyBorder="1" applyAlignment="1">
      <alignment horizontal="left" vertical="center"/>
    </xf>
    <xf numFmtId="0" fontId="9" fillId="3" borderId="41" xfId="0" applyFont="1" applyFill="1" applyBorder="1" applyAlignment="1">
      <alignment horizontal="left"/>
    </xf>
    <xf numFmtId="0" fontId="9" fillId="3" borderId="44" xfId="0" applyFont="1" applyFill="1" applyBorder="1" applyAlignment="1">
      <alignment horizontal="left" vertical="center"/>
    </xf>
    <xf numFmtId="10" fontId="330" fillId="3" borderId="45" xfId="0" applyNumberFormat="1" applyFont="1" applyFill="1" applyBorder="1" applyAlignment="1">
      <alignment horizontal="right" vertical="center"/>
    </xf>
    <xf numFmtId="10" fontId="174" fillId="3" borderId="239" xfId="0" applyNumberFormat="1" applyFont="1" applyFill="1" applyBorder="1" applyAlignment="1">
      <alignment horizontal="right" vertical="center"/>
    </xf>
    <xf numFmtId="9" fontId="161" fillId="0" borderId="0" xfId="0" applyNumberFormat="1" applyFont="1" applyAlignment="1">
      <alignment horizontal="center" vertical="center"/>
    </xf>
    <xf numFmtId="0" fontId="341" fillId="0" borderId="0" xfId="0" applyFont="1" applyAlignment="1">
      <alignment vertical="center"/>
    </xf>
    <xf numFmtId="0" fontId="342" fillId="0" borderId="0" xfId="0" applyFont="1" applyAlignment="1">
      <alignment vertical="center"/>
    </xf>
    <xf numFmtId="0" fontId="343" fillId="0" borderId="0" xfId="0" applyFont="1" applyAlignment="1">
      <alignment vertical="center"/>
    </xf>
    <xf numFmtId="0" fontId="343" fillId="3" borderId="0" xfId="0" applyFont="1" applyFill="1" applyAlignment="1">
      <alignment vertical="center"/>
    </xf>
    <xf numFmtId="0" fontId="343" fillId="3" borderId="0" xfId="0" applyFont="1" applyFill="1" applyAlignment="1">
      <alignment horizontal="left"/>
    </xf>
    <xf numFmtId="0" fontId="343" fillId="3" borderId="0" xfId="0" applyFont="1" applyFill="1" applyAlignment="1">
      <alignment horizontal="right"/>
    </xf>
    <xf numFmtId="0" fontId="342" fillId="3" borderId="0" xfId="0" applyFont="1" applyFill="1" applyAlignment="1">
      <alignment horizontal="left"/>
    </xf>
    <xf numFmtId="0" fontId="344" fillId="0" borderId="0" xfId="0" applyFont="1"/>
    <xf numFmtId="0" fontId="344" fillId="3" borderId="0" xfId="0" applyFont="1" applyFill="1"/>
    <xf numFmtId="0" fontId="4" fillId="3" borderId="0" xfId="0" applyFont="1" applyFill="1" applyAlignment="1" applyProtection="1">
      <alignment wrapText="1"/>
      <protection locked="0"/>
    </xf>
    <xf numFmtId="0" fontId="8" fillId="3" borderId="115" xfId="0" applyFont="1" applyFill="1" applyBorder="1" applyAlignment="1">
      <alignment horizontal="center" vertical="center" wrapText="1"/>
    </xf>
    <xf numFmtId="0" fontId="0" fillId="89" borderId="85" xfId="0" applyFill="1" applyBorder="1"/>
    <xf numFmtId="0" fontId="25" fillId="89" borderId="85" xfId="0" applyFont="1" applyFill="1" applyBorder="1" applyAlignment="1">
      <alignment horizontal="right" vertical="center"/>
    </xf>
    <xf numFmtId="10" fontId="298" fillId="89" borderId="116" xfId="0" applyNumberFormat="1" applyFont="1" applyFill="1" applyBorder="1"/>
    <xf numFmtId="10" fontId="298" fillId="89" borderId="194" xfId="0" applyNumberFormat="1" applyFont="1" applyFill="1" applyBorder="1"/>
    <xf numFmtId="9" fontId="159" fillId="3" borderId="28" xfId="2" applyFont="1" applyFill="1" applyBorder="1" applyAlignment="1" applyProtection="1">
      <alignment horizontal="left" vertical="center"/>
      <protection locked="0"/>
    </xf>
    <xf numFmtId="172" fontId="163" fillId="0" borderId="22" xfId="0" applyNumberFormat="1" applyFont="1" applyBorder="1" applyAlignment="1" applyProtection="1">
      <alignment horizontal="left" vertical="center"/>
      <protection locked="0"/>
    </xf>
    <xf numFmtId="0" fontId="25" fillId="0" borderId="22" xfId="0" applyFont="1" applyBorder="1" applyAlignment="1">
      <alignment vertical="center"/>
    </xf>
    <xf numFmtId="0" fontId="25" fillId="0" borderId="19" xfId="0" applyFont="1" applyBorder="1" applyAlignment="1">
      <alignment vertical="center"/>
    </xf>
    <xf numFmtId="0" fontId="71" fillId="0" borderId="18" xfId="0" applyFont="1" applyBorder="1" applyAlignment="1">
      <alignment horizontal="center" vertical="center"/>
    </xf>
    <xf numFmtId="10" fontId="329" fillId="3" borderId="17" xfId="2" applyNumberFormat="1" applyFont="1" applyFill="1" applyBorder="1" applyAlignment="1">
      <alignment wrapText="1"/>
    </xf>
    <xf numFmtId="0" fontId="71" fillId="0" borderId="17" xfId="0" applyFont="1" applyBorder="1" applyAlignment="1">
      <alignment horizontal="center" vertical="center"/>
    </xf>
    <xf numFmtId="171" fontId="112" fillId="3" borderId="17" xfId="0" applyNumberFormat="1" applyFont="1" applyFill="1" applyBorder="1" applyAlignment="1">
      <alignment horizontal="left" vertical="center" indent="1"/>
    </xf>
    <xf numFmtId="10" fontId="171" fillId="3" borderId="17" xfId="2" applyNumberFormat="1" applyFont="1" applyFill="1" applyBorder="1" applyAlignment="1">
      <alignment horizontal="left" wrapText="1" indent="1"/>
    </xf>
    <xf numFmtId="10" fontId="112" fillId="0" borderId="17" xfId="0" applyNumberFormat="1" applyFont="1" applyBorder="1" applyAlignment="1">
      <alignment vertical="center" wrapText="1"/>
    </xf>
    <xf numFmtId="10" fontId="112" fillId="3" borderId="17" xfId="0" applyNumberFormat="1" applyFont="1" applyFill="1" applyBorder="1" applyAlignment="1">
      <alignment vertical="center" wrapText="1"/>
    </xf>
    <xf numFmtId="1" fontId="267" fillId="0" borderId="0" xfId="0" applyNumberFormat="1" applyFont="1" applyAlignment="1" applyProtection="1">
      <alignment horizontal="center" vertical="center"/>
      <protection locked="0"/>
    </xf>
    <xf numFmtId="171" fontId="0" fillId="3" borderId="0" xfId="0" applyNumberFormat="1" applyFill="1"/>
    <xf numFmtId="0" fontId="0" fillId="3" borderId="2" xfId="0" applyFill="1" applyBorder="1" applyAlignment="1">
      <alignment horizontal="center" vertical="center"/>
    </xf>
    <xf numFmtId="10" fontId="0" fillId="3" borderId="2" xfId="0" applyNumberFormat="1" applyFill="1" applyBorder="1" applyAlignment="1">
      <alignment horizontal="center" vertical="center"/>
    </xf>
    <xf numFmtId="171" fontId="0" fillId="3" borderId="2" xfId="0" applyNumberFormat="1" applyFill="1" applyBorder="1" applyAlignment="1">
      <alignment horizontal="center" vertical="center"/>
    </xf>
    <xf numFmtId="9" fontId="0" fillId="3" borderId="2" xfId="2" applyFont="1" applyFill="1" applyBorder="1" applyAlignment="1">
      <alignment horizontal="center" vertical="center"/>
    </xf>
    <xf numFmtId="175" fontId="0" fillId="3" borderId="2" xfId="0" applyNumberFormat="1" applyFill="1" applyBorder="1" applyAlignment="1">
      <alignment horizontal="center" vertical="center"/>
    </xf>
    <xf numFmtId="9" fontId="0" fillId="3" borderId="2" xfId="0" applyNumberFormat="1" applyFill="1" applyBorder="1" applyAlignment="1">
      <alignment horizontal="center" vertical="center"/>
    </xf>
    <xf numFmtId="9" fontId="25" fillId="0" borderId="2" xfId="2" applyFont="1" applyBorder="1" applyAlignment="1">
      <alignment horizontal="center" vertical="center"/>
    </xf>
    <xf numFmtId="172" fontId="0" fillId="3" borderId="2" xfId="0" applyNumberFormat="1" applyFill="1" applyBorder="1"/>
    <xf numFmtId="171" fontId="0" fillId="3" borderId="0" xfId="0" applyNumberFormat="1" applyFill="1" applyAlignment="1">
      <alignment horizontal="center"/>
    </xf>
    <xf numFmtId="172" fontId="0" fillId="3" borderId="0" xfId="0" applyNumberFormat="1" applyFill="1" applyAlignment="1">
      <alignment horizontal="center" vertical="center"/>
    </xf>
    <xf numFmtId="0" fontId="4" fillId="27" borderId="2" xfId="0" applyFont="1" applyFill="1" applyBorder="1" applyAlignment="1">
      <alignment horizontal="center" vertical="center"/>
    </xf>
    <xf numFmtId="171" fontId="3" fillId="39" borderId="86" xfId="0" applyNumberFormat="1" applyFont="1" applyFill="1" applyBorder="1" applyAlignment="1">
      <alignment horizontal="center" vertical="center"/>
    </xf>
    <xf numFmtId="171" fontId="3" fillId="40" borderId="86" xfId="0" applyNumberFormat="1" applyFont="1" applyFill="1" applyBorder="1" applyAlignment="1">
      <alignment horizontal="center" vertical="center"/>
    </xf>
    <xf numFmtId="171" fontId="3" fillId="90" borderId="86" xfId="0" applyNumberFormat="1" applyFont="1" applyFill="1" applyBorder="1" applyAlignment="1">
      <alignment horizontal="center" vertical="center"/>
    </xf>
    <xf numFmtId="0" fontId="345" fillId="3" borderId="0" xfId="0" applyFont="1" applyFill="1" applyAlignment="1">
      <alignment horizontal="right" vertical="center"/>
    </xf>
    <xf numFmtId="0" fontId="345" fillId="3" borderId="0" xfId="0" applyFont="1" applyFill="1" applyAlignment="1">
      <alignment vertical="center"/>
    </xf>
    <xf numFmtId="0" fontId="348" fillId="3" borderId="0" xfId="0" applyFont="1" applyFill="1" applyAlignment="1">
      <alignment horizontal="center" vertical="center"/>
    </xf>
    <xf numFmtId="0" fontId="323" fillId="93" borderId="86" xfId="0" applyFont="1" applyFill="1" applyBorder="1" applyAlignment="1">
      <alignment horizontal="center" vertical="center"/>
    </xf>
    <xf numFmtId="10" fontId="316" fillId="93" borderId="76" xfId="2" applyNumberFormat="1" applyFont="1" applyFill="1" applyBorder="1" applyAlignment="1">
      <alignment horizontal="center" vertical="center"/>
    </xf>
    <xf numFmtId="0" fontId="25" fillId="74" borderId="0" xfId="0" applyFont="1" applyFill="1"/>
    <xf numFmtId="0" fontId="316" fillId="93" borderId="85" xfId="0" applyFont="1" applyFill="1" applyBorder="1" applyAlignment="1">
      <alignment horizontal="center" vertical="center"/>
    </xf>
    <xf numFmtId="0" fontId="25" fillId="95" borderId="0" xfId="0" applyFont="1" applyFill="1"/>
    <xf numFmtId="0" fontId="25" fillId="95" borderId="18" xfId="0" applyFont="1" applyFill="1" applyBorder="1"/>
    <xf numFmtId="0" fontId="25" fillId="95" borderId="19" xfId="0" applyFont="1" applyFill="1" applyBorder="1"/>
    <xf numFmtId="9" fontId="4" fillId="0" borderId="0" xfId="0" applyNumberFormat="1" applyFont="1" applyAlignment="1" applyProtection="1">
      <alignment horizontal="center"/>
      <protection locked="0"/>
    </xf>
    <xf numFmtId="195" fontId="0" fillId="3" borderId="0" xfId="0" applyNumberFormat="1" applyFill="1"/>
    <xf numFmtId="10" fontId="30" fillId="25" borderId="160" xfId="0" applyNumberFormat="1" applyFont="1" applyFill="1" applyBorder="1" applyAlignment="1">
      <alignment horizontal="center" vertical="center"/>
    </xf>
    <xf numFmtId="0" fontId="352" fillId="73" borderId="142" xfId="0" applyFont="1" applyFill="1" applyBorder="1" applyAlignment="1">
      <alignment horizontal="center" vertical="center" wrapText="1"/>
    </xf>
    <xf numFmtId="0" fontId="351" fillId="73" borderId="143" xfId="0" applyFont="1" applyFill="1" applyBorder="1" applyAlignment="1">
      <alignment horizontal="center" vertical="center"/>
    </xf>
    <xf numFmtId="0" fontId="351" fillId="73" borderId="27" xfId="0" applyFont="1" applyFill="1" applyBorder="1" applyAlignment="1">
      <alignment horizontal="center" vertical="center"/>
    </xf>
    <xf numFmtId="0" fontId="351" fillId="73" borderId="27" xfId="0" applyFont="1" applyFill="1" applyBorder="1" applyAlignment="1">
      <alignment horizontal="left" vertical="center"/>
    </xf>
    <xf numFmtId="10" fontId="351" fillId="73" borderId="26" xfId="0" applyNumberFormat="1" applyFont="1" applyFill="1" applyBorder="1" applyAlignment="1">
      <alignment horizontal="center" vertical="center"/>
    </xf>
    <xf numFmtId="10" fontId="351" fillId="73" borderId="27" xfId="0" applyNumberFormat="1" applyFont="1" applyFill="1" applyBorder="1" applyAlignment="1">
      <alignment horizontal="center" vertical="center"/>
    </xf>
    <xf numFmtId="0" fontId="351" fillId="73" borderId="18" xfId="3" applyFont="1" applyFill="1" applyBorder="1" applyAlignment="1" applyProtection="1">
      <alignment horizontal="center" vertical="center"/>
    </xf>
    <xf numFmtId="9" fontId="351" fillId="73" borderId="26" xfId="0" applyNumberFormat="1" applyFont="1" applyFill="1" applyBorder="1" applyAlignment="1">
      <alignment horizontal="center" vertical="center"/>
    </xf>
    <xf numFmtId="173" fontId="351" fillId="73" borderId="26" xfId="1" applyNumberFormat="1" applyFont="1" applyFill="1" applyBorder="1" applyAlignment="1" applyProtection="1">
      <alignment vertical="center"/>
    </xf>
    <xf numFmtId="171" fontId="352" fillId="73" borderId="27" xfId="0" applyNumberFormat="1" applyFont="1" applyFill="1" applyBorder="1" applyAlignment="1">
      <alignment vertical="center"/>
    </xf>
    <xf numFmtId="171" fontId="351" fillId="73" borderId="125" xfId="0" applyNumberFormat="1" applyFont="1" applyFill="1" applyBorder="1" applyAlignment="1">
      <alignment horizontal="center" vertical="center"/>
    </xf>
    <xf numFmtId="9" fontId="351" fillId="73" borderId="125" xfId="2" applyFont="1" applyFill="1" applyBorder="1" applyAlignment="1">
      <alignment horizontal="center" vertical="center"/>
    </xf>
    <xf numFmtId="171" fontId="352" fillId="73" borderId="125" xfId="0" applyNumberFormat="1" applyFont="1" applyFill="1" applyBorder="1" applyAlignment="1">
      <alignment vertical="center"/>
    </xf>
    <xf numFmtId="171" fontId="352" fillId="73" borderId="27" xfId="0" applyNumberFormat="1" applyFont="1" applyFill="1" applyBorder="1" applyAlignment="1">
      <alignment horizontal="center" vertical="center"/>
    </xf>
    <xf numFmtId="172" fontId="351" fillId="73" borderId="27" xfId="0" applyNumberFormat="1" applyFont="1" applyFill="1" applyBorder="1" applyAlignment="1">
      <alignment horizontal="center" vertical="center"/>
    </xf>
    <xf numFmtId="171" fontId="352" fillId="73" borderId="124" xfId="0" applyNumberFormat="1" applyFont="1" applyFill="1" applyBorder="1" applyAlignment="1">
      <alignment horizontal="center" vertical="center"/>
    </xf>
    <xf numFmtId="9" fontId="351" fillId="73" borderId="27" xfId="2" applyFont="1" applyFill="1" applyBorder="1" applyAlignment="1" applyProtection="1">
      <alignment horizontal="center" vertical="center"/>
    </xf>
    <xf numFmtId="171" fontId="353" fillId="73" borderId="26" xfId="0" applyNumberFormat="1" applyFont="1" applyFill="1" applyBorder="1"/>
    <xf numFmtId="0" fontId="353" fillId="73" borderId="18" xfId="0" applyFont="1" applyFill="1" applyBorder="1"/>
    <xf numFmtId="0" fontId="353" fillId="73" borderId="0" xfId="0" applyFont="1" applyFill="1"/>
    <xf numFmtId="0" fontId="352" fillId="73" borderId="87" xfId="0" applyFont="1" applyFill="1" applyBorder="1" applyAlignment="1">
      <alignment horizontal="center" vertical="center" wrapText="1"/>
    </xf>
    <xf numFmtId="0" fontId="351" fillId="73" borderId="23" xfId="0" applyFont="1" applyFill="1" applyBorder="1" applyAlignment="1">
      <alignment horizontal="center" vertical="center"/>
    </xf>
    <xf numFmtId="0" fontId="351" fillId="73" borderId="0" xfId="0" applyFont="1" applyFill="1" applyAlignment="1">
      <alignment horizontal="center" vertical="center"/>
    </xf>
    <xf numFmtId="0" fontId="351" fillId="73" borderId="0" xfId="0" applyFont="1" applyFill="1" applyAlignment="1">
      <alignment horizontal="left" vertical="center"/>
    </xf>
    <xf numFmtId="10" fontId="351" fillId="73" borderId="16" xfId="0" applyNumberFormat="1" applyFont="1" applyFill="1" applyBorder="1" applyAlignment="1">
      <alignment horizontal="center" vertical="center"/>
    </xf>
    <xf numFmtId="10" fontId="351" fillId="73" borderId="0" xfId="0" applyNumberFormat="1" applyFont="1" applyFill="1" applyAlignment="1">
      <alignment horizontal="center" vertical="center"/>
    </xf>
    <xf numFmtId="10" fontId="351" fillId="73" borderId="0" xfId="3" applyNumberFormat="1" applyFont="1" applyFill="1" applyBorder="1" applyAlignment="1" applyProtection="1">
      <alignment horizontal="center"/>
    </xf>
    <xf numFmtId="0" fontId="351" fillId="73" borderId="17" xfId="3" applyFont="1" applyFill="1" applyBorder="1" applyAlignment="1" applyProtection="1">
      <alignment horizontal="center" vertical="center"/>
    </xf>
    <xf numFmtId="9" fontId="351" fillId="73" borderId="16" xfId="0" applyNumberFormat="1" applyFont="1" applyFill="1" applyBorder="1" applyAlignment="1">
      <alignment horizontal="center" vertical="center"/>
    </xf>
    <xf numFmtId="173" fontId="351" fillId="73" borderId="16" xfId="1" applyNumberFormat="1" applyFont="1" applyFill="1" applyBorder="1" applyAlignment="1" applyProtection="1">
      <alignment vertical="center"/>
    </xf>
    <xf numFmtId="171" fontId="352" fillId="73" borderId="0" xfId="0" applyNumberFormat="1" applyFont="1" applyFill="1" applyAlignment="1">
      <alignment vertical="center"/>
    </xf>
    <xf numFmtId="171" fontId="351" fillId="73" borderId="3" xfId="0" applyNumberFormat="1" applyFont="1" applyFill="1" applyBorder="1" applyAlignment="1">
      <alignment horizontal="center" vertical="center"/>
    </xf>
    <xf numFmtId="9" fontId="351" fillId="73" borderId="3" xfId="2" applyFont="1" applyFill="1" applyBorder="1" applyAlignment="1">
      <alignment horizontal="center" vertical="center"/>
    </xf>
    <xf numFmtId="171" fontId="352" fillId="73" borderId="3" xfId="0" applyNumberFormat="1" applyFont="1" applyFill="1" applyBorder="1" applyAlignment="1">
      <alignment vertical="center"/>
    </xf>
    <xf numFmtId="171" fontId="352" fillId="73" borderId="0" xfId="0" applyNumberFormat="1" applyFont="1" applyFill="1" applyAlignment="1">
      <alignment horizontal="center" vertical="center"/>
    </xf>
    <xf numFmtId="172" fontId="351" fillId="73" borderId="0" xfId="0" applyNumberFormat="1" applyFont="1" applyFill="1" applyAlignment="1">
      <alignment horizontal="center" vertical="center"/>
    </xf>
    <xf numFmtId="171" fontId="352" fillId="73" borderId="4" xfId="0" applyNumberFormat="1" applyFont="1" applyFill="1" applyBorder="1" applyAlignment="1">
      <alignment horizontal="center" vertical="center"/>
    </xf>
    <xf numFmtId="9" fontId="351" fillId="73" borderId="0" xfId="2" applyFont="1" applyFill="1" applyBorder="1" applyAlignment="1" applyProtection="1">
      <alignment horizontal="center" vertical="center"/>
    </xf>
    <xf numFmtId="171" fontId="353" fillId="73" borderId="16" xfId="0" applyNumberFormat="1" applyFont="1" applyFill="1" applyBorder="1"/>
    <xf numFmtId="0" fontId="353" fillId="73" borderId="17" xfId="0" applyFont="1" applyFill="1" applyBorder="1"/>
    <xf numFmtId="0" fontId="31" fillId="3" borderId="142" xfId="0" applyFont="1" applyFill="1" applyBorder="1" applyAlignment="1">
      <alignment horizontal="center" vertical="center" wrapText="1"/>
    </xf>
    <xf numFmtId="0" fontId="30" fillId="3" borderId="143" xfId="0" applyFont="1" applyFill="1" applyBorder="1" applyAlignment="1">
      <alignment horizontal="center" vertical="center"/>
    </xf>
    <xf numFmtId="0" fontId="30" fillId="3" borderId="27" xfId="0" applyFont="1" applyFill="1" applyBorder="1" applyAlignment="1">
      <alignment horizontal="center" vertical="center"/>
    </xf>
    <xf numFmtId="0" fontId="35" fillId="3" borderId="27" xfId="0" applyFont="1" applyFill="1" applyBorder="1" applyAlignment="1">
      <alignment horizontal="left" vertical="center"/>
    </xf>
    <xf numFmtId="0" fontId="31" fillId="3" borderId="87" xfId="0" applyFont="1" applyFill="1" applyBorder="1" applyAlignment="1">
      <alignment horizontal="center" vertical="center" wrapText="1"/>
    </xf>
    <xf numFmtId="0" fontId="30" fillId="3" borderId="23" xfId="0" applyFont="1" applyFill="1" applyBorder="1" applyAlignment="1">
      <alignment horizontal="center" vertical="center"/>
    </xf>
    <xf numFmtId="0" fontId="35" fillId="3" borderId="0" xfId="0" applyFont="1" applyFill="1" applyAlignment="1">
      <alignment horizontal="left" vertical="center"/>
    </xf>
    <xf numFmtId="0" fontId="31" fillId="3" borderId="26" xfId="0" applyFont="1" applyFill="1" applyBorder="1" applyAlignment="1">
      <alignment horizontal="center" vertical="center" wrapText="1"/>
    </xf>
    <xf numFmtId="9" fontId="30" fillId="3" borderId="27" xfId="0" applyNumberFormat="1" applyFont="1" applyFill="1" applyBorder="1" applyAlignment="1">
      <alignment vertical="center"/>
    </xf>
    <xf numFmtId="0" fontId="31" fillId="3" borderId="16" xfId="0" applyFont="1" applyFill="1" applyBorder="1" applyAlignment="1">
      <alignment horizontal="center" vertical="center"/>
    </xf>
    <xf numFmtId="9" fontId="30" fillId="3" borderId="0" xfId="0" applyNumberFormat="1" applyFont="1" applyFill="1" applyAlignment="1">
      <alignment vertical="center"/>
    </xf>
    <xf numFmtId="10" fontId="30" fillId="3" borderId="26" xfId="0" applyNumberFormat="1" applyFont="1" applyFill="1" applyBorder="1" applyAlignment="1">
      <alignment horizontal="center" vertical="center"/>
    </xf>
    <xf numFmtId="9" fontId="30" fillId="3" borderId="26" xfId="0" applyNumberFormat="1" applyFont="1" applyFill="1" applyBorder="1" applyAlignment="1">
      <alignment horizontal="center" vertical="center"/>
    </xf>
    <xf numFmtId="173" fontId="30" fillId="3" borderId="26" xfId="1" applyNumberFormat="1" applyFont="1" applyFill="1" applyBorder="1" applyAlignment="1" applyProtection="1">
      <alignment vertical="center"/>
    </xf>
    <xf numFmtId="10" fontId="30" fillId="3" borderId="16" xfId="0" applyNumberFormat="1" applyFont="1" applyFill="1" applyBorder="1" applyAlignment="1">
      <alignment horizontal="center" vertical="center"/>
    </xf>
    <xf numFmtId="9" fontId="30" fillId="3" borderId="16" xfId="0" applyNumberFormat="1" applyFont="1" applyFill="1" applyBorder="1" applyAlignment="1">
      <alignment horizontal="center" vertical="center"/>
    </xf>
    <xf numFmtId="173" fontId="30" fillId="3" borderId="16" xfId="1" applyNumberFormat="1" applyFont="1" applyFill="1" applyBorder="1" applyAlignment="1" applyProtection="1">
      <alignment vertical="center"/>
    </xf>
    <xf numFmtId="9" fontId="30" fillId="3" borderId="28" xfId="0" applyNumberFormat="1" applyFont="1" applyFill="1" applyBorder="1" applyAlignment="1">
      <alignment horizontal="center" vertical="center"/>
    </xf>
    <xf numFmtId="173" fontId="30" fillId="3" borderId="28" xfId="1" applyNumberFormat="1" applyFont="1" applyFill="1" applyBorder="1" applyAlignment="1" applyProtection="1">
      <alignment vertical="center"/>
    </xf>
    <xf numFmtId="10" fontId="35" fillId="3" borderId="26" xfId="0" applyNumberFormat="1" applyFont="1" applyFill="1" applyBorder="1" applyAlignment="1">
      <alignment horizontal="center" vertical="center"/>
    </xf>
    <xf numFmtId="9" fontId="35" fillId="3" borderId="26" xfId="0" applyNumberFormat="1" applyFont="1" applyFill="1" applyBorder="1" applyAlignment="1">
      <alignment horizontal="center" vertical="center"/>
    </xf>
    <xf numFmtId="10" fontId="35" fillId="3" borderId="16" xfId="0" applyNumberFormat="1" applyFont="1" applyFill="1" applyBorder="1" applyAlignment="1">
      <alignment horizontal="center" vertical="center"/>
    </xf>
    <xf numFmtId="10" fontId="30" fillId="3" borderId="27" xfId="0" applyNumberFormat="1" applyFont="1" applyFill="1" applyBorder="1" applyAlignment="1">
      <alignment horizontal="center" vertical="center"/>
    </xf>
    <xf numFmtId="10" fontId="30" fillId="3" borderId="0" xfId="0" applyNumberFormat="1" applyFont="1" applyFill="1" applyAlignment="1">
      <alignment horizontal="center" vertical="center"/>
    </xf>
    <xf numFmtId="10" fontId="35" fillId="3" borderId="28" xfId="0" applyNumberFormat="1" applyFont="1" applyFill="1" applyBorder="1" applyAlignment="1">
      <alignment horizontal="center" vertical="center"/>
    </xf>
    <xf numFmtId="9" fontId="25" fillId="0" borderId="27" xfId="0" applyNumberFormat="1" applyFont="1" applyBorder="1" applyAlignment="1">
      <alignment horizontal="center" vertical="center"/>
    </xf>
    <xf numFmtId="9" fontId="25" fillId="54" borderId="18" xfId="0" applyNumberFormat="1" applyFont="1" applyFill="1" applyBorder="1" applyAlignment="1">
      <alignment horizontal="center" vertical="center"/>
    </xf>
    <xf numFmtId="9" fontId="25" fillId="54" borderId="17" xfId="2" applyFont="1" applyFill="1" applyBorder="1" applyAlignment="1">
      <alignment horizontal="center" vertical="center"/>
    </xf>
    <xf numFmtId="9" fontId="25" fillId="0" borderId="16" xfId="0" applyNumberFormat="1" applyFont="1" applyBorder="1"/>
    <xf numFmtId="9" fontId="39" fillId="54" borderId="17" xfId="2" applyFont="1" applyFill="1" applyBorder="1" applyAlignment="1">
      <alignment horizontal="center" vertical="center"/>
    </xf>
    <xf numFmtId="9" fontId="25" fillId="0" borderId="28" xfId="0" applyNumberFormat="1" applyFont="1" applyBorder="1"/>
    <xf numFmtId="9" fontId="39" fillId="0" borderId="22" xfId="0" applyNumberFormat="1" applyFont="1" applyBorder="1" applyAlignment="1">
      <alignment horizontal="center" vertical="center"/>
    </xf>
    <xf numFmtId="9" fontId="39" fillId="25" borderId="22" xfId="0" applyNumberFormat="1" applyFont="1" applyFill="1" applyBorder="1" applyAlignment="1">
      <alignment horizontal="center" vertical="center"/>
    </xf>
    <xf numFmtId="9" fontId="39" fillId="54" borderId="19" xfId="2" applyFont="1" applyFill="1" applyBorder="1" applyAlignment="1">
      <alignment horizontal="center" vertical="center"/>
    </xf>
    <xf numFmtId="0" fontId="350" fillId="3" borderId="0" xfId="0" applyFont="1" applyFill="1" applyAlignment="1">
      <alignment vertical="top" wrapText="1"/>
    </xf>
    <xf numFmtId="0" fontId="351" fillId="3" borderId="0" xfId="0" applyFont="1" applyFill="1" applyAlignment="1">
      <alignment horizontal="center" vertical="center"/>
    </xf>
    <xf numFmtId="0" fontId="30" fillId="3" borderId="0" xfId="0" applyFont="1" applyFill="1"/>
    <xf numFmtId="10" fontId="35" fillId="3" borderId="27" xfId="0" applyNumberFormat="1" applyFont="1" applyFill="1" applyBorder="1" applyAlignment="1">
      <alignment horizontal="center" vertical="center"/>
    </xf>
    <xf numFmtId="0" fontId="35" fillId="3" borderId="0" xfId="0" applyFont="1" applyFill="1" applyAlignment="1">
      <alignment horizontal="center" vertical="center"/>
    </xf>
    <xf numFmtId="0" fontId="35" fillId="3" borderId="27" xfId="0" applyFont="1" applyFill="1" applyBorder="1" applyAlignment="1">
      <alignment horizontal="center" vertical="center"/>
    </xf>
    <xf numFmtId="9" fontId="30" fillId="3" borderId="27" xfId="0" applyNumberFormat="1" applyFont="1" applyFill="1" applyBorder="1" applyAlignment="1">
      <alignment horizontal="center" vertical="center"/>
    </xf>
    <xf numFmtId="9" fontId="30" fillId="3" borderId="0" xfId="0" applyNumberFormat="1" applyFont="1" applyFill="1" applyAlignment="1">
      <alignment horizontal="center" vertical="center"/>
    </xf>
    <xf numFmtId="9" fontId="30" fillId="25" borderId="160" xfId="0" applyNumberFormat="1" applyFont="1" applyFill="1" applyBorder="1" applyAlignment="1">
      <alignment horizontal="center" vertical="center"/>
    </xf>
    <xf numFmtId="171" fontId="151" fillId="3" borderId="125" xfId="0" applyNumberFormat="1" applyFont="1" applyFill="1" applyBorder="1" applyAlignment="1">
      <alignment horizontal="center" vertical="center"/>
    </xf>
    <xf numFmtId="9" fontId="151" fillId="3" borderId="125" xfId="2" applyFont="1" applyFill="1" applyBorder="1" applyAlignment="1">
      <alignment horizontal="center" vertical="center"/>
    </xf>
    <xf numFmtId="171" fontId="148" fillId="3" borderId="125" xfId="0" applyNumberFormat="1" applyFont="1" applyFill="1" applyBorder="1" applyAlignment="1">
      <alignment vertical="center"/>
    </xf>
    <xf numFmtId="171" fontId="31" fillId="3" borderId="27" xfId="0" applyNumberFormat="1" applyFont="1" applyFill="1" applyBorder="1" applyAlignment="1">
      <alignment horizontal="center" vertical="center"/>
    </xf>
    <xf numFmtId="172" fontId="30" fillId="3" borderId="27" xfId="0" applyNumberFormat="1" applyFont="1" applyFill="1" applyBorder="1" applyAlignment="1">
      <alignment horizontal="center" vertical="center"/>
    </xf>
    <xf numFmtId="171" fontId="31" fillId="3" borderId="124" xfId="0" applyNumberFormat="1" applyFont="1" applyFill="1" applyBorder="1" applyAlignment="1">
      <alignment horizontal="center" vertical="center"/>
    </xf>
    <xf numFmtId="9" fontId="141" fillId="3" borderId="27" xfId="2" applyFont="1" applyFill="1" applyBorder="1" applyAlignment="1" applyProtection="1">
      <alignment horizontal="center" vertical="center"/>
    </xf>
    <xf numFmtId="171" fontId="151" fillId="3" borderId="3" xfId="0" applyNumberFormat="1" applyFont="1" applyFill="1" applyBorder="1" applyAlignment="1">
      <alignment horizontal="center" vertical="center"/>
    </xf>
    <xf numFmtId="9" fontId="151" fillId="3" borderId="3" xfId="2" applyFont="1" applyFill="1" applyBorder="1" applyAlignment="1">
      <alignment horizontal="center" vertical="center"/>
    </xf>
    <xf numFmtId="171" fontId="148" fillId="3" borderId="3" xfId="0" applyNumberFormat="1" applyFont="1" applyFill="1" applyBorder="1" applyAlignment="1">
      <alignment vertical="center"/>
    </xf>
    <xf numFmtId="171" fontId="31" fillId="3" borderId="0" xfId="0" applyNumberFormat="1" applyFont="1" applyFill="1" applyAlignment="1">
      <alignment horizontal="center" vertical="center"/>
    </xf>
    <xf numFmtId="172" fontId="30" fillId="3" borderId="0" xfId="0" applyNumberFormat="1" applyFont="1" applyFill="1" applyAlignment="1">
      <alignment horizontal="center" vertical="center"/>
    </xf>
    <xf numFmtId="171" fontId="31" fillId="3" borderId="4" xfId="0" applyNumberFormat="1" applyFont="1" applyFill="1" applyBorder="1" applyAlignment="1">
      <alignment horizontal="center" vertical="center"/>
    </xf>
    <xf numFmtId="9" fontId="141" fillId="3" borderId="0" xfId="2" applyFont="1" applyFill="1" applyBorder="1" applyAlignment="1" applyProtection="1">
      <alignment horizontal="center" vertical="center"/>
    </xf>
    <xf numFmtId="171" fontId="151" fillId="3" borderId="122" xfId="0" applyNumberFormat="1" applyFont="1" applyFill="1" applyBorder="1" applyAlignment="1">
      <alignment horizontal="center" vertical="center"/>
    </xf>
    <xf numFmtId="9" fontId="151" fillId="3" borderId="122" xfId="2" applyFont="1" applyFill="1" applyBorder="1" applyAlignment="1">
      <alignment horizontal="center" vertical="center"/>
    </xf>
    <xf numFmtId="171" fontId="148" fillId="3" borderId="122" xfId="0" applyNumberFormat="1" applyFont="1" applyFill="1" applyBorder="1" applyAlignment="1">
      <alignment vertical="center"/>
    </xf>
    <xf numFmtId="171" fontId="31" fillId="3" borderId="22" xfId="0" applyNumberFormat="1" applyFont="1" applyFill="1" applyBorder="1" applyAlignment="1">
      <alignment horizontal="center" vertical="center"/>
    </xf>
    <xf numFmtId="172" fontId="30" fillId="3" borderId="22" xfId="0" applyNumberFormat="1" applyFont="1" applyFill="1" applyBorder="1" applyAlignment="1">
      <alignment horizontal="center" vertical="center"/>
    </xf>
    <xf numFmtId="171" fontId="31" fillId="3" borderId="123" xfId="0" applyNumberFormat="1" applyFont="1" applyFill="1" applyBorder="1" applyAlignment="1">
      <alignment horizontal="center" vertical="center"/>
    </xf>
    <xf numFmtId="9" fontId="141" fillId="3" borderId="22" xfId="2" applyFont="1" applyFill="1" applyBorder="1" applyAlignment="1" applyProtection="1">
      <alignment horizontal="center" vertical="center"/>
    </xf>
    <xf numFmtId="171" fontId="31" fillId="25" borderId="277" xfId="0" applyNumberFormat="1" applyFont="1" applyFill="1" applyBorder="1" applyAlignment="1">
      <alignment horizontal="center" vertical="center"/>
    </xf>
    <xf numFmtId="10" fontId="35" fillId="25" borderId="278" xfId="3" applyNumberFormat="1" applyFont="1" applyFill="1" applyBorder="1" applyAlignment="1" applyProtection="1">
      <alignment horizontal="center" vertical="center"/>
    </xf>
    <xf numFmtId="9" fontId="35" fillId="25" borderId="278" xfId="0" applyNumberFormat="1" applyFont="1" applyFill="1" applyBorder="1" applyAlignment="1">
      <alignment horizontal="center" vertical="center"/>
    </xf>
    <xf numFmtId="173" fontId="30" fillId="25" borderId="278" xfId="1" applyNumberFormat="1" applyFont="1" applyFill="1" applyBorder="1" applyAlignment="1" applyProtection="1">
      <alignment vertical="center"/>
    </xf>
    <xf numFmtId="171" fontId="31" fillId="25" borderId="279" xfId="0" applyNumberFormat="1" applyFont="1" applyFill="1" applyBorder="1" applyAlignment="1">
      <alignment vertical="center"/>
    </xf>
    <xf numFmtId="171" fontId="151" fillId="25" borderId="280" xfId="0" applyNumberFormat="1" applyFont="1" applyFill="1" applyBorder="1" applyAlignment="1">
      <alignment horizontal="center" vertical="center"/>
    </xf>
    <xf numFmtId="9" fontId="151" fillId="25" borderId="280" xfId="2" applyFont="1" applyFill="1" applyBorder="1" applyAlignment="1">
      <alignment horizontal="center" vertical="center"/>
    </xf>
    <xf numFmtId="171" fontId="148" fillId="25" borderId="280" xfId="0" applyNumberFormat="1" applyFont="1" applyFill="1" applyBorder="1" applyAlignment="1">
      <alignment vertical="center"/>
    </xf>
    <xf numFmtId="171" fontId="31" fillId="25" borderId="279" xfId="0" applyNumberFormat="1" applyFont="1" applyFill="1" applyBorder="1" applyAlignment="1">
      <alignment horizontal="center" vertical="center"/>
    </xf>
    <xf numFmtId="172" fontId="30" fillId="25" borderId="279" xfId="0" applyNumberFormat="1" applyFont="1" applyFill="1" applyBorder="1" applyAlignment="1">
      <alignment horizontal="center" vertical="center"/>
    </xf>
    <xf numFmtId="171" fontId="31" fillId="3" borderId="18" xfId="0" applyNumberFormat="1" applyFont="1" applyFill="1" applyBorder="1" applyAlignment="1">
      <alignment horizontal="center" vertical="center"/>
    </xf>
    <xf numFmtId="9" fontId="35" fillId="3" borderId="28" xfId="0" applyNumberFormat="1" applyFont="1" applyFill="1" applyBorder="1" applyAlignment="1">
      <alignment horizontal="center" vertical="center"/>
    </xf>
    <xf numFmtId="171" fontId="31" fillId="3" borderId="19" xfId="0" applyNumberFormat="1" applyFont="1" applyFill="1" applyBorder="1" applyAlignment="1">
      <alignment horizontal="center" vertical="center"/>
    </xf>
    <xf numFmtId="171" fontId="62" fillId="73" borderId="26" xfId="0" applyNumberFormat="1" applyFont="1" applyFill="1" applyBorder="1" applyAlignment="1">
      <alignment horizontal="center" vertical="center"/>
    </xf>
    <xf numFmtId="0" fontId="25" fillId="73" borderId="18" xfId="0" applyFont="1" applyFill="1" applyBorder="1"/>
    <xf numFmtId="171" fontId="152" fillId="25" borderId="281" xfId="0" applyNumberFormat="1" applyFont="1" applyFill="1" applyBorder="1"/>
    <xf numFmtId="171" fontId="62" fillId="73" borderId="16" xfId="0" applyNumberFormat="1" applyFont="1" applyFill="1" applyBorder="1" applyAlignment="1">
      <alignment horizontal="center" vertical="center"/>
    </xf>
    <xf numFmtId="0" fontId="25" fillId="67" borderId="17" xfId="0" applyFont="1" applyFill="1" applyBorder="1"/>
    <xf numFmtId="171" fontId="152" fillId="25" borderId="86" xfId="0" applyNumberFormat="1" applyFont="1" applyFill="1" applyBorder="1" applyAlignment="1">
      <alignment horizontal="center" vertical="center"/>
    </xf>
    <xf numFmtId="0" fontId="25" fillId="25" borderId="76" xfId="0" applyFont="1" applyFill="1" applyBorder="1"/>
    <xf numFmtId="0" fontId="40" fillId="3" borderId="0" xfId="0" applyFont="1" applyFill="1" applyAlignment="1">
      <alignment horizontal="left" vertical="center"/>
    </xf>
    <xf numFmtId="0" fontId="25" fillId="3" borderId="0" xfId="0" applyFont="1" applyFill="1" applyAlignment="1">
      <alignment horizontal="center" vertical="top"/>
    </xf>
    <xf numFmtId="0" fontId="31" fillId="3" borderId="0" xfId="0" applyFont="1" applyFill="1"/>
    <xf numFmtId="0" fontId="31" fillId="3" borderId="0" xfId="0" applyFont="1" applyFill="1" applyAlignment="1">
      <alignment horizontal="center"/>
    </xf>
    <xf numFmtId="0" fontId="33" fillId="3" borderId="0" xfId="0" applyFont="1" applyFill="1"/>
    <xf numFmtId="0" fontId="148" fillId="3" borderId="0" xfId="0" applyFont="1" applyFill="1"/>
    <xf numFmtId="0" fontId="31" fillId="3" borderId="0" xfId="0" applyFont="1" applyFill="1" applyAlignment="1">
      <alignment horizontal="center" vertical="center"/>
    </xf>
    <xf numFmtId="172" fontId="31" fillId="3" borderId="0" xfId="0" applyNumberFormat="1" applyFont="1" applyFill="1"/>
    <xf numFmtId="10" fontId="31" fillId="3" borderId="0" xfId="0" applyNumberFormat="1" applyFont="1" applyFill="1"/>
    <xf numFmtId="171" fontId="33" fillId="3" borderId="0" xfId="0" applyNumberFormat="1" applyFont="1" applyFill="1"/>
    <xf numFmtId="0" fontId="31" fillId="0" borderId="2" xfId="0" applyFont="1" applyBorder="1" applyAlignment="1">
      <alignment horizontal="center" vertical="center" wrapText="1"/>
    </xf>
    <xf numFmtId="0" fontId="33" fillId="9" borderId="2" xfId="0" applyFont="1" applyFill="1" applyBorder="1" applyAlignment="1">
      <alignment horizontal="center" vertical="center" wrapText="1"/>
    </xf>
    <xf numFmtId="0" fontId="149" fillId="0" borderId="2" xfId="0" applyFont="1" applyBorder="1" applyAlignment="1">
      <alignment horizontal="center" vertical="center" wrapText="1"/>
    </xf>
    <xf numFmtId="0" fontId="25" fillId="0" borderId="2" xfId="0" applyFont="1" applyBorder="1" applyAlignment="1">
      <alignment horizontal="center" vertical="center" wrapText="1"/>
    </xf>
    <xf numFmtId="0" fontId="60" fillId="3" borderId="0" xfId="0" applyFont="1" applyFill="1" applyAlignment="1">
      <alignment horizontal="right"/>
    </xf>
    <xf numFmtId="0" fontId="149" fillId="3" borderId="0" xfId="0" applyFont="1" applyFill="1" applyAlignment="1">
      <alignment horizontal="center" vertical="top" wrapText="1"/>
    </xf>
    <xf numFmtId="0" fontId="31" fillId="3" borderId="0" xfId="0" applyFont="1" applyFill="1" applyAlignment="1">
      <alignment horizontal="center" vertical="top" wrapText="1"/>
    </xf>
    <xf numFmtId="0" fontId="40" fillId="3" borderId="0" xfId="0" applyFont="1" applyFill="1" applyAlignment="1">
      <alignment vertical="center"/>
    </xf>
    <xf numFmtId="0" fontId="36" fillId="3" borderId="0" xfId="0" applyFont="1" applyFill="1" applyAlignment="1">
      <alignment horizontal="center" vertical="center"/>
    </xf>
    <xf numFmtId="0" fontId="40" fillId="20" borderId="26" xfId="0" applyFont="1" applyFill="1" applyBorder="1" applyAlignment="1">
      <alignment horizontal="center" vertical="center"/>
    </xf>
    <xf numFmtId="0" fontId="25" fillId="40" borderId="0" xfId="0" applyFont="1" applyFill="1"/>
    <xf numFmtId="0" fontId="55" fillId="40" borderId="0" xfId="7" applyFont="1" applyFill="1" applyBorder="1"/>
    <xf numFmtId="10" fontId="25" fillId="22" borderId="17" xfId="0" applyNumberFormat="1" applyFont="1" applyFill="1" applyBorder="1" applyAlignment="1">
      <alignment horizontal="center" vertical="center"/>
    </xf>
    <xf numFmtId="10" fontId="25" fillId="22" borderId="22" xfId="2" applyNumberFormat="1" applyFont="1" applyFill="1" applyBorder="1" applyAlignment="1">
      <alignment horizontal="center" vertical="center"/>
    </xf>
    <xf numFmtId="10" fontId="25" fillId="22" borderId="19" xfId="2" applyNumberFormat="1" applyFont="1" applyFill="1" applyBorder="1" applyAlignment="1">
      <alignment horizontal="center" vertical="center"/>
    </xf>
    <xf numFmtId="0" fontId="26" fillId="0" borderId="2" xfId="0" applyFont="1" applyBorder="1"/>
    <xf numFmtId="0" fontId="25" fillId="0" borderId="2" xfId="0" applyFont="1" applyBorder="1"/>
    <xf numFmtId="0" fontId="0" fillId="0" borderId="2" xfId="0" applyBorder="1" applyAlignment="1">
      <alignment horizontal="right"/>
    </xf>
    <xf numFmtId="0" fontId="39" fillId="0" borderId="2" xfId="0" applyFont="1" applyBorder="1"/>
    <xf numFmtId="10" fontId="25" fillId="0" borderId="2" xfId="0" applyNumberFormat="1" applyFont="1" applyBorder="1"/>
    <xf numFmtId="172" fontId="25" fillId="0" borderId="2" xfId="0" applyNumberFormat="1" applyFont="1" applyBorder="1"/>
    <xf numFmtId="171" fontId="25" fillId="0" borderId="2" xfId="0" applyNumberFormat="1" applyFont="1" applyBorder="1"/>
    <xf numFmtId="0" fontId="25" fillId="0" borderId="2" xfId="0" applyFont="1" applyBorder="1" applyAlignment="1">
      <alignment wrapText="1"/>
    </xf>
    <xf numFmtId="0" fontId="39" fillId="0" borderId="2" xfId="0" applyFont="1" applyBorder="1" applyAlignment="1">
      <alignment wrapText="1"/>
    </xf>
    <xf numFmtId="10" fontId="39" fillId="0" borderId="2" xfId="0" applyNumberFormat="1" applyFont="1" applyBorder="1"/>
    <xf numFmtId="172" fontId="39" fillId="0" borderId="2" xfId="0" applyNumberFormat="1" applyFont="1" applyBorder="1"/>
    <xf numFmtId="171" fontId="39" fillId="0" borderId="2" xfId="0" applyNumberFormat="1" applyFont="1" applyBorder="1"/>
    <xf numFmtId="172" fontId="30" fillId="25" borderId="160" xfId="0" applyNumberFormat="1" applyFont="1" applyFill="1" applyBorder="1" applyAlignment="1">
      <alignment horizontal="center" vertical="center"/>
    </xf>
    <xf numFmtId="173" fontId="25" fillId="0" borderId="17" xfId="0" applyNumberFormat="1" applyFont="1" applyBorder="1"/>
    <xf numFmtId="0" fontId="37" fillId="9" borderId="0" xfId="0" applyFont="1" applyFill="1" applyAlignment="1">
      <alignment horizontal="left" vertical="center" wrapText="1"/>
    </xf>
    <xf numFmtId="171" fontId="168" fillId="0" borderId="3" xfId="0" applyNumberFormat="1" applyFont="1" applyBorder="1" applyAlignment="1">
      <alignment horizontal="center" vertical="center"/>
    </xf>
    <xf numFmtId="171" fontId="168" fillId="0" borderId="4" xfId="0" applyNumberFormat="1" applyFont="1" applyBorder="1" applyAlignment="1">
      <alignment horizontal="center" vertical="center"/>
    </xf>
    <xf numFmtId="0" fontId="180" fillId="0" borderId="0" xfId="0" applyFont="1" applyAlignment="1">
      <alignment vertical="center"/>
    </xf>
    <xf numFmtId="0" fontId="188" fillId="0" borderId="0" xfId="0" applyFont="1" applyAlignment="1">
      <alignment horizontal="right" indent="1"/>
    </xf>
    <xf numFmtId="0" fontId="188" fillId="0" borderId="22" xfId="0" applyFont="1" applyBorder="1"/>
    <xf numFmtId="0" fontId="180" fillId="0" borderId="22" xfId="0" applyFont="1" applyBorder="1" applyAlignment="1">
      <alignment vertical="center"/>
    </xf>
    <xf numFmtId="0" fontId="188" fillId="0" borderId="22" xfId="0" applyFont="1" applyBorder="1" applyAlignment="1">
      <alignment horizontal="right" indent="1"/>
    </xf>
    <xf numFmtId="0" fontId="134" fillId="23" borderId="27" xfId="0" applyFont="1" applyFill="1" applyBorder="1" applyAlignment="1">
      <alignment horizontal="center" wrapText="1"/>
    </xf>
    <xf numFmtId="0" fontId="39" fillId="0" borderId="9" xfId="0" applyFont="1" applyBorder="1" applyAlignment="1">
      <alignment horizontal="left" vertical="center"/>
    </xf>
    <xf numFmtId="0" fontId="39" fillId="0" borderId="129" xfId="0" applyFont="1" applyBorder="1" applyAlignment="1">
      <alignment horizontal="left" vertical="center"/>
    </xf>
    <xf numFmtId="9" fontId="39" fillId="0" borderId="38" xfId="0" applyNumberFormat="1" applyFont="1" applyBorder="1" applyAlignment="1">
      <alignment horizontal="left" vertical="center"/>
    </xf>
    <xf numFmtId="0" fontId="134" fillId="82" borderId="27" xfId="0" applyFont="1" applyFill="1" applyBorder="1" applyAlignment="1">
      <alignment horizontal="center" wrapText="1"/>
    </xf>
    <xf numFmtId="0" fontId="134" fillId="83" borderId="27" xfId="0" applyFont="1" applyFill="1" applyBorder="1" applyAlignment="1">
      <alignment horizontal="center" wrapText="1"/>
    </xf>
    <xf numFmtId="0" fontId="312" fillId="0" borderId="17" xfId="0" applyFont="1" applyBorder="1" applyAlignment="1">
      <alignment horizontal="left" vertical="center" wrapText="1"/>
    </xf>
    <xf numFmtId="0" fontId="32" fillId="0" borderId="17" xfId="0" applyFont="1" applyBorder="1"/>
    <xf numFmtId="0" fontId="312" fillId="61" borderId="41" xfId="0" applyFont="1" applyFill="1" applyBorder="1" applyAlignment="1">
      <alignment horizontal="left" vertical="center" wrapText="1"/>
    </xf>
    <xf numFmtId="0" fontId="353" fillId="3" borderId="0" xfId="0" applyFont="1" applyFill="1"/>
    <xf numFmtId="0" fontId="2" fillId="0" borderId="22" xfId="0" applyFont="1" applyBorder="1" applyAlignment="1">
      <alignment vertical="center"/>
    </xf>
    <xf numFmtId="9" fontId="25" fillId="0" borderId="0" xfId="0" applyNumberFormat="1" applyFont="1" applyAlignment="1">
      <alignment horizontal="center" vertical="center"/>
    </xf>
    <xf numFmtId="9" fontId="39" fillId="0" borderId="0" xfId="0" applyNumberFormat="1" applyFont="1" applyAlignment="1">
      <alignment horizontal="center" vertical="center"/>
    </xf>
    <xf numFmtId="0" fontId="38" fillId="77" borderId="34" xfId="0" applyFont="1" applyFill="1" applyBorder="1" applyAlignment="1">
      <alignment horizontal="left" vertical="center" wrapText="1"/>
    </xf>
    <xf numFmtId="0" fontId="38" fillId="77" borderId="33" xfId="0" applyFont="1" applyFill="1" applyBorder="1" applyAlignment="1">
      <alignment horizontal="left" vertical="center" wrapText="1"/>
    </xf>
    <xf numFmtId="0" fontId="58" fillId="3" borderId="0" xfId="0" applyFont="1" applyFill="1" applyAlignment="1">
      <alignment horizontal="center" vertical="center" textRotation="90"/>
    </xf>
    <xf numFmtId="0" fontId="25" fillId="3" borderId="16" xfId="0" applyFont="1" applyFill="1" applyBorder="1"/>
    <xf numFmtId="9" fontId="25" fillId="3" borderId="0" xfId="0" applyNumberFormat="1" applyFont="1" applyFill="1" applyAlignment="1">
      <alignment horizontal="center" vertical="center"/>
    </xf>
    <xf numFmtId="0" fontId="25" fillId="3" borderId="17" xfId="0" applyFont="1" applyFill="1" applyBorder="1" applyAlignment="1">
      <alignment horizontal="center" vertical="center"/>
    </xf>
    <xf numFmtId="0" fontId="136" fillId="3" borderId="26" xfId="0" applyFont="1" applyFill="1" applyBorder="1"/>
    <xf numFmtId="0" fontId="25" fillId="3" borderId="27" xfId="0" applyFont="1" applyFill="1" applyBorder="1"/>
    <xf numFmtId="0" fontId="25" fillId="3" borderId="27" xfId="0" applyFont="1" applyFill="1" applyBorder="1" applyAlignment="1">
      <alignment horizontal="left" vertical="center"/>
    </xf>
    <xf numFmtId="0" fontId="25" fillId="3" borderId="27" xfId="0" applyFont="1" applyFill="1" applyBorder="1" applyAlignment="1">
      <alignment horizontal="center" vertical="center"/>
    </xf>
    <xf numFmtId="0" fontId="26" fillId="64" borderId="268" xfId="0" applyFont="1" applyFill="1" applyBorder="1" applyAlignment="1">
      <alignment horizontal="center" vertical="center"/>
    </xf>
    <xf numFmtId="0" fontId="26" fillId="64" borderId="269" xfId="0" applyFont="1" applyFill="1" applyBorder="1" applyAlignment="1">
      <alignment horizontal="center" vertical="center"/>
    </xf>
    <xf numFmtId="1" fontId="25" fillId="3" borderId="0" xfId="0" applyNumberFormat="1" applyFont="1" applyFill="1" applyAlignment="1">
      <alignment horizontal="left" vertical="center"/>
    </xf>
    <xf numFmtId="0" fontId="25" fillId="3" borderId="17" xfId="0" applyFont="1" applyFill="1" applyBorder="1"/>
    <xf numFmtId="0" fontId="25" fillId="3" borderId="17" xfId="0" applyFont="1" applyFill="1" applyBorder="1" applyAlignment="1">
      <alignment horizontal="center" vertical="center" wrapText="1"/>
    </xf>
    <xf numFmtId="0" fontId="136" fillId="3" borderId="16" xfId="0" applyFont="1" applyFill="1" applyBorder="1"/>
    <xf numFmtId="0" fontId="118" fillId="3" borderId="0" xfId="0" applyFont="1" applyFill="1" applyAlignment="1">
      <alignment horizontal="right" indent="2"/>
    </xf>
    <xf numFmtId="0" fontId="118" fillId="3" borderId="0" xfId="0" applyFont="1" applyFill="1" applyAlignment="1">
      <alignment horizontal="left" indent="2"/>
    </xf>
    <xf numFmtId="0" fontId="25" fillId="3" borderId="28" xfId="0" applyFont="1" applyFill="1" applyBorder="1"/>
    <xf numFmtId="0" fontId="25" fillId="3" borderId="22" xfId="0" applyFont="1" applyFill="1" applyBorder="1"/>
    <xf numFmtId="0" fontId="25" fillId="3" borderId="19" xfId="0" applyFont="1" applyFill="1" applyBorder="1"/>
    <xf numFmtId="0" fontId="26" fillId="64" borderId="127" xfId="0" applyFont="1" applyFill="1" applyBorder="1" applyAlignment="1">
      <alignment horizontal="center" vertical="center"/>
    </xf>
    <xf numFmtId="0" fontId="62" fillId="9" borderId="0" xfId="0" applyFont="1" applyFill="1" applyAlignment="1">
      <alignment horizontal="left" vertical="center"/>
    </xf>
    <xf numFmtId="0" fontId="39" fillId="3" borderId="0" xfId="0" applyFont="1" applyFill="1"/>
    <xf numFmtId="0" fontId="62" fillId="9" borderId="0" xfId="0" applyFont="1" applyFill="1"/>
    <xf numFmtId="0" fontId="25" fillId="72" borderId="0" xfId="0" applyFont="1" applyFill="1" applyAlignment="1">
      <alignment horizontal="center" vertical="center"/>
    </xf>
    <xf numFmtId="9" fontId="39" fillId="3" borderId="0" xfId="0" applyNumberFormat="1" applyFont="1" applyFill="1"/>
    <xf numFmtId="9" fontId="39" fillId="3" borderId="17" xfId="2" applyFont="1" applyFill="1" applyBorder="1"/>
    <xf numFmtId="0" fontId="39" fillId="3" borderId="17" xfId="0" applyFont="1" applyFill="1" applyBorder="1"/>
    <xf numFmtId="0" fontId="25" fillId="3" borderId="0" xfId="0" quotePrefix="1" applyFont="1" applyFill="1" applyAlignment="1">
      <alignment horizontal="center" vertical="center"/>
    </xf>
    <xf numFmtId="0" fontId="25" fillId="72" borderId="0" xfId="0" applyFont="1" applyFill="1"/>
    <xf numFmtId="0" fontId="64" fillId="3" borderId="0" xfId="0" applyFont="1" applyFill="1" applyAlignment="1">
      <alignment vertical="center"/>
    </xf>
    <xf numFmtId="0" fontId="25" fillId="3" borderId="22" xfId="0" applyFont="1" applyFill="1" applyBorder="1" applyAlignment="1">
      <alignment horizontal="center" vertical="center"/>
    </xf>
    <xf numFmtId="0" fontId="357" fillId="3" borderId="0" xfId="0" applyFont="1" applyFill="1" applyAlignment="1">
      <alignment vertical="center"/>
    </xf>
    <xf numFmtId="0" fontId="57" fillId="15" borderId="0" xfId="0" applyFont="1" applyFill="1" applyAlignment="1">
      <alignment horizontal="center"/>
    </xf>
    <xf numFmtId="0" fontId="39" fillId="19" borderId="0" xfId="0" applyFont="1" applyFill="1"/>
    <xf numFmtId="173" fontId="39" fillId="0" borderId="17" xfId="1" applyNumberFormat="1" applyFont="1" applyFill="1" applyBorder="1" applyAlignment="1">
      <alignment horizontal="left" vertical="center"/>
    </xf>
    <xf numFmtId="173" fontId="39" fillId="9" borderId="17" xfId="1" applyNumberFormat="1" applyFont="1" applyFill="1" applyBorder="1" applyAlignment="1">
      <alignment horizontal="left" vertical="center"/>
    </xf>
    <xf numFmtId="10" fontId="207" fillId="3" borderId="0" xfId="0" applyNumberFormat="1" applyFont="1" applyFill="1" applyAlignment="1">
      <alignment horizontal="right" vertical="top"/>
    </xf>
    <xf numFmtId="10" fontId="207" fillId="3" borderId="0" xfId="0" applyNumberFormat="1" applyFont="1" applyFill="1" applyAlignment="1">
      <alignment horizontal="right"/>
    </xf>
    <xf numFmtId="0" fontId="238" fillId="3" borderId="0" xfId="0" applyFont="1" applyFill="1"/>
    <xf numFmtId="0" fontId="250" fillId="3" borderId="0" xfId="0" applyFont="1" applyFill="1" applyAlignment="1">
      <alignment vertical="center"/>
    </xf>
    <xf numFmtId="0" fontId="227" fillId="3" borderId="0" xfId="0" applyFont="1" applyFill="1"/>
    <xf numFmtId="0" fontId="358" fillId="3" borderId="0" xfId="0" applyFont="1" applyFill="1" applyAlignment="1">
      <alignment vertical="top"/>
    </xf>
    <xf numFmtId="0" fontId="0" fillId="3" borderId="19" xfId="0" applyFill="1" applyBorder="1" applyAlignment="1">
      <alignment vertical="center"/>
    </xf>
    <xf numFmtId="0" fontId="8" fillId="3" borderId="22" xfId="0" applyFont="1" applyFill="1" applyBorder="1" applyAlignment="1">
      <alignment horizontal="center" vertical="center"/>
    </xf>
    <xf numFmtId="0" fontId="0" fillId="3" borderId="22" xfId="0" applyFill="1" applyBorder="1" applyAlignment="1">
      <alignment vertical="center"/>
    </xf>
    <xf numFmtId="0" fontId="0" fillId="3" borderId="28" xfId="0" applyFill="1" applyBorder="1" applyAlignment="1">
      <alignment horizontal="right" vertical="center"/>
    </xf>
    <xf numFmtId="0" fontId="161" fillId="3" borderId="0" xfId="0" applyFont="1" applyFill="1" applyAlignment="1">
      <alignment horizontal="left" vertical="center" indent="1"/>
    </xf>
    <xf numFmtId="192" fontId="4" fillId="3" borderId="17" xfId="0" applyNumberFormat="1" applyFont="1" applyFill="1" applyBorder="1" applyAlignment="1">
      <alignment vertical="center"/>
    </xf>
    <xf numFmtId="192" fontId="4" fillId="22" borderId="83" xfId="0" applyNumberFormat="1" applyFont="1" applyFill="1" applyBorder="1" applyAlignment="1">
      <alignment vertical="center"/>
    </xf>
    <xf numFmtId="192" fontId="4" fillId="3" borderId="0" xfId="0" applyNumberFormat="1" applyFont="1" applyFill="1" applyAlignment="1">
      <alignment vertical="center"/>
    </xf>
    <xf numFmtId="192" fontId="4" fillId="3" borderId="83" xfId="0" applyNumberFormat="1" applyFont="1" applyFill="1" applyBorder="1" applyAlignment="1">
      <alignment vertical="center"/>
    </xf>
    <xf numFmtId="192" fontId="4" fillId="0" borderId="0" xfId="0" applyNumberFormat="1" applyFont="1" applyAlignment="1">
      <alignment vertical="center"/>
    </xf>
    <xf numFmtId="0" fontId="9" fillId="3" borderId="16" xfId="0" applyFont="1" applyFill="1" applyBorder="1" applyAlignment="1">
      <alignment vertical="center"/>
    </xf>
    <xf numFmtId="192" fontId="0" fillId="3" borderId="17" xfId="0" applyNumberFormat="1" applyFill="1" applyBorder="1" applyAlignment="1">
      <alignment vertical="center"/>
    </xf>
    <xf numFmtId="192" fontId="0" fillId="3" borderId="0" xfId="0" applyNumberFormat="1" applyFill="1" applyAlignment="1">
      <alignment vertical="center"/>
    </xf>
    <xf numFmtId="0" fontId="180" fillId="3" borderId="0" xfId="0" applyFont="1" applyFill="1" applyAlignment="1">
      <alignment vertical="center"/>
    </xf>
    <xf numFmtId="0" fontId="4" fillId="3" borderId="16" xfId="0" applyFont="1" applyFill="1" applyBorder="1" applyAlignment="1">
      <alignment horizontal="left" vertical="center" indent="1"/>
    </xf>
    <xf numFmtId="192" fontId="0" fillId="3" borderId="50" xfId="0" applyNumberFormat="1" applyFill="1" applyBorder="1" applyAlignment="1">
      <alignment vertical="center"/>
    </xf>
    <xf numFmtId="192" fontId="0" fillId="3" borderId="6" xfId="0" applyNumberFormat="1" applyFill="1" applyBorder="1" applyAlignment="1">
      <alignment vertical="center"/>
    </xf>
    <xf numFmtId="0" fontId="9" fillId="3" borderId="6" xfId="0" applyFont="1" applyFill="1" applyBorder="1" applyAlignment="1">
      <alignment horizontal="right" vertical="center"/>
    </xf>
    <xf numFmtId="0" fontId="180" fillId="3" borderId="51" xfId="0" applyFont="1" applyFill="1" applyBorder="1" applyAlignment="1">
      <alignment horizontal="right" vertical="center"/>
    </xf>
    <xf numFmtId="192" fontId="0" fillId="64" borderId="2" xfId="0" applyNumberFormat="1" applyFill="1" applyBorder="1" applyAlignment="1">
      <alignment vertical="center"/>
    </xf>
    <xf numFmtId="192" fontId="0" fillId="3" borderId="0" xfId="0" applyNumberFormat="1" applyFill="1"/>
    <xf numFmtId="192" fontId="0" fillId="98" borderId="2" xfId="0" applyNumberFormat="1" applyFill="1" applyBorder="1" applyAlignment="1">
      <alignment vertical="center"/>
    </xf>
    <xf numFmtId="192" fontId="0" fillId="8" borderId="2" xfId="0" applyNumberFormat="1" applyFill="1" applyBorder="1" applyAlignment="1">
      <alignment vertical="center"/>
    </xf>
    <xf numFmtId="192" fontId="0" fillId="0" borderId="0" xfId="0" applyNumberFormat="1" applyAlignment="1">
      <alignment vertical="center"/>
    </xf>
    <xf numFmtId="192" fontId="0" fillId="11" borderId="2" xfId="0" applyNumberFormat="1" applyFill="1" applyBorder="1" applyAlignment="1">
      <alignment vertical="center"/>
    </xf>
    <xf numFmtId="0" fontId="8" fillId="3" borderId="0" xfId="0" applyFont="1" applyFill="1" applyAlignment="1">
      <alignment horizontal="right" vertical="center"/>
    </xf>
    <xf numFmtId="0" fontId="180" fillId="3" borderId="16" xfId="0" applyFont="1" applyFill="1" applyBorder="1" applyAlignment="1">
      <alignment horizontal="right" vertical="center"/>
    </xf>
    <xf numFmtId="9" fontId="238" fillId="3" borderId="0" xfId="15" applyFont="1" applyFill="1" applyBorder="1" applyAlignment="1">
      <alignment horizontal="center" vertical="center"/>
    </xf>
    <xf numFmtId="171" fontId="191" fillId="3" borderId="0" xfId="16" applyNumberFormat="1" applyFont="1" applyFill="1" applyBorder="1" applyAlignment="1">
      <alignment horizontal="center"/>
    </xf>
    <xf numFmtId="0" fontId="179" fillId="3" borderId="0" xfId="0" applyFont="1" applyFill="1" applyAlignment="1">
      <alignment horizontal="right" vertical="center"/>
    </xf>
    <xf numFmtId="0" fontId="168" fillId="3" borderId="0" xfId="0" applyFont="1" applyFill="1" applyAlignment="1">
      <alignment horizontal="center"/>
    </xf>
    <xf numFmtId="0" fontId="250" fillId="3" borderId="0" xfId="0" applyFont="1" applyFill="1"/>
    <xf numFmtId="192" fontId="0" fillId="3" borderId="61" xfId="0" applyNumberFormat="1" applyFill="1" applyBorder="1" applyAlignment="1">
      <alignment vertical="center"/>
    </xf>
    <xf numFmtId="192" fontId="0" fillId="3" borderId="30" xfId="0" applyNumberFormat="1" applyFill="1" applyBorder="1" applyAlignment="1">
      <alignment vertical="center"/>
    </xf>
    <xf numFmtId="0" fontId="4" fillId="3" borderId="30" xfId="0" applyFont="1" applyFill="1" applyBorder="1" applyAlignment="1">
      <alignment horizontal="right" vertical="center"/>
    </xf>
    <xf numFmtId="0" fontId="328" fillId="3" borderId="47" xfId="0" applyFont="1" applyFill="1" applyBorder="1" applyAlignment="1">
      <alignment horizontal="left" vertical="center" indent="1"/>
    </xf>
    <xf numFmtId="0" fontId="180" fillId="3" borderId="0" xfId="0" quotePrefix="1" applyFont="1" applyFill="1" applyAlignment="1">
      <alignment vertical="center" wrapText="1"/>
    </xf>
    <xf numFmtId="165" fontId="179" fillId="3" borderId="0" xfId="0" applyNumberFormat="1" applyFont="1" applyFill="1" applyAlignment="1">
      <alignment horizontal="right" vertical="center"/>
    </xf>
    <xf numFmtId="0" fontId="180" fillId="3" borderId="19" xfId="0" quotePrefix="1" applyFont="1" applyFill="1" applyBorder="1" applyAlignment="1">
      <alignment vertical="center" wrapText="1"/>
    </xf>
    <xf numFmtId="0" fontId="180" fillId="3" borderId="22" xfId="0" quotePrefix="1" applyFont="1" applyFill="1" applyBorder="1" applyAlignment="1">
      <alignment vertical="center" wrapText="1"/>
    </xf>
    <xf numFmtId="0" fontId="0" fillId="3" borderId="28" xfId="0" applyFill="1" applyBorder="1" applyAlignment="1">
      <alignment vertical="center"/>
    </xf>
    <xf numFmtId="0" fontId="0" fillId="3" borderId="17" xfId="0" applyFill="1" applyBorder="1"/>
    <xf numFmtId="0" fontId="180" fillId="3" borderId="0" xfId="0" quotePrefix="1" applyFont="1" applyFill="1" applyAlignment="1">
      <alignment horizontal="left" vertical="center" wrapText="1"/>
    </xf>
    <xf numFmtId="0" fontId="0" fillId="3" borderId="16" xfId="0" applyFill="1" applyBorder="1"/>
    <xf numFmtId="0" fontId="8" fillId="3" borderId="0" xfId="0" applyFont="1" applyFill="1" applyAlignment="1">
      <alignment vertical="center"/>
    </xf>
    <xf numFmtId="0" fontId="9" fillId="3" borderId="16" xfId="0" applyFont="1" applyFill="1" applyBorder="1" applyAlignment="1">
      <alignment horizontal="right" vertical="center"/>
    </xf>
    <xf numFmtId="0" fontId="163" fillId="3" borderId="0" xfId="0" applyFont="1" applyFill="1" applyAlignment="1">
      <alignment vertical="center"/>
    </xf>
    <xf numFmtId="0" fontId="8" fillId="3" borderId="17" xfId="0" applyFont="1" applyFill="1" applyBorder="1" applyAlignment="1">
      <alignment horizontal="center" vertical="center" wrapText="1"/>
    </xf>
    <xf numFmtId="0" fontId="8" fillId="64" borderId="83" xfId="0" applyFont="1" applyFill="1" applyBorder="1" applyAlignment="1">
      <alignment horizontal="center" vertical="center" wrapText="1"/>
    </xf>
    <xf numFmtId="0" fontId="4" fillId="98" borderId="83" xfId="0" applyFont="1" applyFill="1" applyBorder="1" applyAlignment="1">
      <alignment horizontal="center" vertical="center"/>
    </xf>
    <xf numFmtId="0" fontId="4" fillId="8" borderId="83" xfId="0" applyFont="1" applyFill="1" applyBorder="1" applyAlignment="1">
      <alignment horizontal="center" vertical="center"/>
    </xf>
    <xf numFmtId="0" fontId="9" fillId="3" borderId="16" xfId="0" applyFont="1" applyFill="1" applyBorder="1"/>
    <xf numFmtId="0" fontId="250" fillId="3" borderId="0" xfId="0" applyFont="1" applyFill="1" applyAlignment="1">
      <alignment horizontal="left" vertical="center" indent="1"/>
    </xf>
    <xf numFmtId="0" fontId="168" fillId="3" borderId="18" xfId="0" applyFont="1" applyFill="1" applyBorder="1" applyAlignment="1">
      <alignment horizontal="center" vertical="center" wrapText="1"/>
    </xf>
    <xf numFmtId="0" fontId="8" fillId="3" borderId="27" xfId="0" applyFont="1" applyFill="1" applyBorder="1" applyAlignment="1">
      <alignment horizontal="center" vertical="center" wrapText="1"/>
    </xf>
    <xf numFmtId="0" fontId="9" fillId="3" borderId="27" xfId="0" applyFont="1" applyFill="1" applyBorder="1" applyAlignment="1">
      <alignment horizontal="right" vertical="center"/>
    </xf>
    <xf numFmtId="0" fontId="9" fillId="3" borderId="27" xfId="0" applyFont="1" applyFill="1" applyBorder="1" applyAlignment="1">
      <alignment horizontal="center" vertical="center"/>
    </xf>
    <xf numFmtId="0" fontId="9" fillId="3" borderId="27" xfId="0" quotePrefix="1" applyFont="1" applyFill="1" applyBorder="1" applyAlignment="1">
      <alignment horizontal="center" vertical="center" wrapText="1"/>
    </xf>
    <xf numFmtId="0" fontId="161" fillId="3" borderId="27" xfId="0" quotePrefix="1" applyFont="1" applyFill="1" applyBorder="1" applyAlignment="1">
      <alignment horizontal="left" vertical="top" wrapText="1"/>
    </xf>
    <xf numFmtId="0" fontId="161" fillId="3" borderId="26" xfId="0" quotePrefix="1" applyFont="1" applyFill="1" applyBorder="1" applyAlignment="1">
      <alignment horizontal="left" vertical="center"/>
    </xf>
    <xf numFmtId="0" fontId="359" fillId="3" borderId="0" xfId="0" applyFont="1" applyFill="1"/>
    <xf numFmtId="0" fontId="0" fillId="3" borderId="18" xfId="0" applyFill="1" applyBorder="1"/>
    <xf numFmtId="0" fontId="0" fillId="3" borderId="27" xfId="0" applyFill="1" applyBorder="1"/>
    <xf numFmtId="0" fontId="0" fillId="3" borderId="27" xfId="0" applyFill="1" applyBorder="1" applyAlignment="1">
      <alignment vertical="center"/>
    </xf>
    <xf numFmtId="0" fontId="0" fillId="3" borderId="26" xfId="0" applyFill="1" applyBorder="1"/>
    <xf numFmtId="0" fontId="13" fillId="3" borderId="0" xfId="0" quotePrefix="1" applyFont="1" applyFill="1" applyAlignment="1">
      <alignment horizontal="left" vertical="center"/>
    </xf>
    <xf numFmtId="173" fontId="30" fillId="25" borderId="83" xfId="1" applyNumberFormat="1" applyFont="1" applyFill="1" applyBorder="1" applyAlignment="1" applyProtection="1">
      <alignment vertical="center"/>
    </xf>
    <xf numFmtId="171" fontId="0" fillId="3" borderId="0" xfId="0" applyNumberFormat="1" applyFill="1" applyAlignment="1">
      <alignment horizontal="center" vertical="center"/>
    </xf>
    <xf numFmtId="9" fontId="0" fillId="3" borderId="0" xfId="2" applyFont="1" applyFill="1" applyBorder="1" applyAlignment="1">
      <alignment horizontal="center" vertical="center"/>
    </xf>
    <xf numFmtId="0" fontId="4" fillId="27" borderId="267" xfId="0" applyFont="1" applyFill="1" applyBorder="1" applyAlignment="1">
      <alignment horizontal="center" vertical="center"/>
    </xf>
    <xf numFmtId="0" fontId="4" fillId="27" borderId="268" xfId="0" applyFont="1" applyFill="1" applyBorder="1" applyAlignment="1">
      <alignment horizontal="center" vertical="center"/>
    </xf>
    <xf numFmtId="0" fontId="4" fillId="27" borderId="269" xfId="0" applyFont="1" applyFill="1" applyBorder="1" applyAlignment="1">
      <alignment horizontal="center" vertical="center"/>
    </xf>
    <xf numFmtId="0" fontId="0" fillId="3" borderId="46" xfId="0" applyFill="1" applyBorder="1" applyAlignment="1">
      <alignment horizontal="center" vertical="center"/>
    </xf>
    <xf numFmtId="9" fontId="0" fillId="3" borderId="79" xfId="2" applyFont="1" applyFill="1" applyBorder="1" applyAlignment="1">
      <alignment horizontal="center" vertical="center"/>
    </xf>
    <xf numFmtId="0" fontId="0" fillId="3" borderId="43" xfId="0" applyFill="1" applyBorder="1" applyAlignment="1">
      <alignment horizontal="center" vertical="center"/>
    </xf>
    <xf numFmtId="171" fontId="0" fillId="3" borderId="266" xfId="0" applyNumberFormat="1" applyFill="1" applyBorder="1" applyAlignment="1">
      <alignment horizontal="center" vertical="center"/>
    </xf>
    <xf numFmtId="9" fontId="0" fillId="3" borderId="282" xfId="2" applyFont="1" applyFill="1" applyBorder="1" applyAlignment="1">
      <alignment horizontal="center" vertical="center"/>
    </xf>
    <xf numFmtId="175" fontId="0" fillId="3" borderId="0" xfId="0" applyNumberFormat="1" applyFill="1" applyAlignment="1">
      <alignment horizontal="center" vertical="center"/>
    </xf>
    <xf numFmtId="10" fontId="0" fillId="3" borderId="0" xfId="0" applyNumberFormat="1" applyFill="1" applyAlignment="1">
      <alignment horizontal="center" vertical="center"/>
    </xf>
    <xf numFmtId="0" fontId="6" fillId="3" borderId="0" xfId="0" applyFont="1" applyFill="1" applyAlignment="1">
      <alignment vertical="center" wrapText="1"/>
    </xf>
    <xf numFmtId="0" fontId="2" fillId="8" borderId="0" xfId="3" applyFill="1" applyBorder="1" applyAlignment="1" applyProtection="1">
      <alignment vertical="center"/>
      <protection locked="0"/>
    </xf>
    <xf numFmtId="0" fontId="258" fillId="3" borderId="0" xfId="0" applyFont="1" applyFill="1" applyAlignment="1">
      <alignment vertical="center"/>
    </xf>
    <xf numFmtId="9" fontId="25" fillId="3" borderId="0" xfId="2" applyFont="1" applyFill="1" applyBorder="1" applyAlignment="1">
      <alignment horizontal="center" vertical="center"/>
    </xf>
    <xf numFmtId="172" fontId="0" fillId="3" borderId="0" xfId="0" applyNumberFormat="1" applyFill="1"/>
    <xf numFmtId="0" fontId="0" fillId="3" borderId="0" xfId="0" applyFill="1" applyAlignment="1">
      <alignment horizontal="left" vertical="center"/>
    </xf>
    <xf numFmtId="0" fontId="161" fillId="3" borderId="16" xfId="0" applyFont="1" applyFill="1" applyBorder="1" applyAlignment="1">
      <alignment vertical="center" wrapText="1"/>
    </xf>
    <xf numFmtId="0" fontId="161" fillId="3" borderId="0" xfId="0" applyFont="1" applyFill="1" applyAlignment="1">
      <alignment vertical="center" wrapText="1"/>
    </xf>
    <xf numFmtId="0" fontId="175" fillId="3" borderId="0" xfId="0" applyFont="1" applyFill="1"/>
    <xf numFmtId="10" fontId="237" fillId="3" borderId="0" xfId="0" applyNumberFormat="1" applyFont="1" applyFill="1"/>
    <xf numFmtId="0" fontId="171" fillId="3" borderId="0" xfId="0" applyFont="1" applyFill="1" applyAlignment="1">
      <alignment vertical="center"/>
    </xf>
    <xf numFmtId="0" fontId="204" fillId="3" borderId="0" xfId="0" applyFont="1" applyFill="1" applyAlignment="1">
      <alignment vertical="center"/>
    </xf>
    <xf numFmtId="0" fontId="206" fillId="3" borderId="0" xfId="0" applyFont="1" applyFill="1" applyAlignment="1">
      <alignment horizontal="center" vertical="center"/>
    </xf>
    <xf numFmtId="0" fontId="39" fillId="9" borderId="2" xfId="0" applyFont="1" applyFill="1" applyBorder="1" applyAlignment="1">
      <alignment horizontal="left" vertical="center"/>
    </xf>
    <xf numFmtId="165" fontId="179" fillId="3" borderId="16" xfId="0" applyNumberFormat="1" applyFont="1" applyFill="1" applyBorder="1" applyAlignment="1">
      <alignment horizontal="right" vertical="center"/>
    </xf>
    <xf numFmtId="165" fontId="328" fillId="26" borderId="86" xfId="0" applyNumberFormat="1" applyFont="1" applyFill="1" applyBorder="1" applyAlignment="1">
      <alignment horizontal="right" vertical="center"/>
    </xf>
    <xf numFmtId="0" fontId="180" fillId="0" borderId="16" xfId="0" applyFont="1" applyBorder="1" applyAlignment="1">
      <alignment horizontal="right" vertical="center"/>
    </xf>
    <xf numFmtId="0" fontId="161" fillId="0" borderId="0" xfId="0" applyFont="1" applyAlignment="1">
      <alignment horizontal="left" vertical="center" indent="1"/>
    </xf>
    <xf numFmtId="1" fontId="25" fillId="0" borderId="2" xfId="0" applyNumberFormat="1" applyFont="1" applyBorder="1"/>
    <xf numFmtId="1" fontId="39" fillId="0" borderId="2" xfId="0" applyNumberFormat="1" applyFont="1" applyBorder="1"/>
    <xf numFmtId="170" fontId="25" fillId="0" borderId="2" xfId="2" applyNumberFormat="1" applyFont="1" applyBorder="1"/>
    <xf numFmtId="170" fontId="39" fillId="0" borderId="2" xfId="2" applyNumberFormat="1" applyFont="1" applyBorder="1"/>
    <xf numFmtId="0" fontId="258" fillId="3" borderId="0" xfId="0" applyFont="1" applyFill="1" applyAlignment="1" applyProtection="1">
      <alignment vertical="top"/>
      <protection locked="0"/>
    </xf>
    <xf numFmtId="165" fontId="180" fillId="0" borderId="9" xfId="0" applyNumberFormat="1" applyFont="1" applyBorder="1" applyAlignment="1">
      <alignment horizontal="left" indent="1"/>
    </xf>
    <xf numFmtId="10" fontId="25" fillId="22" borderId="0" xfId="0" applyNumberFormat="1" applyFont="1" applyFill="1" applyAlignment="1">
      <alignment horizontal="center" vertical="center"/>
    </xf>
    <xf numFmtId="0" fontId="0" fillId="3" borderId="0" xfId="0" applyFill="1" applyAlignment="1">
      <alignment horizontal="center"/>
    </xf>
    <xf numFmtId="170" fontId="118" fillId="0" borderId="0" xfId="2" applyNumberFormat="1" applyFont="1" applyFill="1" applyBorder="1"/>
    <xf numFmtId="10" fontId="25" fillId="0" borderId="0" xfId="2" applyNumberFormat="1" applyFont="1" applyBorder="1"/>
    <xf numFmtId="0" fontId="360" fillId="0" borderId="0" xfId="0" applyFont="1" applyAlignment="1">
      <alignment vertical="center"/>
    </xf>
    <xf numFmtId="0" fontId="178" fillId="0" borderId="0" xfId="0" applyFont="1" applyAlignment="1">
      <alignment vertical="center"/>
    </xf>
    <xf numFmtId="10" fontId="263" fillId="0" borderId="0" xfId="0" applyNumberFormat="1" applyFont="1" applyAlignment="1">
      <alignment horizontal="left" vertical="center" wrapText="1"/>
    </xf>
    <xf numFmtId="172" fontId="263" fillId="0" borderId="0" xfId="14" applyNumberFormat="1" applyFont="1" applyFill="1" applyAlignment="1">
      <alignment horizontal="left" vertical="center" wrapText="1"/>
    </xf>
    <xf numFmtId="9" fontId="263" fillId="0" borderId="0" xfId="0" applyNumberFormat="1" applyFont="1" applyAlignment="1" applyProtection="1">
      <alignment horizontal="left" vertical="center" wrapText="1"/>
      <protection locked="0"/>
    </xf>
    <xf numFmtId="0" fontId="263" fillId="0" borderId="0" xfId="0" applyFont="1" applyAlignment="1" applyProtection="1">
      <alignment horizontal="left" vertical="center" wrapText="1"/>
      <protection locked="0"/>
    </xf>
    <xf numFmtId="0" fontId="363" fillId="97" borderId="2" xfId="0" applyFont="1" applyFill="1" applyBorder="1" applyAlignment="1">
      <alignment vertical="center" wrapText="1"/>
    </xf>
    <xf numFmtId="0" fontId="175" fillId="3" borderId="0" xfId="0" applyFont="1" applyFill="1" applyAlignment="1">
      <alignment vertical="top" wrapText="1"/>
    </xf>
    <xf numFmtId="0" fontId="9" fillId="0" borderId="0" xfId="0" applyFont="1" applyAlignment="1">
      <alignment vertical="top" wrapText="1"/>
    </xf>
    <xf numFmtId="0" fontId="338" fillId="3" borderId="0" xfId="0" applyFont="1" applyFill="1" applyAlignment="1">
      <alignment vertical="center"/>
    </xf>
    <xf numFmtId="0" fontId="322" fillId="3" borderId="0" xfId="0" applyFont="1" applyFill="1" applyAlignment="1">
      <alignment horizontal="right" vertical="center"/>
    </xf>
    <xf numFmtId="171" fontId="322" fillId="3" borderId="0" xfId="0" applyNumberFormat="1" applyFont="1" applyFill="1" applyAlignment="1">
      <alignment horizontal="center" vertical="center"/>
    </xf>
    <xf numFmtId="0" fontId="161" fillId="3" borderId="0" xfId="0" applyFont="1" applyFill="1" applyAlignment="1">
      <alignment horizontal="left" indent="1"/>
    </xf>
    <xf numFmtId="0" fontId="0" fillId="99" borderId="0" xfId="0" applyFill="1" applyAlignment="1">
      <alignment vertical="center"/>
    </xf>
    <xf numFmtId="0" fontId="6" fillId="99" borderId="0" xfId="0" applyFont="1" applyFill="1" applyAlignment="1">
      <alignment vertical="center"/>
    </xf>
    <xf numFmtId="0" fontId="0" fillId="99" borderId="0" xfId="0" applyFill="1"/>
    <xf numFmtId="171" fontId="229" fillId="3" borderId="0" xfId="0" applyNumberFormat="1" applyFont="1" applyFill="1" applyAlignment="1">
      <alignment horizontal="right" vertical="center"/>
    </xf>
    <xf numFmtId="10" fontId="365" fillId="3" borderId="44" xfId="2" applyNumberFormat="1" applyFont="1" applyFill="1" applyBorder="1" applyAlignment="1">
      <alignment horizontal="center" vertical="center"/>
    </xf>
    <xf numFmtId="0" fontId="134" fillId="23" borderId="26" xfId="0" applyFont="1" applyFill="1" applyBorder="1" applyAlignment="1">
      <alignment horizontal="center" wrapText="1"/>
    </xf>
    <xf numFmtId="0" fontId="39" fillId="0" borderId="45" xfId="0" applyFont="1" applyBorder="1" applyAlignment="1">
      <alignment horizontal="left" vertical="center"/>
    </xf>
    <xf numFmtId="0" fontId="39" fillId="0" borderId="239" xfId="0" applyFont="1" applyBorder="1" applyAlignment="1">
      <alignment horizontal="left" vertical="center"/>
    </xf>
    <xf numFmtId="165" fontId="336" fillId="3" borderId="0" xfId="3" applyNumberFormat="1" applyFont="1" applyFill="1" applyBorder="1" applyAlignment="1" applyProtection="1">
      <alignment vertical="center"/>
    </xf>
    <xf numFmtId="0" fontId="2" fillId="3" borderId="0" xfId="0" applyFont="1" applyFill="1" applyAlignment="1">
      <alignment horizontal="right" vertical="center"/>
    </xf>
    <xf numFmtId="0" fontId="366" fillId="0" borderId="283" xfId="0" applyFont="1" applyBorder="1" applyAlignment="1">
      <alignment horizontal="right" vertical="center"/>
    </xf>
    <xf numFmtId="0" fontId="366" fillId="0" borderId="283" xfId="0" applyFont="1" applyBorder="1" applyAlignment="1">
      <alignment horizontal="center" vertical="center"/>
    </xf>
    <xf numFmtId="0" fontId="367" fillId="0" borderId="283" xfId="0" applyFont="1" applyBorder="1" applyAlignment="1">
      <alignment horizontal="right" vertical="center" indent="1"/>
    </xf>
    <xf numFmtId="0" fontId="25" fillId="0" borderId="75" xfId="0" applyFont="1" applyBorder="1"/>
    <xf numFmtId="0" fontId="25" fillId="0" borderId="60" xfId="0" applyFont="1" applyBorder="1"/>
    <xf numFmtId="10" fontId="39" fillId="8" borderId="2" xfId="0" applyNumberFormat="1" applyFont="1" applyFill="1" applyBorder="1" applyAlignment="1">
      <alignment horizontal="center" vertical="center"/>
    </xf>
    <xf numFmtId="10" fontId="39" fillId="8" borderId="266" xfId="0" applyNumberFormat="1" applyFont="1" applyFill="1" applyBorder="1" applyAlignment="1">
      <alignment horizontal="center" vertical="center"/>
    </xf>
    <xf numFmtId="0" fontId="78" fillId="39" borderId="27" xfId="0" applyFont="1" applyFill="1" applyBorder="1" applyAlignment="1">
      <alignment horizontal="center"/>
    </xf>
    <xf numFmtId="0" fontId="78" fillId="23" borderId="18" xfId="0" applyFont="1" applyFill="1" applyBorder="1" applyAlignment="1">
      <alignment horizontal="center" wrapText="1"/>
    </xf>
    <xf numFmtId="10" fontId="314" fillId="39" borderId="9" xfId="0" applyNumberFormat="1" applyFont="1" applyFill="1" applyBorder="1" applyAlignment="1">
      <alignment horizontal="center" vertical="center"/>
    </xf>
    <xf numFmtId="10" fontId="314" fillId="39" borderId="129" xfId="0" applyNumberFormat="1" applyFont="1" applyFill="1" applyBorder="1" applyAlignment="1">
      <alignment horizontal="center" vertical="center"/>
    </xf>
    <xf numFmtId="9" fontId="39" fillId="3" borderId="284" xfId="0" applyNumberFormat="1" applyFont="1" applyFill="1" applyBorder="1" applyAlignment="1">
      <alignment horizontal="left" vertical="center"/>
    </xf>
    <xf numFmtId="10" fontId="39" fillId="3" borderId="38" xfId="0" applyNumberFormat="1" applyFont="1" applyFill="1" applyBorder="1" applyAlignment="1">
      <alignment horizontal="left" vertical="center"/>
    </xf>
    <xf numFmtId="10" fontId="39" fillId="3" borderId="285" xfId="0" applyNumberFormat="1" applyFont="1" applyFill="1" applyBorder="1" applyAlignment="1">
      <alignment horizontal="left" vertical="center"/>
    </xf>
    <xf numFmtId="0" fontId="134" fillId="82" borderId="26" xfId="0" applyFont="1" applyFill="1" applyBorder="1" applyAlignment="1">
      <alignment horizontal="center" wrapText="1"/>
    </xf>
    <xf numFmtId="0" fontId="78" fillId="82" borderId="18" xfId="0" applyFont="1" applyFill="1" applyBorder="1" applyAlignment="1">
      <alignment horizontal="center" wrapText="1"/>
    </xf>
    <xf numFmtId="0" fontId="134" fillId="83" borderId="26" xfId="0" applyFont="1" applyFill="1" applyBorder="1" applyAlignment="1">
      <alignment horizontal="center" wrapText="1"/>
    </xf>
    <xf numFmtId="0" fontId="78" fillId="83" borderId="18" xfId="0" applyFont="1" applyFill="1" applyBorder="1" applyAlignment="1">
      <alignment horizontal="center" wrapText="1"/>
    </xf>
    <xf numFmtId="10" fontId="35" fillId="9" borderId="18" xfId="0" applyNumberFormat="1" applyFont="1" applyFill="1" applyBorder="1" applyAlignment="1">
      <alignment horizontal="center" vertical="center"/>
    </xf>
    <xf numFmtId="10" fontId="35" fillId="9" borderId="17" xfId="0" applyNumberFormat="1" applyFont="1" applyFill="1" applyBorder="1" applyAlignment="1">
      <alignment horizontal="center" vertical="center"/>
    </xf>
    <xf numFmtId="10" fontId="150" fillId="9" borderId="27" xfId="3" applyNumberFormat="1" applyFont="1" applyFill="1" applyBorder="1" applyAlignment="1" applyProtection="1">
      <alignment horizontal="center"/>
    </xf>
    <xf numFmtId="10" fontId="150" fillId="9" borderId="0" xfId="3" applyNumberFormat="1" applyFont="1" applyFill="1" applyBorder="1" applyAlignment="1" applyProtection="1">
      <alignment horizontal="center"/>
    </xf>
    <xf numFmtId="0" fontId="31" fillId="9" borderId="2" xfId="0" applyFont="1" applyFill="1" applyBorder="1" applyAlignment="1">
      <alignment horizontal="center" vertical="center" wrapText="1"/>
    </xf>
    <xf numFmtId="0" fontId="0" fillId="3" borderId="2" xfId="0" applyFill="1" applyBorder="1" applyAlignment="1">
      <alignment horizontal="center"/>
    </xf>
    <xf numFmtId="9" fontId="0" fillId="3" borderId="2" xfId="0" applyNumberFormat="1" applyFill="1" applyBorder="1" applyAlignment="1">
      <alignment horizontal="center"/>
    </xf>
    <xf numFmtId="10" fontId="0" fillId="3" borderId="2" xfId="0" applyNumberFormat="1" applyFill="1" applyBorder="1" applyAlignment="1">
      <alignment horizontal="center"/>
    </xf>
    <xf numFmtId="9" fontId="0" fillId="9" borderId="0" xfId="0" applyNumberFormat="1" applyFill="1"/>
    <xf numFmtId="0" fontId="366" fillId="0" borderId="283" xfId="0" applyFont="1" applyBorder="1" applyAlignment="1">
      <alignment horizontal="left" vertical="center"/>
    </xf>
    <xf numFmtId="171" fontId="366" fillId="0" borderId="283" xfId="0" applyNumberFormat="1" applyFont="1" applyBorder="1" applyAlignment="1">
      <alignment horizontal="center" vertical="center"/>
    </xf>
    <xf numFmtId="0" fontId="366" fillId="9" borderId="283" xfId="0" applyFont="1" applyFill="1" applyBorder="1" applyAlignment="1">
      <alignment horizontal="right" vertical="center"/>
    </xf>
    <xf numFmtId="171" fontId="366" fillId="9" borderId="283" xfId="0" applyNumberFormat="1" applyFont="1" applyFill="1" applyBorder="1" applyAlignment="1">
      <alignment horizontal="center" vertical="center"/>
    </xf>
    <xf numFmtId="0" fontId="366" fillId="9" borderId="283" xfId="0" applyFont="1" applyFill="1" applyBorder="1" applyAlignment="1">
      <alignment horizontal="left" vertical="center"/>
    </xf>
    <xf numFmtId="0" fontId="367" fillId="9" borderId="283" xfId="0" applyFont="1" applyFill="1" applyBorder="1" applyAlignment="1">
      <alignment horizontal="right" vertical="center" indent="1"/>
    </xf>
    <xf numFmtId="0" fontId="366" fillId="9" borderId="283" xfId="0" applyFont="1" applyFill="1" applyBorder="1" applyAlignment="1">
      <alignment horizontal="center" vertical="center"/>
    </xf>
    <xf numFmtId="165" fontId="263" fillId="27" borderId="0" xfId="0" applyNumberFormat="1" applyFont="1" applyFill="1" applyAlignment="1">
      <alignment vertical="center" wrapText="1"/>
    </xf>
    <xf numFmtId="0" fontId="293" fillId="3" borderId="0" xfId="0" applyFont="1" applyFill="1" applyAlignment="1">
      <alignment horizontal="justify" vertical="center" wrapText="1"/>
    </xf>
    <xf numFmtId="0" fontId="293" fillId="26" borderId="0" xfId="0" applyFont="1" applyFill="1" applyAlignment="1">
      <alignment horizontal="justify" vertical="center" wrapText="1"/>
    </xf>
    <xf numFmtId="0" fontId="263" fillId="26" borderId="0" xfId="0" applyFont="1" applyFill="1" applyAlignment="1">
      <alignment horizontal="left" vertical="center" wrapText="1"/>
    </xf>
    <xf numFmtId="0" fontId="178" fillId="26" borderId="0" xfId="0" applyFont="1" applyFill="1" applyAlignment="1" applyProtection="1">
      <alignment horizontal="left" wrapText="1"/>
      <protection locked="0"/>
    </xf>
    <xf numFmtId="9" fontId="263" fillId="26" borderId="0" xfId="0" applyNumberFormat="1" applyFont="1" applyFill="1" applyAlignment="1" applyProtection="1">
      <alignment horizontal="left" vertical="center" wrapText="1"/>
      <protection locked="0"/>
    </xf>
    <xf numFmtId="10" fontId="150" fillId="100" borderId="0" xfId="3" applyNumberFormat="1" applyFont="1" applyFill="1" applyBorder="1" applyAlignment="1" applyProtection="1">
      <alignment horizontal="center"/>
    </xf>
    <xf numFmtId="0" fontId="177" fillId="3" borderId="0" xfId="0" applyFont="1" applyFill="1"/>
    <xf numFmtId="2" fontId="32" fillId="0" borderId="0" xfId="0" applyNumberFormat="1" applyFont="1"/>
    <xf numFmtId="1" fontId="225" fillId="0" borderId="0" xfId="1" applyNumberFormat="1" applyFont="1" applyFill="1" applyBorder="1" applyAlignment="1" applyProtection="1">
      <alignment horizontal="center" vertical="center" wrapText="1"/>
    </xf>
    <xf numFmtId="1" fontId="225" fillId="3" borderId="0" xfId="1" applyNumberFormat="1" applyFont="1" applyFill="1" applyBorder="1" applyAlignment="1" applyProtection="1">
      <alignment horizontal="center" vertical="center" wrapText="1"/>
    </xf>
    <xf numFmtId="0" fontId="62" fillId="3" borderId="0" xfId="0" applyFont="1" applyFill="1" applyAlignment="1">
      <alignment horizontal="center" vertical="center"/>
    </xf>
    <xf numFmtId="0" fontId="175" fillId="3" borderId="0" xfId="0" applyFont="1" applyFill="1" applyAlignment="1">
      <alignment horizontal="right" vertical="center" indent="1"/>
    </xf>
    <xf numFmtId="0" fontId="256" fillId="0" borderId="0" xfId="0" applyFont="1" applyAlignment="1">
      <alignment vertical="center" wrapText="1"/>
    </xf>
    <xf numFmtId="0" fontId="62" fillId="3" borderId="0" xfId="0" applyFont="1" applyFill="1" applyAlignment="1">
      <alignment vertical="center"/>
    </xf>
    <xf numFmtId="9" fontId="256" fillId="3" borderId="0" xfId="2" applyFont="1" applyFill="1" applyBorder="1"/>
    <xf numFmtId="9" fontId="256" fillId="3" borderId="0" xfId="2" applyFont="1" applyFill="1" applyBorder="1" applyAlignment="1">
      <alignment horizontal="left" wrapText="1"/>
    </xf>
    <xf numFmtId="0" fontId="6" fillId="0" borderId="0" xfId="0" applyFont="1"/>
    <xf numFmtId="0" fontId="6" fillId="0" borderId="0" xfId="0" applyFont="1" applyAlignment="1">
      <alignment horizontal="center" vertical="center"/>
    </xf>
    <xf numFmtId="9" fontId="175" fillId="0" borderId="0" xfId="2" applyFont="1" applyFill="1" applyBorder="1" applyAlignment="1" applyProtection="1">
      <alignment horizontal="center" vertical="center"/>
    </xf>
    <xf numFmtId="10" fontId="225" fillId="0" borderId="0" xfId="2" applyNumberFormat="1" applyFont="1" applyFill="1" applyBorder="1" applyAlignment="1" applyProtection="1">
      <alignment vertical="center"/>
    </xf>
    <xf numFmtId="0" fontId="238" fillId="0" borderId="0" xfId="0" applyFont="1" applyAlignment="1">
      <alignment horizontal="center" vertical="center" wrapText="1"/>
    </xf>
    <xf numFmtId="0" fontId="6" fillId="3" borderId="0" xfId="0" applyFont="1" applyFill="1" applyAlignment="1">
      <alignment horizontal="center" vertical="center"/>
    </xf>
    <xf numFmtId="0" fontId="265" fillId="3" borderId="0" xfId="0" applyFont="1" applyFill="1" applyAlignment="1">
      <alignment vertical="top" wrapText="1"/>
    </xf>
    <xf numFmtId="9" fontId="316" fillId="0" borderId="0" xfId="2" applyFont="1" applyFill="1" applyBorder="1" applyAlignment="1" applyProtection="1">
      <alignment horizontal="center" vertical="center"/>
    </xf>
    <xf numFmtId="0" fontId="369" fillId="0" borderId="0" xfId="0" applyFont="1" applyAlignment="1">
      <alignment horizontal="left"/>
    </xf>
    <xf numFmtId="0" fontId="238" fillId="74" borderId="0" xfId="0" applyFont="1" applyFill="1" applyAlignment="1">
      <alignment horizontal="center" vertical="center" wrapText="1"/>
    </xf>
    <xf numFmtId="0" fontId="370" fillId="0" borderId="0" xfId="8" applyFont="1"/>
    <xf numFmtId="0" fontId="328" fillId="3" borderId="27" xfId="0" applyFont="1" applyFill="1" applyBorder="1" applyAlignment="1" applyProtection="1">
      <alignment vertical="center"/>
      <protection locked="0"/>
    </xf>
    <xf numFmtId="9" fontId="180" fillId="3" borderId="27" xfId="0" applyNumberFormat="1" applyFont="1" applyFill="1" applyBorder="1" applyAlignment="1" applyProtection="1">
      <alignment vertical="center"/>
      <protection locked="0"/>
    </xf>
    <xf numFmtId="0" fontId="179" fillId="3" borderId="16" xfId="0" applyFont="1" applyFill="1" applyBorder="1" applyAlignment="1">
      <alignment horizontal="right" vertical="center"/>
    </xf>
    <xf numFmtId="10" fontId="180" fillId="3" borderId="17" xfId="0" applyNumberFormat="1" applyFont="1" applyFill="1" applyBorder="1" applyAlignment="1">
      <alignment horizontal="left" vertical="center"/>
    </xf>
    <xf numFmtId="0" fontId="180" fillId="3" borderId="9" xfId="0" applyFont="1" applyFill="1" applyBorder="1" applyAlignment="1">
      <alignment horizontal="left"/>
    </xf>
    <xf numFmtId="0" fontId="180" fillId="3" borderId="30" xfId="0" applyFont="1" applyFill="1" applyBorder="1" applyAlignment="1">
      <alignment horizontal="left"/>
    </xf>
    <xf numFmtId="0" fontId="180" fillId="3" borderId="17" xfId="0" applyFont="1" applyFill="1" applyBorder="1" applyAlignment="1">
      <alignment horizontal="left" vertical="center"/>
    </xf>
    <xf numFmtId="0" fontId="167" fillId="23" borderId="16" xfId="0" applyFont="1" applyFill="1" applyBorder="1" applyAlignment="1">
      <alignment horizontal="left" vertical="center" indent="13"/>
    </xf>
    <xf numFmtId="0" fontId="167" fillId="23" borderId="17" xfId="0" applyFont="1" applyFill="1" applyBorder="1" applyAlignment="1">
      <alignment horizontal="left" vertical="center" indent="13"/>
    </xf>
    <xf numFmtId="0" fontId="180" fillId="0" borderId="9" xfId="0" applyFont="1" applyBorder="1" applyAlignment="1">
      <alignment horizontal="left" indent="1"/>
    </xf>
    <xf numFmtId="0" fontId="180" fillId="0" borderId="30" xfId="0" applyFont="1" applyBorder="1" applyAlignment="1">
      <alignment horizontal="left" indent="1"/>
    </xf>
    <xf numFmtId="9" fontId="328" fillId="26" borderId="18" xfId="0" applyNumberFormat="1" applyFont="1" applyFill="1" applyBorder="1" applyAlignment="1">
      <alignment horizontal="left" vertical="center"/>
    </xf>
    <xf numFmtId="10" fontId="180" fillId="0" borderId="18" xfId="2" applyNumberFormat="1" applyFont="1" applyFill="1" applyBorder="1" applyAlignment="1">
      <alignment horizontal="left" vertical="center"/>
    </xf>
    <xf numFmtId="9" fontId="180" fillId="0" borderId="18" xfId="2" applyFont="1" applyFill="1" applyBorder="1" applyAlignment="1">
      <alignment horizontal="left" vertical="center"/>
    </xf>
    <xf numFmtId="9" fontId="180" fillId="3" borderId="17" xfId="0" applyNumberFormat="1" applyFont="1" applyFill="1" applyBorder="1" applyAlignment="1">
      <alignment horizontal="left" vertical="center"/>
    </xf>
    <xf numFmtId="0" fontId="251" fillId="26" borderId="76" xfId="0" applyFont="1" applyFill="1" applyBorder="1" applyAlignment="1">
      <alignment horizontal="left" vertical="center"/>
    </xf>
    <xf numFmtId="9" fontId="327" fillId="3" borderId="0" xfId="2" applyFont="1" applyFill="1" applyBorder="1" applyAlignment="1" applyProtection="1">
      <alignment vertical="center"/>
      <protection locked="0"/>
    </xf>
    <xf numFmtId="10" fontId="179" fillId="3" borderId="16" xfId="0" applyNumberFormat="1" applyFont="1" applyFill="1" applyBorder="1" applyAlignment="1">
      <alignment horizontal="right" vertical="center"/>
    </xf>
    <xf numFmtId="10" fontId="0" fillId="3" borderId="114" xfId="0" applyNumberFormat="1" applyFill="1" applyBorder="1" applyAlignment="1">
      <alignment horizontal="center" vertical="center"/>
    </xf>
    <xf numFmtId="0" fontId="25" fillId="73" borderId="287" xfId="0" applyFont="1" applyFill="1" applyBorder="1" applyAlignment="1">
      <alignment horizontal="center"/>
    </xf>
    <xf numFmtId="0" fontId="25" fillId="73" borderId="286" xfId="0" applyFont="1" applyFill="1" applyBorder="1" applyAlignment="1">
      <alignment horizontal="center"/>
    </xf>
    <xf numFmtId="10" fontId="366" fillId="97" borderId="283" xfId="2" applyNumberFormat="1" applyFont="1" applyFill="1" applyBorder="1" applyAlignment="1">
      <alignment horizontal="center"/>
    </xf>
    <xf numFmtId="171" fontId="366" fillId="97" borderId="283" xfId="0" applyNumberFormat="1" applyFont="1" applyFill="1" applyBorder="1" applyAlignment="1">
      <alignment horizontal="center"/>
    </xf>
    <xf numFmtId="171" fontId="366" fillId="97" borderId="288" xfId="0" applyNumberFormat="1" applyFont="1" applyFill="1" applyBorder="1" applyAlignment="1">
      <alignment horizontal="center"/>
    </xf>
    <xf numFmtId="10" fontId="366" fillId="77" borderId="283" xfId="2" applyNumberFormat="1" applyFont="1" applyFill="1" applyBorder="1" applyAlignment="1">
      <alignment horizontal="center"/>
    </xf>
    <xf numFmtId="171" fontId="366" fillId="77" borderId="283" xfId="0" applyNumberFormat="1" applyFont="1" applyFill="1" applyBorder="1" applyAlignment="1">
      <alignment horizontal="center"/>
    </xf>
    <xf numFmtId="171" fontId="366" fillId="77" borderId="288" xfId="0" applyNumberFormat="1" applyFont="1" applyFill="1" applyBorder="1" applyAlignment="1">
      <alignment horizontal="center"/>
    </xf>
    <xf numFmtId="10" fontId="366" fillId="26" borderId="283" xfId="2" applyNumberFormat="1" applyFont="1" applyFill="1" applyBorder="1" applyAlignment="1">
      <alignment horizontal="center"/>
    </xf>
    <xf numFmtId="171" fontId="366" fillId="26" borderId="283" xfId="0" applyNumberFormat="1" applyFont="1" applyFill="1" applyBorder="1" applyAlignment="1">
      <alignment horizontal="center"/>
    </xf>
    <xf numFmtId="171" fontId="366" fillId="26" borderId="288" xfId="0" applyNumberFormat="1" applyFont="1" applyFill="1" applyBorder="1" applyAlignment="1">
      <alignment horizontal="center"/>
    </xf>
    <xf numFmtId="0" fontId="9" fillId="0" borderId="0" xfId="0" applyFont="1" applyAlignment="1">
      <alignment horizontal="left" vertical="top" wrapText="1"/>
    </xf>
    <xf numFmtId="0" fontId="337" fillId="3" borderId="0" xfId="0" applyFont="1" applyFill="1" applyAlignment="1">
      <alignment horizontal="left" vertical="center" wrapText="1"/>
    </xf>
    <xf numFmtId="0" fontId="326" fillId="3" borderId="0" xfId="0" applyFont="1" applyFill="1" applyAlignment="1">
      <alignment horizontal="left"/>
    </xf>
    <xf numFmtId="0" fontId="224" fillId="3" borderId="0" xfId="0" applyFont="1" applyFill="1"/>
    <xf numFmtId="0" fontId="337" fillId="3" borderId="0" xfId="0" applyFont="1" applyFill="1" applyAlignment="1">
      <alignment horizontal="center" vertical="center"/>
    </xf>
    <xf numFmtId="0" fontId="326" fillId="3" borderId="0" xfId="0" applyFont="1" applyFill="1" applyAlignment="1" applyProtection="1">
      <alignment horizontal="center"/>
      <protection locked="0"/>
    </xf>
    <xf numFmtId="0" fontId="167" fillId="23" borderId="0" xfId="0" applyFont="1" applyFill="1" applyAlignment="1">
      <alignment horizontal="left" vertical="center" indent="13"/>
    </xf>
    <xf numFmtId="0" fontId="167" fillId="23" borderId="0" xfId="0" quotePrefix="1" applyFont="1" applyFill="1" applyAlignment="1">
      <alignment horizontal="left" vertical="center" indent="13"/>
    </xf>
    <xf numFmtId="172" fontId="179" fillId="3" borderId="0" xfId="0" applyNumberFormat="1" applyFont="1" applyFill="1" applyAlignment="1" applyProtection="1">
      <alignment vertical="center"/>
      <protection locked="0"/>
    </xf>
    <xf numFmtId="0" fontId="251" fillId="3" borderId="0" xfId="0" applyFont="1" applyFill="1" applyAlignment="1" applyProtection="1">
      <alignment horizontal="left" vertical="center"/>
      <protection locked="0"/>
    </xf>
    <xf numFmtId="0" fontId="251" fillId="3" borderId="0" xfId="0" applyFont="1" applyFill="1" applyProtection="1">
      <protection locked="0"/>
    </xf>
    <xf numFmtId="0" fontId="25" fillId="0" borderId="0" xfId="0" applyFont="1" applyAlignment="1">
      <alignment horizontal="right" vertical="center" indent="2"/>
    </xf>
    <xf numFmtId="0" fontId="25" fillId="73" borderId="289" xfId="0" applyFont="1" applyFill="1" applyBorder="1"/>
    <xf numFmtId="0" fontId="25" fillId="73" borderId="286" xfId="0" applyFont="1" applyFill="1" applyBorder="1"/>
    <xf numFmtId="0" fontId="373" fillId="3" borderId="0" xfId="0" applyFont="1" applyFill="1"/>
    <xf numFmtId="0" fontId="373" fillId="3" borderId="0" xfId="0" applyFont="1" applyFill="1" applyAlignment="1">
      <alignment horizontal="center" vertical="center" wrapText="1"/>
    </xf>
    <xf numFmtId="0" fontId="374" fillId="3" borderId="0" xfId="0" applyFont="1" applyFill="1" applyAlignment="1">
      <alignment vertical="center"/>
    </xf>
    <xf numFmtId="0" fontId="375" fillId="3" borderId="0" xfId="0" applyFont="1" applyFill="1"/>
    <xf numFmtId="0" fontId="375" fillId="0" borderId="0" xfId="0" applyFont="1"/>
    <xf numFmtId="0" fontId="376" fillId="3" borderId="0" xfId="0" applyFont="1" applyFill="1" applyAlignment="1">
      <alignment horizontal="center" vertical="center"/>
    </xf>
    <xf numFmtId="0" fontId="377" fillId="0" borderId="0" xfId="0" applyFont="1" applyAlignment="1">
      <alignment horizontal="center" vertical="center"/>
    </xf>
    <xf numFmtId="0" fontId="379" fillId="3" borderId="0" xfId="0" applyFont="1" applyFill="1" applyAlignment="1">
      <alignment horizontal="left" vertical="center"/>
    </xf>
    <xf numFmtId="0" fontId="375" fillId="0" borderId="0" xfId="0" applyFont="1" applyAlignment="1">
      <alignment horizontal="center" vertical="center"/>
    </xf>
    <xf numFmtId="0" fontId="371" fillId="73" borderId="286" xfId="0" applyFont="1" applyFill="1" applyBorder="1"/>
    <xf numFmtId="10" fontId="380" fillId="97" borderId="283" xfId="2" applyNumberFormat="1" applyFont="1" applyFill="1" applyBorder="1" applyAlignment="1">
      <alignment horizontal="center"/>
    </xf>
    <xf numFmtId="10" fontId="380" fillId="77" borderId="283" xfId="2" applyNumberFormat="1" applyFont="1" applyFill="1" applyBorder="1" applyAlignment="1">
      <alignment horizontal="center"/>
    </xf>
    <xf numFmtId="10" fontId="380" fillId="26" borderId="283" xfId="2" applyNumberFormat="1" applyFont="1" applyFill="1" applyBorder="1" applyAlignment="1">
      <alignment horizontal="center"/>
    </xf>
    <xf numFmtId="0" fontId="0" fillId="3" borderId="135" xfId="0" applyFill="1" applyBorder="1" applyAlignment="1">
      <alignment horizontal="center" vertical="center"/>
    </xf>
    <xf numFmtId="10" fontId="0" fillId="3" borderId="135" xfId="0" applyNumberFormat="1" applyFill="1" applyBorder="1" applyAlignment="1">
      <alignment horizontal="center" vertical="center"/>
    </xf>
    <xf numFmtId="0" fontId="337" fillId="3" borderId="0" xfId="0" applyFont="1" applyFill="1" applyAlignment="1">
      <alignment horizontal="center" vertical="center" wrapText="1"/>
    </xf>
    <xf numFmtId="0" fontId="39" fillId="101" borderId="83" xfId="0" applyFont="1" applyFill="1" applyBorder="1" applyAlignment="1">
      <alignment horizontal="center" vertical="center"/>
    </xf>
    <xf numFmtId="0" fontId="179" fillId="0" borderId="0" xfId="0" applyFont="1" applyAlignment="1">
      <alignment horizontal="center" vertical="center"/>
    </xf>
    <xf numFmtId="0" fontId="179" fillId="0" borderId="0" xfId="0" applyFont="1" applyAlignment="1">
      <alignment vertical="center" wrapText="1"/>
    </xf>
    <xf numFmtId="0" fontId="251" fillId="3" borderId="0" xfId="0" applyFont="1" applyFill="1" applyAlignment="1">
      <alignment horizontal="right" vertical="center"/>
    </xf>
    <xf numFmtId="0" fontId="251" fillId="0" borderId="0" xfId="0" applyFont="1" applyAlignment="1">
      <alignment vertical="center"/>
    </xf>
    <xf numFmtId="0" fontId="2" fillId="3" borderId="28" xfId="0" applyFont="1" applyFill="1" applyBorder="1" applyAlignment="1">
      <alignment horizontal="right" vertical="center"/>
    </xf>
    <xf numFmtId="0" fontId="251" fillId="3" borderId="22" xfId="0" applyFont="1" applyFill="1" applyBorder="1" applyAlignment="1">
      <alignment horizontal="right" vertical="center"/>
    </xf>
    <xf numFmtId="0" fontId="251" fillId="0" borderId="22" xfId="0" applyFont="1" applyBorder="1" applyAlignment="1">
      <alignment horizontal="right" vertical="center"/>
    </xf>
    <xf numFmtId="0" fontId="60" fillId="0" borderId="22" xfId="0" applyFont="1" applyBorder="1" applyAlignment="1">
      <alignment horizontal="center" vertical="center"/>
    </xf>
    <xf numFmtId="165" fontId="381" fillId="0" borderId="0" xfId="3" applyNumberFormat="1" applyFont="1" applyFill="1" applyBorder="1" applyAlignment="1" applyProtection="1">
      <alignment vertical="center"/>
    </xf>
    <xf numFmtId="0" fontId="381" fillId="0" borderId="0" xfId="0" applyFont="1" applyAlignment="1">
      <alignment vertical="center"/>
    </xf>
    <xf numFmtId="0" fontId="381" fillId="0" borderId="0" xfId="0" applyFont="1" applyAlignment="1">
      <alignment horizontal="left" vertical="center" indent="6"/>
    </xf>
    <xf numFmtId="0" fontId="6" fillId="3" borderId="0" xfId="0" applyFont="1" applyFill="1"/>
    <xf numFmtId="171" fontId="25" fillId="3" borderId="0" xfId="0" applyNumberFormat="1" applyFont="1" applyFill="1" applyAlignment="1">
      <alignment vertical="center"/>
    </xf>
    <xf numFmtId="0" fontId="119" fillId="0" borderId="83" xfId="0" applyFont="1" applyBorder="1" applyAlignment="1">
      <alignment horizontal="center" vertical="center"/>
    </xf>
    <xf numFmtId="0" fontId="305" fillId="3" borderId="0" xfId="0" applyFont="1" applyFill="1" applyAlignment="1">
      <alignment vertical="top" wrapText="1"/>
    </xf>
    <xf numFmtId="0" fontId="7" fillId="0" borderId="18" xfId="0" applyFont="1" applyBorder="1" applyAlignment="1">
      <alignment horizontal="right"/>
    </xf>
    <xf numFmtId="0" fontId="7" fillId="0" borderId="17" xfId="0" applyFont="1" applyBorder="1" applyAlignment="1">
      <alignment horizontal="right"/>
    </xf>
    <xf numFmtId="10" fontId="61" fillId="0" borderId="0" xfId="0" applyNumberFormat="1" applyFont="1" applyAlignment="1">
      <alignment vertical="center" wrapText="1"/>
    </xf>
    <xf numFmtId="10" fontId="61" fillId="3" borderId="0" xfId="0" applyNumberFormat="1" applyFont="1" applyFill="1" applyAlignment="1">
      <alignment vertical="center" wrapText="1"/>
    </xf>
    <xf numFmtId="0" fontId="383" fillId="0" borderId="17" xfId="0" applyFont="1" applyBorder="1" applyAlignment="1">
      <alignment horizontal="right"/>
    </xf>
    <xf numFmtId="0" fontId="226" fillId="0" borderId="0" xfId="0" applyFont="1" applyAlignment="1">
      <alignment horizontal="right"/>
    </xf>
    <xf numFmtId="0" fontId="226" fillId="3" borderId="0" xfId="0" applyFont="1" applyFill="1" applyAlignment="1">
      <alignment horizontal="right"/>
    </xf>
    <xf numFmtId="10" fontId="383" fillId="3" borderId="16" xfId="2" applyNumberFormat="1" applyFont="1" applyFill="1" applyBorder="1" applyAlignment="1">
      <alignment wrapText="1"/>
    </xf>
    <xf numFmtId="171" fontId="383" fillId="3" borderId="16" xfId="2" applyNumberFormat="1" applyFont="1" applyFill="1" applyBorder="1" applyAlignment="1">
      <alignment wrapText="1"/>
    </xf>
    <xf numFmtId="0" fontId="383" fillId="3" borderId="16" xfId="0" applyFont="1" applyFill="1" applyBorder="1" applyAlignment="1">
      <alignment horizontal="center" vertical="center"/>
    </xf>
    <xf numFmtId="10" fontId="383" fillId="0" borderId="16" xfId="2" applyNumberFormat="1" applyFont="1" applyBorder="1" applyAlignment="1">
      <alignment vertical="center"/>
    </xf>
    <xf numFmtId="171" fontId="383" fillId="3" borderId="16" xfId="2" applyNumberFormat="1" applyFont="1" applyFill="1" applyBorder="1" applyAlignment="1">
      <alignment horizontal="right" wrapText="1"/>
    </xf>
    <xf numFmtId="171" fontId="383" fillId="0" borderId="16" xfId="0" applyNumberFormat="1" applyFont="1" applyBorder="1" applyAlignment="1">
      <alignment vertical="center"/>
    </xf>
    <xf numFmtId="171" fontId="383" fillId="0" borderId="28" xfId="0" applyNumberFormat="1" applyFont="1" applyBorder="1" applyAlignment="1">
      <alignment vertical="center"/>
    </xf>
    <xf numFmtId="10" fontId="383" fillId="3" borderId="17" xfId="2" applyNumberFormat="1" applyFont="1" applyFill="1" applyBorder="1" applyAlignment="1">
      <alignment horizontal="left" wrapText="1" indent="1"/>
    </xf>
    <xf numFmtId="171" fontId="383" fillId="3" borderId="17" xfId="2" applyNumberFormat="1" applyFont="1" applyFill="1" applyBorder="1" applyAlignment="1">
      <alignment horizontal="left" wrapText="1" indent="1"/>
    </xf>
    <xf numFmtId="0" fontId="233" fillId="3" borderId="0" xfId="0" applyFont="1" applyFill="1"/>
    <xf numFmtId="0" fontId="384" fillId="3" borderId="0" xfId="0" applyFont="1" applyFill="1" applyAlignment="1">
      <alignment horizontal="left" vertical="center"/>
    </xf>
    <xf numFmtId="171" fontId="383" fillId="0" borderId="17" xfId="2" applyNumberFormat="1" applyFont="1" applyFill="1" applyBorder="1" applyAlignment="1">
      <alignment horizontal="left" wrapText="1" indent="1"/>
    </xf>
    <xf numFmtId="0" fontId="64" fillId="88" borderId="292" xfId="0" applyFont="1" applyFill="1" applyBorder="1" applyAlignment="1">
      <alignment horizontal="left" vertical="center"/>
    </xf>
    <xf numFmtId="0" fontId="119" fillId="99" borderId="0" xfId="0" applyFont="1" applyFill="1" applyAlignment="1">
      <alignment vertical="center" wrapText="1"/>
    </xf>
    <xf numFmtId="0" fontId="44" fillId="99" borderId="0" xfId="0" applyFont="1" applyFill="1" applyAlignment="1">
      <alignment horizontal="center" vertical="center"/>
    </xf>
    <xf numFmtId="0" fontId="9" fillId="8" borderId="115" xfId="0" applyFont="1" applyFill="1" applyBorder="1" applyAlignment="1" applyProtection="1">
      <alignment horizontal="center" vertical="center"/>
      <protection locked="0"/>
    </xf>
    <xf numFmtId="10" fontId="316" fillId="8" borderId="274" xfId="0" applyNumberFormat="1" applyFont="1" applyFill="1" applyBorder="1" applyAlignment="1" applyProtection="1">
      <alignment horizontal="center" vertical="center"/>
      <protection locked="0"/>
    </xf>
    <xf numFmtId="0" fontId="2" fillId="0" borderId="0" xfId="0" applyFont="1" applyProtection="1">
      <protection locked="0"/>
    </xf>
    <xf numFmtId="10" fontId="180" fillId="0" borderId="0" xfId="2" applyNumberFormat="1" applyFont="1" applyAlignment="1">
      <alignment horizontal="center" vertical="center"/>
    </xf>
    <xf numFmtId="0" fontId="386" fillId="0" borderId="0" xfId="7" applyFont="1" applyFill="1" applyProtection="1"/>
    <xf numFmtId="0" fontId="0" fillId="97" borderId="0" xfId="0" applyFill="1" applyAlignment="1">
      <alignment horizontal="center" vertical="center"/>
    </xf>
    <xf numFmtId="171" fontId="0" fillId="97" borderId="0" xfId="0" applyNumberFormat="1" applyFill="1" applyAlignment="1">
      <alignment horizontal="center" vertical="center"/>
    </xf>
    <xf numFmtId="0" fontId="387" fillId="0" borderId="0" xfId="0" applyFont="1" applyAlignment="1">
      <alignment vertical="center"/>
    </xf>
    <xf numFmtId="0" fontId="389" fillId="3" borderId="0" xfId="0" applyFont="1" applyFill="1" applyAlignment="1">
      <alignment horizontal="center" vertical="center"/>
    </xf>
    <xf numFmtId="0" fontId="383" fillId="3" borderId="0" xfId="0" applyFont="1" applyFill="1" applyAlignment="1">
      <alignment horizontal="left" vertical="center"/>
    </xf>
    <xf numFmtId="0" fontId="383" fillId="3" borderId="0" xfId="0" applyFont="1" applyFill="1" applyAlignment="1">
      <alignment vertical="center"/>
    </xf>
    <xf numFmtId="0" fontId="390" fillId="3" borderId="0" xfId="0" applyFont="1" applyFill="1" applyAlignment="1">
      <alignment vertical="center"/>
    </xf>
    <xf numFmtId="0" fontId="392" fillId="3" borderId="0" xfId="0" applyFont="1" applyFill="1" applyAlignment="1">
      <alignment vertical="center" wrapText="1"/>
    </xf>
    <xf numFmtId="0" fontId="392" fillId="3" borderId="0" xfId="0" applyFont="1" applyFill="1" applyAlignment="1">
      <alignment vertical="center"/>
    </xf>
    <xf numFmtId="0" fontId="388" fillId="3" borderId="0" xfId="0" applyFont="1" applyFill="1" applyAlignment="1">
      <alignment vertical="center"/>
    </xf>
    <xf numFmtId="0" fontId="169" fillId="3" borderId="0" xfId="0" applyFont="1" applyFill="1" applyAlignment="1">
      <alignment vertical="center"/>
    </xf>
    <xf numFmtId="0" fontId="2" fillId="0" borderId="26" xfId="0" applyFont="1" applyBorder="1"/>
    <xf numFmtId="0" fontId="188" fillId="0" borderId="27" xfId="0" applyFont="1" applyBorder="1"/>
    <xf numFmtId="0" fontId="180" fillId="0" borderId="27" xfId="0" applyFont="1" applyBorder="1"/>
    <xf numFmtId="0" fontId="180" fillId="0" borderId="27" xfId="0" applyFont="1" applyBorder="1" applyAlignment="1">
      <alignment horizontal="right"/>
    </xf>
    <xf numFmtId="0" fontId="180" fillId="0" borderId="18" xfId="0" applyFont="1" applyBorder="1" applyAlignment="1">
      <alignment horizontal="right" indent="1"/>
    </xf>
    <xf numFmtId="0" fontId="180" fillId="0" borderId="17" xfId="0" applyFont="1" applyBorder="1" applyAlignment="1">
      <alignment horizontal="right" indent="1"/>
    </xf>
    <xf numFmtId="0" fontId="180" fillId="0" borderId="17" xfId="0" applyFont="1" applyBorder="1" applyAlignment="1">
      <alignment horizontal="right" vertical="center" indent="1"/>
    </xf>
    <xf numFmtId="0" fontId="180" fillId="0" borderId="17" xfId="0" applyFont="1" applyBorder="1" applyAlignment="1">
      <alignment horizontal="left" vertical="center" indent="1"/>
    </xf>
    <xf numFmtId="0" fontId="208" fillId="3" borderId="16" xfId="0" applyFont="1" applyFill="1" applyBorder="1"/>
    <xf numFmtId="0" fontId="60" fillId="3" borderId="28" xfId="0" applyFont="1" applyFill="1" applyBorder="1"/>
    <xf numFmtId="0" fontId="60" fillId="3" borderId="22" xfId="0" applyFont="1" applyFill="1" applyBorder="1"/>
    <xf numFmtId="0" fontId="180" fillId="0" borderId="19" xfId="0" applyFont="1" applyBorder="1" applyAlignment="1">
      <alignment horizontal="right" indent="1"/>
    </xf>
    <xf numFmtId="0" fontId="391" fillId="3" borderId="0" xfId="0" applyFont="1" applyFill="1" applyAlignment="1">
      <alignment vertical="center"/>
    </xf>
    <xf numFmtId="0" fontId="393" fillId="3" borderId="0" xfId="7" applyFont="1" applyFill="1" applyAlignment="1">
      <alignment vertical="center"/>
    </xf>
    <xf numFmtId="0" fontId="392" fillId="3" borderId="0" xfId="0" applyFont="1" applyFill="1" applyAlignment="1">
      <alignment horizontal="left" vertical="center"/>
    </xf>
    <xf numFmtId="0" fontId="78" fillId="23" borderId="2" xfId="0" applyFont="1" applyFill="1" applyBorder="1" applyAlignment="1">
      <alignment horizontal="center" wrapText="1"/>
    </xf>
    <xf numFmtId="0" fontId="78" fillId="23" borderId="0" xfId="0" applyFont="1" applyFill="1" applyAlignment="1">
      <alignment horizontal="center" wrapText="1"/>
    </xf>
    <xf numFmtId="9" fontId="25" fillId="0" borderId="2" xfId="2" applyFont="1" applyBorder="1"/>
    <xf numFmtId="171" fontId="25" fillId="0" borderId="0" xfId="0" applyNumberFormat="1" applyFont="1"/>
    <xf numFmtId="9" fontId="0" fillId="0" borderId="0" xfId="0" applyNumberFormat="1"/>
    <xf numFmtId="171" fontId="0" fillId="0" borderId="0" xfId="14" applyNumberFormat="1" applyFont="1"/>
    <xf numFmtId="0" fontId="78" fillId="82" borderId="2" xfId="0" applyFont="1" applyFill="1" applyBorder="1" applyAlignment="1">
      <alignment horizontal="center" wrapText="1"/>
    </xf>
    <xf numFmtId="0" fontId="78" fillId="82" borderId="0" xfId="0" applyFont="1" applyFill="1" applyAlignment="1">
      <alignment horizontal="center" wrapText="1"/>
    </xf>
    <xf numFmtId="9" fontId="25" fillId="0" borderId="2" xfId="0" applyNumberFormat="1" applyFont="1" applyBorder="1"/>
    <xf numFmtId="0" fontId="335" fillId="3" borderId="0" xfId="0" applyFont="1" applyFill="1" applyAlignment="1">
      <alignment vertical="center" wrapText="1"/>
    </xf>
    <xf numFmtId="10" fontId="0" fillId="0" borderId="0" xfId="2" applyNumberFormat="1" applyFont="1"/>
    <xf numFmtId="196" fontId="0" fillId="0" borderId="0" xfId="0" applyNumberFormat="1"/>
    <xf numFmtId="197" fontId="0" fillId="0" borderId="0" xfId="0" applyNumberFormat="1"/>
    <xf numFmtId="174" fontId="0" fillId="0" borderId="0" xfId="2" applyNumberFormat="1" applyFont="1"/>
    <xf numFmtId="172" fontId="0" fillId="0" borderId="0" xfId="0" applyNumberFormat="1"/>
    <xf numFmtId="10" fontId="150" fillId="100" borderId="0" xfId="3" applyNumberFormat="1" applyFont="1" applyFill="1" applyBorder="1" applyAlignment="1" applyProtection="1">
      <alignment horizontal="center" wrapText="1"/>
    </xf>
    <xf numFmtId="9" fontId="0" fillId="0" borderId="0" xfId="2" applyFont="1"/>
    <xf numFmtId="0" fontId="4" fillId="27" borderId="142" xfId="0" applyFont="1" applyFill="1" applyBorder="1" applyAlignment="1">
      <alignment horizontal="center" vertical="center"/>
    </xf>
    <xf numFmtId="0" fontId="4" fillId="27" borderId="143" xfId="0" applyFont="1" applyFill="1" applyBorder="1" applyAlignment="1">
      <alignment horizontal="center" vertical="center"/>
    </xf>
    <xf numFmtId="0" fontId="4" fillId="27" borderId="131" xfId="0" applyFont="1" applyFill="1" applyBorder="1" applyAlignment="1">
      <alignment horizontal="center" vertical="center"/>
    </xf>
    <xf numFmtId="0" fontId="0" fillId="3" borderId="267" xfId="0" applyFill="1" applyBorder="1" applyAlignment="1">
      <alignment horizontal="center" vertical="center"/>
    </xf>
    <xf numFmtId="9" fontId="0" fillId="3" borderId="269" xfId="2" applyFont="1" applyFill="1" applyBorder="1" applyAlignment="1">
      <alignment horizontal="center" vertical="center"/>
    </xf>
    <xf numFmtId="171" fontId="0" fillId="3" borderId="268" xfId="0" applyNumberFormat="1" applyFill="1" applyBorder="1" applyAlignment="1">
      <alignment horizontal="center" vertical="center"/>
    </xf>
    <xf numFmtId="10" fontId="263" fillId="77" borderId="0" xfId="0" applyNumberFormat="1" applyFont="1" applyFill="1" applyAlignment="1">
      <alignment horizontal="left" vertical="center" wrapText="1"/>
    </xf>
    <xf numFmtId="0" fontId="4" fillId="3" borderId="0" xfId="0" applyFont="1" applyFill="1"/>
    <xf numFmtId="0" fontId="4" fillId="0" borderId="0" xfId="0" applyFont="1" applyAlignment="1">
      <alignment horizontal="center" vertical="center"/>
    </xf>
    <xf numFmtId="0" fontId="44" fillId="3" borderId="0" xfId="0" applyFont="1" applyFill="1" applyAlignment="1">
      <alignment vertical="center"/>
    </xf>
    <xf numFmtId="0" fontId="321" fillId="3" borderId="0" xfId="0" applyFont="1" applyFill="1"/>
    <xf numFmtId="0" fontId="321" fillId="3" borderId="0" xfId="0" applyFont="1" applyFill="1" applyAlignment="1">
      <alignment vertical="center"/>
    </xf>
    <xf numFmtId="172" fontId="112" fillId="3" borderId="17" xfId="0" applyNumberFormat="1" applyFont="1" applyFill="1" applyBorder="1" applyAlignment="1">
      <alignment horizontal="left" vertical="center" indent="1"/>
    </xf>
    <xf numFmtId="10" fontId="39" fillId="0" borderId="0" xfId="0" applyNumberFormat="1" applyFont="1" applyAlignment="1">
      <alignment horizontal="center" vertical="center"/>
    </xf>
    <xf numFmtId="10" fontId="314" fillId="0" borderId="0" xfId="0" applyNumberFormat="1" applyFont="1" applyAlignment="1">
      <alignment horizontal="center" vertical="center"/>
    </xf>
    <xf numFmtId="10" fontId="39" fillId="61" borderId="44" xfId="0" applyNumberFormat="1" applyFont="1" applyFill="1" applyBorder="1" applyAlignment="1">
      <alignment horizontal="center" vertical="center"/>
    </xf>
    <xf numFmtId="10" fontId="39" fillId="61" borderId="41" xfId="0" applyNumberFormat="1" applyFont="1" applyFill="1" applyBorder="1" applyAlignment="1">
      <alignment horizontal="center" vertical="center"/>
    </xf>
    <xf numFmtId="10" fontId="35" fillId="3" borderId="0" xfId="0" applyNumberFormat="1" applyFont="1" applyFill="1" applyAlignment="1">
      <alignment horizontal="center" vertical="center"/>
    </xf>
    <xf numFmtId="0" fontId="180" fillId="0" borderId="9" xfId="0" applyFont="1" applyBorder="1" applyAlignment="1">
      <alignment vertical="center"/>
    </xf>
    <xf numFmtId="0" fontId="180" fillId="0" borderId="9" xfId="0" applyFont="1" applyBorder="1" applyAlignment="1">
      <alignment horizontal="left"/>
    </xf>
    <xf numFmtId="0" fontId="265" fillId="24" borderId="0" xfId="0" applyFont="1" applyFill="1" applyAlignment="1">
      <alignment horizontal="center" vertical="top"/>
    </xf>
    <xf numFmtId="0" fontId="25" fillId="24" borderId="0" xfId="0" applyFont="1" applyFill="1" applyAlignment="1">
      <alignment horizontal="center" vertical="center"/>
    </xf>
    <xf numFmtId="0" fontId="265" fillId="24" borderId="0" xfId="0" applyFont="1" applyFill="1" applyAlignment="1">
      <alignment horizontal="right" vertical="top"/>
    </xf>
    <xf numFmtId="9" fontId="13" fillId="24" borderId="0" xfId="2" applyFont="1" applyFill="1" applyBorder="1" applyAlignment="1" applyProtection="1">
      <alignment horizontal="center" vertical="center"/>
    </xf>
    <xf numFmtId="0" fontId="226" fillId="24" borderId="0" xfId="0" applyFont="1" applyFill="1" applyAlignment="1">
      <alignment vertical="top"/>
    </xf>
    <xf numFmtId="0" fontId="226" fillId="24" borderId="0" xfId="0" applyFont="1" applyFill="1" applyAlignment="1">
      <alignment vertical="top" wrapText="1"/>
    </xf>
    <xf numFmtId="0" fontId="21" fillId="24" borderId="0" xfId="8" applyFill="1"/>
    <xf numFmtId="0" fontId="392" fillId="3" borderId="0" xfId="0" applyFont="1" applyFill="1" applyAlignment="1">
      <alignment horizontal="left" vertical="center" wrapText="1"/>
    </xf>
    <xf numFmtId="0" fontId="180" fillId="0" borderId="0" xfId="0" applyFont="1"/>
    <xf numFmtId="0" fontId="197" fillId="0" borderId="0" xfId="0" applyFont="1"/>
    <xf numFmtId="0" fontId="198" fillId="0" borderId="0" xfId="0" applyFont="1" applyAlignment="1">
      <alignment vertical="center"/>
    </xf>
    <xf numFmtId="0" fontId="200" fillId="0" borderId="0" xfId="0" applyFont="1" applyAlignment="1">
      <alignment horizontal="right" vertical="center"/>
    </xf>
    <xf numFmtId="0" fontId="7" fillId="31" borderId="0" xfId="0" applyFont="1" applyFill="1" applyAlignment="1">
      <alignment horizontal="center" vertical="center" wrapText="1"/>
    </xf>
    <xf numFmtId="0" fontId="7" fillId="3" borderId="0" xfId="0" applyFont="1" applyFill="1" applyAlignment="1">
      <alignment horizontal="center" vertical="center" wrapText="1"/>
    </xf>
    <xf numFmtId="0" fontId="392" fillId="0" borderId="0" xfId="0" applyFont="1" applyAlignment="1">
      <alignment vertical="center" wrapText="1"/>
    </xf>
    <xf numFmtId="0" fontId="392" fillId="0" borderId="0" xfId="0" applyFont="1" applyAlignment="1">
      <alignment vertical="center"/>
    </xf>
    <xf numFmtId="0" fontId="383" fillId="0" borderId="0" xfId="0" applyFont="1" applyAlignment="1">
      <alignment vertical="center"/>
    </xf>
    <xf numFmtId="0" fontId="392" fillId="3" borderId="0" xfId="0" applyFont="1" applyFill="1" applyAlignment="1">
      <alignment horizontal="center" vertical="center"/>
    </xf>
    <xf numFmtId="0" fontId="224" fillId="61" borderId="0" xfId="0" applyFont="1" applyFill="1" applyAlignment="1">
      <alignment horizontal="center" vertical="center"/>
    </xf>
    <xf numFmtId="0" fontId="224" fillId="3" borderId="2" xfId="0" applyFont="1" applyFill="1" applyBorder="1" applyAlignment="1">
      <alignment horizontal="center" vertical="center"/>
    </xf>
    <xf numFmtId="0" fontId="326" fillId="3" borderId="0" xfId="0" applyFont="1" applyFill="1" applyProtection="1">
      <protection locked="0"/>
    </xf>
    <xf numFmtId="0" fontId="180" fillId="3" borderId="0" xfId="0" applyFont="1" applyFill="1" applyAlignment="1">
      <alignment horizontal="right" indent="2"/>
    </xf>
    <xf numFmtId="0" fontId="251" fillId="3" borderId="0" xfId="0" applyFont="1" applyFill="1" applyAlignment="1" applyProtection="1">
      <alignment horizontal="center" vertical="center"/>
      <protection locked="0"/>
    </xf>
    <xf numFmtId="0" fontId="251" fillId="3" borderId="0" xfId="0" applyFont="1" applyFill="1"/>
    <xf numFmtId="0" fontId="333" fillId="0" borderId="0" xfId="0" applyFont="1" applyAlignment="1">
      <alignment horizontal="center" vertical="center"/>
    </xf>
    <xf numFmtId="0" fontId="46" fillId="3" borderId="0" xfId="0" applyFont="1" applyFill="1"/>
    <xf numFmtId="0" fontId="258" fillId="3" borderId="0" xfId="0" applyFont="1" applyFill="1" applyAlignment="1">
      <alignment horizontal="left" vertical="top" wrapText="1"/>
    </xf>
    <xf numFmtId="0" fontId="398" fillId="0" borderId="0" xfId="0" applyFont="1"/>
    <xf numFmtId="0" fontId="259" fillId="9" borderId="0" xfId="0" applyFont="1" applyFill="1" applyAlignment="1">
      <alignment vertical="center" wrapText="1"/>
    </xf>
    <xf numFmtId="0" fontId="293" fillId="0" borderId="0" xfId="0" applyFont="1" applyAlignment="1">
      <alignment horizontal="justify" vertical="center"/>
    </xf>
    <xf numFmtId="0" fontId="293" fillId="0" borderId="0" xfId="0" applyFont="1" applyAlignment="1">
      <alignment horizontal="justify" vertical="center" wrapText="1"/>
    </xf>
    <xf numFmtId="0" fontId="262" fillId="3" borderId="0" xfId="0" applyFont="1" applyFill="1" applyAlignment="1">
      <alignment vertical="top" wrapText="1"/>
    </xf>
    <xf numFmtId="0" fontId="296" fillId="0" borderId="0" xfId="0" quotePrefix="1" applyFont="1" applyAlignment="1">
      <alignment vertical="center" wrapText="1"/>
    </xf>
    <xf numFmtId="172" fontId="25" fillId="0" borderId="0" xfId="0" applyNumberFormat="1" applyFont="1" applyAlignment="1">
      <alignment horizontal="left" vertical="center"/>
    </xf>
    <xf numFmtId="0" fontId="258" fillId="0" borderId="0" xfId="0" applyFont="1" applyAlignment="1">
      <alignment vertical="top"/>
    </xf>
    <xf numFmtId="0" fontId="262" fillId="60" borderId="0" xfId="0" applyFont="1" applyFill="1" applyAlignment="1" applyProtection="1">
      <alignment horizontal="left" vertical="center" wrapText="1"/>
      <protection locked="0"/>
    </xf>
    <xf numFmtId="0" fontId="2" fillId="8" borderId="83" xfId="3" applyFill="1" applyBorder="1" applyAlignment="1" applyProtection="1">
      <alignment horizontal="left" vertical="center"/>
      <protection locked="0"/>
    </xf>
    <xf numFmtId="0" fontId="25" fillId="0" borderId="0" xfId="0" applyFont="1" applyAlignment="1" applyProtection="1">
      <alignment vertical="center"/>
      <protection locked="0"/>
    </xf>
    <xf numFmtId="0" fontId="8" fillId="3" borderId="44" xfId="0" applyFont="1" applyFill="1" applyBorder="1" applyAlignment="1">
      <alignment horizontal="left" vertical="center"/>
    </xf>
    <xf numFmtId="0" fontId="401" fillId="0" borderId="0" xfId="0" applyFont="1" applyAlignment="1">
      <alignment horizontal="left" vertical="center" indent="5"/>
    </xf>
    <xf numFmtId="10" fontId="4" fillId="9" borderId="0" xfId="0" applyNumberFormat="1" applyFont="1" applyFill="1" applyAlignment="1">
      <alignment vertical="center" wrapText="1"/>
    </xf>
    <xf numFmtId="0" fontId="267" fillId="9" borderId="0" xfId="0" applyFont="1" applyFill="1" applyAlignment="1" applyProtection="1">
      <alignment horizontal="center" vertical="center"/>
      <protection locked="0"/>
    </xf>
    <xf numFmtId="0" fontId="2" fillId="8" borderId="0" xfId="3" applyFill="1" applyBorder="1" applyAlignment="1" applyProtection="1">
      <alignment horizontal="left" vertical="center"/>
      <protection locked="0"/>
    </xf>
    <xf numFmtId="9" fontId="263" fillId="0" borderId="0" xfId="2" applyFont="1" applyAlignment="1" applyProtection="1">
      <alignment horizontal="left" vertical="center" wrapText="1"/>
      <protection locked="0"/>
    </xf>
    <xf numFmtId="9" fontId="39" fillId="0" borderId="2" xfId="0" applyNumberFormat="1" applyFont="1" applyBorder="1"/>
    <xf numFmtId="9" fontId="0" fillId="3" borderId="17" xfId="2" applyFont="1" applyFill="1" applyBorder="1" applyAlignment="1">
      <alignment wrapText="1"/>
    </xf>
    <xf numFmtId="0" fontId="2" fillId="8" borderId="83" xfId="3" applyFill="1" applyBorder="1" applyAlignment="1" applyProtection="1">
      <alignment horizontal="left" vertical="top"/>
      <protection locked="0"/>
    </xf>
    <xf numFmtId="0" fontId="258" fillId="3" borderId="0" xfId="0" applyFont="1" applyFill="1" applyAlignment="1" applyProtection="1">
      <alignment horizontal="justify" vertical="center"/>
      <protection locked="0"/>
    </xf>
    <xf numFmtId="0" fontId="25" fillId="0" borderId="86" xfId="0" applyFont="1" applyBorder="1"/>
    <xf numFmtId="0" fontId="78" fillId="23" borderId="26" xfId="0" applyFont="1" applyFill="1" applyBorder="1" applyAlignment="1">
      <alignment horizontal="center"/>
    </xf>
    <xf numFmtId="10" fontId="39" fillId="0" borderId="45" xfId="0" applyNumberFormat="1" applyFont="1" applyBorder="1" applyAlignment="1">
      <alignment horizontal="center" vertical="center"/>
    </xf>
    <xf numFmtId="10" fontId="39" fillId="3" borderId="284" xfId="0" applyNumberFormat="1" applyFont="1" applyFill="1" applyBorder="1" applyAlignment="1">
      <alignment horizontal="left" vertical="center"/>
    </xf>
    <xf numFmtId="0" fontId="78" fillId="82" borderId="26" xfId="0" applyFont="1" applyFill="1" applyBorder="1" applyAlignment="1">
      <alignment horizontal="center"/>
    </xf>
    <xf numFmtId="0" fontId="78" fillId="83" borderId="26" xfId="0" applyFont="1" applyFill="1" applyBorder="1" applyAlignment="1">
      <alignment horizontal="center"/>
    </xf>
    <xf numFmtId="0" fontId="134" fillId="23" borderId="75" xfId="0" applyFont="1" applyFill="1" applyBorder="1" applyAlignment="1">
      <alignment horizontal="center" wrapText="1"/>
    </xf>
    <xf numFmtId="0" fontId="39" fillId="0" borderId="112" xfId="0" applyFont="1" applyBorder="1" applyAlignment="1">
      <alignment horizontal="left" vertical="center"/>
    </xf>
    <xf numFmtId="9" fontId="39" fillId="3" borderId="295" xfId="0" applyNumberFormat="1" applyFont="1" applyFill="1" applyBorder="1" applyAlignment="1">
      <alignment horizontal="left" vertical="center"/>
    </xf>
    <xf numFmtId="0" fontId="134" fillId="82" borderId="75" xfId="0" applyFont="1" applyFill="1" applyBorder="1" applyAlignment="1">
      <alignment horizontal="center" wrapText="1"/>
    </xf>
    <xf numFmtId="0" fontId="25" fillId="3" borderId="60" xfId="0" applyFont="1" applyFill="1" applyBorder="1"/>
    <xf numFmtId="0" fontId="134" fillId="83" borderId="75" xfId="0" applyFont="1" applyFill="1" applyBorder="1" applyAlignment="1">
      <alignment horizontal="center" wrapText="1"/>
    </xf>
    <xf numFmtId="9" fontId="31" fillId="3" borderId="83" xfId="0" applyNumberFormat="1" applyFont="1" applyFill="1" applyBorder="1" applyAlignment="1">
      <alignment horizontal="center"/>
    </xf>
    <xf numFmtId="10" fontId="62" fillId="0" borderId="9" xfId="0" applyNumberFormat="1" applyFont="1" applyBorder="1" applyAlignment="1">
      <alignment horizontal="center" vertical="center"/>
    </xf>
    <xf numFmtId="10" fontId="30" fillId="3" borderId="28" xfId="0" applyNumberFormat="1" applyFont="1" applyFill="1" applyBorder="1" applyAlignment="1">
      <alignment horizontal="center" vertical="center"/>
    </xf>
    <xf numFmtId="170" fontId="0" fillId="3" borderId="2" xfId="0" applyNumberFormat="1" applyFill="1" applyBorder="1" applyAlignment="1">
      <alignment horizontal="center" vertical="center"/>
    </xf>
    <xf numFmtId="170" fontId="0" fillId="3" borderId="2" xfId="0" applyNumberFormat="1" applyFill="1" applyBorder="1" applyAlignment="1">
      <alignment horizontal="center"/>
    </xf>
    <xf numFmtId="0" fontId="3" fillId="0" borderId="0" xfId="0" applyFont="1" applyAlignment="1">
      <alignment vertical="center"/>
    </xf>
    <xf numFmtId="0" fontId="180" fillId="3" borderId="22" xfId="0" applyFont="1" applyFill="1" applyBorder="1" applyAlignment="1">
      <alignment horizontal="right" vertical="center" indent="1"/>
    </xf>
    <xf numFmtId="0" fontId="180" fillId="3" borderId="27" xfId="0" applyFont="1" applyFill="1" applyBorder="1" applyAlignment="1">
      <alignment horizontal="right" vertical="center" indent="1"/>
    </xf>
    <xf numFmtId="0" fontId="331" fillId="3" borderId="0" xfId="0" applyFont="1" applyFill="1" applyAlignment="1">
      <alignment vertical="center"/>
    </xf>
    <xf numFmtId="0" fontId="224" fillId="3" borderId="0" xfId="0" applyFont="1" applyFill="1" applyAlignment="1">
      <alignment horizontal="center" vertical="center"/>
    </xf>
    <xf numFmtId="0" fontId="404" fillId="3" borderId="0" xfId="0" applyFont="1" applyFill="1" applyAlignment="1">
      <alignment vertical="center"/>
    </xf>
    <xf numFmtId="14" fontId="405" fillId="3" borderId="0" xfId="0" applyNumberFormat="1" applyFont="1" applyFill="1" applyAlignment="1">
      <alignment horizontal="center" vertical="center"/>
    </xf>
    <xf numFmtId="0" fontId="406" fillId="3" borderId="0" xfId="0" applyFont="1" applyFill="1" applyAlignment="1">
      <alignment horizontal="left" vertical="center" wrapText="1"/>
    </xf>
    <xf numFmtId="0" fontId="409" fillId="3" borderId="0" xfId="0" applyFont="1" applyFill="1" applyAlignment="1">
      <alignment horizontal="center" vertical="center"/>
    </xf>
    <xf numFmtId="0" fontId="411" fillId="3" borderId="0" xfId="0" applyFont="1" applyFill="1" applyAlignment="1">
      <alignment horizontal="center" vertical="center"/>
    </xf>
    <xf numFmtId="0" fontId="169" fillId="31" borderId="0" xfId="0" applyFont="1" applyFill="1" applyAlignment="1">
      <alignment horizontal="center" vertical="center" wrapText="1"/>
    </xf>
    <xf numFmtId="0" fontId="403" fillId="3" borderId="0" xfId="0" applyFont="1" applyFill="1" applyAlignment="1">
      <alignment horizontal="center" vertical="center"/>
    </xf>
    <xf numFmtId="0" fontId="390" fillId="24" borderId="0" xfId="0" applyFont="1" applyFill="1" applyAlignment="1">
      <alignment vertical="center"/>
    </xf>
    <xf numFmtId="0" fontId="5" fillId="24" borderId="0" xfId="0" applyFont="1" applyFill="1" applyAlignment="1">
      <alignment vertical="center"/>
    </xf>
    <xf numFmtId="0" fontId="407" fillId="3" borderId="0" xfId="0" applyFont="1" applyFill="1" applyAlignment="1">
      <alignment horizontal="left" vertical="center" wrapText="1"/>
    </xf>
    <xf numFmtId="0" fontId="416" fillId="87" borderId="2" xfId="0" applyFont="1" applyFill="1" applyBorder="1" applyAlignment="1">
      <alignment horizontal="center" vertical="center" wrapText="1"/>
    </xf>
    <xf numFmtId="0" fontId="403" fillId="3" borderId="0" xfId="0" applyFont="1" applyFill="1" applyAlignment="1">
      <alignment vertical="center"/>
    </xf>
    <xf numFmtId="0" fontId="403" fillId="3" borderId="0" xfId="0" applyFont="1" applyFill="1" applyAlignment="1">
      <alignment horizontal="left" vertical="center"/>
    </xf>
    <xf numFmtId="0" fontId="404" fillId="3" borderId="0" xfId="0" applyFont="1" applyFill="1" applyAlignment="1">
      <alignment horizontal="center" vertical="center"/>
    </xf>
    <xf numFmtId="0" fontId="346" fillId="3" borderId="0" xfId="0" applyFont="1" applyFill="1" applyAlignment="1">
      <alignment vertical="center"/>
    </xf>
    <xf numFmtId="10" fontId="417" fillId="0" borderId="0" xfId="0" applyNumberFormat="1" applyFont="1"/>
    <xf numFmtId="0" fontId="39" fillId="3" borderId="0" xfId="0" applyFont="1" applyFill="1" applyAlignment="1">
      <alignment horizontal="center" vertical="center"/>
    </xf>
    <xf numFmtId="0" fontId="418" fillId="3" borderId="0" xfId="0" applyFont="1" applyFill="1" applyAlignment="1">
      <alignment vertical="center"/>
    </xf>
    <xf numFmtId="0" fontId="418" fillId="3" borderId="0" xfId="0" applyFont="1" applyFill="1"/>
    <xf numFmtId="10" fontId="189" fillId="3" borderId="0" xfId="0" applyNumberFormat="1" applyFont="1" applyFill="1"/>
    <xf numFmtId="0" fontId="346" fillId="0" borderId="0" xfId="0" applyFont="1" applyAlignment="1">
      <alignment horizontal="center" vertical="center"/>
    </xf>
    <xf numFmtId="10" fontId="400" fillId="3" borderId="0" xfId="2" applyNumberFormat="1" applyFont="1" applyFill="1" applyBorder="1" applyAlignment="1" applyProtection="1">
      <alignment horizontal="left" vertical="center"/>
      <protection locked="0"/>
    </xf>
    <xf numFmtId="0" fontId="25" fillId="95" borderId="27" xfId="0" applyFont="1" applyFill="1" applyBorder="1" applyAlignment="1">
      <alignment horizontal="center"/>
    </xf>
    <xf numFmtId="9" fontId="225" fillId="3" borderId="0" xfId="2" applyFont="1" applyFill="1" applyBorder="1" applyAlignment="1">
      <alignment horizontal="left" wrapText="1"/>
    </xf>
    <xf numFmtId="0" fontId="340" fillId="95" borderId="22" xfId="0" applyFont="1" applyFill="1" applyBorder="1" applyAlignment="1">
      <alignment horizontal="center"/>
    </xf>
    <xf numFmtId="0" fontId="232" fillId="20" borderId="0" xfId="0" applyFont="1" applyFill="1" applyAlignment="1">
      <alignment horizontal="center"/>
    </xf>
    <xf numFmtId="0" fontId="347" fillId="3" borderId="0" xfId="0" applyFont="1" applyFill="1" applyAlignment="1">
      <alignment horizontal="center" vertical="center" wrapText="1"/>
    </xf>
    <xf numFmtId="0" fontId="321" fillId="0" borderId="0" xfId="0" applyFont="1" applyAlignment="1">
      <alignment horizontal="center"/>
    </xf>
    <xf numFmtId="0" fontId="68" fillId="0" borderId="3" xfId="0" applyFont="1" applyBorder="1"/>
    <xf numFmtId="0" fontId="297" fillId="3" borderId="0" xfId="0" applyFont="1" applyFill="1" applyAlignment="1">
      <alignment horizontal="left" vertical="center" wrapText="1"/>
    </xf>
    <xf numFmtId="0" fontId="180" fillId="3" borderId="0" xfId="0" applyFont="1" applyFill="1" applyAlignment="1">
      <alignment horizontal="center" vertical="center" wrapText="1"/>
    </xf>
    <xf numFmtId="0" fontId="9" fillId="3" borderId="0" xfId="0" applyFont="1" applyFill="1" applyAlignment="1">
      <alignment horizontal="left" vertical="center"/>
    </xf>
    <xf numFmtId="0" fontId="9" fillId="3" borderId="0" xfId="0" applyFont="1" applyFill="1" applyAlignment="1">
      <alignment horizontal="left"/>
    </xf>
    <xf numFmtId="9" fontId="171" fillId="3" borderId="0" xfId="2" applyFont="1" applyFill="1" applyBorder="1" applyAlignment="1">
      <alignment horizontal="left" vertical="center"/>
    </xf>
    <xf numFmtId="171" fontId="171" fillId="3" borderId="0" xfId="14" applyNumberFormat="1" applyFont="1" applyFill="1" applyBorder="1" applyAlignment="1">
      <alignment horizontal="center" vertical="center"/>
    </xf>
    <xf numFmtId="171" fontId="8" fillId="3" borderId="0" xfId="14" applyNumberFormat="1" applyFont="1" applyFill="1" applyBorder="1" applyAlignment="1">
      <alignment horizontal="center" vertical="center"/>
    </xf>
    <xf numFmtId="9" fontId="9" fillId="3" borderId="0" xfId="2" applyFont="1" applyFill="1" applyBorder="1" applyAlignment="1">
      <alignment horizontal="center" vertical="center"/>
    </xf>
    <xf numFmtId="0" fontId="321" fillId="3" borderId="0" xfId="0" applyFont="1" applyFill="1" applyAlignment="1">
      <alignment horizontal="center" vertical="center" wrapText="1"/>
    </xf>
    <xf numFmtId="10" fontId="229" fillId="3" borderId="0" xfId="0" applyNumberFormat="1" applyFont="1" applyFill="1" applyAlignment="1">
      <alignment horizontal="center" vertical="center"/>
    </xf>
    <xf numFmtId="10" fontId="365" fillId="3" borderId="0" xfId="2" applyNumberFormat="1" applyFont="1" applyFill="1" applyBorder="1" applyAlignment="1">
      <alignment horizontal="center" vertical="center"/>
    </xf>
    <xf numFmtId="171" fontId="9" fillId="3" borderId="0" xfId="14" applyNumberFormat="1" applyFont="1" applyFill="1" applyBorder="1" applyAlignment="1">
      <alignment horizontal="center" vertical="center"/>
    </xf>
    <xf numFmtId="0" fontId="8" fillId="3" borderId="0" xfId="0" applyFont="1" applyFill="1" applyAlignment="1">
      <alignment horizontal="left" vertical="center"/>
    </xf>
    <xf numFmtId="0" fontId="8" fillId="3" borderId="0" xfId="0" applyFont="1" applyFill="1" applyAlignment="1">
      <alignment horizontal="center" vertical="center"/>
    </xf>
    <xf numFmtId="9" fontId="8" fillId="3" borderId="0" xfId="2" applyFont="1" applyFill="1" applyBorder="1" applyAlignment="1">
      <alignment horizontal="center" vertical="center"/>
    </xf>
    <xf numFmtId="0" fontId="169" fillId="0" borderId="0" xfId="0" applyFont="1" applyAlignment="1">
      <alignment horizontal="center" vertical="center"/>
    </xf>
    <xf numFmtId="10" fontId="314" fillId="30" borderId="0" xfId="0" applyNumberFormat="1" applyFont="1" applyFill="1" applyAlignment="1">
      <alignment horizontal="center" vertical="center"/>
    </xf>
    <xf numFmtId="10" fontId="39" fillId="8" borderId="0" xfId="0" applyNumberFormat="1" applyFont="1" applyFill="1" applyAlignment="1">
      <alignment horizontal="center" vertical="center"/>
    </xf>
    <xf numFmtId="10" fontId="39" fillId="61" borderId="0" xfId="0" applyNumberFormat="1" applyFont="1" applyFill="1" applyAlignment="1">
      <alignment horizontal="center" vertical="center"/>
    </xf>
    <xf numFmtId="0" fontId="313" fillId="61" borderId="0" xfId="0" applyFont="1" applyFill="1" applyAlignment="1">
      <alignment horizontal="left" vertical="center" wrapText="1"/>
    </xf>
    <xf numFmtId="10" fontId="32" fillId="8" borderId="0" xfId="0" applyNumberFormat="1" applyFont="1" applyFill="1" applyAlignment="1">
      <alignment horizontal="center" vertical="center"/>
    </xf>
    <xf numFmtId="10" fontId="314" fillId="39" borderId="0" xfId="0" applyNumberFormat="1" applyFont="1" applyFill="1" applyAlignment="1">
      <alignment horizontal="center" vertical="center"/>
    </xf>
    <xf numFmtId="0" fontId="134" fillId="29" borderId="26" xfId="0" applyFont="1" applyFill="1" applyBorder="1" applyAlignment="1">
      <alignment horizontal="center" wrapText="1"/>
    </xf>
    <xf numFmtId="0" fontId="78" fillId="29" borderId="27" xfId="0" applyFont="1" applyFill="1" applyBorder="1" applyAlignment="1">
      <alignment horizontal="center"/>
    </xf>
    <xf numFmtId="0" fontId="78" fillId="29" borderId="27" xfId="0" applyFont="1" applyFill="1" applyBorder="1" applyAlignment="1">
      <alignment horizontal="center" vertical="center" wrapText="1"/>
    </xf>
    <xf numFmtId="0" fontId="78" fillId="29" borderId="27" xfId="0" applyFont="1" applyFill="1" applyBorder="1" applyAlignment="1">
      <alignment horizontal="center" wrapText="1"/>
    </xf>
    <xf numFmtId="0" fontId="78" fillId="29" borderId="18" xfId="0" applyFont="1" applyFill="1" applyBorder="1" applyAlignment="1">
      <alignment horizontal="center"/>
    </xf>
    <xf numFmtId="0" fontId="78" fillId="29" borderId="18" xfId="0" applyFont="1" applyFill="1" applyBorder="1" applyAlignment="1">
      <alignment horizontal="center" wrapText="1"/>
    </xf>
    <xf numFmtId="0" fontId="354" fillId="0" borderId="0" xfId="0" applyFont="1" applyAlignment="1">
      <alignment horizontal="center" vertical="center" textRotation="90" wrapText="1"/>
    </xf>
    <xf numFmtId="10" fontId="62" fillId="0" borderId="0" xfId="0" applyNumberFormat="1" applyFont="1" applyAlignment="1">
      <alignment horizontal="center" vertical="center"/>
    </xf>
    <xf numFmtId="10" fontId="150" fillId="100" borderId="27" xfId="3" applyNumberFormat="1" applyFont="1" applyFill="1" applyBorder="1" applyAlignment="1" applyProtection="1">
      <alignment horizontal="center"/>
    </xf>
    <xf numFmtId="10" fontId="150" fillId="100" borderId="22" xfId="3" applyNumberFormat="1" applyFont="1" applyFill="1" applyBorder="1" applyAlignment="1" applyProtection="1">
      <alignment horizontal="center"/>
    </xf>
    <xf numFmtId="0" fontId="180" fillId="0" borderId="30" xfId="0" applyFont="1" applyBorder="1" applyAlignment="1">
      <alignment vertical="center" wrapText="1"/>
    </xf>
    <xf numFmtId="0" fontId="180" fillId="0" borderId="0" xfId="0" applyFont="1" applyAlignment="1">
      <alignment vertical="center" wrapText="1"/>
    </xf>
    <xf numFmtId="0" fontId="328" fillId="3" borderId="27" xfId="0" applyFont="1" applyFill="1" applyBorder="1" applyAlignment="1" applyProtection="1">
      <alignment horizontal="right" vertical="center" indent="1"/>
      <protection locked="0"/>
    </xf>
    <xf numFmtId="0" fontId="232" fillId="0" borderId="0" xfId="0" applyFont="1" applyAlignment="1">
      <alignment horizontal="center"/>
    </xf>
    <xf numFmtId="0" fontId="372" fillId="0" borderId="0" xfId="0" applyFont="1" applyAlignment="1">
      <alignment horizontal="left" vertical="center"/>
    </xf>
    <xf numFmtId="0" fontId="372" fillId="0" borderId="0" xfId="0" applyFont="1" applyAlignment="1">
      <alignment horizontal="center" vertical="center"/>
    </xf>
    <xf numFmtId="10" fontId="8" fillId="0" borderId="45" xfId="0" applyNumberFormat="1" applyFont="1" applyBorder="1" applyAlignment="1">
      <alignment horizontal="center" vertical="center"/>
    </xf>
    <xf numFmtId="0" fontId="62" fillId="3" borderId="0" xfId="0" applyFont="1" applyFill="1" applyAlignment="1">
      <alignment horizontal="left" vertical="center"/>
    </xf>
    <xf numFmtId="0" fontId="179" fillId="3" borderId="129" xfId="0" applyFont="1" applyFill="1" applyBorder="1" applyAlignment="1">
      <alignment vertical="center"/>
    </xf>
    <xf numFmtId="9" fontId="25" fillId="97" borderId="83" xfId="0" applyNumberFormat="1" applyFont="1" applyFill="1" applyBorder="1" applyAlignment="1">
      <alignment horizontal="center" vertical="center"/>
    </xf>
    <xf numFmtId="10" fontId="4" fillId="0" borderId="30" xfId="0" applyNumberFormat="1" applyFont="1" applyBorder="1" applyAlignment="1">
      <alignment vertical="center"/>
    </xf>
    <xf numFmtId="10" fontId="25" fillId="0" borderId="30" xfId="0" applyNumberFormat="1" applyFont="1" applyBorder="1" applyAlignment="1">
      <alignment vertical="center" wrapText="1"/>
    </xf>
    <xf numFmtId="0" fontId="383" fillId="0" borderId="19" xfId="0" applyFont="1" applyBorder="1" applyAlignment="1">
      <alignment horizontal="right" vertical="center"/>
    </xf>
    <xf numFmtId="171" fontId="0" fillId="29" borderId="83" xfId="0" applyNumberFormat="1" applyFill="1" applyBorder="1" applyAlignment="1">
      <alignment horizontal="center"/>
    </xf>
    <xf numFmtId="171" fontId="3" fillId="29" borderId="86" xfId="0" applyNumberFormat="1" applyFont="1" applyFill="1" applyBorder="1" applyAlignment="1">
      <alignment horizontal="center" vertical="center"/>
    </xf>
    <xf numFmtId="0" fontId="251" fillId="0" borderId="0" xfId="0" applyFont="1" applyAlignment="1">
      <alignment horizontal="right" vertical="center"/>
    </xf>
    <xf numFmtId="10" fontId="380" fillId="29" borderId="283" xfId="2" applyNumberFormat="1" applyFont="1" applyFill="1" applyBorder="1" applyAlignment="1">
      <alignment horizontal="center"/>
    </xf>
    <xf numFmtId="10" fontId="366" fillId="29" borderId="283" xfId="2" applyNumberFormat="1" applyFont="1" applyFill="1" applyBorder="1" applyAlignment="1">
      <alignment horizontal="center"/>
    </xf>
    <xf numFmtId="171" fontId="366" fillId="29" borderId="283" xfId="0" applyNumberFormat="1" applyFont="1" applyFill="1" applyBorder="1" applyAlignment="1">
      <alignment horizontal="center"/>
    </xf>
    <xf numFmtId="171" fontId="366" fillId="29" borderId="288" xfId="0" applyNumberFormat="1" applyFont="1" applyFill="1" applyBorder="1" applyAlignment="1">
      <alignment horizontal="center"/>
    </xf>
    <xf numFmtId="171" fontId="366" fillId="29" borderId="288" xfId="0" applyNumberFormat="1" applyFont="1" applyFill="1" applyBorder="1" applyAlignment="1">
      <alignment horizontal="center" wrapText="1"/>
    </xf>
    <xf numFmtId="190" fontId="179" fillId="3" borderId="0" xfId="3" applyNumberFormat="1" applyFont="1" applyFill="1" applyBorder="1" applyAlignment="1" applyProtection="1">
      <alignment horizontal="center" vertical="center"/>
      <protection locked="0"/>
    </xf>
    <xf numFmtId="0" fontId="40" fillId="7" borderId="0" xfId="0" applyFont="1" applyFill="1" applyAlignment="1">
      <alignment vertical="center"/>
    </xf>
    <xf numFmtId="10" fontId="366" fillId="26" borderId="0" xfId="2" applyNumberFormat="1" applyFont="1" applyFill="1" applyBorder="1" applyAlignment="1">
      <alignment horizontal="center"/>
    </xf>
    <xf numFmtId="171" fontId="366" fillId="26" borderId="0" xfId="0" applyNumberFormat="1" applyFont="1" applyFill="1" applyAlignment="1">
      <alignment horizontal="center"/>
    </xf>
    <xf numFmtId="171" fontId="366" fillId="26" borderId="300" xfId="0" applyNumberFormat="1" applyFont="1" applyFill="1" applyBorder="1" applyAlignment="1">
      <alignment horizontal="center"/>
    </xf>
    <xf numFmtId="10" fontId="380" fillId="26" borderId="0" xfId="2" applyNumberFormat="1" applyFont="1" applyFill="1" applyBorder="1" applyAlignment="1">
      <alignment horizontal="center"/>
    </xf>
    <xf numFmtId="10" fontId="44" fillId="3" borderId="0" xfId="2" applyNumberFormat="1" applyFont="1" applyFill="1" applyBorder="1" applyAlignment="1">
      <alignment horizontal="center"/>
    </xf>
    <xf numFmtId="171" fontId="44" fillId="3" borderId="0" xfId="0" applyNumberFormat="1" applyFont="1" applyFill="1" applyAlignment="1">
      <alignment horizontal="center"/>
    </xf>
    <xf numFmtId="171" fontId="44" fillId="3" borderId="0" xfId="0" applyNumberFormat="1" applyFont="1" applyFill="1" applyAlignment="1">
      <alignment horizontal="center" wrapText="1"/>
    </xf>
    <xf numFmtId="10" fontId="372" fillId="3" borderId="0" xfId="2" applyNumberFormat="1" applyFont="1" applyFill="1" applyBorder="1" applyAlignment="1">
      <alignment horizontal="center"/>
    </xf>
    <xf numFmtId="0" fontId="354" fillId="81" borderId="0" xfId="0" applyFont="1" applyFill="1" applyAlignment="1">
      <alignment horizontal="center" vertical="center" textRotation="90" wrapText="1"/>
    </xf>
    <xf numFmtId="0" fontId="354" fillId="81" borderId="17" xfId="0" applyFont="1" applyFill="1" applyBorder="1" applyAlignment="1">
      <alignment horizontal="center" vertical="center" textRotation="90" wrapText="1"/>
    </xf>
    <xf numFmtId="0" fontId="134" fillId="27" borderId="75" xfId="0" applyFont="1" applyFill="1" applyBorder="1" applyAlignment="1">
      <alignment horizontal="center" wrapText="1"/>
    </xf>
    <xf numFmtId="0" fontId="78" fillId="27" borderId="27" xfId="0" applyFont="1" applyFill="1" applyBorder="1" applyAlignment="1">
      <alignment horizontal="center"/>
    </xf>
    <xf numFmtId="0" fontId="78" fillId="27" borderId="27" xfId="0" applyFont="1" applyFill="1" applyBorder="1" applyAlignment="1">
      <alignment horizontal="center" wrapText="1"/>
    </xf>
    <xf numFmtId="0" fontId="78" fillId="27" borderId="18" xfId="0" applyFont="1" applyFill="1" applyBorder="1" applyAlignment="1">
      <alignment horizontal="center" wrapText="1"/>
    </xf>
    <xf numFmtId="0" fontId="78" fillId="27" borderId="26" xfId="0" applyFont="1" applyFill="1" applyBorder="1" applyAlignment="1">
      <alignment horizontal="center"/>
    </xf>
    <xf numFmtId="10" fontId="366" fillId="3" borderId="299" xfId="2" applyNumberFormat="1" applyFont="1" applyFill="1" applyBorder="1" applyAlignment="1">
      <alignment horizontal="center"/>
    </xf>
    <xf numFmtId="171" fontId="366" fillId="3" borderId="299" xfId="0" applyNumberFormat="1" applyFont="1" applyFill="1" applyBorder="1" applyAlignment="1">
      <alignment horizontal="center"/>
    </xf>
    <xf numFmtId="171" fontId="366" fillId="3" borderId="299" xfId="0" applyNumberFormat="1" applyFont="1" applyFill="1" applyBorder="1" applyAlignment="1">
      <alignment horizontal="center" wrapText="1"/>
    </xf>
    <xf numFmtId="10" fontId="380" fillId="3" borderId="299" xfId="2" applyNumberFormat="1" applyFont="1" applyFill="1" applyBorder="1" applyAlignment="1">
      <alignment horizontal="center"/>
    </xf>
    <xf numFmtId="173" fontId="30" fillId="25" borderId="303" xfId="1" applyNumberFormat="1" applyFont="1" applyFill="1" applyBorder="1" applyAlignment="1" applyProtection="1">
      <alignment vertical="center"/>
    </xf>
    <xf numFmtId="173" fontId="30" fillId="3" borderId="75" xfId="1" applyNumberFormat="1" applyFont="1" applyFill="1" applyBorder="1" applyAlignment="1" applyProtection="1">
      <alignment vertical="center"/>
    </xf>
    <xf numFmtId="173" fontId="30" fillId="3" borderId="60" xfId="1" applyNumberFormat="1" applyFont="1" applyFill="1" applyBorder="1" applyAlignment="1" applyProtection="1">
      <alignment vertical="center"/>
    </xf>
    <xf numFmtId="173" fontId="30" fillId="3" borderId="56" xfId="1" applyNumberFormat="1" applyFont="1" applyFill="1" applyBorder="1" applyAlignment="1" applyProtection="1">
      <alignment vertical="center"/>
    </xf>
    <xf numFmtId="173" fontId="30" fillId="25" borderId="304" xfId="1" applyNumberFormat="1" applyFont="1" applyFill="1" applyBorder="1" applyAlignment="1" applyProtection="1">
      <alignment vertical="center"/>
    </xf>
    <xf numFmtId="0" fontId="0" fillId="0" borderId="0" xfId="2" applyNumberFormat="1" applyFont="1"/>
    <xf numFmtId="171" fontId="25" fillId="0" borderId="0" xfId="1" applyNumberFormat="1" applyFont="1"/>
    <xf numFmtId="171" fontId="151" fillId="3" borderId="143" xfId="0" applyNumberFormat="1" applyFont="1" applyFill="1" applyBorder="1" applyAlignment="1">
      <alignment horizontal="center" vertical="center"/>
    </xf>
    <xf numFmtId="171" fontId="151" fillId="3" borderId="23" xfId="0" applyNumberFormat="1" applyFont="1" applyFill="1" applyBorder="1" applyAlignment="1">
      <alignment horizontal="center" vertical="center"/>
    </xf>
    <xf numFmtId="171" fontId="151" fillId="3" borderId="305" xfId="0" applyNumberFormat="1" applyFont="1" applyFill="1" applyBorder="1" applyAlignment="1">
      <alignment horizontal="center" vertical="center"/>
    </xf>
    <xf numFmtId="171" fontId="151" fillId="25" borderId="306" xfId="0" applyNumberFormat="1" applyFont="1" applyFill="1" applyBorder="1" applyAlignment="1">
      <alignment horizontal="center" vertical="center"/>
    </xf>
    <xf numFmtId="172" fontId="40" fillId="65" borderId="154" xfId="12" applyNumberFormat="1" applyFont="1"/>
    <xf numFmtId="172" fontId="31" fillId="25" borderId="277" xfId="0" applyNumberFormat="1" applyFont="1" applyFill="1" applyBorder="1" applyAlignment="1">
      <alignment horizontal="center" vertical="center"/>
    </xf>
    <xf numFmtId="172" fontId="31" fillId="21" borderId="22" xfId="0" applyNumberFormat="1" applyFont="1" applyFill="1" applyBorder="1" applyAlignment="1">
      <alignment vertical="center"/>
    </xf>
    <xf numFmtId="10" fontId="25" fillId="3" borderId="0" xfId="0" applyNumberFormat="1" applyFont="1" applyFill="1"/>
    <xf numFmtId="173" fontId="25" fillId="3" borderId="0" xfId="0" applyNumberFormat="1" applyFont="1" applyFill="1"/>
    <xf numFmtId="43" fontId="25" fillId="3" borderId="0" xfId="0" applyNumberFormat="1" applyFont="1" applyFill="1"/>
    <xf numFmtId="10" fontId="35" fillId="9" borderId="18" xfId="2" applyNumberFormat="1" applyFont="1" applyFill="1" applyBorder="1" applyAlignment="1">
      <alignment horizontal="center" vertical="center"/>
    </xf>
    <xf numFmtId="0" fontId="335" fillId="3" borderId="0" xfId="0" applyFont="1" applyFill="1" applyAlignment="1">
      <alignment vertical="center"/>
    </xf>
    <xf numFmtId="0" fontId="255" fillId="3" borderId="0" xfId="0" applyFont="1" applyFill="1" applyAlignment="1">
      <alignment vertical="center"/>
    </xf>
    <xf numFmtId="171" fontId="151" fillId="25" borderId="307" xfId="0" applyNumberFormat="1" applyFont="1" applyFill="1" applyBorder="1" applyAlignment="1">
      <alignment horizontal="center" vertical="center"/>
    </xf>
    <xf numFmtId="9" fontId="151" fillId="3" borderId="143" xfId="2" applyFont="1" applyFill="1" applyBorder="1" applyAlignment="1">
      <alignment horizontal="center" vertical="center"/>
    </xf>
    <xf numFmtId="9" fontId="151" fillId="3" borderId="305" xfId="2" applyFont="1" applyFill="1" applyBorder="1" applyAlignment="1">
      <alignment horizontal="center" vertical="center"/>
    </xf>
    <xf numFmtId="10" fontId="298" fillId="0" borderId="16" xfId="0" applyNumberFormat="1" applyFont="1" applyBorder="1"/>
    <xf numFmtId="0" fontId="321" fillId="3" borderId="0" xfId="0" applyFont="1" applyFill="1" applyAlignment="1" applyProtection="1">
      <alignment horizontal="center" vertical="center"/>
      <protection locked="0"/>
    </xf>
    <xf numFmtId="10" fontId="177" fillId="3" borderId="0" xfId="0" applyNumberFormat="1" applyFont="1" applyFill="1" applyAlignment="1" applyProtection="1">
      <alignment horizontal="center" vertical="center"/>
      <protection locked="0"/>
    </xf>
    <xf numFmtId="0" fontId="40" fillId="3" borderId="0" xfId="0" applyFont="1" applyFill="1" applyAlignment="1">
      <alignment vertical="center" wrapText="1"/>
    </xf>
    <xf numFmtId="10" fontId="3" fillId="3" borderId="0" xfId="0" applyNumberFormat="1" applyFont="1" applyFill="1" applyAlignment="1">
      <alignment horizontal="right" vertical="center"/>
    </xf>
    <xf numFmtId="10" fontId="321" fillId="3" borderId="0" xfId="0" applyNumberFormat="1" applyFont="1" applyFill="1" applyAlignment="1">
      <alignment horizontal="right" vertical="center"/>
    </xf>
    <xf numFmtId="0" fontId="321" fillId="3" borderId="0" xfId="0" applyFont="1" applyFill="1" applyAlignment="1">
      <alignment horizontal="left"/>
    </xf>
    <xf numFmtId="171" fontId="3" fillId="3" borderId="0" xfId="14" applyNumberFormat="1" applyFont="1" applyFill="1" applyBorder="1" applyAlignment="1">
      <alignment horizontal="right" vertical="center"/>
    </xf>
    <xf numFmtId="9" fontId="321" fillId="3" borderId="0" xfId="2" applyFont="1" applyFill="1" applyBorder="1" applyAlignment="1">
      <alignment horizontal="left" vertical="center"/>
    </xf>
    <xf numFmtId="171" fontId="167" fillId="3" borderId="0" xfId="14" applyNumberFormat="1" applyFont="1" applyFill="1" applyBorder="1" applyAlignment="1">
      <alignment horizontal="right" vertical="center"/>
    </xf>
    <xf numFmtId="1" fontId="167" fillId="3" borderId="0" xfId="14" applyNumberFormat="1" applyFont="1" applyFill="1" applyBorder="1" applyAlignment="1">
      <alignment horizontal="center" vertical="center"/>
    </xf>
    <xf numFmtId="171" fontId="321" fillId="3" borderId="0" xfId="14" applyNumberFormat="1" applyFont="1" applyFill="1" applyBorder="1" applyAlignment="1">
      <alignment horizontal="center" vertical="center"/>
    </xf>
    <xf numFmtId="9" fontId="167" fillId="3" borderId="0" xfId="2" applyFont="1" applyFill="1" applyBorder="1" applyAlignment="1">
      <alignment horizontal="center" vertical="center"/>
    </xf>
    <xf numFmtId="171" fontId="167" fillId="3" borderId="0" xfId="14" applyNumberFormat="1" applyFont="1" applyFill="1" applyBorder="1" applyAlignment="1">
      <alignment horizontal="center" vertical="center"/>
    </xf>
    <xf numFmtId="10" fontId="167" fillId="3" borderId="0" xfId="0" applyNumberFormat="1" applyFont="1" applyFill="1" applyAlignment="1">
      <alignment horizontal="center" vertical="center"/>
    </xf>
    <xf numFmtId="10" fontId="321" fillId="3" borderId="0" xfId="2" applyNumberFormat="1" applyFont="1" applyFill="1" applyBorder="1" applyAlignment="1">
      <alignment horizontal="center" vertical="center"/>
    </xf>
    <xf numFmtId="171" fontId="167" fillId="3" borderId="0" xfId="14" applyNumberFormat="1" applyFont="1" applyFill="1" applyBorder="1" applyAlignment="1">
      <alignment vertical="center"/>
    </xf>
    <xf numFmtId="193" fontId="321" fillId="3" borderId="0" xfId="14" applyNumberFormat="1" applyFont="1" applyFill="1" applyBorder="1" applyAlignment="1">
      <alignment vertical="center"/>
    </xf>
    <xf numFmtId="193" fontId="167" fillId="3" borderId="0" xfId="14" applyNumberFormat="1" applyFont="1" applyFill="1" applyBorder="1" applyAlignment="1">
      <alignment horizontal="center"/>
    </xf>
    <xf numFmtId="172" fontId="167" fillId="3" borderId="0" xfId="14" applyNumberFormat="1" applyFont="1" applyFill="1" applyBorder="1" applyAlignment="1">
      <alignment horizontal="center" vertical="center"/>
    </xf>
    <xf numFmtId="0" fontId="321" fillId="3" borderId="0" xfId="0" applyFont="1" applyFill="1" applyAlignment="1">
      <alignment horizontal="center"/>
    </xf>
    <xf numFmtId="0" fontId="167" fillId="3" borderId="0" xfId="0" applyFont="1" applyFill="1" applyAlignment="1">
      <alignment horizontal="center" vertical="center"/>
    </xf>
    <xf numFmtId="0" fontId="40" fillId="0" borderId="85" xfId="0" applyFont="1" applyBorder="1" applyAlignment="1">
      <alignment horizontal="center" vertical="center"/>
    </xf>
    <xf numFmtId="0" fontId="167" fillId="39" borderId="8" xfId="0" applyFont="1" applyFill="1" applyBorder="1" applyAlignment="1">
      <alignment horizontal="center" vertical="center"/>
    </xf>
    <xf numFmtId="0" fontId="167" fillId="39" borderId="10" xfId="0" applyFont="1" applyFill="1" applyBorder="1" applyAlignment="1">
      <alignment horizontal="center" vertical="center"/>
    </xf>
    <xf numFmtId="0" fontId="167" fillId="40" borderId="8" xfId="0" applyFont="1" applyFill="1" applyBorder="1" applyAlignment="1">
      <alignment horizontal="center" vertical="center"/>
    </xf>
    <xf numFmtId="0" fontId="167" fillId="40" borderId="10" xfId="0" applyFont="1" applyFill="1" applyBorder="1" applyAlignment="1">
      <alignment horizontal="center" vertical="center"/>
    </xf>
    <xf numFmtId="9" fontId="9" fillId="0" borderId="8" xfId="2" applyFont="1" applyFill="1" applyBorder="1" applyAlignment="1" applyProtection="1">
      <alignment horizontal="center" vertical="center"/>
    </xf>
    <xf numFmtId="9" fontId="9" fillId="0" borderId="9" xfId="2" applyFont="1" applyFill="1" applyBorder="1" applyAlignment="1" applyProtection="1">
      <alignment horizontal="center" vertical="center"/>
    </xf>
    <xf numFmtId="9" fontId="9" fillId="0" borderId="10" xfId="2" applyFont="1" applyFill="1" applyBorder="1" applyAlignment="1" applyProtection="1">
      <alignment horizontal="center" vertical="center"/>
    </xf>
    <xf numFmtId="171" fontId="236" fillId="0" borderId="8" xfId="6" applyNumberFormat="1" applyFont="1" applyFill="1" applyBorder="1" applyAlignment="1" applyProtection="1">
      <alignment horizontal="center" vertical="center"/>
    </xf>
    <xf numFmtId="171" fontId="236" fillId="0" borderId="9" xfId="6" applyNumberFormat="1" applyFont="1" applyFill="1" applyBorder="1" applyAlignment="1" applyProtection="1">
      <alignment horizontal="center" vertical="center"/>
    </xf>
    <xf numFmtId="171" fontId="236" fillId="0" borderId="10" xfId="6" applyNumberFormat="1" applyFont="1" applyFill="1" applyBorder="1" applyAlignment="1" applyProtection="1">
      <alignment horizontal="center" vertical="center"/>
    </xf>
    <xf numFmtId="170" fontId="236" fillId="0" borderId="8" xfId="2" applyNumberFormat="1" applyFont="1" applyFill="1" applyBorder="1" applyAlignment="1" applyProtection="1">
      <alignment horizontal="center" vertical="center"/>
    </xf>
    <xf numFmtId="170" fontId="236" fillId="0" borderId="9" xfId="2" applyNumberFormat="1" applyFont="1" applyFill="1" applyBorder="1" applyAlignment="1" applyProtection="1">
      <alignment horizontal="center" vertical="center"/>
    </xf>
    <xf numFmtId="170" fontId="236" fillId="0" borderId="10" xfId="2" applyNumberFormat="1" applyFont="1" applyFill="1" applyBorder="1" applyAlignment="1" applyProtection="1">
      <alignment horizontal="center" vertical="center"/>
    </xf>
    <xf numFmtId="170" fontId="9" fillId="0" borderId="5" xfId="2" applyNumberFormat="1" applyFont="1" applyFill="1" applyBorder="1" applyAlignment="1" applyProtection="1">
      <alignment horizontal="center" vertical="center"/>
    </xf>
    <xf numFmtId="170" fontId="9" fillId="0" borderId="6" xfId="2" applyNumberFormat="1" applyFont="1" applyFill="1" applyBorder="1" applyAlignment="1" applyProtection="1">
      <alignment horizontal="center" vertical="center"/>
    </xf>
    <xf numFmtId="170" fontId="9" fillId="0" borderId="7" xfId="2" applyNumberFormat="1" applyFont="1" applyFill="1" applyBorder="1" applyAlignment="1" applyProtection="1">
      <alignment horizontal="center" vertical="center"/>
    </xf>
    <xf numFmtId="170" fontId="237" fillId="0" borderId="3" xfId="2" applyNumberFormat="1" applyFont="1" applyFill="1" applyBorder="1" applyAlignment="1" applyProtection="1">
      <alignment horizontal="center" vertical="center"/>
    </xf>
    <xf numFmtId="170" fontId="237" fillId="0" borderId="0" xfId="2" applyNumberFormat="1" applyFont="1" applyFill="1" applyBorder="1" applyAlignment="1" applyProtection="1">
      <alignment horizontal="center" vertical="center"/>
    </xf>
    <xf numFmtId="170" fontId="237" fillId="0" borderId="4" xfId="2" applyNumberFormat="1" applyFont="1" applyFill="1" applyBorder="1" applyAlignment="1" applyProtection="1">
      <alignment horizontal="center" vertical="center"/>
    </xf>
    <xf numFmtId="170" fontId="237" fillId="0" borderId="29" xfId="2" applyNumberFormat="1" applyFont="1" applyFill="1" applyBorder="1" applyAlignment="1" applyProtection="1">
      <alignment horizontal="center" vertical="center"/>
    </xf>
    <xf numFmtId="170" fontId="237" fillId="0" borderId="30" xfId="2" applyNumberFormat="1" applyFont="1" applyFill="1" applyBorder="1" applyAlignment="1" applyProtection="1">
      <alignment horizontal="center" vertical="center"/>
    </xf>
    <xf numFmtId="170" fontId="237" fillId="0" borderId="31" xfId="2" applyNumberFormat="1" applyFont="1" applyFill="1" applyBorder="1" applyAlignment="1" applyProtection="1">
      <alignment horizontal="center" vertical="center"/>
    </xf>
    <xf numFmtId="0" fontId="4" fillId="19" borderId="8" xfId="0" applyFont="1" applyFill="1" applyBorder="1" applyAlignment="1">
      <alignment horizontal="center" vertical="center"/>
    </xf>
    <xf numFmtId="0" fontId="4" fillId="19" borderId="9" xfId="0" applyFont="1" applyFill="1" applyBorder="1" applyAlignment="1">
      <alignment horizontal="center" vertical="center"/>
    </xf>
    <xf numFmtId="0" fontId="4" fillId="19" borderId="10" xfId="0" applyFont="1" applyFill="1" applyBorder="1" applyAlignment="1">
      <alignment horizontal="center" vertical="center"/>
    </xf>
    <xf numFmtId="0" fontId="168" fillId="0" borderId="0" xfId="0" applyFont="1" applyAlignment="1">
      <alignment horizontal="right" vertical="center" wrapText="1"/>
    </xf>
    <xf numFmtId="0" fontId="168" fillId="0" borderId="4" xfId="0" applyFont="1" applyBorder="1" applyAlignment="1">
      <alignment horizontal="right" vertical="center" wrapText="1"/>
    </xf>
    <xf numFmtId="171" fontId="241" fillId="9" borderId="0" xfId="2" applyNumberFormat="1" applyFont="1" applyFill="1" applyBorder="1" applyAlignment="1" applyProtection="1">
      <alignment horizontal="center" vertical="center"/>
    </xf>
    <xf numFmtId="171" fontId="241" fillId="0" borderId="0" xfId="2" applyNumberFormat="1" applyFont="1" applyFill="1" applyBorder="1" applyAlignment="1" applyProtection="1">
      <alignment horizontal="center" vertical="center"/>
    </xf>
    <xf numFmtId="171" fontId="242" fillId="9" borderId="0" xfId="1" applyNumberFormat="1" applyFont="1" applyFill="1" applyBorder="1" applyAlignment="1" applyProtection="1">
      <alignment horizontal="center" vertical="center"/>
    </xf>
    <xf numFmtId="170" fontId="183" fillId="0" borderId="22" xfId="2" applyNumberFormat="1" applyFont="1" applyFill="1" applyBorder="1" applyAlignment="1" applyProtection="1">
      <alignment horizontal="center"/>
    </xf>
    <xf numFmtId="0" fontId="12" fillId="19" borderId="8" xfId="5" applyNumberFormat="1" applyFont="1" applyFill="1" applyBorder="1" applyAlignment="1" applyProtection="1">
      <alignment horizontal="center" vertical="center"/>
    </xf>
    <xf numFmtId="0" fontId="12" fillId="19" borderId="9" xfId="5" applyNumberFormat="1" applyFont="1" applyFill="1" applyBorder="1" applyAlignment="1" applyProtection="1">
      <alignment horizontal="center" vertical="center"/>
    </xf>
    <xf numFmtId="0" fontId="12" fillId="19" borderId="10" xfId="5" applyNumberFormat="1" applyFont="1" applyFill="1" applyBorder="1" applyAlignment="1" applyProtection="1">
      <alignment horizontal="center" vertical="center"/>
    </xf>
    <xf numFmtId="0" fontId="12" fillId="19" borderId="8" xfId="0" applyFont="1" applyFill="1" applyBorder="1" applyAlignment="1">
      <alignment horizontal="center" vertical="center"/>
    </xf>
    <xf numFmtId="0" fontId="12" fillId="19" borderId="9" xfId="0" applyFont="1" applyFill="1" applyBorder="1" applyAlignment="1">
      <alignment horizontal="center" vertical="center"/>
    </xf>
    <xf numFmtId="0" fontId="12" fillId="19" borderId="10" xfId="0" applyFont="1" applyFill="1" applyBorder="1" applyAlignment="1">
      <alignment horizontal="center" vertical="center"/>
    </xf>
    <xf numFmtId="171" fontId="8" fillId="0" borderId="6" xfId="1" applyNumberFormat="1" applyFont="1" applyFill="1" applyBorder="1" applyAlignment="1" applyProtection="1">
      <alignment horizontal="center" vertical="center"/>
    </xf>
    <xf numFmtId="1" fontId="245" fillId="0" borderId="30" xfId="1" applyNumberFormat="1" applyFont="1" applyFill="1" applyBorder="1" applyAlignment="1" applyProtection="1">
      <alignment horizontal="center" vertical="center"/>
    </xf>
    <xf numFmtId="0" fontId="206" fillId="0" borderId="0" xfId="0" applyFont="1" applyAlignment="1">
      <alignment horizontal="right" vertical="center"/>
    </xf>
    <xf numFmtId="0" fontId="206" fillId="0" borderId="6" xfId="0" applyFont="1" applyBorder="1" applyAlignment="1">
      <alignment horizontal="right" vertical="center"/>
    </xf>
    <xf numFmtId="171" fontId="8" fillId="0" borderId="0" xfId="2" applyNumberFormat="1" applyFont="1" applyFill="1" applyBorder="1" applyAlignment="1" applyProtection="1">
      <alignment horizontal="center" vertical="center"/>
    </xf>
    <xf numFmtId="171" fontId="8" fillId="0" borderId="6" xfId="2" applyNumberFormat="1" applyFont="1" applyFill="1" applyBorder="1" applyAlignment="1" applyProtection="1">
      <alignment horizontal="center" vertical="center"/>
    </xf>
    <xf numFmtId="171" fontId="245" fillId="0" borderId="30" xfId="1" applyNumberFormat="1" applyFont="1" applyFill="1" applyBorder="1" applyAlignment="1" applyProtection="1">
      <alignment horizontal="center" vertical="center"/>
    </xf>
    <xf numFmtId="9" fontId="241" fillId="0" borderId="0" xfId="2" applyFont="1" applyFill="1" applyBorder="1" applyAlignment="1" applyProtection="1">
      <alignment horizontal="center" vertical="center"/>
    </xf>
    <xf numFmtId="171" fontId="242" fillId="0" borderId="30" xfId="2" applyNumberFormat="1" applyFont="1" applyFill="1" applyBorder="1" applyAlignment="1" applyProtection="1">
      <alignment horizontal="center" vertical="center"/>
    </xf>
    <xf numFmtId="171" fontId="245" fillId="0" borderId="6" xfId="2" applyNumberFormat="1" applyFont="1" applyFill="1" applyBorder="1" applyAlignment="1" applyProtection="1">
      <alignment horizontal="center" vertical="center"/>
    </xf>
    <xf numFmtId="10" fontId="242" fillId="0" borderId="9" xfId="2" applyNumberFormat="1" applyFont="1" applyFill="1" applyBorder="1" applyAlignment="1" applyProtection="1">
      <alignment horizontal="center" vertical="center"/>
    </xf>
    <xf numFmtId="10" fontId="243" fillId="0" borderId="9" xfId="2" applyNumberFormat="1" applyFont="1" applyFill="1" applyBorder="1" applyAlignment="1" applyProtection="1">
      <alignment horizontal="left" vertical="center" wrapText="1"/>
    </xf>
    <xf numFmtId="171" fontId="247" fillId="0" borderId="0" xfId="2" applyNumberFormat="1" applyFont="1" applyFill="1" applyBorder="1" applyAlignment="1" applyProtection="1">
      <alignment horizontal="center" vertical="center"/>
    </xf>
    <xf numFmtId="171" fontId="183" fillId="0" borderId="2" xfId="0" applyNumberFormat="1" applyFont="1" applyBorder="1" applyAlignment="1">
      <alignment horizontal="center"/>
    </xf>
    <xf numFmtId="171" fontId="299" fillId="0" borderId="2" xfId="0" applyNumberFormat="1" applyFont="1" applyBorder="1" applyAlignment="1">
      <alignment horizontal="center"/>
    </xf>
    <xf numFmtId="0" fontId="207" fillId="0" borderId="0" xfId="0" applyFont="1" applyAlignment="1">
      <alignment horizontal="center"/>
    </xf>
    <xf numFmtId="10" fontId="239" fillId="0" borderId="0" xfId="2" applyNumberFormat="1" applyFont="1" applyFill="1" applyBorder="1" applyAlignment="1" applyProtection="1">
      <alignment horizontal="center" vertical="center"/>
    </xf>
    <xf numFmtId="10" fontId="241" fillId="0" borderId="6" xfId="2" applyNumberFormat="1" applyFont="1" applyFill="1" applyBorder="1" applyAlignment="1" applyProtection="1">
      <alignment horizontal="center" vertical="center"/>
    </xf>
    <xf numFmtId="171" fontId="9" fillId="0" borderId="2" xfId="0" applyNumberFormat="1" applyFont="1" applyBorder="1" applyAlignment="1">
      <alignment horizontal="center"/>
    </xf>
    <xf numFmtId="171" fontId="8" fillId="0" borderId="2" xfId="0" applyNumberFormat="1" applyFont="1" applyBorder="1" applyAlignment="1">
      <alignment horizontal="center"/>
    </xf>
    <xf numFmtId="171" fontId="250" fillId="0" borderId="2" xfId="0" applyNumberFormat="1" applyFont="1" applyBorder="1" applyAlignment="1">
      <alignment horizontal="center"/>
    </xf>
    <xf numFmtId="0" fontId="4" fillId="22" borderId="8" xfId="0" applyFont="1" applyFill="1" applyBorder="1" applyAlignment="1">
      <alignment horizontal="left" vertical="top" wrapText="1"/>
    </xf>
    <xf numFmtId="0" fontId="4" fillId="22" borderId="9" xfId="0" applyFont="1" applyFill="1" applyBorder="1" applyAlignment="1">
      <alignment horizontal="left" vertical="top" wrapText="1"/>
    </xf>
    <xf numFmtId="0" fontId="4" fillId="22" borderId="10" xfId="0" applyFont="1" applyFill="1" applyBorder="1" applyAlignment="1">
      <alignment horizontal="left" vertical="top" wrapText="1"/>
    </xf>
    <xf numFmtId="0" fontId="0" fillId="21" borderId="30" xfId="0" applyFill="1" applyBorder="1" applyAlignment="1">
      <alignment horizontal="center" vertical="center"/>
    </xf>
    <xf numFmtId="0" fontId="0" fillId="21" borderId="0" xfId="0" applyFill="1" applyAlignment="1">
      <alignment horizontal="center" vertical="center"/>
    </xf>
    <xf numFmtId="0" fontId="234" fillId="58" borderId="137" xfId="0" applyFont="1" applyFill="1" applyBorder="1" applyAlignment="1">
      <alignment horizontal="left" vertical="center" indent="1"/>
    </xf>
    <xf numFmtId="0" fontId="235" fillId="0" borderId="167" xfId="0" applyFont="1" applyBorder="1" applyAlignment="1">
      <alignment horizontal="center"/>
    </xf>
    <xf numFmtId="0" fontId="171" fillId="0" borderId="29" xfId="0" applyFont="1" applyBorder="1" applyAlignment="1" applyProtection="1">
      <alignment horizontal="center" vertical="center" wrapText="1"/>
      <protection locked="0"/>
    </xf>
    <xf numFmtId="0" fontId="171" fillId="0" borderId="30" xfId="0" applyFont="1" applyBorder="1" applyAlignment="1" applyProtection="1">
      <alignment horizontal="center" vertical="center" wrapText="1"/>
      <protection locked="0"/>
    </xf>
    <xf numFmtId="0" fontId="171" fillId="0" borderId="31" xfId="0" applyFont="1" applyBorder="1" applyAlignment="1" applyProtection="1">
      <alignment horizontal="center" vertical="center" wrapText="1"/>
      <protection locked="0"/>
    </xf>
    <xf numFmtId="0" fontId="171" fillId="0" borderId="5" xfId="0" applyFont="1" applyBorder="1" applyAlignment="1" applyProtection="1">
      <alignment horizontal="center" vertical="center" wrapText="1"/>
      <protection locked="0"/>
    </xf>
    <xf numFmtId="0" fontId="171" fillId="0" borderId="6" xfId="0" applyFont="1" applyBorder="1" applyAlignment="1" applyProtection="1">
      <alignment horizontal="center" vertical="center" wrapText="1"/>
      <protection locked="0"/>
    </xf>
    <xf numFmtId="0" fontId="171" fillId="0" borderId="7" xfId="0" applyFont="1" applyBorder="1" applyAlignment="1" applyProtection="1">
      <alignment horizontal="center" vertical="center" wrapText="1"/>
      <protection locked="0"/>
    </xf>
    <xf numFmtId="0" fontId="174" fillId="0" borderId="8" xfId="0" applyFont="1" applyBorder="1" applyAlignment="1" applyProtection="1">
      <alignment horizontal="center" vertical="center" wrapText="1"/>
      <protection locked="0"/>
    </xf>
    <xf numFmtId="0" fontId="174" fillId="0" borderId="9" xfId="0" applyFont="1" applyBorder="1" applyAlignment="1" applyProtection="1">
      <alignment horizontal="center" vertical="center" wrapText="1"/>
      <protection locked="0"/>
    </xf>
    <xf numFmtId="0" fontId="174" fillId="0" borderId="10" xfId="0" applyFont="1" applyBorder="1" applyAlignment="1" applyProtection="1">
      <alignment horizontal="center" vertical="center" wrapText="1"/>
      <protection locked="0"/>
    </xf>
    <xf numFmtId="0" fontId="227" fillId="0" borderId="30" xfId="0" applyFont="1" applyBorder="1" applyAlignment="1" applyProtection="1">
      <alignment horizontal="center" vertical="top" wrapText="1"/>
      <protection locked="0"/>
    </xf>
    <xf numFmtId="0" fontId="227" fillId="0" borderId="0" xfId="0" applyFont="1" applyAlignment="1" applyProtection="1">
      <alignment horizontal="center" vertical="top" wrapText="1"/>
      <protection locked="0"/>
    </xf>
    <xf numFmtId="0" fontId="227" fillId="0" borderId="15" xfId="0" applyFont="1" applyBorder="1" applyAlignment="1" applyProtection="1">
      <alignment horizontal="center" vertical="top" wrapText="1"/>
      <protection locked="0"/>
    </xf>
    <xf numFmtId="171" fontId="253" fillId="39" borderId="30" xfId="2" applyNumberFormat="1" applyFont="1" applyFill="1" applyBorder="1" applyAlignment="1" applyProtection="1">
      <alignment horizontal="left"/>
    </xf>
    <xf numFmtId="171" fontId="253" fillId="39" borderId="0" xfId="2" applyNumberFormat="1" applyFont="1" applyFill="1" applyBorder="1" applyAlignment="1" applyProtection="1">
      <alignment horizontal="left"/>
    </xf>
    <xf numFmtId="171" fontId="254" fillId="39" borderId="6" xfId="1" applyNumberFormat="1" applyFont="1" applyFill="1" applyBorder="1" applyAlignment="1" applyProtection="1">
      <alignment horizontal="left"/>
    </xf>
    <xf numFmtId="0" fontId="202" fillId="3" borderId="0" xfId="0" applyFont="1" applyFill="1" applyAlignment="1">
      <alignment horizontal="center" vertical="center"/>
    </xf>
    <xf numFmtId="171" fontId="8" fillId="88" borderId="8" xfId="14" applyNumberFormat="1" applyFont="1" applyFill="1" applyBorder="1" applyAlignment="1">
      <alignment horizontal="center" vertical="center"/>
    </xf>
    <xf numFmtId="171" fontId="8" fillId="88" borderId="10" xfId="14" applyNumberFormat="1" applyFont="1" applyFill="1" applyBorder="1" applyAlignment="1">
      <alignment horizontal="center" vertical="center"/>
    </xf>
    <xf numFmtId="171" fontId="176" fillId="0" borderId="3" xfId="0" applyNumberFormat="1" applyFont="1" applyBorder="1" applyAlignment="1" applyProtection="1">
      <alignment horizontal="left" vertical="center" indent="1"/>
      <protection locked="0"/>
    </xf>
    <xf numFmtId="171" fontId="176" fillId="0" borderId="0" xfId="0" applyNumberFormat="1" applyFont="1" applyAlignment="1" applyProtection="1">
      <alignment horizontal="left" vertical="center" indent="1"/>
      <protection locked="0"/>
    </xf>
    <xf numFmtId="171" fontId="176" fillId="0" borderId="4" xfId="0" applyNumberFormat="1" applyFont="1" applyBorder="1" applyAlignment="1" applyProtection="1">
      <alignment horizontal="left" vertical="center" indent="1"/>
      <protection locked="0"/>
    </xf>
    <xf numFmtId="0" fontId="180" fillId="0" borderId="3" xfId="0" applyFont="1" applyBorder="1" applyAlignment="1" applyProtection="1">
      <alignment horizontal="left" vertical="center" wrapText="1"/>
      <protection locked="0"/>
    </xf>
    <xf numFmtId="0" fontId="180" fillId="0" borderId="14" xfId="0" applyFont="1" applyBorder="1" applyAlignment="1" applyProtection="1">
      <alignment horizontal="left" vertical="center" wrapText="1"/>
      <protection locked="0"/>
    </xf>
    <xf numFmtId="0" fontId="230" fillId="3" borderId="0" xfId="0" applyFont="1" applyFill="1" applyAlignment="1">
      <alignment horizontal="center" vertical="center"/>
    </xf>
    <xf numFmtId="0" fontId="3" fillId="5" borderId="29" xfId="0" applyFont="1" applyFill="1" applyBorder="1" applyAlignment="1" applyProtection="1">
      <alignment horizontal="right" vertical="center" indent="1"/>
      <protection locked="0"/>
    </xf>
    <xf numFmtId="0" fontId="3" fillId="5" borderId="31" xfId="0" applyFont="1" applyFill="1" applyBorder="1" applyAlignment="1" applyProtection="1">
      <alignment horizontal="right" vertical="center" indent="1"/>
      <protection locked="0"/>
    </xf>
    <xf numFmtId="172" fontId="173" fillId="0" borderId="29" xfId="0" applyNumberFormat="1" applyFont="1" applyBorder="1" applyAlignment="1" applyProtection="1">
      <alignment horizontal="left" vertical="center" indent="1"/>
      <protection locked="0"/>
    </xf>
    <xf numFmtId="172" fontId="173" fillId="0" borderId="30" xfId="0" applyNumberFormat="1" applyFont="1" applyBorder="1" applyAlignment="1" applyProtection="1">
      <alignment horizontal="left" vertical="center" indent="1"/>
      <protection locked="0"/>
    </xf>
    <xf numFmtId="172" fontId="173" fillId="0" borderId="31" xfId="0" applyNumberFormat="1" applyFont="1" applyBorder="1" applyAlignment="1" applyProtection="1">
      <alignment horizontal="left" vertical="center" indent="1"/>
      <protection locked="0"/>
    </xf>
    <xf numFmtId="0" fontId="202" fillId="3" borderId="0" xfId="0" applyFont="1" applyFill="1" applyAlignment="1">
      <alignment horizontal="center" vertical="center" wrapText="1"/>
    </xf>
    <xf numFmtId="0" fontId="292" fillId="3" borderId="0" xfId="0" applyFont="1" applyFill="1" applyAlignment="1">
      <alignment horizontal="center" vertical="center" wrapText="1"/>
    </xf>
    <xf numFmtId="0" fontId="169" fillId="6" borderId="3" xfId="0" applyFont="1" applyFill="1" applyBorder="1" applyAlignment="1" applyProtection="1">
      <alignment horizontal="right" vertical="center" indent="1"/>
      <protection locked="0"/>
    </xf>
    <xf numFmtId="0" fontId="169" fillId="6" borderId="4" xfId="0" applyFont="1" applyFill="1" applyBorder="1" applyAlignment="1" applyProtection="1">
      <alignment horizontal="right" vertical="center" indent="1"/>
      <protection locked="0"/>
    </xf>
    <xf numFmtId="0" fontId="3" fillId="5" borderId="236" xfId="0" applyFont="1" applyFill="1" applyBorder="1" applyAlignment="1" applyProtection="1">
      <alignment horizontal="right" vertical="center" indent="1"/>
      <protection locked="0"/>
    </xf>
    <xf numFmtId="0" fontId="3" fillId="5" borderId="166" xfId="0" applyFont="1" applyFill="1" applyBorder="1" applyAlignment="1" applyProtection="1">
      <alignment horizontal="right" vertical="center" indent="1"/>
      <protection locked="0"/>
    </xf>
    <xf numFmtId="0" fontId="173" fillId="0" borderId="8" xfId="0" applyFont="1" applyBorder="1" applyAlignment="1" applyProtection="1">
      <alignment horizontal="left" vertical="center" indent="1"/>
      <protection locked="0"/>
    </xf>
    <xf numFmtId="0" fontId="173" fillId="0" borderId="9" xfId="0" applyFont="1" applyBorder="1" applyAlignment="1" applyProtection="1">
      <alignment horizontal="left" vertical="center" indent="1"/>
      <protection locked="0"/>
    </xf>
    <xf numFmtId="0" fontId="173" fillId="0" borderId="10" xfId="0" applyFont="1" applyBorder="1" applyAlignment="1" applyProtection="1">
      <alignment horizontal="left" vertical="center" indent="1"/>
      <protection locked="0"/>
    </xf>
    <xf numFmtId="9" fontId="172" fillId="0" borderId="29" xfId="2" applyFont="1" applyFill="1" applyBorder="1" applyAlignment="1" applyProtection="1">
      <alignment horizontal="left" vertical="center" indent="1"/>
      <protection locked="0"/>
    </xf>
    <xf numFmtId="9" fontId="172" fillId="0" borderId="30" xfId="2" applyFont="1" applyFill="1" applyBorder="1" applyAlignment="1" applyProtection="1">
      <alignment horizontal="left" vertical="center" indent="1"/>
      <protection locked="0"/>
    </xf>
    <xf numFmtId="9" fontId="172" fillId="0" borderId="31" xfId="2" applyFont="1" applyFill="1" applyBorder="1" applyAlignment="1" applyProtection="1">
      <alignment horizontal="left" vertical="center" indent="1"/>
      <protection locked="0"/>
    </xf>
    <xf numFmtId="0" fontId="3" fillId="5" borderId="237" xfId="0" applyFont="1" applyFill="1" applyBorder="1" applyAlignment="1" applyProtection="1">
      <alignment horizontal="center" vertical="top"/>
      <protection locked="0"/>
    </xf>
    <xf numFmtId="0" fontId="3" fillId="5" borderId="167" xfId="0" applyFont="1" applyFill="1" applyBorder="1" applyAlignment="1" applyProtection="1">
      <alignment horizontal="center" vertical="top"/>
      <protection locked="0"/>
    </xf>
    <xf numFmtId="0" fontId="3" fillId="5" borderId="238" xfId="0" applyFont="1" applyFill="1" applyBorder="1" applyAlignment="1" applyProtection="1">
      <alignment horizontal="center" vertical="top"/>
      <protection locked="0"/>
    </xf>
    <xf numFmtId="0" fontId="3" fillId="5" borderId="137" xfId="0" applyFont="1" applyFill="1" applyBorder="1" applyAlignment="1" applyProtection="1">
      <alignment horizontal="center" vertical="top"/>
      <protection locked="0"/>
    </xf>
    <xf numFmtId="0" fontId="173" fillId="0" borderId="29" xfId="0" applyFont="1" applyBorder="1" applyAlignment="1" applyProtection="1">
      <alignment horizontal="left" wrapText="1" indent="1"/>
      <protection locked="0"/>
    </xf>
    <xf numFmtId="0" fontId="173" fillId="0" borderId="30" xfId="0" applyFont="1" applyBorder="1" applyAlignment="1" applyProtection="1">
      <alignment horizontal="left" wrapText="1" indent="1"/>
      <protection locked="0"/>
    </xf>
    <xf numFmtId="0" fontId="173" fillId="0" borderId="31" xfId="0" applyFont="1" applyBorder="1" applyAlignment="1" applyProtection="1">
      <alignment horizontal="left" wrapText="1" indent="1"/>
      <protection locked="0"/>
    </xf>
    <xf numFmtId="0" fontId="173" fillId="0" borderId="5" xfId="0" applyFont="1" applyBorder="1" applyAlignment="1" applyProtection="1">
      <alignment horizontal="left" vertical="top" wrapText="1"/>
      <protection locked="0"/>
    </xf>
    <xf numFmtId="0" fontId="173" fillId="0" borderId="6" xfId="0" applyFont="1" applyBorder="1" applyAlignment="1" applyProtection="1">
      <alignment horizontal="left" vertical="top" wrapText="1"/>
      <protection locked="0"/>
    </xf>
    <xf numFmtId="0" fontId="173" fillId="0" borderId="7" xfId="0" applyFont="1" applyBorder="1" applyAlignment="1" applyProtection="1">
      <alignment horizontal="left" vertical="top" wrapText="1"/>
      <protection locked="0"/>
    </xf>
    <xf numFmtId="0" fontId="3" fillId="5" borderId="167" xfId="0" applyFont="1" applyFill="1" applyBorder="1" applyAlignment="1" applyProtection="1">
      <alignment horizontal="right" vertical="center" indent="1"/>
      <protection locked="0"/>
    </xf>
    <xf numFmtId="0" fontId="3" fillId="5" borderId="168" xfId="0" applyFont="1" applyFill="1" applyBorder="1" applyAlignment="1" applyProtection="1">
      <alignment horizontal="right" vertical="center" indent="1"/>
      <protection locked="0"/>
    </xf>
    <xf numFmtId="171" fontId="173" fillId="0" borderId="29" xfId="0" applyNumberFormat="1" applyFont="1" applyBorder="1" applyAlignment="1" applyProtection="1">
      <alignment horizontal="left" vertical="center" indent="1"/>
      <protection locked="0"/>
    </xf>
    <xf numFmtId="171" fontId="173" fillId="0" borderId="30" xfId="0" applyNumberFormat="1" applyFont="1" applyBorder="1" applyAlignment="1" applyProtection="1">
      <alignment horizontal="left" vertical="center" indent="1"/>
      <protection locked="0"/>
    </xf>
    <xf numFmtId="0" fontId="171" fillId="0" borderId="30" xfId="0" applyFont="1" applyBorder="1" applyAlignment="1" applyProtection="1">
      <alignment horizontal="right" vertical="center"/>
      <protection locked="0"/>
    </xf>
    <xf numFmtId="0" fontId="171" fillId="0" borderId="31" xfId="0" applyFont="1" applyBorder="1" applyAlignment="1" applyProtection="1">
      <alignment horizontal="right" vertical="center"/>
      <protection locked="0"/>
    </xf>
    <xf numFmtId="0" fontId="3" fillId="5" borderId="234" xfId="0" applyFont="1" applyFill="1" applyBorder="1" applyAlignment="1" applyProtection="1">
      <alignment horizontal="right" vertical="center" indent="1"/>
      <protection locked="0"/>
    </xf>
    <xf numFmtId="0" fontId="3" fillId="5" borderId="235" xfId="0" applyFont="1" applyFill="1" applyBorder="1" applyAlignment="1" applyProtection="1">
      <alignment horizontal="right" vertical="center" indent="1"/>
      <protection locked="0"/>
    </xf>
    <xf numFmtId="0" fontId="172" fillId="0" borderId="29" xfId="0" applyFont="1" applyBorder="1" applyAlignment="1" applyProtection="1">
      <alignment horizontal="left" vertical="center" wrapText="1" indent="1"/>
      <protection locked="0"/>
    </xf>
    <xf numFmtId="0" fontId="172" fillId="0" borderId="30" xfId="0" applyFont="1" applyBorder="1" applyAlignment="1" applyProtection="1">
      <alignment horizontal="left" vertical="center" wrapText="1" indent="1"/>
      <protection locked="0"/>
    </xf>
    <xf numFmtId="0" fontId="172" fillId="0" borderId="31" xfId="0" applyFont="1" applyBorder="1" applyAlignment="1" applyProtection="1">
      <alignment horizontal="left" vertical="center" wrapText="1" indent="1"/>
      <protection locked="0"/>
    </xf>
    <xf numFmtId="165" fontId="173" fillId="0" borderId="8" xfId="0" applyNumberFormat="1" applyFont="1" applyBorder="1" applyAlignment="1" applyProtection="1">
      <alignment horizontal="center" vertical="center"/>
      <protection locked="0"/>
    </xf>
    <xf numFmtId="165" fontId="173" fillId="0" borderId="9" xfId="0" applyNumberFormat="1" applyFont="1" applyBorder="1" applyAlignment="1" applyProtection="1">
      <alignment horizontal="center" vertical="center"/>
      <protection locked="0"/>
    </xf>
    <xf numFmtId="176" fontId="175" fillId="0" borderId="29" xfId="0" quotePrefix="1" applyNumberFormat="1" applyFont="1" applyBorder="1" applyAlignment="1" applyProtection="1">
      <alignment horizontal="left" vertical="center" indent="1"/>
      <protection locked="0"/>
    </xf>
    <xf numFmtId="176" fontId="175" fillId="0" borderId="30" xfId="0" quotePrefix="1" applyNumberFormat="1" applyFont="1" applyBorder="1" applyAlignment="1" applyProtection="1">
      <alignment horizontal="left" vertical="center" indent="1"/>
      <protection locked="0"/>
    </xf>
    <xf numFmtId="0" fontId="171" fillId="0" borderId="30" xfId="0" applyFont="1" applyBorder="1" applyAlignment="1" applyProtection="1">
      <alignment horizontal="left" vertical="center"/>
      <protection locked="0"/>
    </xf>
    <xf numFmtId="0" fontId="171" fillId="0" borderId="31" xfId="0" applyFont="1" applyBorder="1" applyAlignment="1" applyProtection="1">
      <alignment horizontal="left" vertical="center"/>
      <protection locked="0"/>
    </xf>
    <xf numFmtId="0" fontId="3" fillId="5" borderId="165" xfId="0" applyFont="1" applyFill="1" applyBorder="1" applyAlignment="1" applyProtection="1">
      <alignment horizontal="right" vertical="center" indent="1"/>
      <protection locked="0"/>
    </xf>
    <xf numFmtId="10" fontId="173" fillId="0" borderId="29" xfId="0" applyNumberFormat="1" applyFont="1" applyBorder="1" applyAlignment="1" applyProtection="1">
      <alignment horizontal="left" vertical="center" indent="1"/>
      <protection locked="0"/>
    </xf>
    <xf numFmtId="10" fontId="173" fillId="0" borderId="30" xfId="0" applyNumberFormat="1" applyFont="1" applyBorder="1" applyAlignment="1" applyProtection="1">
      <alignment horizontal="left" vertical="center" indent="1"/>
      <protection locked="0"/>
    </xf>
    <xf numFmtId="10" fontId="173" fillId="0" borderId="31" xfId="0" applyNumberFormat="1" applyFont="1" applyBorder="1" applyAlignment="1" applyProtection="1">
      <alignment horizontal="left" vertical="center" indent="1"/>
      <protection locked="0"/>
    </xf>
    <xf numFmtId="10" fontId="173" fillId="0" borderId="8" xfId="0" applyNumberFormat="1" applyFont="1" applyBorder="1" applyAlignment="1" applyProtection="1">
      <alignment horizontal="left" vertical="center" indent="1"/>
      <protection locked="0"/>
    </xf>
    <xf numFmtId="10" fontId="173" fillId="0" borderId="9" xfId="0" applyNumberFormat="1" applyFont="1" applyBorder="1" applyAlignment="1" applyProtection="1">
      <alignment horizontal="left" vertical="center" indent="1"/>
      <protection locked="0"/>
    </xf>
    <xf numFmtId="10" fontId="173" fillId="0" borderId="10" xfId="0" applyNumberFormat="1" applyFont="1" applyBorder="1" applyAlignment="1" applyProtection="1">
      <alignment horizontal="left" vertical="center" indent="1"/>
      <protection locked="0"/>
    </xf>
    <xf numFmtId="10" fontId="173" fillId="0" borderId="29" xfId="0" quotePrefix="1" applyNumberFormat="1" applyFont="1" applyBorder="1" applyAlignment="1" applyProtection="1">
      <alignment horizontal="left" vertical="center" wrapText="1"/>
      <protection locked="0"/>
    </xf>
    <xf numFmtId="10" fontId="173" fillId="0" borderId="30" xfId="0" quotePrefix="1" applyNumberFormat="1" applyFont="1" applyBorder="1" applyAlignment="1" applyProtection="1">
      <alignment horizontal="left" vertical="center" wrapText="1"/>
      <protection locked="0"/>
    </xf>
    <xf numFmtId="10" fontId="173" fillId="0" borderId="31" xfId="0" quotePrefix="1" applyNumberFormat="1" applyFont="1" applyBorder="1" applyAlignment="1" applyProtection="1">
      <alignment horizontal="left" vertical="center" wrapText="1"/>
      <protection locked="0"/>
    </xf>
    <xf numFmtId="10" fontId="173" fillId="0" borderId="3" xfId="0" quotePrefix="1" applyNumberFormat="1" applyFont="1" applyBorder="1" applyAlignment="1" applyProtection="1">
      <alignment horizontal="left" vertical="center" wrapText="1"/>
      <protection locked="0"/>
    </xf>
    <xf numFmtId="10" fontId="173" fillId="0" borderId="0" xfId="0" quotePrefix="1" applyNumberFormat="1" applyFont="1" applyAlignment="1" applyProtection="1">
      <alignment horizontal="left" vertical="center" wrapText="1"/>
      <protection locked="0"/>
    </xf>
    <xf numFmtId="10" fontId="173" fillId="0" borderId="4" xfId="0" quotePrefix="1" applyNumberFormat="1" applyFont="1" applyBorder="1" applyAlignment="1" applyProtection="1">
      <alignment horizontal="left" vertical="center" wrapText="1"/>
      <protection locked="0"/>
    </xf>
    <xf numFmtId="10" fontId="173" fillId="0" borderId="5" xfId="0" quotePrefix="1" applyNumberFormat="1" applyFont="1" applyBorder="1" applyAlignment="1" applyProtection="1">
      <alignment horizontal="left" vertical="center" wrapText="1"/>
      <protection locked="0"/>
    </xf>
    <xf numFmtId="10" fontId="173" fillId="0" borderId="6" xfId="0" quotePrefix="1" applyNumberFormat="1" applyFont="1" applyBorder="1" applyAlignment="1" applyProtection="1">
      <alignment horizontal="left" vertical="center" wrapText="1"/>
      <protection locked="0"/>
    </xf>
    <xf numFmtId="10" fontId="173" fillId="0" borderId="7" xfId="0" quotePrefix="1" applyNumberFormat="1" applyFont="1" applyBorder="1" applyAlignment="1" applyProtection="1">
      <alignment horizontal="left" vertical="center" wrapText="1"/>
      <protection locked="0"/>
    </xf>
    <xf numFmtId="0" fontId="3" fillId="5" borderId="0" xfId="0" applyFont="1" applyFill="1" applyAlignment="1" applyProtection="1">
      <alignment horizontal="right" vertical="center" indent="1"/>
      <protection locked="0"/>
    </xf>
    <xf numFmtId="0" fontId="3" fillId="5" borderId="4" xfId="0" applyFont="1" applyFill="1" applyBorder="1" applyAlignment="1" applyProtection="1">
      <alignment horizontal="right" vertical="center" indent="1"/>
      <protection locked="0"/>
    </xf>
    <xf numFmtId="0" fontId="3" fillId="5" borderId="137" xfId="0" applyFont="1" applyFill="1" applyBorder="1" applyAlignment="1" applyProtection="1">
      <alignment horizontal="right" vertical="center" indent="1"/>
      <protection locked="0"/>
    </xf>
    <xf numFmtId="0" fontId="3" fillId="5" borderId="121" xfId="0" applyFont="1" applyFill="1" applyBorder="1" applyAlignment="1" applyProtection="1">
      <alignment horizontal="right" vertical="center" indent="1"/>
      <protection locked="0"/>
    </xf>
    <xf numFmtId="9" fontId="172" fillId="0" borderId="29" xfId="0" applyNumberFormat="1" applyFont="1" applyBorder="1" applyAlignment="1" applyProtection="1">
      <alignment horizontal="left" vertical="center" indent="1"/>
      <protection locked="0"/>
    </xf>
    <xf numFmtId="9" fontId="172" fillId="0" borderId="30" xfId="0" applyNumberFormat="1" applyFont="1" applyBorder="1" applyAlignment="1" applyProtection="1">
      <alignment horizontal="left" vertical="center" indent="1"/>
      <protection locked="0"/>
    </xf>
    <xf numFmtId="9" fontId="172" fillId="0" borderId="31" xfId="0" applyNumberFormat="1" applyFont="1" applyBorder="1" applyAlignment="1" applyProtection="1">
      <alignment horizontal="left" vertical="center" indent="1"/>
      <protection locked="0"/>
    </xf>
    <xf numFmtId="9" fontId="173" fillId="0" borderId="29" xfId="0" applyNumberFormat="1" applyFont="1" applyBorder="1" applyAlignment="1" applyProtection="1">
      <alignment horizontal="left" vertical="center" indent="1"/>
      <protection locked="0"/>
    </xf>
    <xf numFmtId="9" fontId="173" fillId="0" borderId="30" xfId="0" applyNumberFormat="1" applyFont="1" applyBorder="1" applyAlignment="1" applyProtection="1">
      <alignment horizontal="left" vertical="center" indent="1"/>
      <protection locked="0"/>
    </xf>
    <xf numFmtId="9" fontId="173" fillId="0" borderId="31" xfId="0" applyNumberFormat="1" applyFont="1" applyBorder="1" applyAlignment="1" applyProtection="1">
      <alignment horizontal="left" vertical="center" indent="1"/>
      <protection locked="0"/>
    </xf>
    <xf numFmtId="165" fontId="173" fillId="0" borderId="29" xfId="0" applyNumberFormat="1" applyFont="1" applyBorder="1" applyAlignment="1" applyProtection="1">
      <alignment horizontal="left" vertical="center" wrapText="1"/>
      <protection locked="0"/>
    </xf>
    <xf numFmtId="165" fontId="173" fillId="0" borderId="30" xfId="0" applyNumberFormat="1" applyFont="1" applyBorder="1" applyAlignment="1" applyProtection="1">
      <alignment horizontal="left" vertical="center" wrapText="1"/>
      <protection locked="0"/>
    </xf>
    <xf numFmtId="165" fontId="173" fillId="0" borderId="31" xfId="0" applyNumberFormat="1" applyFont="1" applyBorder="1" applyAlignment="1" applyProtection="1">
      <alignment horizontal="left" vertical="center" wrapText="1"/>
      <protection locked="0"/>
    </xf>
    <xf numFmtId="165" fontId="173" fillId="0" borderId="5" xfId="0" applyNumberFormat="1" applyFont="1" applyBorder="1" applyAlignment="1" applyProtection="1">
      <alignment horizontal="left" vertical="center" wrapText="1"/>
      <protection locked="0"/>
    </xf>
    <xf numFmtId="165" fontId="173" fillId="0" borderId="6" xfId="0" applyNumberFormat="1" applyFont="1" applyBorder="1" applyAlignment="1" applyProtection="1">
      <alignment horizontal="left" vertical="center" wrapText="1"/>
      <protection locked="0"/>
    </xf>
    <xf numFmtId="165" fontId="173" fillId="0" borderId="7" xfId="0" applyNumberFormat="1" applyFont="1" applyBorder="1" applyAlignment="1" applyProtection="1">
      <alignment horizontal="left" vertical="center" wrapText="1"/>
      <protection locked="0"/>
    </xf>
    <xf numFmtId="9" fontId="217" fillId="68" borderId="0" xfId="2" applyFont="1" applyFill="1" applyBorder="1" applyAlignment="1" applyProtection="1">
      <alignment horizontal="center" vertical="center"/>
      <protection locked="0"/>
    </xf>
    <xf numFmtId="0" fontId="17" fillId="5" borderId="0" xfId="0" applyFont="1" applyFill="1" applyAlignment="1" applyProtection="1">
      <alignment horizontal="center"/>
      <protection locked="0"/>
    </xf>
    <xf numFmtId="0" fontId="190" fillId="3" borderId="167" xfId="0" applyFont="1" applyFill="1" applyBorder="1" applyAlignment="1">
      <alignment horizontal="left" vertical="center"/>
    </xf>
    <xf numFmtId="0" fontId="3" fillId="0" borderId="0" xfId="0" applyFont="1" applyAlignment="1">
      <alignment horizontal="center" vertical="center" wrapText="1"/>
    </xf>
    <xf numFmtId="0" fontId="25" fillId="0" borderId="30" xfId="0" applyFont="1" applyBorder="1" applyAlignment="1">
      <alignment horizontal="center" vertical="center"/>
    </xf>
    <xf numFmtId="0" fontId="25" fillId="84" borderId="0" xfId="0" applyFont="1" applyFill="1" applyAlignment="1">
      <alignment horizontal="center"/>
    </xf>
    <xf numFmtId="171" fontId="170" fillId="0" borderId="8" xfId="0" applyNumberFormat="1" applyFont="1" applyBorder="1" applyAlignment="1" applyProtection="1">
      <alignment horizontal="left" indent="1"/>
      <protection locked="0"/>
    </xf>
    <xf numFmtId="171" fontId="170" fillId="0" borderId="9" xfId="0" applyNumberFormat="1" applyFont="1" applyBorder="1" applyAlignment="1" applyProtection="1">
      <alignment horizontal="left" indent="1"/>
      <protection locked="0"/>
    </xf>
    <xf numFmtId="0" fontId="180" fillId="85" borderId="129" xfId="0" applyFont="1" applyFill="1" applyBorder="1" applyAlignment="1">
      <alignment horizontal="center" vertical="top"/>
    </xf>
    <xf numFmtId="0" fontId="167" fillId="86" borderId="8" xfId="0" applyFont="1" applyFill="1" applyBorder="1" applyAlignment="1">
      <alignment horizontal="center" vertical="center"/>
    </xf>
    <xf numFmtId="0" fontId="167" fillId="86" borderId="10" xfId="0" applyFont="1" applyFill="1" applyBorder="1" applyAlignment="1">
      <alignment horizontal="center" vertical="center"/>
    </xf>
    <xf numFmtId="0" fontId="4" fillId="0" borderId="3" xfId="0" applyFont="1" applyBorder="1" applyAlignment="1">
      <alignment horizontal="left" vertical="center" indent="2"/>
    </xf>
    <xf numFmtId="9" fontId="0" fillId="0" borderId="0" xfId="0" applyNumberFormat="1" applyAlignment="1">
      <alignment horizontal="left" vertical="center"/>
    </xf>
    <xf numFmtId="9" fontId="0" fillId="0" borderId="227" xfId="0" applyNumberFormat="1" applyBorder="1" applyAlignment="1">
      <alignment horizontal="left" vertical="center"/>
    </xf>
    <xf numFmtId="0" fontId="190" fillId="0" borderId="230" xfId="0" applyFont="1" applyBorder="1" applyAlignment="1">
      <alignment horizontal="left" vertical="center"/>
    </xf>
    <xf numFmtId="0" fontId="191" fillId="3" borderId="230" xfId="0" applyFont="1" applyFill="1" applyBorder="1" applyAlignment="1">
      <alignment horizontal="center" vertical="center" wrapText="1"/>
    </xf>
    <xf numFmtId="0" fontId="190" fillId="3" borderId="165" xfId="0" applyFont="1" applyFill="1" applyBorder="1" applyAlignment="1">
      <alignment horizontal="left" vertical="center"/>
    </xf>
    <xf numFmtId="191" fontId="0" fillId="0" borderId="6" xfId="0" applyNumberFormat="1" applyBorder="1" applyAlignment="1">
      <alignment horizontal="left"/>
    </xf>
    <xf numFmtId="191" fontId="0" fillId="0" borderId="228" xfId="0" applyNumberFormat="1" applyBorder="1" applyAlignment="1">
      <alignment horizontal="left"/>
    </xf>
    <xf numFmtId="0" fontId="169" fillId="62" borderId="29" xfId="0" applyFont="1" applyFill="1" applyBorder="1" applyAlignment="1">
      <alignment horizontal="center" vertical="center" wrapText="1"/>
    </xf>
    <xf numFmtId="0" fontId="169" fillId="62" borderId="30" xfId="0" applyFont="1" applyFill="1" applyBorder="1" applyAlignment="1">
      <alignment horizontal="center" vertical="center" wrapText="1"/>
    </xf>
    <xf numFmtId="0" fontId="169" fillId="62" borderId="3" xfId="0" applyFont="1" applyFill="1" applyBorder="1" applyAlignment="1">
      <alignment horizontal="center" vertical="center" wrapText="1"/>
    </xf>
    <xf numFmtId="0" fontId="169" fillId="62" borderId="0" xfId="0" applyFont="1" applyFill="1" applyAlignment="1">
      <alignment horizontal="center" vertical="center" wrapText="1"/>
    </xf>
    <xf numFmtId="0" fontId="169" fillId="62" borderId="5" xfId="0" applyFont="1" applyFill="1" applyBorder="1" applyAlignment="1">
      <alignment horizontal="center" vertical="center" wrapText="1"/>
    </xf>
    <xf numFmtId="0" fontId="169" fillId="62" borderId="6" xfId="0" applyFont="1" applyFill="1" applyBorder="1" applyAlignment="1">
      <alignment horizontal="center" vertical="center" wrapText="1"/>
    </xf>
    <xf numFmtId="0" fontId="166" fillId="62" borderId="30" xfId="0" applyFont="1" applyFill="1" applyBorder="1" applyAlignment="1">
      <alignment horizontal="right" vertical="center" wrapText="1"/>
    </xf>
    <xf numFmtId="0" fontId="166" fillId="62" borderId="0" xfId="0" applyFont="1" applyFill="1" applyAlignment="1">
      <alignment horizontal="right" vertical="center" wrapText="1"/>
    </xf>
    <xf numFmtId="0" fontId="166" fillId="62" borderId="6" xfId="0" applyFont="1" applyFill="1" applyBorder="1" applyAlignment="1">
      <alignment horizontal="right" vertical="center" wrapText="1"/>
    </xf>
    <xf numFmtId="0" fontId="166" fillId="62" borderId="30" xfId="0" applyFont="1" applyFill="1" applyBorder="1" applyAlignment="1">
      <alignment horizontal="left" vertical="center" wrapText="1" indent="1"/>
    </xf>
    <xf numFmtId="0" fontId="166" fillId="62" borderId="0" xfId="0" applyFont="1" applyFill="1" applyAlignment="1">
      <alignment horizontal="left" vertical="center" wrapText="1" indent="1"/>
    </xf>
    <xf numFmtId="0" fontId="166" fillId="62" borderId="6" xfId="0" applyFont="1" applyFill="1" applyBorder="1" applyAlignment="1">
      <alignment horizontal="left" vertical="center" wrapText="1" indent="1"/>
    </xf>
    <xf numFmtId="10" fontId="220" fillId="8" borderId="8" xfId="2" applyNumberFormat="1" applyFont="1" applyFill="1" applyBorder="1" applyAlignment="1" applyProtection="1">
      <alignment horizontal="center" vertical="center"/>
      <protection locked="0"/>
    </xf>
    <xf numFmtId="10" fontId="220" fillId="8" borderId="9" xfId="2" applyNumberFormat="1" applyFont="1" applyFill="1" applyBorder="1" applyAlignment="1" applyProtection="1">
      <alignment horizontal="center" vertical="center"/>
      <protection locked="0"/>
    </xf>
    <xf numFmtId="10" fontId="220" fillId="8" borderId="10" xfId="2" applyNumberFormat="1" applyFont="1" applyFill="1" applyBorder="1" applyAlignment="1" applyProtection="1">
      <alignment horizontal="center" vertical="center"/>
      <protection locked="0"/>
    </xf>
    <xf numFmtId="171" fontId="220" fillId="8" borderId="8" xfId="2" applyNumberFormat="1" applyFont="1" applyFill="1" applyBorder="1" applyAlignment="1" applyProtection="1">
      <alignment horizontal="center" vertical="center"/>
      <protection locked="0"/>
    </xf>
    <xf numFmtId="171" fontId="220" fillId="8" borderId="10" xfId="2" applyNumberFormat="1" applyFont="1" applyFill="1" applyBorder="1" applyAlignment="1" applyProtection="1">
      <alignment horizontal="center" vertical="center"/>
      <protection locked="0"/>
    </xf>
    <xf numFmtId="0" fontId="40" fillId="0" borderId="3" xfId="0" applyFont="1" applyBorder="1" applyAlignment="1">
      <alignment horizontal="center" vertical="center" wrapText="1"/>
    </xf>
    <xf numFmtId="0" fontId="40" fillId="0" borderId="0" xfId="0" applyFont="1" applyAlignment="1">
      <alignment horizontal="center" vertical="center" wrapText="1"/>
    </xf>
    <xf numFmtId="0" fontId="188" fillId="3" borderId="0" xfId="0" applyFont="1" applyFill="1" applyAlignment="1">
      <alignment horizontal="right"/>
    </xf>
    <xf numFmtId="9" fontId="194" fillId="8" borderId="8" xfId="3" applyNumberFormat="1" applyFont="1" applyFill="1" applyBorder="1" applyAlignment="1" applyProtection="1">
      <alignment horizontal="left" indent="1"/>
      <protection locked="0"/>
    </xf>
    <xf numFmtId="9" fontId="194" fillId="8" borderId="9" xfId="3" applyNumberFormat="1" applyFont="1" applyFill="1" applyBorder="1" applyAlignment="1" applyProtection="1">
      <alignment horizontal="left" indent="1"/>
      <protection locked="0"/>
    </xf>
    <xf numFmtId="9" fontId="194" fillId="8" borderId="10" xfId="3" applyNumberFormat="1" applyFont="1" applyFill="1" applyBorder="1" applyAlignment="1" applyProtection="1">
      <alignment horizontal="left" indent="1"/>
      <protection locked="0"/>
    </xf>
    <xf numFmtId="0" fontId="0" fillId="0" borderId="3" xfId="0" applyBorder="1" applyAlignment="1">
      <alignment horizontal="center"/>
    </xf>
    <xf numFmtId="0" fontId="0" fillId="0" borderId="0" xfId="0" applyAlignment="1">
      <alignment horizontal="center"/>
    </xf>
    <xf numFmtId="10" fontId="0" fillId="0" borderId="0" xfId="0" applyNumberFormat="1" applyAlignment="1">
      <alignment horizontal="left"/>
    </xf>
    <xf numFmtId="10" fontId="0" fillId="0" borderId="227" xfId="0" applyNumberFormat="1" applyBorder="1" applyAlignment="1">
      <alignment horizontal="left"/>
    </xf>
    <xf numFmtId="0" fontId="26" fillId="0" borderId="0" xfId="0" applyFont="1" applyAlignment="1">
      <alignment horizontal="center" vertical="center"/>
    </xf>
    <xf numFmtId="0" fontId="25" fillId="75" borderId="0" xfId="0" applyFont="1" applyFill="1" applyAlignment="1">
      <alignment horizontal="center"/>
    </xf>
    <xf numFmtId="0" fontId="26" fillId="0" borderId="0" xfId="0" applyFont="1" applyAlignment="1">
      <alignment horizontal="center" vertical="center" wrapText="1"/>
    </xf>
    <xf numFmtId="0" fontId="26" fillId="0" borderId="6" xfId="0" applyFont="1" applyBorder="1" applyAlignment="1">
      <alignment horizontal="center" vertical="center" wrapText="1"/>
    </xf>
    <xf numFmtId="0" fontId="13" fillId="18" borderId="231" xfId="0" applyFont="1" applyFill="1" applyBorder="1" applyAlignment="1">
      <alignment horizontal="left" vertical="center" wrapText="1"/>
    </xf>
    <xf numFmtId="0" fontId="13" fillId="18" borderId="232" xfId="0" applyFont="1" applyFill="1" applyBorder="1" applyAlignment="1">
      <alignment horizontal="left" vertical="center" wrapText="1"/>
    </xf>
    <xf numFmtId="0" fontId="13" fillId="18" borderId="233" xfId="0" applyFont="1" applyFill="1" applyBorder="1" applyAlignment="1">
      <alignment horizontal="left" vertical="center" wrapText="1"/>
    </xf>
    <xf numFmtId="9" fontId="187" fillId="0" borderId="240" xfId="2" applyFont="1" applyFill="1" applyBorder="1" applyAlignment="1" applyProtection="1">
      <alignment horizontal="center" vertical="center"/>
    </xf>
    <xf numFmtId="0" fontId="169" fillId="5" borderId="29" xfId="0" applyFont="1" applyFill="1" applyBorder="1" applyAlignment="1">
      <alignment horizontal="center" vertical="center"/>
    </xf>
    <xf numFmtId="0" fontId="169" fillId="5" borderId="30" xfId="0" applyFont="1" applyFill="1" applyBorder="1" applyAlignment="1">
      <alignment horizontal="center" vertical="center"/>
    </xf>
    <xf numFmtId="0" fontId="169" fillId="5" borderId="31" xfId="0" applyFont="1" applyFill="1" applyBorder="1" applyAlignment="1">
      <alignment horizontal="center" vertical="center"/>
    </xf>
    <xf numFmtId="0" fontId="169" fillId="5" borderId="5" xfId="0" applyFont="1" applyFill="1" applyBorder="1" applyAlignment="1">
      <alignment horizontal="center" vertical="center"/>
    </xf>
    <xf numFmtId="0" fontId="169" fillId="5" borderId="6" xfId="0" applyFont="1" applyFill="1" applyBorder="1" applyAlignment="1">
      <alignment horizontal="center" vertical="center"/>
    </xf>
    <xf numFmtId="0" fontId="169" fillId="5" borderId="7" xfId="0" applyFont="1" applyFill="1" applyBorder="1" applyAlignment="1">
      <alignment horizontal="center" vertical="center"/>
    </xf>
    <xf numFmtId="0" fontId="8" fillId="0" borderId="0" xfId="0" applyFont="1" applyAlignment="1">
      <alignment horizontal="left" vertical="center" indent="1"/>
    </xf>
    <xf numFmtId="0" fontId="9" fillId="0" borderId="4" xfId="0" applyFont="1" applyBorder="1" applyAlignment="1">
      <alignment horizontal="left" vertical="center"/>
    </xf>
    <xf numFmtId="0" fontId="24" fillId="0" borderId="0" xfId="11"/>
    <xf numFmtId="0" fontId="181" fillId="0" borderId="0" xfId="0" applyFont="1" applyAlignment="1">
      <alignment horizontal="left" vertical="top"/>
    </xf>
    <xf numFmtId="0" fontId="181" fillId="0" borderId="227" xfId="0" applyFont="1" applyBorder="1" applyAlignment="1">
      <alignment horizontal="left" vertical="top"/>
    </xf>
    <xf numFmtId="0" fontId="194" fillId="8" borderId="8" xfId="0" applyFont="1" applyFill="1" applyBorder="1" applyAlignment="1" applyProtection="1">
      <alignment horizontal="left" indent="1"/>
      <protection locked="0"/>
    </xf>
    <xf numFmtId="0" fontId="194" fillId="8" borderId="9" xfId="0" applyFont="1" applyFill="1" applyBorder="1" applyAlignment="1" applyProtection="1">
      <alignment horizontal="left" indent="1"/>
      <protection locked="0"/>
    </xf>
    <xf numFmtId="0" fontId="194" fillId="8" borderId="10" xfId="0" applyFont="1" applyFill="1" applyBorder="1" applyAlignment="1" applyProtection="1">
      <alignment horizontal="left" indent="1"/>
      <protection locked="0"/>
    </xf>
    <xf numFmtId="0" fontId="188" fillId="3" borderId="3" xfId="0" applyFont="1" applyFill="1" applyBorder="1" applyAlignment="1">
      <alignment horizontal="right"/>
    </xf>
    <xf numFmtId="0" fontId="188" fillId="3" borderId="4" xfId="0" applyFont="1" applyFill="1" applyBorder="1" applyAlignment="1">
      <alignment horizontal="right"/>
    </xf>
    <xf numFmtId="171" fontId="187" fillId="8" borderId="8" xfId="1" applyNumberFormat="1" applyFont="1" applyFill="1" applyBorder="1" applyAlignment="1" applyProtection="1">
      <alignment horizontal="center"/>
      <protection locked="0"/>
    </xf>
    <xf numFmtId="171" fontId="187" fillId="8" borderId="9" xfId="1" applyNumberFormat="1" applyFont="1" applyFill="1" applyBorder="1" applyAlignment="1" applyProtection="1">
      <alignment horizontal="center"/>
      <protection locked="0"/>
    </xf>
    <xf numFmtId="171" fontId="187" fillId="8" borderId="10" xfId="1" applyNumberFormat="1" applyFont="1" applyFill="1" applyBorder="1" applyAlignment="1" applyProtection="1">
      <alignment horizontal="center"/>
      <protection locked="0"/>
    </xf>
    <xf numFmtId="0" fontId="0" fillId="0" borderId="0" xfId="0" applyAlignment="1">
      <alignment horizontal="center" vertical="top" wrapText="1"/>
    </xf>
    <xf numFmtId="0" fontId="165" fillId="0" borderId="0" xfId="0" applyFont="1" applyAlignment="1">
      <alignment horizontal="left" vertical="top" wrapText="1"/>
    </xf>
    <xf numFmtId="0" fontId="165" fillId="0" borderId="4" xfId="0" applyFont="1" applyBorder="1" applyAlignment="1">
      <alignment horizontal="left" vertical="top" wrapText="1"/>
    </xf>
    <xf numFmtId="190" fontId="192" fillId="8" borderId="206" xfId="3" applyNumberFormat="1" applyFont="1" applyFill="1" applyBorder="1" applyAlignment="1" applyProtection="1">
      <alignment horizontal="center" vertical="center"/>
      <protection locked="0"/>
    </xf>
    <xf numFmtId="190" fontId="192" fillId="8" borderId="207" xfId="3" applyNumberFormat="1" applyFont="1" applyFill="1" applyBorder="1" applyAlignment="1" applyProtection="1">
      <alignment horizontal="center" vertical="center"/>
      <protection locked="0"/>
    </xf>
    <xf numFmtId="190" fontId="192" fillId="8" borderId="208" xfId="3" applyNumberFormat="1" applyFont="1" applyFill="1" applyBorder="1" applyAlignment="1" applyProtection="1">
      <alignment horizontal="center" vertical="center"/>
      <protection locked="0"/>
    </xf>
    <xf numFmtId="0" fontId="214" fillId="66" borderId="8" xfId="0" applyFont="1" applyFill="1" applyBorder="1" applyAlignment="1">
      <alignment horizontal="right" vertical="top"/>
    </xf>
    <xf numFmtId="0" fontId="214" fillId="66" borderId="9" xfId="0" applyFont="1" applyFill="1" applyBorder="1" applyAlignment="1">
      <alignment horizontal="right" vertical="top"/>
    </xf>
    <xf numFmtId="0" fontId="9" fillId="66" borderId="9" xfId="0" applyFont="1" applyFill="1" applyBorder="1" applyAlignment="1">
      <alignment horizontal="center" vertical="center" wrapText="1"/>
    </xf>
    <xf numFmtId="0" fontId="9" fillId="66" borderId="10" xfId="0" applyFont="1" applyFill="1" applyBorder="1" applyAlignment="1">
      <alignment horizontal="center" vertical="center" wrapText="1"/>
    </xf>
    <xf numFmtId="0" fontId="9" fillId="0" borderId="152" xfId="0" applyFont="1" applyBorder="1" applyAlignment="1">
      <alignment horizontal="center" vertical="center"/>
    </xf>
    <xf numFmtId="0" fontId="9" fillId="0" borderId="0" xfId="0" applyFont="1" applyAlignment="1">
      <alignment horizontal="center" vertical="center"/>
    </xf>
    <xf numFmtId="0" fontId="215" fillId="66" borderId="29" xfId="0" applyFont="1" applyFill="1" applyBorder="1" applyAlignment="1">
      <alignment horizontal="right" vertical="top"/>
    </xf>
    <xf numFmtId="0" fontId="215" fillId="66" borderId="30" xfId="0" applyFont="1" applyFill="1" applyBorder="1" applyAlignment="1">
      <alignment horizontal="right" vertical="top"/>
    </xf>
    <xf numFmtId="0" fontId="215" fillId="66" borderId="5" xfId="0" applyFont="1" applyFill="1" applyBorder="1" applyAlignment="1">
      <alignment horizontal="right" vertical="top"/>
    </xf>
    <xf numFmtId="0" fontId="215" fillId="66" borderId="6" xfId="0" applyFont="1" applyFill="1" applyBorder="1" applyAlignment="1">
      <alignment horizontal="right" vertical="top"/>
    </xf>
    <xf numFmtId="0" fontId="9" fillId="66" borderId="30" xfId="0" applyFont="1" applyFill="1" applyBorder="1" applyAlignment="1">
      <alignment horizontal="center" vertical="center" wrapText="1"/>
    </xf>
    <xf numFmtId="0" fontId="9" fillId="66" borderId="31" xfId="0" applyFont="1" applyFill="1" applyBorder="1" applyAlignment="1">
      <alignment horizontal="center" vertical="center" wrapText="1"/>
    </xf>
    <xf numFmtId="0" fontId="9" fillId="66" borderId="6" xfId="0" applyFont="1" applyFill="1" applyBorder="1" applyAlignment="1">
      <alignment horizontal="center" vertical="center" wrapText="1"/>
    </xf>
    <xf numFmtId="0" fontId="9" fillId="66" borderId="7" xfId="0" applyFont="1" applyFill="1" applyBorder="1" applyAlignment="1">
      <alignment horizontal="center" vertical="center" wrapText="1"/>
    </xf>
    <xf numFmtId="190" fontId="192" fillId="8" borderId="200" xfId="3" applyNumberFormat="1" applyFont="1" applyFill="1" applyBorder="1" applyAlignment="1" applyProtection="1">
      <alignment horizontal="center" vertical="center"/>
      <protection locked="0"/>
    </xf>
    <xf numFmtId="190" fontId="192" fillId="8" borderId="201" xfId="3" applyNumberFormat="1" applyFont="1" applyFill="1" applyBorder="1" applyAlignment="1" applyProtection="1">
      <alignment horizontal="center" vertical="center"/>
      <protection locked="0"/>
    </xf>
    <xf numFmtId="190" fontId="192" fillId="8" borderId="202" xfId="3" applyNumberFormat="1" applyFont="1" applyFill="1" applyBorder="1" applyAlignment="1" applyProtection="1">
      <alignment horizontal="center" vertical="center"/>
      <protection locked="0"/>
    </xf>
    <xf numFmtId="171" fontId="168" fillId="0" borderId="5" xfId="0" applyNumberFormat="1" applyFont="1" applyBorder="1" applyAlignment="1">
      <alignment horizontal="center" vertical="center"/>
    </xf>
    <xf numFmtId="171" fontId="168" fillId="0" borderId="6" xfId="0" applyNumberFormat="1" applyFont="1" applyBorder="1" applyAlignment="1">
      <alignment horizontal="center" vertical="center"/>
    </xf>
    <xf numFmtId="171" fontId="168" fillId="0" borderId="7" xfId="0" applyNumberFormat="1" applyFont="1" applyBorder="1" applyAlignment="1">
      <alignment horizontal="center" vertical="center"/>
    </xf>
    <xf numFmtId="10" fontId="192" fillId="8" borderId="200" xfId="2" applyNumberFormat="1" applyFont="1" applyFill="1" applyBorder="1" applyAlignment="1" applyProtection="1">
      <alignment horizontal="center" vertical="center"/>
      <protection locked="0"/>
    </xf>
    <xf numFmtId="10" fontId="192" fillId="8" borderId="201" xfId="2" applyNumberFormat="1" applyFont="1" applyFill="1" applyBorder="1" applyAlignment="1" applyProtection="1">
      <alignment horizontal="center" vertical="center"/>
      <protection locked="0"/>
    </xf>
    <xf numFmtId="10" fontId="192" fillId="8" borderId="202" xfId="2" applyNumberFormat="1" applyFont="1" applyFill="1" applyBorder="1" applyAlignment="1" applyProtection="1">
      <alignment horizontal="center" vertical="center"/>
      <protection locked="0"/>
    </xf>
    <xf numFmtId="0" fontId="0" fillId="0" borderId="145" xfId="0" applyBorder="1" applyAlignment="1">
      <alignment horizontal="left"/>
    </xf>
    <xf numFmtId="0" fontId="0" fillId="0" borderId="0" xfId="0" applyAlignment="1">
      <alignment horizontal="left"/>
    </xf>
    <xf numFmtId="0" fontId="17" fillId="63" borderId="146" xfId="0" applyFont="1" applyFill="1" applyBorder="1" applyAlignment="1">
      <alignment horizontal="center" vertical="top" wrapText="1"/>
    </xf>
    <xf numFmtId="0" fontId="17" fillId="63" borderId="148" xfId="0" applyFont="1" applyFill="1" applyBorder="1" applyAlignment="1">
      <alignment horizontal="center" vertical="top" wrapText="1"/>
    </xf>
    <xf numFmtId="0" fontId="17" fillId="63" borderId="145" xfId="0" applyFont="1" applyFill="1" applyBorder="1" applyAlignment="1">
      <alignment horizontal="center" vertical="top" wrapText="1"/>
    </xf>
    <xf numFmtId="0" fontId="17" fillId="63" borderId="149" xfId="0" applyFont="1" applyFill="1" applyBorder="1" applyAlignment="1">
      <alignment horizontal="center" vertical="top" wrapText="1"/>
    </xf>
    <xf numFmtId="0" fontId="17" fillId="63" borderId="147" xfId="0" applyFont="1" applyFill="1" applyBorder="1" applyAlignment="1">
      <alignment horizontal="center" vertical="top" wrapText="1"/>
    </xf>
    <xf numFmtId="0" fontId="17" fillId="63" borderId="150" xfId="0" applyFont="1" applyFill="1" applyBorder="1" applyAlignment="1">
      <alignment horizontal="center" vertical="top" wrapText="1"/>
    </xf>
    <xf numFmtId="0" fontId="9" fillId="3" borderId="0" xfId="0" applyFont="1" applyFill="1" applyAlignment="1">
      <alignment horizontal="right" vertical="center"/>
    </xf>
    <xf numFmtId="171" fontId="168" fillId="0" borderId="29" xfId="0" applyNumberFormat="1" applyFont="1" applyBorder="1" applyAlignment="1">
      <alignment horizontal="center" vertical="center"/>
    </xf>
    <xf numFmtId="171" fontId="168" fillId="0" borderId="31" xfId="0" applyNumberFormat="1" applyFont="1" applyBorder="1" applyAlignment="1">
      <alignment horizontal="center" vertical="center"/>
    </xf>
    <xf numFmtId="171" fontId="168" fillId="0" borderId="3" xfId="0" applyNumberFormat="1" applyFont="1" applyBorder="1" applyAlignment="1">
      <alignment horizontal="center" vertical="center"/>
    </xf>
    <xf numFmtId="171" fontId="168" fillId="0" borderId="4" xfId="0" applyNumberFormat="1" applyFont="1" applyBorder="1" applyAlignment="1">
      <alignment horizontal="center" vertical="center"/>
    </xf>
    <xf numFmtId="171" fontId="168" fillId="0" borderId="0" xfId="0" applyNumberFormat="1" applyFont="1" applyAlignment="1">
      <alignment horizontal="center" vertical="center"/>
    </xf>
    <xf numFmtId="10" fontId="192" fillId="8" borderId="197" xfId="2" applyNumberFormat="1" applyFont="1" applyFill="1" applyBorder="1" applyAlignment="1" applyProtection="1">
      <alignment horizontal="center" vertical="center"/>
      <protection locked="0"/>
    </xf>
    <xf numFmtId="10" fontId="192" fillId="8" borderId="198" xfId="2" applyNumberFormat="1" applyFont="1" applyFill="1" applyBorder="1" applyAlignment="1" applyProtection="1">
      <alignment horizontal="center" vertical="center"/>
      <protection locked="0"/>
    </xf>
    <xf numFmtId="10" fontId="192" fillId="8" borderId="199" xfId="2" applyNumberFormat="1" applyFont="1" applyFill="1" applyBorder="1" applyAlignment="1" applyProtection="1">
      <alignment horizontal="center" vertical="center"/>
      <protection locked="0"/>
    </xf>
    <xf numFmtId="0" fontId="173" fillId="3" borderId="155" xfId="0" applyFont="1" applyFill="1" applyBorder="1" applyAlignment="1">
      <alignment horizontal="center" vertical="center" textRotation="90" wrapText="1"/>
    </xf>
    <xf numFmtId="0" fontId="173" fillId="3" borderId="156" xfId="0" applyFont="1" applyFill="1" applyBorder="1" applyAlignment="1">
      <alignment horizontal="center" vertical="center" textRotation="90" wrapText="1"/>
    </xf>
    <xf numFmtId="0" fontId="173" fillId="3" borderId="157" xfId="0" applyFont="1" applyFill="1" applyBorder="1" applyAlignment="1">
      <alignment horizontal="center" vertical="center" textRotation="90" wrapText="1"/>
    </xf>
    <xf numFmtId="171" fontId="168" fillId="0" borderId="30" xfId="0" applyNumberFormat="1" applyFont="1" applyBorder="1" applyAlignment="1">
      <alignment horizontal="center" vertical="center"/>
    </xf>
    <xf numFmtId="10" fontId="197" fillId="0" borderId="200" xfId="2" applyNumberFormat="1" applyFont="1" applyFill="1" applyBorder="1" applyAlignment="1" applyProtection="1">
      <alignment horizontal="center" vertical="center"/>
    </xf>
    <xf numFmtId="10" fontId="197" fillId="0" borderId="201" xfId="2" applyNumberFormat="1" applyFont="1" applyFill="1" applyBorder="1" applyAlignment="1" applyProtection="1">
      <alignment horizontal="center" vertical="center"/>
    </xf>
    <xf numFmtId="10" fontId="197" fillId="0" borderId="202" xfId="2" applyNumberFormat="1" applyFont="1" applyFill="1" applyBorder="1" applyAlignment="1" applyProtection="1">
      <alignment horizontal="center" vertical="center"/>
    </xf>
    <xf numFmtId="0" fontId="167" fillId="0" borderId="135" xfId="0" applyFont="1" applyBorder="1" applyAlignment="1" applyProtection="1">
      <alignment horizontal="center"/>
      <protection locked="0"/>
    </xf>
    <xf numFmtId="0" fontId="167" fillId="0" borderId="114" xfId="0" applyFont="1" applyBorder="1" applyAlignment="1" applyProtection="1">
      <alignment horizontal="center"/>
      <protection locked="0"/>
    </xf>
    <xf numFmtId="0" fontId="166" fillId="62" borderId="29" xfId="0" applyFont="1" applyFill="1" applyBorder="1" applyAlignment="1">
      <alignment horizontal="center" vertical="center" wrapText="1"/>
    </xf>
    <xf numFmtId="0" fontId="166" fillId="62" borderId="30" xfId="0" applyFont="1" applyFill="1" applyBorder="1" applyAlignment="1">
      <alignment horizontal="center" vertical="center" wrapText="1"/>
    </xf>
    <xf numFmtId="0" fontId="166" fillId="62" borderId="211" xfId="0" applyFont="1" applyFill="1" applyBorder="1" applyAlignment="1">
      <alignment horizontal="center" vertical="center" wrapText="1"/>
    </xf>
    <xf numFmtId="0" fontId="166" fillId="62" borderId="5" xfId="0" applyFont="1" applyFill="1" applyBorder="1" applyAlignment="1">
      <alignment horizontal="center" vertical="center" wrapText="1"/>
    </xf>
    <xf numFmtId="0" fontId="166" fillId="62" borderId="6" xfId="0" applyFont="1" applyFill="1" applyBorder="1" applyAlignment="1">
      <alignment horizontal="center" vertical="center" wrapText="1"/>
    </xf>
    <xf numFmtId="0" fontId="166" fillId="62" borderId="212" xfId="0" applyFont="1" applyFill="1" applyBorder="1" applyAlignment="1">
      <alignment horizontal="center" vertical="center" wrapText="1"/>
    </xf>
    <xf numFmtId="0" fontId="166" fillId="62" borderId="209" xfId="0" applyFont="1" applyFill="1" applyBorder="1" applyAlignment="1">
      <alignment horizontal="center" vertical="center" wrapText="1"/>
    </xf>
    <xf numFmtId="0" fontId="166" fillId="62" borderId="210" xfId="0" applyFont="1" applyFill="1" applyBorder="1" applyAlignment="1">
      <alignment horizontal="center" vertical="center" wrapText="1"/>
    </xf>
    <xf numFmtId="0" fontId="166" fillId="62" borderId="31" xfId="0" applyFont="1" applyFill="1" applyBorder="1" applyAlignment="1">
      <alignment horizontal="center" vertical="center" wrapText="1"/>
    </xf>
    <xf numFmtId="0" fontId="166" fillId="62" borderId="7" xfId="0" applyFont="1" applyFill="1" applyBorder="1" applyAlignment="1">
      <alignment horizontal="center" vertical="center" wrapText="1"/>
    </xf>
    <xf numFmtId="9" fontId="197" fillId="3" borderId="203" xfId="2" applyFont="1" applyFill="1" applyBorder="1" applyAlignment="1" applyProtection="1">
      <alignment horizontal="center" vertical="center"/>
    </xf>
    <xf numFmtId="9" fontId="197" fillId="3" borderId="204" xfId="2" applyFont="1" applyFill="1" applyBorder="1" applyAlignment="1" applyProtection="1">
      <alignment horizontal="center" vertical="center"/>
    </xf>
    <xf numFmtId="9" fontId="197" fillId="3" borderId="205" xfId="2" applyFont="1" applyFill="1" applyBorder="1" applyAlignment="1" applyProtection="1">
      <alignment horizontal="center" vertical="center"/>
    </xf>
    <xf numFmtId="0" fontId="188" fillId="0" borderId="8" xfId="0" applyFont="1" applyBorder="1" applyAlignment="1">
      <alignment horizontal="right" vertical="center"/>
    </xf>
    <xf numFmtId="0" fontId="188" fillId="0" borderId="9" xfId="0" applyFont="1" applyBorder="1" applyAlignment="1">
      <alignment horizontal="right" vertical="center"/>
    </xf>
    <xf numFmtId="0" fontId="188" fillId="0" borderId="10" xfId="0" applyFont="1" applyBorder="1" applyAlignment="1">
      <alignment horizontal="right" vertical="center"/>
    </xf>
    <xf numFmtId="10" fontId="202" fillId="10" borderId="200" xfId="2" applyNumberFormat="1" applyFont="1" applyFill="1" applyBorder="1" applyAlignment="1" applyProtection="1">
      <alignment horizontal="center" vertical="center"/>
      <protection locked="0"/>
    </xf>
    <xf numFmtId="10" fontId="202" fillId="10" borderId="201" xfId="2" applyNumberFormat="1" applyFont="1" applyFill="1" applyBorder="1" applyAlignment="1" applyProtection="1">
      <alignment horizontal="center" vertical="center"/>
      <protection locked="0"/>
    </xf>
    <xf numFmtId="10" fontId="202" fillId="10" borderId="202" xfId="2" applyNumberFormat="1" applyFont="1" applyFill="1" applyBorder="1" applyAlignment="1" applyProtection="1">
      <alignment horizontal="center" vertical="center"/>
      <protection locked="0"/>
    </xf>
    <xf numFmtId="10" fontId="197" fillId="3" borderId="200" xfId="2" applyNumberFormat="1" applyFont="1" applyFill="1" applyBorder="1" applyAlignment="1" applyProtection="1">
      <alignment horizontal="center" vertical="center"/>
    </xf>
    <xf numFmtId="10" fontId="197" fillId="3" borderId="201" xfId="2" applyNumberFormat="1" applyFont="1" applyFill="1" applyBorder="1" applyAlignment="1" applyProtection="1">
      <alignment horizontal="center" vertical="center"/>
    </xf>
    <xf numFmtId="10" fontId="197" fillId="3" borderId="202" xfId="2" applyNumberFormat="1" applyFont="1" applyFill="1" applyBorder="1" applyAlignment="1" applyProtection="1">
      <alignment horizontal="center" vertical="center"/>
    </xf>
    <xf numFmtId="10" fontId="202" fillId="10" borderId="218" xfId="2" applyNumberFormat="1" applyFont="1" applyFill="1" applyBorder="1" applyAlignment="1" applyProtection="1">
      <alignment horizontal="center" vertical="center"/>
      <protection locked="0"/>
    </xf>
    <xf numFmtId="10" fontId="202" fillId="10" borderId="219" xfId="2" applyNumberFormat="1" applyFont="1" applyFill="1" applyBorder="1" applyAlignment="1" applyProtection="1">
      <alignment horizontal="center" vertical="center"/>
      <protection locked="0"/>
    </xf>
    <xf numFmtId="10" fontId="202" fillId="10" borderId="213" xfId="2" applyNumberFormat="1" applyFont="1" applyFill="1" applyBorder="1" applyAlignment="1" applyProtection="1">
      <alignment horizontal="center" vertical="center"/>
      <protection locked="0"/>
    </xf>
    <xf numFmtId="10" fontId="202" fillId="10" borderId="220" xfId="2" applyNumberFormat="1" applyFont="1" applyFill="1" applyBorder="1" applyAlignment="1" applyProtection="1">
      <alignment horizontal="center" vertical="center"/>
      <protection locked="0"/>
    </xf>
    <xf numFmtId="10" fontId="202" fillId="10" borderId="221" xfId="2" applyNumberFormat="1" applyFont="1" applyFill="1" applyBorder="1" applyAlignment="1" applyProtection="1">
      <alignment horizontal="center" vertical="center"/>
      <protection locked="0"/>
    </xf>
    <xf numFmtId="10" fontId="202" fillId="10" borderId="222" xfId="2" applyNumberFormat="1" applyFont="1" applyFill="1" applyBorder="1" applyAlignment="1" applyProtection="1">
      <alignment horizontal="center" vertical="center"/>
      <protection locked="0"/>
    </xf>
    <xf numFmtId="0" fontId="188" fillId="0" borderId="29" xfId="0" applyFont="1" applyBorder="1" applyAlignment="1">
      <alignment horizontal="right"/>
    </xf>
    <xf numFmtId="0" fontId="188" fillId="0" borderId="30" xfId="0" applyFont="1" applyBorder="1" applyAlignment="1">
      <alignment horizontal="right"/>
    </xf>
    <xf numFmtId="0" fontId="188" fillId="0" borderId="31" xfId="0" applyFont="1" applyBorder="1" applyAlignment="1">
      <alignment horizontal="right"/>
    </xf>
    <xf numFmtId="0" fontId="188" fillId="0" borderId="5" xfId="0" applyFont="1" applyBorder="1" applyAlignment="1">
      <alignment horizontal="right"/>
    </xf>
    <xf numFmtId="0" fontId="188" fillId="0" borderId="6" xfId="0" applyFont="1" applyBorder="1" applyAlignment="1">
      <alignment horizontal="right"/>
    </xf>
    <xf numFmtId="0" fontId="188" fillId="0" borderId="7" xfId="0" applyFont="1" applyBorder="1" applyAlignment="1">
      <alignment horizontal="right"/>
    </xf>
    <xf numFmtId="10" fontId="192" fillId="3" borderId="200" xfId="2" applyNumberFormat="1" applyFont="1" applyFill="1" applyBorder="1" applyAlignment="1" applyProtection="1">
      <alignment horizontal="center" vertical="center"/>
    </xf>
    <xf numFmtId="10" fontId="192" fillId="3" borderId="201" xfId="2" applyNumberFormat="1" applyFont="1" applyFill="1" applyBorder="1" applyAlignment="1" applyProtection="1">
      <alignment horizontal="center" vertical="center"/>
    </xf>
    <xf numFmtId="10" fontId="192" fillId="3" borderId="202" xfId="2" applyNumberFormat="1" applyFont="1" applyFill="1" applyBorder="1" applyAlignment="1" applyProtection="1">
      <alignment horizontal="center" vertical="center"/>
    </xf>
    <xf numFmtId="9" fontId="166" fillId="0" borderId="200" xfId="3" applyNumberFormat="1" applyFont="1" applyFill="1" applyBorder="1" applyAlignment="1" applyProtection="1">
      <alignment horizontal="center" vertical="center"/>
    </xf>
    <xf numFmtId="9" fontId="166" fillId="0" borderId="201" xfId="3" applyNumberFormat="1" applyFont="1" applyFill="1" applyBorder="1" applyAlignment="1" applyProtection="1">
      <alignment horizontal="center" vertical="center"/>
    </xf>
    <xf numFmtId="9" fontId="166" fillId="0" borderId="202" xfId="3" applyNumberFormat="1" applyFont="1" applyFill="1" applyBorder="1" applyAlignment="1" applyProtection="1">
      <alignment horizontal="center" vertical="center"/>
    </xf>
    <xf numFmtId="1" fontId="209" fillId="8" borderId="197" xfId="1" applyNumberFormat="1" applyFont="1" applyFill="1" applyBorder="1" applyAlignment="1" applyProtection="1">
      <alignment horizontal="center" vertical="center"/>
      <protection locked="0"/>
    </xf>
    <xf numFmtId="1" fontId="209" fillId="8" borderId="198" xfId="1" applyNumberFormat="1" applyFont="1" applyFill="1" applyBorder="1" applyAlignment="1" applyProtection="1">
      <alignment horizontal="center" vertical="center"/>
      <protection locked="0"/>
    </xf>
    <xf numFmtId="1" fontId="209" fillId="8" borderId="199" xfId="1" applyNumberFormat="1" applyFont="1" applyFill="1" applyBorder="1" applyAlignment="1" applyProtection="1">
      <alignment horizontal="center" vertical="center"/>
      <protection locked="0"/>
    </xf>
    <xf numFmtId="0" fontId="173" fillId="0" borderId="135" xfId="0" applyFont="1" applyBorder="1" applyAlignment="1">
      <alignment horizontal="center" vertical="center" textRotation="90" wrapText="1"/>
    </xf>
    <xf numFmtId="0" fontId="173" fillId="0" borderId="23" xfId="0" applyFont="1" applyBorder="1" applyAlignment="1">
      <alignment horizontal="center" vertical="center" textRotation="90" wrapText="1"/>
    </xf>
    <xf numFmtId="0" fontId="173" fillId="0" borderId="114" xfId="0" applyFont="1" applyBorder="1" applyAlignment="1">
      <alignment horizontal="center" vertical="center" textRotation="90" wrapText="1"/>
    </xf>
    <xf numFmtId="9" fontId="192" fillId="9" borderId="200" xfId="3" applyNumberFormat="1" applyFont="1" applyFill="1" applyBorder="1" applyAlignment="1" applyProtection="1">
      <alignment horizontal="center" vertical="center"/>
      <protection locked="0"/>
    </xf>
    <xf numFmtId="9" fontId="192" fillId="9" borderId="201" xfId="3" applyNumberFormat="1" applyFont="1" applyFill="1" applyBorder="1" applyAlignment="1" applyProtection="1">
      <alignment horizontal="center" vertical="center"/>
      <protection locked="0"/>
    </xf>
    <xf numFmtId="9" fontId="192" fillId="9" borderId="202" xfId="3" applyNumberFormat="1" applyFont="1" applyFill="1" applyBorder="1" applyAlignment="1" applyProtection="1">
      <alignment horizontal="center" vertical="center"/>
      <protection locked="0"/>
    </xf>
    <xf numFmtId="9" fontId="192" fillId="0" borderId="200" xfId="3" applyNumberFormat="1" applyFont="1" applyFill="1" applyBorder="1" applyAlignment="1" applyProtection="1">
      <alignment horizontal="center" vertical="center"/>
    </xf>
    <xf numFmtId="9" fontId="192" fillId="0" borderId="201" xfId="3" applyNumberFormat="1" applyFont="1" applyFill="1" applyBorder="1" applyAlignment="1" applyProtection="1">
      <alignment horizontal="center" vertical="center"/>
    </xf>
    <xf numFmtId="9" fontId="192" fillId="0" borderId="202" xfId="3" applyNumberFormat="1" applyFont="1" applyFill="1" applyBorder="1" applyAlignment="1" applyProtection="1">
      <alignment horizontal="center" vertical="center"/>
    </xf>
    <xf numFmtId="0" fontId="177" fillId="5" borderId="8" xfId="0" applyFont="1" applyFill="1" applyBorder="1" applyAlignment="1">
      <alignment horizontal="left" vertical="top" wrapText="1"/>
    </xf>
    <xf numFmtId="0" fontId="177" fillId="5" borderId="9" xfId="0" applyFont="1" applyFill="1" applyBorder="1" applyAlignment="1">
      <alignment horizontal="left" vertical="top" wrapText="1"/>
    </xf>
    <xf numFmtId="0" fontId="198" fillId="8" borderId="200" xfId="0" applyFont="1" applyFill="1" applyBorder="1" applyAlignment="1" applyProtection="1">
      <alignment horizontal="center" vertical="center"/>
      <protection locked="0"/>
    </xf>
    <xf numFmtId="0" fontId="198" fillId="8" borderId="201" xfId="0" applyFont="1" applyFill="1" applyBorder="1" applyAlignment="1" applyProtection="1">
      <alignment horizontal="center" vertical="center"/>
      <protection locked="0"/>
    </xf>
    <xf numFmtId="0" fontId="198" fillId="8" borderId="202" xfId="0" applyFont="1" applyFill="1" applyBorder="1" applyAlignment="1" applyProtection="1">
      <alignment horizontal="center" vertical="center"/>
      <protection locked="0"/>
    </xf>
    <xf numFmtId="0" fontId="182" fillId="8" borderId="201" xfId="0" applyFont="1" applyFill="1" applyBorder="1" applyAlignment="1" applyProtection="1">
      <alignment horizontal="center" vertical="center"/>
      <protection locked="0"/>
    </xf>
    <xf numFmtId="0" fontId="182" fillId="8" borderId="202" xfId="0" applyFont="1" applyFill="1" applyBorder="1" applyAlignment="1" applyProtection="1">
      <alignment horizontal="center" vertical="center"/>
      <protection locked="0"/>
    </xf>
    <xf numFmtId="0" fontId="203" fillId="8" borderId="214" xfId="0" applyFont="1" applyFill="1" applyBorder="1" applyAlignment="1" applyProtection="1">
      <alignment horizontal="center" vertical="center"/>
      <protection locked="0"/>
    </xf>
    <xf numFmtId="0" fontId="203" fillId="8" borderId="215" xfId="0" applyFont="1" applyFill="1" applyBorder="1" applyAlignment="1" applyProtection="1">
      <alignment horizontal="center" vertical="center"/>
      <protection locked="0"/>
    </xf>
    <xf numFmtId="0" fontId="203" fillId="8" borderId="216" xfId="0" applyFont="1" applyFill="1" applyBorder="1" applyAlignment="1" applyProtection="1">
      <alignment horizontal="center" vertical="center"/>
      <protection locked="0"/>
    </xf>
    <xf numFmtId="1" fontId="182" fillId="8" borderId="201" xfId="1" applyNumberFormat="1" applyFont="1" applyFill="1" applyBorder="1" applyAlignment="1" applyProtection="1">
      <alignment horizontal="center" vertical="center"/>
      <protection locked="0"/>
    </xf>
    <xf numFmtId="1" fontId="182" fillId="8" borderId="202" xfId="1" applyNumberFormat="1" applyFont="1" applyFill="1" applyBorder="1" applyAlignment="1" applyProtection="1">
      <alignment horizontal="center" vertical="center"/>
      <protection locked="0"/>
    </xf>
    <xf numFmtId="0" fontId="275" fillId="0" borderId="145" xfId="0" applyFont="1" applyBorder="1" applyAlignment="1">
      <alignment horizontal="center" vertical="top" wrapText="1"/>
    </xf>
    <xf numFmtId="0" fontId="275" fillId="0" borderId="0" xfId="0" applyFont="1" applyAlignment="1">
      <alignment horizontal="center" vertical="top" wrapText="1"/>
    </xf>
    <xf numFmtId="0" fontId="182" fillId="9" borderId="201" xfId="0" applyFont="1" applyFill="1" applyBorder="1" applyAlignment="1" applyProtection="1">
      <alignment horizontal="center" vertical="center"/>
      <protection locked="0"/>
    </xf>
    <xf numFmtId="0" fontId="182" fillId="9" borderId="202" xfId="0" applyFont="1" applyFill="1" applyBorder="1" applyAlignment="1" applyProtection="1">
      <alignment horizontal="center" vertical="center"/>
      <protection locked="0"/>
    </xf>
    <xf numFmtId="0" fontId="295" fillId="0" borderId="0" xfId="0" applyFont="1" applyAlignment="1">
      <alignment horizontal="left" vertical="top" wrapText="1"/>
    </xf>
    <xf numFmtId="0" fontId="201" fillId="8" borderId="201" xfId="0" applyFont="1" applyFill="1" applyBorder="1" applyAlignment="1" applyProtection="1">
      <alignment horizontal="center" vertical="center"/>
      <protection locked="0"/>
    </xf>
    <xf numFmtId="0" fontId="201" fillId="8" borderId="202" xfId="0" applyFont="1" applyFill="1" applyBorder="1" applyAlignment="1" applyProtection="1">
      <alignment horizontal="center" vertical="center"/>
      <protection locked="0"/>
    </xf>
    <xf numFmtId="0" fontId="203" fillId="8" borderId="4" xfId="0" applyFont="1" applyFill="1" applyBorder="1" applyAlignment="1" applyProtection="1">
      <alignment horizontal="center" vertical="center"/>
      <protection locked="0"/>
    </xf>
    <xf numFmtId="0" fontId="203" fillId="8" borderId="23" xfId="0" applyFont="1" applyFill="1" applyBorder="1" applyAlignment="1" applyProtection="1">
      <alignment horizontal="center" vertical="center"/>
      <protection locked="0"/>
    </xf>
    <xf numFmtId="0" fontId="203" fillId="8" borderId="217" xfId="0" applyFont="1" applyFill="1" applyBorder="1" applyAlignment="1" applyProtection="1">
      <alignment horizontal="center" vertical="center"/>
      <protection locked="0"/>
    </xf>
    <xf numFmtId="0" fontId="255" fillId="78" borderId="135" xfId="0" applyFont="1" applyFill="1" applyBorder="1" applyAlignment="1">
      <alignment horizontal="center" vertical="center"/>
    </xf>
    <xf numFmtId="0" fontId="255" fillId="78" borderId="23" xfId="0" applyFont="1" applyFill="1" applyBorder="1" applyAlignment="1">
      <alignment horizontal="center" vertical="center"/>
    </xf>
    <xf numFmtId="0" fontId="255" fillId="78" borderId="114" xfId="0" applyFont="1" applyFill="1" applyBorder="1" applyAlignment="1">
      <alignment horizontal="center" vertical="center"/>
    </xf>
    <xf numFmtId="0" fontId="176" fillId="0" borderId="6" xfId="0" applyFont="1" applyBorder="1" applyAlignment="1">
      <alignment horizontal="center" vertical="center"/>
    </xf>
    <xf numFmtId="0" fontId="203" fillId="8" borderId="151" xfId="0" applyFont="1" applyFill="1" applyBorder="1" applyAlignment="1" applyProtection="1">
      <alignment horizontal="center" vertical="center"/>
      <protection locked="0"/>
    </xf>
    <xf numFmtId="0" fontId="203" fillId="8" borderId="150" xfId="0" applyFont="1" applyFill="1" applyBorder="1" applyAlignment="1" applyProtection="1">
      <alignment horizontal="center" vertical="center"/>
      <protection locked="0"/>
    </xf>
    <xf numFmtId="0" fontId="166" fillId="63" borderId="29" xfId="0" applyFont="1" applyFill="1" applyBorder="1" applyAlignment="1">
      <alignment horizontal="center" vertical="center" wrapText="1"/>
    </xf>
    <xf numFmtId="0" fontId="166" fillId="63" borderId="30" xfId="0" applyFont="1" applyFill="1" applyBorder="1" applyAlignment="1">
      <alignment horizontal="center" vertical="center" wrapText="1"/>
    </xf>
    <xf numFmtId="0" fontId="166" fillId="63" borderId="211" xfId="0" applyFont="1" applyFill="1" applyBorder="1" applyAlignment="1">
      <alignment horizontal="center" vertical="center" wrapText="1"/>
    </xf>
    <xf numFmtId="0" fontId="166" fillId="63" borderId="5" xfId="0" applyFont="1" applyFill="1" applyBorder="1" applyAlignment="1">
      <alignment horizontal="center" vertical="center" wrapText="1"/>
    </xf>
    <xf numFmtId="0" fontId="166" fillId="63" borderId="6" xfId="0" applyFont="1" applyFill="1" applyBorder="1" applyAlignment="1">
      <alignment horizontal="center" vertical="center" wrapText="1"/>
    </xf>
    <xf numFmtId="0" fontId="166" fillId="63" borderId="212" xfId="0" applyFont="1" applyFill="1" applyBorder="1" applyAlignment="1">
      <alignment horizontal="center" vertical="center" wrapText="1"/>
    </xf>
    <xf numFmtId="0" fontId="166" fillId="63" borderId="209" xfId="0" applyFont="1" applyFill="1" applyBorder="1" applyAlignment="1">
      <alignment horizontal="center" vertical="center" wrapText="1"/>
    </xf>
    <xf numFmtId="0" fontId="166" fillId="63" borderId="210" xfId="0" applyFont="1" applyFill="1" applyBorder="1" applyAlignment="1">
      <alignment horizontal="center" vertical="center" wrapText="1"/>
    </xf>
    <xf numFmtId="0" fontId="39" fillId="20" borderId="0" xfId="0" applyFont="1" applyFill="1" applyAlignment="1">
      <alignment horizontal="center" vertical="center" wrapText="1"/>
    </xf>
    <xf numFmtId="0" fontId="188" fillId="8" borderId="218" xfId="3" applyNumberFormat="1" applyFont="1" applyFill="1" applyBorder="1" applyAlignment="1" applyProtection="1">
      <alignment horizontal="center" vertical="top" wrapText="1"/>
      <protection locked="0"/>
    </xf>
    <xf numFmtId="0" fontId="188" fillId="8" borderId="219" xfId="3" applyNumberFormat="1" applyFont="1" applyFill="1" applyBorder="1" applyAlignment="1" applyProtection="1">
      <alignment horizontal="center" vertical="top" wrapText="1"/>
      <protection locked="0"/>
    </xf>
    <xf numFmtId="0" fontId="188" fillId="8" borderId="213" xfId="3" applyNumberFormat="1" applyFont="1" applyFill="1" applyBorder="1" applyAlignment="1" applyProtection="1">
      <alignment horizontal="center" vertical="top" wrapText="1"/>
      <protection locked="0"/>
    </xf>
    <xf numFmtId="0" fontId="188" fillId="8" borderId="220" xfId="3" applyNumberFormat="1" applyFont="1" applyFill="1" applyBorder="1" applyAlignment="1" applyProtection="1">
      <alignment horizontal="center" vertical="top" wrapText="1"/>
      <protection locked="0"/>
    </xf>
    <xf numFmtId="0" fontId="188" fillId="8" borderId="221" xfId="3" applyNumberFormat="1" applyFont="1" applyFill="1" applyBorder="1" applyAlignment="1" applyProtection="1">
      <alignment horizontal="center" vertical="top" wrapText="1"/>
      <protection locked="0"/>
    </xf>
    <xf numFmtId="0" fontId="188" fillId="8" borderId="222" xfId="3" applyNumberFormat="1" applyFont="1" applyFill="1" applyBorder="1" applyAlignment="1" applyProtection="1">
      <alignment horizontal="center" vertical="top" wrapText="1"/>
      <protection locked="0"/>
    </xf>
    <xf numFmtId="1" fontId="192" fillId="8" borderId="201" xfId="1" applyNumberFormat="1" applyFont="1" applyFill="1" applyBorder="1" applyAlignment="1" applyProtection="1">
      <alignment horizontal="center" vertical="center"/>
      <protection locked="0"/>
    </xf>
    <xf numFmtId="1" fontId="192" fillId="8" borderId="202" xfId="1" applyNumberFormat="1" applyFont="1" applyFill="1" applyBorder="1" applyAlignment="1" applyProtection="1">
      <alignment horizontal="center" vertical="center"/>
      <protection locked="0"/>
    </xf>
    <xf numFmtId="171" fontId="192" fillId="8" borderId="201" xfId="3" applyNumberFormat="1" applyFont="1" applyFill="1" applyBorder="1" applyAlignment="1" applyProtection="1">
      <alignment horizontal="center" vertical="center"/>
      <protection locked="0"/>
    </xf>
    <xf numFmtId="171" fontId="192" fillId="8" borderId="202" xfId="3" applyNumberFormat="1" applyFont="1" applyFill="1" applyBorder="1" applyAlignment="1" applyProtection="1">
      <alignment horizontal="center" vertical="center"/>
      <protection locked="0"/>
    </xf>
    <xf numFmtId="176" fontId="298" fillId="0" borderId="201" xfId="1" applyNumberFormat="1" applyFont="1" applyFill="1" applyBorder="1" applyAlignment="1" applyProtection="1">
      <alignment horizontal="center" vertical="center"/>
    </xf>
    <xf numFmtId="176" fontId="298" fillId="0" borderId="202" xfId="1" applyNumberFormat="1" applyFont="1" applyFill="1" applyBorder="1" applyAlignment="1" applyProtection="1">
      <alignment horizontal="center" vertical="center"/>
    </xf>
    <xf numFmtId="165" fontId="182" fillId="8" borderId="201" xfId="3" applyNumberFormat="1" applyFont="1" applyFill="1" applyBorder="1" applyAlignment="1" applyProtection="1">
      <alignment horizontal="center" vertical="center"/>
      <protection locked="0"/>
    </xf>
    <xf numFmtId="165" fontId="182" fillId="8" borderId="202" xfId="3" applyNumberFormat="1" applyFont="1" applyFill="1" applyBorder="1" applyAlignment="1" applyProtection="1">
      <alignment horizontal="center" vertical="center"/>
      <protection locked="0"/>
    </xf>
    <xf numFmtId="0" fontId="193" fillId="0" borderId="0" xfId="0" applyFont="1" applyAlignment="1">
      <alignment horizontal="center" vertical="center"/>
    </xf>
    <xf numFmtId="0" fontId="0" fillId="0" borderId="0" xfId="0" applyAlignment="1">
      <alignment horizontal="center" vertical="center"/>
    </xf>
    <xf numFmtId="165" fontId="192" fillId="8" borderId="8" xfId="3" applyNumberFormat="1" applyFont="1" applyFill="1" applyBorder="1" applyAlignment="1" applyProtection="1">
      <alignment horizontal="center" vertical="center"/>
    </xf>
    <xf numFmtId="165" fontId="192" fillId="8" borderId="10" xfId="3" applyNumberFormat="1" applyFont="1" applyFill="1" applyBorder="1" applyAlignment="1" applyProtection="1">
      <alignment horizontal="center" vertical="center"/>
    </xf>
    <xf numFmtId="0" fontId="188" fillId="8" borderId="197" xfId="3" quotePrefix="1" applyNumberFormat="1" applyFont="1" applyFill="1" applyBorder="1" applyAlignment="1" applyProtection="1">
      <alignment horizontal="center" vertical="top"/>
      <protection locked="0"/>
    </xf>
    <xf numFmtId="0" fontId="188" fillId="8" borderId="198" xfId="3" applyNumberFormat="1" applyFont="1" applyFill="1" applyBorder="1" applyAlignment="1" applyProtection="1">
      <alignment horizontal="center" vertical="top"/>
      <protection locked="0"/>
    </xf>
    <xf numFmtId="0" fontId="188" fillId="8" borderId="199" xfId="3" applyNumberFormat="1" applyFont="1" applyFill="1" applyBorder="1" applyAlignment="1" applyProtection="1">
      <alignment horizontal="center" vertical="top"/>
      <protection locked="0"/>
    </xf>
    <xf numFmtId="0" fontId="234" fillId="63" borderId="152" xfId="0" applyFont="1" applyFill="1" applyBorder="1" applyAlignment="1">
      <alignment horizontal="center" vertical="center" wrapText="1"/>
    </xf>
    <xf numFmtId="0" fontId="234" fillId="63" borderId="0" xfId="0" applyFont="1" applyFill="1" applyAlignment="1">
      <alignment horizontal="center" vertical="center" wrapText="1"/>
    </xf>
    <xf numFmtId="171" fontId="192" fillId="8" borderId="198" xfId="3" applyNumberFormat="1" applyFont="1" applyFill="1" applyBorder="1" applyAlignment="1" applyProtection="1">
      <alignment horizontal="center" vertical="center"/>
      <protection locked="0"/>
    </xf>
    <xf numFmtId="171" fontId="192" fillId="8" borderId="199" xfId="3" applyNumberFormat="1" applyFont="1" applyFill="1" applyBorder="1" applyAlignment="1" applyProtection="1">
      <alignment horizontal="center" vertical="center"/>
      <protection locked="0"/>
    </xf>
    <xf numFmtId="0" fontId="166" fillId="63" borderId="31" xfId="0" applyFont="1" applyFill="1" applyBorder="1" applyAlignment="1">
      <alignment horizontal="center" vertical="center" wrapText="1"/>
    </xf>
    <xf numFmtId="0" fontId="166" fillId="63" borderId="7" xfId="0" applyFont="1" applyFill="1" applyBorder="1" applyAlignment="1">
      <alignment horizontal="center" vertical="center" wrapText="1"/>
    </xf>
    <xf numFmtId="0" fontId="58" fillId="40" borderId="0" xfId="0" applyFont="1" applyFill="1" applyAlignment="1">
      <alignment horizontal="center" vertical="center"/>
    </xf>
    <xf numFmtId="0" fontId="44" fillId="40" borderId="0" xfId="0" applyFont="1" applyFill="1" applyAlignment="1">
      <alignment horizontal="center" vertical="center"/>
    </xf>
    <xf numFmtId="0" fontId="55" fillId="0" borderId="175" xfId="7" applyFont="1" applyBorder="1" applyAlignment="1">
      <alignment horizontal="left" vertical="top" wrapText="1"/>
    </xf>
    <xf numFmtId="0" fontId="55" fillId="0" borderId="176" xfId="7" applyFont="1" applyBorder="1" applyAlignment="1">
      <alignment horizontal="left" vertical="top" wrapText="1"/>
    </xf>
    <xf numFmtId="0" fontId="55" fillId="0" borderId="177" xfId="7" applyFont="1" applyBorder="1" applyAlignment="1">
      <alignment horizontal="left" vertical="top" wrapText="1"/>
    </xf>
    <xf numFmtId="0" fontId="55" fillId="0" borderId="178" xfId="7" applyFont="1" applyBorder="1" applyAlignment="1">
      <alignment horizontal="left" vertical="top" wrapText="1"/>
    </xf>
    <xf numFmtId="0" fontId="25" fillId="0" borderId="181" xfId="0" applyFont="1" applyBorder="1" applyAlignment="1">
      <alignment horizontal="left" vertical="top" wrapText="1"/>
    </xf>
    <xf numFmtId="0" fontId="25" fillId="0" borderId="182" xfId="0" applyFont="1" applyBorder="1" applyAlignment="1">
      <alignment horizontal="left" vertical="top" wrapText="1"/>
    </xf>
    <xf numFmtId="0" fontId="25" fillId="0" borderId="183" xfId="0" applyFont="1" applyBorder="1" applyAlignment="1">
      <alignment horizontal="left" vertical="top" wrapText="1"/>
    </xf>
    <xf numFmtId="0" fontId="25" fillId="0" borderId="184" xfId="0" applyFont="1" applyBorder="1" applyAlignment="1">
      <alignment horizontal="left" vertical="top" wrapText="1"/>
    </xf>
    <xf numFmtId="0" fontId="134" fillId="63" borderId="0" xfId="0" applyFont="1" applyFill="1" applyAlignment="1">
      <alignment horizontal="center"/>
    </xf>
    <xf numFmtId="0" fontId="44" fillId="40" borderId="6" xfId="0" applyFont="1" applyFill="1" applyBorder="1" applyAlignment="1">
      <alignment horizontal="center"/>
    </xf>
    <xf numFmtId="0" fontId="134" fillId="39" borderId="0" xfId="0" applyFont="1" applyFill="1" applyAlignment="1">
      <alignment horizontal="center"/>
    </xf>
    <xf numFmtId="0" fontId="25" fillId="0" borderId="185" xfId="0" applyFont="1" applyBorder="1" applyAlignment="1">
      <alignment horizontal="left" vertical="top" wrapText="1"/>
    </xf>
    <xf numFmtId="0" fontId="25" fillId="0" borderId="186" xfId="0" applyFont="1" applyBorder="1" applyAlignment="1">
      <alignment horizontal="left" vertical="top" wrapText="1"/>
    </xf>
    <xf numFmtId="0" fontId="55" fillId="20" borderId="177" xfId="7" applyFont="1" applyFill="1" applyBorder="1" applyAlignment="1">
      <alignment horizontal="left" vertical="top" wrapText="1"/>
    </xf>
    <xf numFmtId="0" fontId="55" fillId="20" borderId="178" xfId="7" applyFont="1" applyFill="1" applyBorder="1" applyAlignment="1">
      <alignment horizontal="left" vertical="top" wrapText="1"/>
    </xf>
    <xf numFmtId="0" fontId="55" fillId="0" borderId="177" xfId="7" quotePrefix="1" applyFont="1" applyBorder="1" applyAlignment="1">
      <alignment horizontal="left" vertical="top" wrapText="1"/>
    </xf>
    <xf numFmtId="0" fontId="55" fillId="0" borderId="179" xfId="7" applyFont="1" applyBorder="1" applyAlignment="1">
      <alignment horizontal="left" vertical="top" wrapText="1"/>
    </xf>
    <xf numFmtId="0" fontId="55" fillId="0" borderId="180" xfId="7" applyFont="1" applyBorder="1" applyAlignment="1">
      <alignment horizontal="left" vertical="top" wrapText="1"/>
    </xf>
    <xf numFmtId="0" fontId="12" fillId="0" borderId="0" xfId="0" applyFont="1" applyAlignment="1">
      <alignment horizontal="center"/>
    </xf>
    <xf numFmtId="0" fontId="12" fillId="0" borderId="31"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7" xfId="0" applyFont="1" applyBorder="1" applyAlignment="1">
      <alignment horizontal="center" vertical="center" wrapText="1"/>
    </xf>
    <xf numFmtId="172" fontId="14" fillId="0" borderId="0" xfId="5" applyNumberFormat="1" applyFont="1" applyFill="1" applyBorder="1" applyAlignment="1">
      <alignment horizontal="left"/>
    </xf>
    <xf numFmtId="172" fontId="14" fillId="0" borderId="30" xfId="5" applyNumberFormat="1" applyFont="1" applyFill="1" applyBorder="1" applyAlignment="1">
      <alignment horizontal="left"/>
    </xf>
    <xf numFmtId="0" fontId="7" fillId="0" borderId="0" xfId="0" applyFont="1" applyAlignment="1">
      <alignment horizontal="left"/>
    </xf>
    <xf numFmtId="0" fontId="17" fillId="71" borderId="0" xfId="0" applyFont="1" applyFill="1" applyAlignment="1">
      <alignment horizontal="center"/>
    </xf>
    <xf numFmtId="0" fontId="5" fillId="0" borderId="3" xfId="0" applyFont="1" applyBorder="1" applyAlignment="1">
      <alignment horizontal="right"/>
    </xf>
    <xf numFmtId="0" fontId="5" fillId="0" borderId="0" xfId="0" applyFont="1" applyAlignment="1">
      <alignment horizontal="right"/>
    </xf>
    <xf numFmtId="0" fontId="14" fillId="0" borderId="0" xfId="5" applyNumberFormat="1" applyFont="1" applyFill="1" applyBorder="1" applyAlignment="1">
      <alignment horizontal="left"/>
    </xf>
    <xf numFmtId="0" fontId="13" fillId="18" borderId="0" xfId="0" applyFont="1" applyFill="1" applyAlignment="1">
      <alignment horizontal="center"/>
    </xf>
    <xf numFmtId="0" fontId="5" fillId="0" borderId="29" xfId="0" applyFont="1" applyBorder="1" applyAlignment="1">
      <alignment horizontal="right"/>
    </xf>
    <xf numFmtId="0" fontId="5" fillId="0" borderId="30" xfId="0" applyFont="1" applyBorder="1" applyAlignment="1">
      <alignment horizontal="right"/>
    </xf>
    <xf numFmtId="0" fontId="5" fillId="0" borderId="5" xfId="0" applyFont="1" applyBorder="1" applyAlignment="1">
      <alignment horizontal="right"/>
    </xf>
    <xf numFmtId="0" fontId="5" fillId="0" borderId="6" xfId="0" applyFont="1" applyBorder="1" applyAlignment="1">
      <alignment horizontal="right"/>
    </xf>
    <xf numFmtId="0" fontId="6" fillId="0" borderId="0" xfId="0" applyFont="1" applyAlignment="1">
      <alignment horizontal="center"/>
    </xf>
    <xf numFmtId="9" fontId="14" fillId="0" borderId="6" xfId="2" applyFont="1" applyFill="1" applyBorder="1" applyAlignment="1">
      <alignment horizontal="left"/>
    </xf>
    <xf numFmtId="3" fontId="14" fillId="0" borderId="0" xfId="5" applyNumberFormat="1" applyFont="1" applyFill="1" applyBorder="1" applyAlignment="1">
      <alignment horizontal="left"/>
    </xf>
    <xf numFmtId="0" fontId="58" fillId="58" borderId="0" xfId="0" applyFont="1" applyFill="1" applyAlignment="1">
      <alignment horizontal="center" vertical="center" textRotation="90" wrapText="1"/>
    </xf>
    <xf numFmtId="0" fontId="31" fillId="3" borderId="86" xfId="0" applyFont="1" applyFill="1" applyBorder="1" applyAlignment="1">
      <alignment horizontal="center"/>
    </xf>
    <xf numFmtId="0" fontId="31" fillId="3" borderId="85" xfId="0" applyFont="1" applyFill="1" applyBorder="1" applyAlignment="1">
      <alignment horizontal="center"/>
    </xf>
    <xf numFmtId="0" fontId="31" fillId="3" borderId="76" xfId="0" applyFont="1" applyFill="1" applyBorder="1" applyAlignment="1">
      <alignment horizontal="center"/>
    </xf>
    <xf numFmtId="0" fontId="3" fillId="37" borderId="29" xfId="0" applyFont="1" applyFill="1" applyBorder="1" applyAlignment="1">
      <alignment horizontal="center"/>
    </xf>
    <xf numFmtId="0" fontId="3" fillId="37" borderId="30" xfId="0" applyFont="1" applyFill="1" applyBorder="1" applyAlignment="1">
      <alignment horizontal="center"/>
    </xf>
    <xf numFmtId="0" fontId="3" fillId="37" borderId="31" xfId="0" applyFont="1" applyFill="1" applyBorder="1" applyAlignment="1">
      <alignment horizontal="center"/>
    </xf>
    <xf numFmtId="0" fontId="0" fillId="0" borderId="0" xfId="0" applyAlignment="1">
      <alignment horizontal="left" vertical="center" wrapText="1"/>
    </xf>
    <xf numFmtId="0" fontId="162" fillId="0" borderId="0" xfId="0" applyFont="1" applyAlignment="1">
      <alignment horizontal="left"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58" fillId="58" borderId="0" xfId="0" applyFont="1" applyFill="1" applyAlignment="1">
      <alignment horizontal="center" vertical="center" textRotation="90"/>
    </xf>
    <xf numFmtId="0" fontId="92" fillId="0" borderId="26" xfId="0" applyFont="1" applyBorder="1" applyAlignment="1">
      <alignment horizontal="center"/>
    </xf>
    <xf numFmtId="0" fontId="92" fillId="0" borderId="27" xfId="0" applyFont="1" applyBorder="1" applyAlignment="1">
      <alignment horizontal="center"/>
    </xf>
    <xf numFmtId="0" fontId="92" fillId="0" borderId="18" xfId="0" applyFont="1" applyBorder="1" applyAlignment="1">
      <alignment horizontal="center"/>
    </xf>
    <xf numFmtId="10" fontId="25" fillId="22" borderId="0" xfId="0" applyNumberFormat="1" applyFont="1" applyFill="1" applyAlignment="1">
      <alignment horizontal="center" vertical="center"/>
    </xf>
    <xf numFmtId="10" fontId="25" fillId="22" borderId="17" xfId="0" applyNumberFormat="1" applyFont="1" applyFill="1" applyBorder="1" applyAlignment="1">
      <alignment horizontal="center" vertical="center"/>
    </xf>
    <xf numFmtId="10" fontId="25" fillId="22" borderId="22" xfId="2" applyNumberFormat="1" applyFont="1" applyFill="1" applyBorder="1" applyAlignment="1">
      <alignment horizontal="center" vertical="center"/>
    </xf>
    <xf numFmtId="10" fontId="25" fillId="22" borderId="19" xfId="2" applyNumberFormat="1" applyFont="1" applyFill="1" applyBorder="1" applyAlignment="1">
      <alignment horizontal="center" vertical="center"/>
    </xf>
    <xf numFmtId="0" fontId="47" fillId="22" borderId="28" xfId="0" applyFont="1" applyFill="1" applyBorder="1" applyAlignment="1">
      <alignment horizontal="left"/>
    </xf>
    <xf numFmtId="0" fontId="47" fillId="22" borderId="22" xfId="0" applyFont="1" applyFill="1" applyBorder="1" applyAlignment="1">
      <alignment horizontal="left"/>
    </xf>
    <xf numFmtId="0" fontId="47" fillId="22" borderId="16" xfId="0" applyFont="1" applyFill="1" applyBorder="1" applyAlignment="1">
      <alignment horizontal="left"/>
    </xf>
    <xf numFmtId="0" fontId="47" fillId="22" borderId="0" xfId="0" applyFont="1" applyFill="1" applyAlignment="1">
      <alignment horizontal="left"/>
    </xf>
    <xf numFmtId="0" fontId="356" fillId="0" borderId="26" xfId="0" applyFont="1" applyBorder="1" applyAlignment="1">
      <alignment horizontal="center" vertical="center"/>
    </xf>
    <xf numFmtId="0" fontId="356" fillId="0" borderId="27" xfId="0" applyFont="1" applyBorder="1" applyAlignment="1">
      <alignment horizontal="center" vertical="center"/>
    </xf>
    <xf numFmtId="0" fontId="356" fillId="0" borderId="18" xfId="0" applyFont="1" applyBorder="1" applyAlignment="1">
      <alignment horizontal="center" vertical="center"/>
    </xf>
    <xf numFmtId="0" fontId="356" fillId="0" borderId="28" xfId="0" applyFont="1" applyBorder="1" applyAlignment="1">
      <alignment horizontal="center" vertical="center"/>
    </xf>
    <xf numFmtId="0" fontId="356" fillId="0" borderId="22" xfId="0" applyFont="1" applyBorder="1" applyAlignment="1">
      <alignment horizontal="center" vertical="center"/>
    </xf>
    <xf numFmtId="0" fontId="356" fillId="0" borderId="19" xfId="0" applyFont="1" applyBorder="1" applyAlignment="1">
      <alignment horizontal="center" vertical="center"/>
    </xf>
    <xf numFmtId="0" fontId="225" fillId="3" borderId="16" xfId="0" applyFont="1" applyFill="1" applyBorder="1" applyAlignment="1">
      <alignment horizontal="center" vertical="top"/>
    </xf>
    <xf numFmtId="0" fontId="225" fillId="3" borderId="0" xfId="0" applyFont="1" applyFill="1" applyAlignment="1">
      <alignment horizontal="center" vertical="top"/>
    </xf>
    <xf numFmtId="0" fontId="225" fillId="3" borderId="17" xfId="0" applyFont="1" applyFill="1" applyBorder="1" applyAlignment="1">
      <alignment horizontal="center" vertical="top"/>
    </xf>
    <xf numFmtId="0" fontId="180" fillId="3" borderId="0" xfId="0" applyFont="1" applyFill="1" applyAlignment="1">
      <alignment horizontal="right" vertical="center" indent="2"/>
    </xf>
    <xf numFmtId="0" fontId="180" fillId="3" borderId="17" xfId="0" applyFont="1" applyFill="1" applyBorder="1" applyAlignment="1">
      <alignment horizontal="right" vertical="center" indent="2"/>
    </xf>
    <xf numFmtId="171" fontId="241" fillId="3" borderId="0" xfId="2" applyNumberFormat="1" applyFont="1" applyFill="1" applyBorder="1" applyAlignment="1" applyProtection="1">
      <alignment horizontal="center" vertical="center"/>
    </xf>
    <xf numFmtId="0" fontId="305" fillId="3" borderId="0" xfId="0" applyFont="1" applyFill="1" applyAlignment="1">
      <alignment horizontal="left" vertical="top" wrapText="1"/>
    </xf>
    <xf numFmtId="0" fontId="191" fillId="3" borderId="0" xfId="0" applyFont="1" applyFill="1" applyAlignment="1">
      <alignment horizontal="center" vertical="center" wrapText="1"/>
    </xf>
    <xf numFmtId="0" fontId="179" fillId="3" borderId="129" xfId="0" applyFont="1" applyFill="1" applyBorder="1" applyAlignment="1">
      <alignment horizontal="left" vertical="center"/>
    </xf>
    <xf numFmtId="0" fontId="340" fillId="95" borderId="22" xfId="0" applyFont="1" applyFill="1" applyBorder="1" applyAlignment="1">
      <alignment horizontal="center"/>
    </xf>
    <xf numFmtId="0" fontId="297" fillId="3" borderId="22" xfId="0" applyFont="1" applyFill="1" applyBorder="1" applyAlignment="1">
      <alignment horizontal="left" vertical="center" wrapText="1"/>
    </xf>
    <xf numFmtId="0" fontId="316" fillId="94" borderId="275" xfId="0" applyFont="1" applyFill="1" applyBorder="1" applyAlignment="1">
      <alignment horizontal="center" vertical="center" wrapText="1"/>
    </xf>
    <xf numFmtId="0" fontId="316" fillId="94" borderId="276" xfId="0" applyFont="1" applyFill="1" applyBorder="1" applyAlignment="1">
      <alignment horizontal="center" vertical="center" wrapText="1"/>
    </xf>
    <xf numFmtId="171" fontId="169" fillId="3" borderId="0" xfId="0" applyNumberFormat="1" applyFont="1" applyFill="1" applyAlignment="1" applyProtection="1">
      <alignment horizontal="center"/>
      <protection locked="0"/>
    </xf>
    <xf numFmtId="9" fontId="180" fillId="3" borderId="16" xfId="0" applyNumberFormat="1" applyFont="1" applyFill="1" applyBorder="1" applyAlignment="1">
      <alignment horizontal="center" vertical="center"/>
    </xf>
    <xf numFmtId="9" fontId="180" fillId="3" borderId="17" xfId="0" applyNumberFormat="1" applyFont="1" applyFill="1" applyBorder="1" applyAlignment="1">
      <alignment horizontal="center" vertical="center"/>
    </xf>
    <xf numFmtId="0" fontId="394" fillId="0" borderId="0" xfId="0" applyFont="1" applyAlignment="1">
      <alignment horizontal="center" vertical="center" wrapText="1"/>
    </xf>
    <xf numFmtId="9" fontId="8" fillId="3" borderId="239" xfId="2" applyFont="1" applyFill="1" applyBorder="1" applyAlignment="1">
      <alignment horizontal="center" vertical="center"/>
    </xf>
    <xf numFmtId="9" fontId="8" fillId="3" borderId="41" xfId="2" applyFont="1" applyFill="1" applyBorder="1" applyAlignment="1">
      <alignment horizontal="center" vertical="center"/>
    </xf>
    <xf numFmtId="9" fontId="9" fillId="3" borderId="86" xfId="2" applyFont="1" applyFill="1" applyBorder="1" applyAlignment="1">
      <alignment horizontal="center" vertical="center"/>
    </xf>
    <xf numFmtId="9" fontId="9" fillId="3" borderId="76" xfId="2" applyFont="1" applyFill="1" applyBorder="1" applyAlignment="1">
      <alignment horizontal="center" vertical="center"/>
    </xf>
    <xf numFmtId="0" fontId="3" fillId="90" borderId="86" xfId="0" applyFont="1" applyFill="1" applyBorder="1" applyAlignment="1">
      <alignment horizontal="center" vertical="center"/>
    </xf>
    <xf numFmtId="0" fontId="3" fillId="90" borderId="76" xfId="0" applyFont="1" applyFill="1" applyBorder="1" applyAlignment="1">
      <alignment horizontal="center" vertical="center"/>
    </xf>
    <xf numFmtId="170" fontId="321" fillId="3" borderId="0" xfId="2" applyNumberFormat="1" applyFont="1" applyFill="1" applyBorder="1" applyAlignment="1">
      <alignment horizontal="center" vertical="center"/>
    </xf>
    <xf numFmtId="10" fontId="25" fillId="0" borderId="30" xfId="0" applyNumberFormat="1" applyFont="1" applyBorder="1" applyAlignment="1">
      <alignment horizontal="center" vertical="center" wrapText="1"/>
    </xf>
    <xf numFmtId="0" fontId="327" fillId="8" borderId="45" xfId="0" applyFont="1" applyFill="1" applyBorder="1" applyAlignment="1" applyProtection="1">
      <alignment horizontal="center" vertical="center"/>
      <protection locked="0"/>
    </xf>
    <xf numFmtId="0" fontId="327" fillId="8" borderId="9" xfId="0" applyFont="1" applyFill="1" applyBorder="1" applyAlignment="1" applyProtection="1">
      <alignment horizontal="center" vertical="center"/>
      <protection locked="0"/>
    </xf>
    <xf numFmtId="0" fontId="327" fillId="8" borderId="44" xfId="0" applyFont="1" applyFill="1" applyBorder="1" applyAlignment="1" applyProtection="1">
      <alignment horizontal="center" vertical="center"/>
      <protection locked="0"/>
    </xf>
    <xf numFmtId="0" fontId="366" fillId="26" borderId="291" xfId="0" applyFont="1" applyFill="1" applyBorder="1" applyAlignment="1">
      <alignment horizontal="center"/>
    </xf>
    <xf numFmtId="0" fontId="366" fillId="26" borderId="299" xfId="0" applyFont="1" applyFill="1" applyBorder="1" applyAlignment="1">
      <alignment horizontal="center"/>
    </xf>
    <xf numFmtId="10" fontId="232" fillId="20" borderId="45" xfId="2" applyNumberFormat="1" applyFont="1" applyFill="1" applyBorder="1" applyAlignment="1">
      <alignment horizontal="center"/>
    </xf>
    <xf numFmtId="10" fontId="232" fillId="20" borderId="9" xfId="2" applyNumberFormat="1" applyFont="1" applyFill="1" applyBorder="1" applyAlignment="1">
      <alignment horizontal="center"/>
    </xf>
    <xf numFmtId="10" fontId="232" fillId="20" borderId="44" xfId="2" applyNumberFormat="1" applyFont="1" applyFill="1" applyBorder="1" applyAlignment="1">
      <alignment horizontal="center"/>
    </xf>
    <xf numFmtId="0" fontId="366" fillId="29" borderId="291" xfId="0" applyFont="1" applyFill="1" applyBorder="1" applyAlignment="1">
      <alignment horizontal="center"/>
    </xf>
    <xf numFmtId="0" fontId="366" fillId="3" borderId="299" xfId="0" applyFont="1" applyFill="1" applyBorder="1" applyAlignment="1">
      <alignment horizontal="center"/>
    </xf>
    <xf numFmtId="0" fontId="24" fillId="3" borderId="0" xfId="11" applyFill="1"/>
    <xf numFmtId="0" fontId="180" fillId="3" borderId="22" xfId="0" applyFont="1" applyFill="1" applyBorder="1" applyAlignment="1">
      <alignment horizontal="center" vertical="center" wrapText="1"/>
    </xf>
    <xf numFmtId="0" fontId="232" fillId="20" borderId="16" xfId="0" applyFont="1" applyFill="1" applyBorder="1" applyAlignment="1">
      <alignment horizontal="center"/>
    </xf>
    <xf numFmtId="0" fontId="232" fillId="20" borderId="0" xfId="0" applyFont="1" applyFill="1" applyAlignment="1">
      <alignment horizontal="center"/>
    </xf>
    <xf numFmtId="0" fontId="169" fillId="3" borderId="0" xfId="0" applyFont="1" applyFill="1" applyAlignment="1">
      <alignment horizontal="center" vertical="center"/>
    </xf>
    <xf numFmtId="0" fontId="321" fillId="3" borderId="22" xfId="0" applyFont="1" applyFill="1" applyBorder="1" applyAlignment="1">
      <alignment horizontal="center" vertical="center" wrapText="1"/>
    </xf>
    <xf numFmtId="171" fontId="242" fillId="3" borderId="0" xfId="1" applyNumberFormat="1" applyFont="1" applyFill="1" applyBorder="1" applyAlignment="1" applyProtection="1">
      <alignment horizontal="center" vertical="center"/>
    </xf>
    <xf numFmtId="0" fontId="225" fillId="3" borderId="0" xfId="0" applyFont="1" applyFill="1" applyAlignment="1" applyProtection="1">
      <alignment horizontal="center"/>
      <protection locked="0"/>
    </xf>
    <xf numFmtId="0" fontId="169" fillId="39" borderId="141" xfId="0" applyFont="1" applyFill="1" applyBorder="1" applyAlignment="1">
      <alignment horizontal="center" vertical="center"/>
    </xf>
    <xf numFmtId="0" fontId="169" fillId="39" borderId="271" xfId="0" applyFont="1" applyFill="1" applyBorder="1" applyAlignment="1">
      <alignment horizontal="center" vertical="center"/>
    </xf>
    <xf numFmtId="0" fontId="169" fillId="3" borderId="0" xfId="0" applyFont="1" applyFill="1" applyAlignment="1">
      <alignment horizontal="center" vertical="center" wrapText="1"/>
    </xf>
    <xf numFmtId="0" fontId="190" fillId="3" borderId="137" xfId="0" applyFont="1" applyFill="1" applyBorder="1" applyAlignment="1">
      <alignment horizontal="left" vertical="center"/>
    </xf>
    <xf numFmtId="0" fontId="179" fillId="0" borderId="0" xfId="0" applyFont="1" applyAlignment="1">
      <alignment horizontal="center" vertical="center" wrapText="1"/>
    </xf>
    <xf numFmtId="0" fontId="169" fillId="90" borderId="141" xfId="0" applyFont="1" applyFill="1" applyBorder="1" applyAlignment="1">
      <alignment horizontal="center" vertical="center"/>
    </xf>
    <xf numFmtId="0" fontId="169" fillId="90" borderId="271" xfId="0" applyFont="1" applyFill="1" applyBorder="1" applyAlignment="1">
      <alignment horizontal="center" vertical="center"/>
    </xf>
    <xf numFmtId="171" fontId="167" fillId="3" borderId="0" xfId="0" applyNumberFormat="1" applyFont="1" applyFill="1" applyAlignment="1">
      <alignment horizontal="center" vertical="center" wrapText="1"/>
    </xf>
    <xf numFmtId="0" fontId="349" fillId="95" borderId="26" xfId="0" applyFont="1" applyFill="1" applyBorder="1" applyAlignment="1">
      <alignment horizontal="left" vertical="center" wrapText="1"/>
    </xf>
    <xf numFmtId="0" fontId="349" fillId="95" borderId="27" xfId="0" applyFont="1" applyFill="1" applyBorder="1" applyAlignment="1">
      <alignment horizontal="left" vertical="center" wrapText="1"/>
    </xf>
    <xf numFmtId="0" fontId="349" fillId="95" borderId="16" xfId="0" applyFont="1" applyFill="1" applyBorder="1" applyAlignment="1">
      <alignment horizontal="left" vertical="center" wrapText="1"/>
    </xf>
    <xf numFmtId="0" fontId="349" fillId="95" borderId="0" xfId="0" applyFont="1" applyFill="1" applyAlignment="1">
      <alignment horizontal="left" vertical="center" wrapText="1"/>
    </xf>
    <xf numFmtId="0" fontId="349" fillId="95" borderId="28" xfId="0" applyFont="1" applyFill="1" applyBorder="1" applyAlignment="1">
      <alignment horizontal="left" vertical="center" wrapText="1"/>
    </xf>
    <xf numFmtId="0" fontId="349" fillId="95" borderId="22" xfId="0" applyFont="1" applyFill="1" applyBorder="1" applyAlignment="1">
      <alignment horizontal="left" vertical="center" wrapText="1"/>
    </xf>
    <xf numFmtId="0" fontId="25" fillId="95" borderId="27" xfId="0" applyFont="1" applyFill="1" applyBorder="1" applyAlignment="1">
      <alignment horizontal="center"/>
    </xf>
    <xf numFmtId="0" fontId="166" fillId="3" borderId="0" xfId="0" applyFont="1" applyFill="1" applyAlignment="1">
      <alignment horizontal="left" vertical="center" wrapText="1" indent="1"/>
    </xf>
    <xf numFmtId="0" fontId="166" fillId="3" borderId="0" xfId="0" applyFont="1" applyFill="1" applyAlignment="1">
      <alignment horizontal="right" vertical="center" wrapText="1"/>
    </xf>
    <xf numFmtId="0" fontId="0" fillId="18" borderId="0" xfId="0" applyFill="1" applyAlignment="1">
      <alignment horizontal="center" wrapText="1"/>
    </xf>
    <xf numFmtId="0" fontId="368" fillId="74" borderId="16" xfId="0" applyFont="1" applyFill="1" applyBorder="1" applyAlignment="1">
      <alignment horizontal="center" vertical="center" wrapText="1"/>
    </xf>
    <xf numFmtId="0" fontId="368" fillId="74" borderId="0" xfId="0" applyFont="1" applyFill="1" applyAlignment="1">
      <alignment horizontal="center" vertical="center" wrapText="1"/>
    </xf>
    <xf numFmtId="0" fontId="39" fillId="3" borderId="0" xfId="0" applyFont="1" applyFill="1" applyAlignment="1">
      <alignment horizontal="center" vertical="center" wrapText="1"/>
    </xf>
    <xf numFmtId="171" fontId="191" fillId="3" borderId="0" xfId="0" applyNumberFormat="1" applyFont="1" applyFill="1" applyAlignment="1">
      <alignment horizontal="center" vertical="center"/>
    </xf>
    <xf numFmtId="171" fontId="378" fillId="3" borderId="0" xfId="0" applyNumberFormat="1" applyFont="1" applyFill="1" applyAlignment="1">
      <alignment horizontal="center" vertical="center"/>
    </xf>
    <xf numFmtId="10" fontId="179" fillId="8" borderId="2" xfId="2" applyNumberFormat="1" applyFont="1" applyFill="1" applyBorder="1" applyAlignment="1" applyProtection="1">
      <alignment horizontal="center" vertical="center"/>
      <protection locked="0"/>
    </xf>
    <xf numFmtId="10" fontId="179" fillId="8" borderId="79" xfId="2" applyNumberFormat="1" applyFont="1" applyFill="1" applyBorder="1" applyAlignment="1" applyProtection="1">
      <alignment horizontal="center" vertical="center"/>
      <protection locked="0"/>
    </xf>
    <xf numFmtId="0" fontId="225" fillId="3" borderId="0" xfId="0" applyFont="1" applyFill="1" applyAlignment="1" applyProtection="1">
      <alignment horizontal="center" vertical="center"/>
      <protection locked="0"/>
    </xf>
    <xf numFmtId="0" fontId="179" fillId="8" borderId="267" xfId="3" quotePrefix="1" applyNumberFormat="1" applyFont="1" applyFill="1" applyBorder="1" applyAlignment="1" applyProtection="1">
      <alignment horizontal="center" vertical="top"/>
      <protection locked="0"/>
    </xf>
    <xf numFmtId="0" fontId="179" fillId="8" borderId="268" xfId="3" applyNumberFormat="1" applyFont="1" applyFill="1" applyBorder="1" applyAlignment="1" applyProtection="1">
      <alignment horizontal="center" vertical="top"/>
      <protection locked="0"/>
    </xf>
    <xf numFmtId="0" fontId="179" fillId="8" borderId="269" xfId="3" applyNumberFormat="1" applyFont="1" applyFill="1" applyBorder="1" applyAlignment="1" applyProtection="1">
      <alignment horizontal="center" vertical="top"/>
      <protection locked="0"/>
    </xf>
    <xf numFmtId="0" fontId="179" fillId="8" borderId="46" xfId="3" applyNumberFormat="1" applyFont="1" applyFill="1" applyBorder="1" applyAlignment="1" applyProtection="1">
      <alignment horizontal="center" vertical="top" wrapText="1"/>
      <protection locked="0"/>
    </xf>
    <xf numFmtId="0" fontId="179" fillId="8" borderId="2" xfId="3" applyNumberFormat="1" applyFont="1" applyFill="1" applyBorder="1" applyAlignment="1" applyProtection="1">
      <alignment horizontal="center" vertical="top" wrapText="1"/>
      <protection locked="0"/>
    </xf>
    <xf numFmtId="0" fontId="179" fillId="8" borderId="79" xfId="3" applyNumberFormat="1" applyFont="1" applyFill="1" applyBorder="1" applyAlignment="1" applyProtection="1">
      <alignment horizontal="center" vertical="top" wrapText="1"/>
      <protection locked="0"/>
    </xf>
    <xf numFmtId="0" fontId="179" fillId="8" borderId="43" xfId="3" applyNumberFormat="1" applyFont="1" applyFill="1" applyBorder="1" applyAlignment="1" applyProtection="1">
      <alignment horizontal="center" vertical="top" wrapText="1"/>
      <protection locked="0"/>
    </xf>
    <xf numFmtId="0" fontId="179" fillId="8" borderId="266" xfId="3" applyNumberFormat="1" applyFont="1" applyFill="1" applyBorder="1" applyAlignment="1" applyProtection="1">
      <alignment horizontal="center" vertical="top" wrapText="1"/>
      <protection locked="0"/>
    </xf>
    <xf numFmtId="0" fontId="179" fillId="8" borderId="282" xfId="3" applyNumberFormat="1" applyFont="1" applyFill="1" applyBorder="1" applyAlignment="1" applyProtection="1">
      <alignment horizontal="center" vertical="top" wrapText="1"/>
      <protection locked="0"/>
    </xf>
    <xf numFmtId="0" fontId="179" fillId="8" borderId="45" xfId="0" applyFont="1" applyFill="1" applyBorder="1" applyAlignment="1" applyProtection="1">
      <alignment horizontal="center" vertical="center"/>
      <protection locked="0"/>
    </xf>
    <xf numFmtId="0" fontId="179" fillId="8" borderId="9" xfId="0" applyFont="1" applyFill="1" applyBorder="1" applyAlignment="1" applyProtection="1">
      <alignment horizontal="center" vertical="center"/>
      <protection locked="0"/>
    </xf>
    <xf numFmtId="0" fontId="179" fillId="8" borderId="44" xfId="0" applyFont="1" applyFill="1" applyBorder="1" applyAlignment="1" applyProtection="1">
      <alignment horizontal="center" vertical="center"/>
      <protection locked="0"/>
    </xf>
    <xf numFmtId="171" fontId="179" fillId="8" borderId="45" xfId="0" applyNumberFormat="1" applyFont="1" applyFill="1" applyBorder="1" applyAlignment="1" applyProtection="1">
      <alignment horizontal="center" vertical="center"/>
      <protection locked="0"/>
    </xf>
    <xf numFmtId="171" fontId="179" fillId="8" borderId="9" xfId="0" applyNumberFormat="1" applyFont="1" applyFill="1" applyBorder="1" applyAlignment="1" applyProtection="1">
      <alignment horizontal="center" vertical="center"/>
      <protection locked="0"/>
    </xf>
    <xf numFmtId="171" fontId="179" fillId="8" borderId="44" xfId="0" applyNumberFormat="1" applyFont="1" applyFill="1" applyBorder="1" applyAlignment="1" applyProtection="1">
      <alignment horizontal="center" vertical="center"/>
      <protection locked="0"/>
    </xf>
    <xf numFmtId="0" fontId="179" fillId="8" borderId="141" xfId="0" applyFont="1" applyFill="1" applyBorder="1" applyAlignment="1" applyProtection="1">
      <alignment horizontal="center" vertical="center"/>
      <protection locked="0"/>
    </xf>
    <xf numFmtId="0" fontId="179" fillId="8" borderId="126" xfId="0" applyFont="1" applyFill="1" applyBorder="1" applyAlignment="1" applyProtection="1">
      <alignment horizontal="center" vertical="center"/>
      <protection locked="0"/>
    </xf>
    <xf numFmtId="0" fontId="179" fillId="8" borderId="271" xfId="0" applyFont="1" applyFill="1" applyBorder="1" applyAlignment="1" applyProtection="1">
      <alignment horizontal="center" vertical="center"/>
      <protection locked="0"/>
    </xf>
    <xf numFmtId="9" fontId="179" fillId="0" borderId="2" xfId="3" applyNumberFormat="1" applyFont="1" applyFill="1" applyBorder="1" applyAlignment="1" applyProtection="1">
      <alignment horizontal="center" vertical="center"/>
    </xf>
    <xf numFmtId="9" fontId="179" fillId="0" borderId="79" xfId="3" applyNumberFormat="1" applyFont="1" applyFill="1" applyBorder="1" applyAlignment="1" applyProtection="1">
      <alignment horizontal="center" vertical="center"/>
    </xf>
    <xf numFmtId="1" fontId="179" fillId="0" borderId="268" xfId="3" applyNumberFormat="1" applyFont="1" applyFill="1" applyBorder="1" applyAlignment="1" applyProtection="1">
      <alignment horizontal="center" vertical="center"/>
    </xf>
    <xf numFmtId="1" fontId="179" fillId="0" borderId="269" xfId="3" applyNumberFormat="1" applyFont="1" applyFill="1" applyBorder="1" applyAlignment="1" applyProtection="1">
      <alignment horizontal="center" vertical="center"/>
    </xf>
    <xf numFmtId="10" fontId="220" fillId="3" borderId="0" xfId="2" applyNumberFormat="1" applyFont="1" applyFill="1" applyBorder="1" applyAlignment="1" applyProtection="1">
      <alignment horizontal="center" vertical="center"/>
      <protection locked="0"/>
    </xf>
    <xf numFmtId="171" fontId="180" fillId="3" borderId="26" xfId="0" applyNumberFormat="1" applyFont="1" applyFill="1" applyBorder="1" applyAlignment="1">
      <alignment horizontal="center" vertical="center"/>
    </xf>
    <xf numFmtId="171" fontId="180" fillId="3" borderId="18" xfId="0" applyNumberFormat="1" applyFont="1" applyFill="1" applyBorder="1" applyAlignment="1">
      <alignment horizontal="center" vertical="center"/>
    </xf>
    <xf numFmtId="0" fontId="180" fillId="3" borderId="30" xfId="0" applyFont="1" applyFill="1" applyBorder="1" applyAlignment="1" applyProtection="1">
      <alignment horizontal="center" vertical="center" wrapText="1"/>
      <protection locked="0"/>
    </xf>
    <xf numFmtId="0" fontId="180" fillId="3" borderId="0" xfId="0" applyFont="1" applyFill="1" applyAlignment="1" applyProtection="1">
      <alignment horizontal="center" vertical="center" wrapText="1"/>
      <protection locked="0"/>
    </xf>
    <xf numFmtId="0" fontId="179" fillId="0" borderId="0" xfId="0" applyFont="1" applyAlignment="1">
      <alignment horizontal="right" vertical="center" indent="2"/>
    </xf>
    <xf numFmtId="0" fontId="180" fillId="0" borderId="30" xfId="0" applyFont="1" applyBorder="1" applyAlignment="1">
      <alignment horizontal="left" vertical="center" wrapText="1"/>
    </xf>
    <xf numFmtId="0" fontId="180" fillId="0" borderId="6" xfId="0" applyFont="1" applyBorder="1" applyAlignment="1">
      <alignment horizontal="left" vertical="center" wrapText="1"/>
    </xf>
    <xf numFmtId="0" fontId="180" fillId="0" borderId="0" xfId="0" applyFont="1" applyAlignment="1">
      <alignment horizontal="right" vertical="center" indent="2"/>
    </xf>
    <xf numFmtId="0" fontId="169" fillId="40" borderId="141" xfId="0" applyFont="1" applyFill="1" applyBorder="1" applyAlignment="1">
      <alignment horizontal="center" vertical="center"/>
    </xf>
    <xf numFmtId="0" fontId="169" fillId="40" borderId="271" xfId="0" applyFont="1" applyFill="1" applyBorder="1" applyAlignment="1">
      <alignment horizontal="center" vertical="center"/>
    </xf>
    <xf numFmtId="0" fontId="180" fillId="0" borderId="16" xfId="0" applyFont="1" applyBorder="1" applyAlignment="1">
      <alignment horizontal="center" vertical="center"/>
    </xf>
    <xf numFmtId="0" fontId="180" fillId="0" borderId="17" xfId="0" applyFont="1" applyBorder="1" applyAlignment="1">
      <alignment horizontal="center" vertical="center"/>
    </xf>
    <xf numFmtId="171" fontId="180" fillId="3" borderId="16" xfId="0" applyNumberFormat="1" applyFont="1" applyFill="1" applyBorder="1" applyAlignment="1">
      <alignment horizontal="center" vertical="center"/>
    </xf>
    <xf numFmtId="171" fontId="180" fillId="3" borderId="17" xfId="0" applyNumberFormat="1" applyFont="1" applyFill="1" applyBorder="1" applyAlignment="1">
      <alignment horizontal="center" vertical="center"/>
    </xf>
    <xf numFmtId="170" fontId="183" fillId="3" borderId="22" xfId="2" applyNumberFormat="1" applyFont="1" applyFill="1" applyBorder="1" applyAlignment="1" applyProtection="1">
      <alignment horizontal="center"/>
    </xf>
    <xf numFmtId="10" fontId="25" fillId="0" borderId="9" xfId="0" applyNumberFormat="1" applyFont="1" applyBorder="1" applyAlignment="1">
      <alignment horizontal="center" vertical="center" wrapText="1"/>
    </xf>
    <xf numFmtId="10" fontId="25" fillId="0" borderId="10" xfId="0" applyNumberFormat="1" applyFont="1" applyBorder="1" applyAlignment="1">
      <alignment horizontal="center" vertical="center" wrapText="1"/>
    </xf>
    <xf numFmtId="171" fontId="180" fillId="0" borderId="28" xfId="14" applyNumberFormat="1" applyFont="1" applyFill="1" applyBorder="1" applyAlignment="1">
      <alignment horizontal="center" vertical="center"/>
    </xf>
    <xf numFmtId="171" fontId="180" fillId="0" borderId="19" xfId="14" applyNumberFormat="1" applyFont="1" applyFill="1" applyBorder="1" applyAlignment="1">
      <alignment horizontal="center" vertical="center"/>
    </xf>
    <xf numFmtId="0" fontId="17" fillId="92" borderId="26" xfId="0" applyFont="1" applyFill="1" applyBorder="1" applyAlignment="1">
      <alignment horizontal="right" vertical="center" wrapText="1"/>
    </xf>
    <xf numFmtId="0" fontId="17" fillId="92" borderId="27" xfId="0" applyFont="1" applyFill="1" applyBorder="1" applyAlignment="1">
      <alignment horizontal="right" vertical="center" wrapText="1"/>
    </xf>
    <xf numFmtId="0" fontId="17" fillId="92" borderId="16" xfId="0" applyFont="1" applyFill="1" applyBorder="1" applyAlignment="1">
      <alignment horizontal="right" vertical="center" wrapText="1"/>
    </xf>
    <xf numFmtId="0" fontId="17" fillId="92" borderId="0" xfId="0" applyFont="1" applyFill="1" applyAlignment="1">
      <alignment horizontal="right" vertical="center" wrapText="1"/>
    </xf>
    <xf numFmtId="10" fontId="180" fillId="3" borderId="16" xfId="0" applyNumberFormat="1" applyFont="1" applyFill="1" applyBorder="1" applyAlignment="1">
      <alignment horizontal="center" vertical="center"/>
    </xf>
    <xf numFmtId="10" fontId="180" fillId="3" borderId="17" xfId="0" applyNumberFormat="1" applyFont="1" applyFill="1" applyBorder="1" applyAlignment="1">
      <alignment horizontal="center" vertical="center"/>
    </xf>
    <xf numFmtId="0" fontId="3" fillId="40" borderId="28" xfId="0" applyFont="1" applyFill="1" applyBorder="1" applyAlignment="1">
      <alignment horizontal="center" vertical="center"/>
    </xf>
    <xf numFmtId="0" fontId="3" fillId="40" borderId="19" xfId="0" applyFont="1" applyFill="1" applyBorder="1" applyAlignment="1">
      <alignment horizontal="center" vertical="center"/>
    </xf>
    <xf numFmtId="0" fontId="337" fillId="3" borderId="0" xfId="0" applyFont="1" applyFill="1" applyAlignment="1">
      <alignment horizontal="left" vertical="center" wrapText="1"/>
    </xf>
    <xf numFmtId="10" fontId="180" fillId="3" borderId="28" xfId="2" applyNumberFormat="1" applyFont="1" applyFill="1" applyBorder="1" applyAlignment="1">
      <alignment horizontal="center"/>
    </xf>
    <xf numFmtId="10" fontId="180" fillId="3" borderId="19" xfId="2" applyNumberFormat="1" applyFont="1" applyFill="1" applyBorder="1" applyAlignment="1">
      <alignment horizontal="center"/>
    </xf>
    <xf numFmtId="0" fontId="339" fillId="3" borderId="0" xfId="0" applyFont="1" applyFill="1" applyAlignment="1">
      <alignment horizontal="center" vertical="center" wrapText="1"/>
    </xf>
    <xf numFmtId="0" fontId="3" fillId="90" borderId="28" xfId="0" applyFont="1" applyFill="1" applyBorder="1" applyAlignment="1">
      <alignment horizontal="center" vertical="center"/>
    </xf>
    <xf numFmtId="0" fontId="3" fillId="90" borderId="19" xfId="0" applyFont="1" applyFill="1" applyBorder="1" applyAlignment="1">
      <alignment horizontal="center" vertical="center"/>
    </xf>
    <xf numFmtId="0" fontId="3" fillId="40" borderId="86" xfId="0" applyFont="1" applyFill="1" applyBorder="1" applyAlignment="1">
      <alignment horizontal="center" vertical="center"/>
    </xf>
    <xf numFmtId="0" fontId="3" fillId="40" borderId="76" xfId="0" applyFont="1" applyFill="1" applyBorder="1" applyAlignment="1">
      <alignment horizontal="center" vertical="center"/>
    </xf>
    <xf numFmtId="0" fontId="180" fillId="3" borderId="0" xfId="0" applyFont="1" applyFill="1" applyAlignment="1" applyProtection="1">
      <alignment horizontal="left" vertical="center" wrapText="1"/>
      <protection locked="0"/>
    </xf>
    <xf numFmtId="0" fontId="180" fillId="3" borderId="0" xfId="0" applyFont="1" applyFill="1" applyAlignment="1">
      <alignment horizontal="right" vertical="center" wrapText="1" indent="2"/>
    </xf>
    <xf numFmtId="0" fontId="180" fillId="3" borderId="17" xfId="0" applyFont="1" applyFill="1" applyBorder="1" applyAlignment="1">
      <alignment horizontal="right" vertical="center" wrapText="1" indent="2"/>
    </xf>
    <xf numFmtId="171" fontId="180" fillId="3" borderId="16" xfId="14" applyNumberFormat="1" applyFont="1" applyFill="1" applyBorder="1" applyAlignment="1">
      <alignment horizontal="center" vertical="center"/>
    </xf>
    <xf numFmtId="171" fontId="180" fillId="3" borderId="17" xfId="14" applyNumberFormat="1" applyFont="1" applyFill="1" applyBorder="1" applyAlignment="1">
      <alignment horizontal="center" vertical="center"/>
    </xf>
    <xf numFmtId="0" fontId="17" fillId="58" borderId="125" xfId="0" applyFont="1" applyFill="1" applyBorder="1" applyAlignment="1">
      <alignment horizontal="center" vertical="center" wrapText="1"/>
    </xf>
    <xf numFmtId="0" fontId="17" fillId="58" borderId="27" xfId="0" applyFont="1" applyFill="1" applyBorder="1" applyAlignment="1">
      <alignment horizontal="center" vertical="center" wrapText="1"/>
    </xf>
    <xf numFmtId="0" fontId="17" fillId="58" borderId="18" xfId="0" applyFont="1" applyFill="1" applyBorder="1" applyAlignment="1">
      <alignment horizontal="center" vertical="center" wrapText="1"/>
    </xf>
    <xf numFmtId="0" fontId="17" fillId="58" borderId="3" xfId="0" applyFont="1" applyFill="1" applyBorder="1" applyAlignment="1">
      <alignment horizontal="center" vertical="center" wrapText="1"/>
    </xf>
    <xf numFmtId="0" fontId="17" fillId="58" borderId="0" xfId="0" applyFont="1" applyFill="1" applyAlignment="1">
      <alignment horizontal="center" vertical="center" wrapText="1"/>
    </xf>
    <xf numFmtId="0" fontId="17" fillId="58" borderId="17" xfId="0" applyFont="1" applyFill="1" applyBorder="1" applyAlignment="1">
      <alignment horizontal="center" vertical="center" wrapText="1"/>
    </xf>
    <xf numFmtId="9" fontId="179" fillId="3" borderId="2" xfId="2" applyFont="1" applyFill="1" applyBorder="1" applyAlignment="1" applyProtection="1">
      <alignment horizontal="center" vertical="center"/>
    </xf>
    <xf numFmtId="9" fontId="179" fillId="3" borderId="79" xfId="2" applyFont="1" applyFill="1" applyBorder="1" applyAlignment="1" applyProtection="1">
      <alignment horizontal="center" vertical="center"/>
    </xf>
    <xf numFmtId="0" fontId="25" fillId="0" borderId="0" xfId="0" applyFont="1" applyAlignment="1">
      <alignment horizontal="center" vertical="center"/>
    </xf>
    <xf numFmtId="0" fontId="3" fillId="39" borderId="86" xfId="0" applyFont="1" applyFill="1" applyBorder="1" applyAlignment="1">
      <alignment horizontal="center" vertical="center"/>
    </xf>
    <xf numFmtId="0" fontId="3" fillId="39" borderId="76" xfId="0" applyFont="1" applyFill="1" applyBorder="1" applyAlignment="1">
      <alignment horizontal="center" vertical="center"/>
    </xf>
    <xf numFmtId="0" fontId="3" fillId="39" borderId="28" xfId="0" applyFont="1" applyFill="1" applyBorder="1" applyAlignment="1">
      <alignment horizontal="center" vertical="center"/>
    </xf>
    <xf numFmtId="0" fontId="3" fillId="39" borderId="19" xfId="0" applyFont="1" applyFill="1" applyBorder="1" applyAlignment="1">
      <alignment horizontal="center" vertical="center"/>
    </xf>
    <xf numFmtId="0" fontId="381" fillId="0" borderId="0" xfId="0" applyFont="1" applyAlignment="1">
      <alignment horizontal="left" vertical="center" wrapText="1"/>
    </xf>
    <xf numFmtId="0" fontId="381" fillId="0" borderId="22" xfId="0" applyFont="1" applyBorder="1" applyAlignment="1">
      <alignment horizontal="left" vertical="center" wrapText="1"/>
    </xf>
    <xf numFmtId="0" fontId="3" fillId="27" borderId="28" xfId="0" applyFont="1" applyFill="1" applyBorder="1" applyAlignment="1">
      <alignment horizontal="center" vertical="center"/>
    </xf>
    <xf numFmtId="0" fontId="3" fillId="27" borderId="19" xfId="0" applyFont="1" applyFill="1" applyBorder="1" applyAlignment="1">
      <alignment horizontal="center" vertical="center"/>
    </xf>
    <xf numFmtId="0" fontId="3" fillId="27" borderId="86" xfId="0" applyFont="1" applyFill="1" applyBorder="1" applyAlignment="1">
      <alignment horizontal="center" vertical="center"/>
    </xf>
    <xf numFmtId="0" fontId="3" fillId="27" borderId="76" xfId="0" applyFont="1" applyFill="1" applyBorder="1" applyAlignment="1">
      <alignment horizontal="center" vertical="center"/>
    </xf>
    <xf numFmtId="190" fontId="179" fillId="8" borderId="2" xfId="3" applyNumberFormat="1" applyFont="1" applyFill="1" applyBorder="1" applyAlignment="1" applyProtection="1">
      <alignment horizontal="center" vertical="center"/>
      <protection locked="0"/>
    </xf>
    <xf numFmtId="190" fontId="179" fillId="8" borderId="79" xfId="3" applyNumberFormat="1" applyFont="1" applyFill="1" applyBorder="1" applyAlignment="1" applyProtection="1">
      <alignment horizontal="center" vertical="center"/>
      <protection locked="0"/>
    </xf>
    <xf numFmtId="0" fontId="175" fillId="0" borderId="0" xfId="0" applyFont="1" applyAlignment="1">
      <alignment horizontal="center" vertical="center" wrapText="1"/>
    </xf>
    <xf numFmtId="171" fontId="20" fillId="8" borderId="86" xfId="0" applyNumberFormat="1" applyFont="1" applyFill="1" applyBorder="1" applyAlignment="1" applyProtection="1">
      <alignment horizontal="center"/>
      <protection locked="0"/>
    </xf>
    <xf numFmtId="171" fontId="20" fillId="8" borderId="76" xfId="0" applyNumberFormat="1" applyFont="1" applyFill="1" applyBorder="1" applyAlignment="1" applyProtection="1">
      <alignment horizontal="center"/>
      <protection locked="0"/>
    </xf>
    <xf numFmtId="0" fontId="4" fillId="8" borderId="2" xfId="0" applyFont="1" applyFill="1" applyBorder="1" applyAlignment="1" applyProtection="1">
      <alignment horizontal="left" wrapText="1"/>
      <protection locked="0"/>
    </xf>
    <xf numFmtId="0" fontId="25" fillId="89" borderId="196" xfId="0" applyFont="1" applyFill="1" applyBorder="1" applyAlignment="1">
      <alignment horizontal="center" vertical="center"/>
    </xf>
    <xf numFmtId="0" fontId="25" fillId="89" borderId="85" xfId="0" applyFont="1" applyFill="1" applyBorder="1" applyAlignment="1">
      <alignment horizontal="center" vertical="center"/>
    </xf>
    <xf numFmtId="0" fontId="179" fillId="0" borderId="27" xfId="0" applyFont="1" applyBorder="1" applyAlignment="1">
      <alignment horizontal="center" vertical="center" wrapText="1"/>
    </xf>
    <xf numFmtId="0" fontId="44" fillId="3" borderId="0" xfId="0" applyFont="1" applyFill="1" applyAlignment="1">
      <alignment horizontal="center" wrapText="1"/>
    </xf>
    <xf numFmtId="9" fontId="44" fillId="3" borderId="0" xfId="0" applyNumberFormat="1" applyFont="1" applyFill="1" applyAlignment="1">
      <alignment horizontal="center" vertical="center"/>
    </xf>
    <xf numFmtId="0" fontId="321" fillId="3" borderId="0" xfId="0" applyFont="1" applyFill="1" applyAlignment="1">
      <alignment horizontal="center" vertical="center" wrapText="1"/>
    </xf>
    <xf numFmtId="0" fontId="179" fillId="0" borderId="27" xfId="0" applyFont="1" applyBorder="1" applyAlignment="1">
      <alignment horizontal="center" vertical="center"/>
    </xf>
    <xf numFmtId="10" fontId="179" fillId="8" borderId="5" xfId="2" applyNumberFormat="1" applyFont="1" applyFill="1" applyBorder="1" applyAlignment="1" applyProtection="1">
      <alignment horizontal="center" vertical="center"/>
      <protection locked="0"/>
    </xf>
    <xf numFmtId="10" fontId="179" fillId="8" borderId="6" xfId="2" applyNumberFormat="1" applyFont="1" applyFill="1" applyBorder="1" applyAlignment="1" applyProtection="1">
      <alignment horizontal="center" vertical="center"/>
      <protection locked="0"/>
    </xf>
    <xf numFmtId="10" fontId="179" fillId="8" borderId="50" xfId="2" applyNumberFormat="1" applyFont="1" applyFill="1" applyBorder="1" applyAlignment="1" applyProtection="1">
      <alignment horizontal="center" vertical="center"/>
      <protection locked="0"/>
    </xf>
    <xf numFmtId="9" fontId="187" fillId="0" borderId="0" xfId="2" applyFont="1" applyFill="1" applyBorder="1" applyAlignment="1" applyProtection="1">
      <alignment horizontal="center" vertical="center"/>
    </xf>
    <xf numFmtId="9" fontId="225" fillId="3" borderId="16" xfId="2" applyFont="1" applyFill="1" applyBorder="1" applyAlignment="1">
      <alignment horizontal="left" wrapText="1"/>
    </xf>
    <xf numFmtId="9" fontId="225" fillId="3" borderId="0" xfId="2" applyFont="1" applyFill="1" applyBorder="1" applyAlignment="1">
      <alignment horizontal="left" wrapText="1"/>
    </xf>
    <xf numFmtId="0" fontId="164" fillId="0" borderId="0" xfId="0" applyFont="1" applyAlignment="1">
      <alignment horizontal="center" vertical="top" wrapText="1"/>
    </xf>
    <xf numFmtId="0" fontId="366" fillId="26" borderId="301" xfId="0" applyFont="1" applyFill="1" applyBorder="1" applyAlignment="1">
      <alignment horizontal="left"/>
    </xf>
    <xf numFmtId="0" fontId="366" fillId="26" borderId="299" xfId="0" applyFont="1" applyFill="1" applyBorder="1" applyAlignment="1">
      <alignment horizontal="left"/>
    </xf>
    <xf numFmtId="0" fontId="366" fillId="26" borderId="294" xfId="0" applyFont="1" applyFill="1" applyBorder="1" applyAlignment="1">
      <alignment horizontal="left"/>
    </xf>
    <xf numFmtId="0" fontId="366" fillId="26" borderId="291" xfId="0" applyFont="1" applyFill="1" applyBorder="1" applyAlignment="1">
      <alignment horizontal="left"/>
    </xf>
    <xf numFmtId="0" fontId="44" fillId="3" borderId="0" xfId="0" applyFont="1" applyFill="1" applyAlignment="1">
      <alignment horizontal="center"/>
    </xf>
    <xf numFmtId="0" fontId="44" fillId="3" borderId="0" xfId="0" applyFont="1" applyFill="1" applyAlignment="1">
      <alignment horizontal="left"/>
    </xf>
    <xf numFmtId="0" fontId="39" fillId="0" borderId="86" xfId="0" applyFont="1" applyBorder="1" applyAlignment="1">
      <alignment horizontal="center" vertical="center"/>
    </xf>
    <xf numFmtId="0" fontId="39" fillId="0" borderId="85" xfId="0" applyFont="1" applyBorder="1" applyAlignment="1">
      <alignment horizontal="center" vertical="center"/>
    </xf>
    <xf numFmtId="0" fontId="39" fillId="0" borderId="76" xfId="0" applyFont="1" applyBorder="1" applyAlignment="1">
      <alignment horizontal="center" vertical="center"/>
    </xf>
    <xf numFmtId="0" fontId="25" fillId="91" borderId="0" xfId="0" applyFont="1" applyFill="1" applyAlignment="1">
      <alignment horizontal="center"/>
    </xf>
    <xf numFmtId="0" fontId="13" fillId="18" borderId="273" xfId="0" applyFont="1" applyFill="1" applyBorder="1" applyAlignment="1">
      <alignment horizontal="left" vertical="center" wrapText="1"/>
    </xf>
    <xf numFmtId="0" fontId="13" fillId="18" borderId="240" xfId="0" applyFont="1" applyFill="1" applyBorder="1" applyAlignment="1">
      <alignment horizontal="left" vertical="center" wrapText="1"/>
    </xf>
    <xf numFmtId="0" fontId="13" fillId="18" borderId="270" xfId="0" applyFont="1" applyFill="1" applyBorder="1" applyAlignment="1">
      <alignment horizontal="left" vertical="center" wrapText="1"/>
    </xf>
    <xf numFmtId="0" fontId="44" fillId="0" borderId="85" xfId="0" applyFont="1" applyBorder="1" applyAlignment="1">
      <alignment horizontal="center" vertical="center"/>
    </xf>
    <xf numFmtId="0" fontId="173" fillId="3" borderId="29" xfId="0" applyFont="1" applyFill="1" applyBorder="1" applyAlignment="1">
      <alignment horizontal="center" vertical="center" textRotation="90" wrapText="1"/>
    </xf>
    <xf numFmtId="0" fontId="173" fillId="3" borderId="31" xfId="0" applyFont="1" applyFill="1" applyBorder="1" applyAlignment="1">
      <alignment horizontal="center" vertical="center" textRotation="90" wrapText="1"/>
    </xf>
    <xf numFmtId="0" fontId="173" fillId="3" borderId="3" xfId="0" applyFont="1" applyFill="1" applyBorder="1" applyAlignment="1">
      <alignment horizontal="center" vertical="center" textRotation="90" wrapText="1"/>
    </xf>
    <xf numFmtId="0" fontId="173" fillId="3" borderId="4" xfId="0" applyFont="1" applyFill="1" applyBorder="1" applyAlignment="1">
      <alignment horizontal="center" vertical="center" textRotation="90" wrapText="1"/>
    </xf>
    <xf numFmtId="0" fontId="173" fillId="3" borderId="5" xfId="0" applyFont="1" applyFill="1" applyBorder="1" applyAlignment="1">
      <alignment horizontal="center" vertical="center" textRotation="90" wrapText="1"/>
    </xf>
    <xf numFmtId="0" fontId="173" fillId="3" borderId="7" xfId="0" applyFont="1" applyFill="1" applyBorder="1" applyAlignment="1">
      <alignment horizontal="center" vertical="center" textRotation="90" wrapText="1"/>
    </xf>
    <xf numFmtId="0" fontId="6" fillId="0" borderId="0" xfId="0" applyFont="1" applyAlignment="1">
      <alignment horizontal="left"/>
    </xf>
    <xf numFmtId="0" fontId="366" fillId="29" borderId="294" xfId="0" applyFont="1" applyFill="1" applyBorder="1" applyAlignment="1">
      <alignment horizontal="left"/>
    </xf>
    <xf numFmtId="0" fontId="366" fillId="29" borderId="291" xfId="0" applyFont="1" applyFill="1" applyBorder="1" applyAlignment="1">
      <alignment horizontal="left"/>
    </xf>
    <xf numFmtId="0" fontId="366" fillId="3" borderId="299" xfId="0" applyFont="1" applyFill="1" applyBorder="1" applyAlignment="1">
      <alignment horizontal="left"/>
    </xf>
    <xf numFmtId="0" fontId="366" fillId="29" borderId="283" xfId="0" applyFont="1" applyFill="1" applyBorder="1" applyAlignment="1">
      <alignment horizontal="center"/>
    </xf>
    <xf numFmtId="0" fontId="39" fillId="101" borderId="86" xfId="0" applyFont="1" applyFill="1" applyBorder="1" applyAlignment="1">
      <alignment horizontal="center" vertical="center"/>
    </xf>
    <xf numFmtId="0" fontId="39" fillId="101" borderId="85" xfId="0" applyFont="1" applyFill="1" applyBorder="1" applyAlignment="1">
      <alignment horizontal="center" vertical="center"/>
    </xf>
    <xf numFmtId="0" fontId="366" fillId="29" borderId="302" xfId="0" applyFont="1" applyFill="1" applyBorder="1" applyAlignment="1">
      <alignment horizontal="left"/>
    </xf>
    <xf numFmtId="0" fontId="366" fillId="29" borderId="283" xfId="0" applyFont="1" applyFill="1" applyBorder="1" applyAlignment="1">
      <alignment horizontal="left"/>
    </xf>
    <xf numFmtId="0" fontId="25" fillId="73" borderId="286" xfId="0" applyFont="1" applyFill="1" applyBorder="1" applyAlignment="1">
      <alignment horizontal="center"/>
    </xf>
    <xf numFmtId="0" fontId="194" fillId="8" borderId="8" xfId="0" applyFont="1" applyFill="1" applyBorder="1" applyAlignment="1" applyProtection="1">
      <alignment horizontal="center"/>
      <protection locked="0"/>
    </xf>
    <xf numFmtId="0" fontId="194" fillId="8" borderId="9" xfId="0" applyFont="1" applyFill="1" applyBorder="1" applyAlignment="1" applyProtection="1">
      <alignment horizontal="center"/>
      <protection locked="0"/>
    </xf>
    <xf numFmtId="0" fontId="194" fillId="8" borderId="44" xfId="0" applyFont="1" applyFill="1" applyBorder="1" applyAlignment="1" applyProtection="1">
      <alignment horizontal="center"/>
      <protection locked="0"/>
    </xf>
    <xf numFmtId="0" fontId="366" fillId="97" borderId="291" xfId="0" applyFont="1" applyFill="1" applyBorder="1" applyAlignment="1">
      <alignment horizontal="center"/>
    </xf>
    <xf numFmtId="0" fontId="366" fillId="77" borderId="291" xfId="0" applyFont="1" applyFill="1" applyBorder="1" applyAlignment="1">
      <alignment horizontal="center"/>
    </xf>
    <xf numFmtId="10" fontId="179" fillId="8" borderId="135" xfId="2" applyNumberFormat="1" applyFont="1" applyFill="1" applyBorder="1" applyAlignment="1" applyProtection="1">
      <alignment horizontal="center" vertical="center"/>
      <protection locked="0"/>
    </xf>
    <xf numFmtId="10" fontId="179" fillId="8" borderId="272" xfId="2" applyNumberFormat="1" applyFont="1" applyFill="1" applyBorder="1" applyAlignment="1" applyProtection="1">
      <alignment horizontal="center" vertical="center"/>
      <protection locked="0"/>
    </xf>
    <xf numFmtId="0" fontId="20" fillId="8" borderId="86" xfId="0" applyFont="1" applyFill="1" applyBorder="1" applyAlignment="1" applyProtection="1">
      <alignment horizontal="center"/>
      <protection locked="0"/>
    </xf>
    <xf numFmtId="0" fontId="20" fillId="8" borderId="76" xfId="0" applyFont="1" applyFill="1" applyBorder="1" applyAlignment="1" applyProtection="1">
      <alignment horizontal="center"/>
      <protection locked="0"/>
    </xf>
    <xf numFmtId="1" fontId="179" fillId="8" borderId="239" xfId="1" applyNumberFormat="1" applyFont="1" applyFill="1" applyBorder="1" applyAlignment="1" applyProtection="1">
      <alignment horizontal="center" vertical="center"/>
      <protection locked="0"/>
    </xf>
    <xf numFmtId="1" fontId="179" fillId="8" borderId="41" xfId="1" applyNumberFormat="1" applyFont="1" applyFill="1" applyBorder="1" applyAlignment="1" applyProtection="1">
      <alignment horizontal="center" vertical="center"/>
      <protection locked="0"/>
    </xf>
    <xf numFmtId="1" fontId="179" fillId="8" borderId="45" xfId="1" applyNumberFormat="1" applyFont="1" applyFill="1" applyBorder="1" applyAlignment="1" applyProtection="1">
      <alignment horizontal="center" vertical="center"/>
      <protection locked="0"/>
    </xf>
    <xf numFmtId="1" fontId="179" fillId="8" borderId="44" xfId="1" applyNumberFormat="1" applyFont="1" applyFill="1" applyBorder="1" applyAlignment="1" applyProtection="1">
      <alignment horizontal="center" vertical="center"/>
      <protection locked="0"/>
    </xf>
    <xf numFmtId="165" fontId="179" fillId="8" borderId="45" xfId="3" applyNumberFormat="1" applyFont="1" applyFill="1" applyBorder="1" applyAlignment="1" applyProtection="1">
      <alignment horizontal="center" vertical="center"/>
      <protection locked="0"/>
    </xf>
    <xf numFmtId="165" fontId="179" fillId="8" borderId="44" xfId="3" applyNumberFormat="1" applyFont="1" applyFill="1" applyBorder="1" applyAlignment="1" applyProtection="1">
      <alignment horizontal="center" vertical="center"/>
      <protection locked="0"/>
    </xf>
    <xf numFmtId="171" fontId="179" fillId="0" borderId="45" xfId="0" applyNumberFormat="1" applyFont="1" applyBorder="1" applyAlignment="1">
      <alignment horizontal="center"/>
    </xf>
    <xf numFmtId="171" fontId="179" fillId="0" borderId="44" xfId="0" applyNumberFormat="1" applyFont="1" applyBorder="1" applyAlignment="1">
      <alignment horizontal="center"/>
    </xf>
    <xf numFmtId="171" fontId="327" fillId="8" borderId="45" xfId="3" applyNumberFormat="1" applyFont="1" applyFill="1" applyBorder="1" applyAlignment="1" applyProtection="1">
      <alignment horizontal="center" vertical="center"/>
    </xf>
    <xf numFmtId="171" fontId="327" fillId="8" borderId="44" xfId="3" applyNumberFormat="1" applyFont="1" applyFill="1" applyBorder="1" applyAlignment="1" applyProtection="1">
      <alignment horizontal="center" vertical="center"/>
    </xf>
    <xf numFmtId="171" fontId="179" fillId="8" borderId="45" xfId="3" applyNumberFormat="1" applyFont="1" applyFill="1" applyBorder="1" applyAlignment="1" applyProtection="1">
      <alignment horizontal="center" vertical="center"/>
    </xf>
    <xf numFmtId="171" fontId="179" fillId="8" borderId="44" xfId="3" applyNumberFormat="1" applyFont="1" applyFill="1" applyBorder="1" applyAlignment="1" applyProtection="1">
      <alignment horizontal="center" vertical="center"/>
    </xf>
    <xf numFmtId="171" fontId="179" fillId="8" borderId="45" xfId="3" applyNumberFormat="1" applyFont="1" applyFill="1" applyBorder="1" applyAlignment="1" applyProtection="1">
      <alignment horizontal="center" vertical="center"/>
      <protection locked="0"/>
    </xf>
    <xf numFmtId="171" fontId="179" fillId="8" borderId="44" xfId="3" applyNumberFormat="1" applyFont="1" applyFill="1" applyBorder="1" applyAlignment="1" applyProtection="1">
      <alignment horizontal="center" vertical="center"/>
      <protection locked="0"/>
    </xf>
    <xf numFmtId="171" fontId="179" fillId="8" borderId="141" xfId="3" applyNumberFormat="1" applyFont="1" applyFill="1" applyBorder="1" applyAlignment="1" applyProtection="1">
      <alignment horizontal="center" vertical="center"/>
      <protection locked="0"/>
    </xf>
    <xf numFmtId="171" fontId="179" fillId="8" borderId="271" xfId="3" applyNumberFormat="1" applyFont="1" applyFill="1" applyBorder="1" applyAlignment="1" applyProtection="1">
      <alignment horizontal="center" vertical="center"/>
      <protection locked="0"/>
    </xf>
    <xf numFmtId="0" fontId="419" fillId="0" borderId="0" xfId="0" applyFont="1" applyAlignment="1">
      <alignment horizontal="center" vertical="center"/>
    </xf>
    <xf numFmtId="0" fontId="179" fillId="3" borderId="26" xfId="0" applyFont="1" applyFill="1" applyBorder="1" applyAlignment="1">
      <alignment horizontal="center" vertical="center" wrapText="1"/>
    </xf>
    <xf numFmtId="0" fontId="179" fillId="3" borderId="27" xfId="0" applyFont="1" applyFill="1" applyBorder="1" applyAlignment="1">
      <alignment horizontal="center" vertical="center" wrapText="1"/>
    </xf>
    <xf numFmtId="0" fontId="179" fillId="3" borderId="18" xfId="0" applyFont="1" applyFill="1" applyBorder="1" applyAlignment="1">
      <alignment horizontal="center" vertical="center" wrapText="1"/>
    </xf>
    <xf numFmtId="0" fontId="179" fillId="3" borderId="28" xfId="0" applyFont="1" applyFill="1" applyBorder="1" applyAlignment="1">
      <alignment horizontal="center" vertical="center" wrapText="1"/>
    </xf>
    <xf numFmtId="0" fontId="179" fillId="3" borderId="22" xfId="0" applyFont="1" applyFill="1" applyBorder="1" applyAlignment="1">
      <alignment horizontal="center" vertical="center" wrapText="1"/>
    </xf>
    <xf numFmtId="0" fontId="179" fillId="3" borderId="19" xfId="0" applyFont="1" applyFill="1" applyBorder="1" applyAlignment="1">
      <alignment horizontal="center" vertical="center" wrapText="1"/>
    </xf>
    <xf numFmtId="10" fontId="179" fillId="8" borderId="26" xfId="2" applyNumberFormat="1" applyFont="1" applyFill="1" applyBorder="1" applyAlignment="1" applyProtection="1">
      <alignment horizontal="center" vertical="center"/>
      <protection locked="0"/>
    </xf>
    <xf numFmtId="10" fontId="179" fillId="8" borderId="18" xfId="2" applyNumberFormat="1" applyFont="1" applyFill="1" applyBorder="1" applyAlignment="1" applyProtection="1">
      <alignment horizontal="center" vertical="center"/>
      <protection locked="0"/>
    </xf>
    <xf numFmtId="10" fontId="179" fillId="8" borderId="28" xfId="2" applyNumberFormat="1" applyFont="1" applyFill="1" applyBorder="1" applyAlignment="1" applyProtection="1">
      <alignment horizontal="center" vertical="center"/>
      <protection locked="0"/>
    </xf>
    <xf numFmtId="10" fontId="179" fillId="8" borderId="19" xfId="2" applyNumberFormat="1" applyFont="1" applyFill="1" applyBorder="1" applyAlignment="1" applyProtection="1">
      <alignment horizontal="center" vertical="center"/>
      <protection locked="0"/>
    </xf>
    <xf numFmtId="10" fontId="400" fillId="3" borderId="16" xfId="2" applyNumberFormat="1" applyFont="1" applyFill="1" applyBorder="1" applyAlignment="1" applyProtection="1">
      <alignment horizontal="left" vertical="center"/>
      <protection locked="0"/>
    </xf>
    <xf numFmtId="10" fontId="400" fillId="3" borderId="0" xfId="2" applyNumberFormat="1" applyFont="1" applyFill="1" applyBorder="1" applyAlignment="1" applyProtection="1">
      <alignment horizontal="left" vertical="center"/>
      <protection locked="0"/>
    </xf>
    <xf numFmtId="190" fontId="179" fillId="8" borderId="266" xfId="3" applyNumberFormat="1" applyFont="1" applyFill="1" applyBorder="1" applyAlignment="1" applyProtection="1">
      <alignment horizontal="center" vertical="center"/>
      <protection locked="0"/>
    </xf>
    <xf numFmtId="190" fontId="179" fillId="8" borderId="282" xfId="3" applyNumberFormat="1" applyFont="1" applyFill="1" applyBorder="1" applyAlignment="1" applyProtection="1">
      <alignment horizontal="center" vertical="center"/>
      <protection locked="0"/>
    </xf>
    <xf numFmtId="0" fontId="190" fillId="3" borderId="0" xfId="0" applyFont="1" applyFill="1" applyAlignment="1">
      <alignment horizontal="left" vertical="center"/>
    </xf>
    <xf numFmtId="190" fontId="328" fillId="8" borderId="2" xfId="3" applyNumberFormat="1" applyFont="1" applyFill="1" applyBorder="1" applyAlignment="1" applyProtection="1">
      <alignment horizontal="center" vertical="center"/>
      <protection locked="0"/>
    </xf>
    <xf numFmtId="0" fontId="4" fillId="8" borderId="8" xfId="0" applyFont="1" applyFill="1" applyBorder="1" applyAlignment="1">
      <alignment horizontal="center" vertical="center"/>
    </xf>
    <xf numFmtId="0" fontId="4" fillId="8" borderId="9" xfId="0" applyFont="1" applyFill="1" applyBorder="1" applyAlignment="1">
      <alignment horizontal="center" vertical="center"/>
    </xf>
    <xf numFmtId="0" fontId="4" fillId="8" borderId="10" xfId="0" applyFont="1" applyFill="1" applyBorder="1" applyAlignment="1">
      <alignment horizontal="center" vertical="center"/>
    </xf>
    <xf numFmtId="9" fontId="3" fillId="3" borderId="0" xfId="3" applyNumberFormat="1" applyFont="1" applyFill="1" applyBorder="1" applyAlignment="1" applyProtection="1">
      <alignment horizontal="left"/>
      <protection locked="0"/>
    </xf>
    <xf numFmtId="9" fontId="3" fillId="3" borderId="4" xfId="3" applyNumberFormat="1" applyFont="1" applyFill="1" applyBorder="1" applyAlignment="1" applyProtection="1">
      <alignment horizontal="left"/>
      <protection locked="0"/>
    </xf>
    <xf numFmtId="0" fontId="179" fillId="8" borderId="51" xfId="0" applyFont="1" applyFill="1" applyBorder="1" applyAlignment="1" applyProtection="1">
      <alignment horizontal="center" vertical="center"/>
      <protection locked="0"/>
    </xf>
    <xf numFmtId="0" fontId="179" fillId="8" borderId="6" xfId="0" applyFont="1" applyFill="1" applyBorder="1" applyAlignment="1" applyProtection="1">
      <alignment horizontal="center" vertical="center"/>
      <protection locked="0"/>
    </xf>
    <xf numFmtId="0" fontId="179" fillId="8" borderId="50" xfId="0" applyFont="1" applyFill="1" applyBorder="1" applyAlignment="1" applyProtection="1">
      <alignment horizontal="center" vertical="center"/>
      <protection locked="0"/>
    </xf>
    <xf numFmtId="0" fontId="265" fillId="3" borderId="86" xfId="0" applyFont="1" applyFill="1" applyBorder="1" applyAlignment="1">
      <alignment horizontal="center" vertical="center"/>
    </xf>
    <xf numFmtId="0" fontId="265" fillId="3" borderId="85" xfId="0" applyFont="1" applyFill="1" applyBorder="1" applyAlignment="1">
      <alignment horizontal="center" vertical="center"/>
    </xf>
    <xf numFmtId="0" fontId="179" fillId="8" borderId="16" xfId="0" applyFont="1" applyFill="1" applyBorder="1" applyAlignment="1" applyProtection="1">
      <alignment horizontal="center" vertical="center"/>
      <protection locked="0"/>
    </xf>
    <xf numFmtId="0" fontId="179" fillId="8" borderId="0" xfId="0" applyFont="1" applyFill="1" applyAlignment="1" applyProtection="1">
      <alignment horizontal="center" vertical="center"/>
      <protection locked="0"/>
    </xf>
    <xf numFmtId="0" fontId="179" fillId="8" borderId="17" xfId="0" applyFont="1" applyFill="1" applyBorder="1" applyAlignment="1" applyProtection="1">
      <alignment horizontal="center" vertical="center"/>
      <protection locked="0"/>
    </xf>
    <xf numFmtId="0" fontId="366" fillId="97" borderId="290" xfId="0" applyFont="1" applyFill="1" applyBorder="1" applyAlignment="1">
      <alignment horizontal="center"/>
    </xf>
    <xf numFmtId="0" fontId="321" fillId="0" borderId="0" xfId="0" applyFont="1" applyAlignment="1">
      <alignment horizontal="center"/>
    </xf>
    <xf numFmtId="0" fontId="179" fillId="8" borderId="47" xfId="0" applyFont="1" applyFill="1" applyBorder="1" applyAlignment="1" applyProtection="1">
      <alignment horizontal="center" vertical="center"/>
      <protection locked="0"/>
    </xf>
    <xf numFmtId="0" fontId="179" fillId="8" borderId="30" xfId="0" applyFont="1" applyFill="1" applyBorder="1" applyAlignment="1" applyProtection="1">
      <alignment horizontal="center" vertical="center"/>
      <protection locked="0"/>
    </xf>
    <xf numFmtId="0" fontId="179" fillId="8" borderId="61" xfId="0" applyFont="1" applyFill="1" applyBorder="1" applyAlignment="1" applyProtection="1">
      <alignment horizontal="center" vertical="center"/>
      <protection locked="0"/>
    </xf>
    <xf numFmtId="0" fontId="179" fillId="8" borderId="239" xfId="3" applyNumberFormat="1" applyFont="1" applyFill="1" applyBorder="1" applyAlignment="1" applyProtection="1">
      <alignment horizontal="center" vertical="top" wrapText="1"/>
      <protection locked="0"/>
    </xf>
    <xf numFmtId="0" fontId="179" fillId="8" borderId="129" xfId="3" applyNumberFormat="1" applyFont="1" applyFill="1" applyBorder="1" applyAlignment="1" applyProtection="1">
      <alignment horizontal="center" vertical="top" wrapText="1"/>
      <protection locked="0"/>
    </xf>
    <xf numFmtId="0" fontId="179" fillId="8" borderId="41" xfId="3" applyNumberFormat="1" applyFont="1" applyFill="1" applyBorder="1" applyAlignment="1" applyProtection="1">
      <alignment horizontal="center" vertical="top" wrapText="1"/>
      <protection locked="0"/>
    </xf>
    <xf numFmtId="9" fontId="179" fillId="3" borderId="2" xfId="3" applyNumberFormat="1" applyFont="1" applyFill="1" applyBorder="1" applyAlignment="1" applyProtection="1">
      <alignment horizontal="center" vertical="center"/>
    </xf>
    <xf numFmtId="9" fontId="179" fillId="3" borderId="79" xfId="3" applyNumberFormat="1" applyFont="1" applyFill="1" applyBorder="1" applyAlignment="1" applyProtection="1">
      <alignment horizontal="center" vertical="center"/>
    </xf>
    <xf numFmtId="0" fontId="226" fillId="97" borderId="86" xfId="0" applyFont="1" applyFill="1" applyBorder="1" applyAlignment="1">
      <alignment horizontal="center" vertical="center"/>
    </xf>
    <xf numFmtId="0" fontId="226" fillId="97" borderId="85" xfId="0" applyFont="1" applyFill="1" applyBorder="1" applyAlignment="1">
      <alignment horizontal="center" vertical="center"/>
    </xf>
    <xf numFmtId="0" fontId="226" fillId="97" borderId="76" xfId="0" applyFont="1" applyFill="1" applyBorder="1" applyAlignment="1">
      <alignment horizontal="center" vertical="center"/>
    </xf>
    <xf numFmtId="0" fontId="226" fillId="97" borderId="85" xfId="0" applyFont="1" applyFill="1" applyBorder="1" applyAlignment="1" applyProtection="1">
      <alignment horizontal="center" vertical="center"/>
      <protection locked="0"/>
    </xf>
    <xf numFmtId="0" fontId="226" fillId="97" borderId="76" xfId="0" applyFont="1" applyFill="1" applyBorder="1" applyAlignment="1" applyProtection="1">
      <alignment horizontal="center" vertical="center"/>
      <protection locked="0"/>
    </xf>
    <xf numFmtId="0" fontId="169" fillId="29" borderId="141" xfId="0" applyFont="1" applyFill="1" applyBorder="1" applyAlignment="1">
      <alignment horizontal="center" vertical="center"/>
    </xf>
    <xf numFmtId="0" fontId="169" fillId="29" borderId="271" xfId="0" applyFont="1" applyFill="1" applyBorder="1" applyAlignment="1">
      <alignment horizontal="center" vertical="center"/>
    </xf>
    <xf numFmtId="0" fontId="119" fillId="3" borderId="0" xfId="0" applyFont="1" applyFill="1" applyAlignment="1">
      <alignment horizontal="center" vertical="center" wrapText="1"/>
    </xf>
    <xf numFmtId="0" fontId="169" fillId="3" borderId="16" xfId="0" applyFont="1" applyFill="1" applyBorder="1" applyAlignment="1">
      <alignment horizontal="center" vertical="center" wrapText="1"/>
    </xf>
    <xf numFmtId="10" fontId="366" fillId="97" borderId="293" xfId="2" applyNumberFormat="1" applyFont="1" applyFill="1" applyBorder="1" applyAlignment="1">
      <alignment horizontal="left"/>
    </xf>
    <xf numFmtId="10" fontId="366" fillId="97" borderId="290" xfId="2" applyNumberFormat="1" applyFont="1" applyFill="1" applyBorder="1" applyAlignment="1">
      <alignment horizontal="left"/>
    </xf>
    <xf numFmtId="0" fontId="366" fillId="97" borderId="294" xfId="0" applyFont="1" applyFill="1" applyBorder="1" applyAlignment="1">
      <alignment horizontal="left"/>
    </xf>
    <xf numFmtId="0" fontId="366" fillId="97" borderId="291" xfId="0" applyFont="1" applyFill="1" applyBorder="1" applyAlignment="1">
      <alignment horizontal="left"/>
    </xf>
    <xf numFmtId="0" fontId="366" fillId="77" borderId="294" xfId="0" applyFont="1" applyFill="1" applyBorder="1" applyAlignment="1">
      <alignment horizontal="left"/>
    </xf>
    <xf numFmtId="0" fontId="366" fillId="77" borderId="291" xfId="0" applyFont="1" applyFill="1" applyBorder="1" applyAlignment="1">
      <alignment horizontal="left"/>
    </xf>
    <xf numFmtId="0" fontId="9" fillId="0" borderId="16" xfId="0" applyFont="1" applyBorder="1" applyAlignment="1">
      <alignment horizontal="left" vertical="top" wrapText="1"/>
    </xf>
    <xf numFmtId="0" fontId="9" fillId="0" borderId="0" xfId="0" applyFont="1" applyAlignment="1">
      <alignment horizontal="left" vertical="top" wrapText="1"/>
    </xf>
    <xf numFmtId="0" fontId="226" fillId="97" borderId="86" xfId="0" applyFont="1" applyFill="1" applyBorder="1" applyAlignment="1" applyProtection="1">
      <alignment horizontal="center"/>
      <protection locked="0"/>
    </xf>
    <xf numFmtId="0" fontId="226" fillId="97" borderId="76" xfId="0" applyFont="1" applyFill="1" applyBorder="1" applyAlignment="1" applyProtection="1">
      <alignment horizontal="center"/>
      <protection locked="0"/>
    </xf>
    <xf numFmtId="0" fontId="346" fillId="39" borderId="86" xfId="0" applyFont="1" applyFill="1" applyBorder="1" applyAlignment="1">
      <alignment horizontal="center" vertical="center"/>
    </xf>
    <xf numFmtId="0" fontId="346" fillId="39" borderId="85" xfId="0" applyFont="1" applyFill="1" applyBorder="1" applyAlignment="1">
      <alignment horizontal="center" vertical="center"/>
    </xf>
    <xf numFmtId="0" fontId="346" fillId="39" borderId="76" xfId="0" applyFont="1" applyFill="1" applyBorder="1" applyAlignment="1">
      <alignment horizontal="center" vertical="center"/>
    </xf>
    <xf numFmtId="0" fontId="346" fillId="40" borderId="86" xfId="0" applyFont="1" applyFill="1" applyBorder="1" applyAlignment="1">
      <alignment horizontal="center" vertical="center"/>
    </xf>
    <xf numFmtId="0" fontId="346" fillId="40" borderId="85" xfId="0" applyFont="1" applyFill="1" applyBorder="1" applyAlignment="1">
      <alignment horizontal="center" vertical="center"/>
    </xf>
    <xf numFmtId="0" fontId="346" fillId="40" borderId="76" xfId="0" applyFont="1" applyFill="1" applyBorder="1" applyAlignment="1">
      <alignment horizontal="center" vertical="center"/>
    </xf>
    <xf numFmtId="0" fontId="346" fillId="90" borderId="86" xfId="0" applyFont="1" applyFill="1" applyBorder="1" applyAlignment="1">
      <alignment horizontal="center" vertical="center"/>
    </xf>
    <xf numFmtId="0" fontId="346" fillId="90" borderId="85" xfId="0" applyFont="1" applyFill="1" applyBorder="1" applyAlignment="1">
      <alignment horizontal="center" vertical="center"/>
    </xf>
    <xf numFmtId="0" fontId="346" fillId="90" borderId="76" xfId="0" applyFont="1" applyFill="1" applyBorder="1" applyAlignment="1">
      <alignment horizontal="center" vertical="center"/>
    </xf>
    <xf numFmtId="0" fontId="0" fillId="94" borderId="26" xfId="0" applyFill="1" applyBorder="1" applyAlignment="1">
      <alignment horizontal="center" vertical="center" wrapText="1"/>
    </xf>
    <xf numFmtId="0" fontId="0" fillId="94" borderId="27" xfId="0" applyFill="1" applyBorder="1" applyAlignment="1">
      <alignment horizontal="center" vertical="center" wrapText="1"/>
    </xf>
    <xf numFmtId="0" fontId="0" fillId="94" borderId="18" xfId="0" applyFill="1" applyBorder="1" applyAlignment="1">
      <alignment horizontal="center" vertical="center" wrapText="1"/>
    </xf>
    <xf numFmtId="0" fontId="0" fillId="94" borderId="28" xfId="0" applyFill="1" applyBorder="1" applyAlignment="1">
      <alignment horizontal="center" vertical="center" wrapText="1"/>
    </xf>
    <xf numFmtId="0" fontId="0" fillId="94" borderId="22" xfId="0" applyFill="1" applyBorder="1" applyAlignment="1">
      <alignment horizontal="center" vertical="center" wrapText="1"/>
    </xf>
    <xf numFmtId="0" fontId="0" fillId="94" borderId="19" xfId="0" applyFill="1" applyBorder="1" applyAlignment="1">
      <alignment horizontal="center" vertical="center" wrapText="1"/>
    </xf>
    <xf numFmtId="0" fontId="346" fillId="29" borderId="86" xfId="0" applyFont="1" applyFill="1" applyBorder="1" applyAlignment="1">
      <alignment horizontal="center" vertical="center"/>
    </xf>
    <xf numFmtId="0" fontId="346" fillId="29" borderId="85" xfId="0" applyFont="1" applyFill="1" applyBorder="1" applyAlignment="1">
      <alignment horizontal="center" vertical="center"/>
    </xf>
    <xf numFmtId="0" fontId="346" fillId="29" borderId="76" xfId="0" applyFont="1" applyFill="1" applyBorder="1" applyAlignment="1">
      <alignment horizontal="center" vertical="center"/>
    </xf>
    <xf numFmtId="0" fontId="232" fillId="29" borderId="83" xfId="0" applyFont="1" applyFill="1" applyBorder="1" applyAlignment="1">
      <alignment horizontal="center"/>
    </xf>
    <xf numFmtId="0" fontId="347" fillId="3" borderId="0" xfId="0" applyFont="1" applyFill="1" applyAlignment="1">
      <alignment horizontal="center" vertical="center" wrapText="1"/>
    </xf>
    <xf numFmtId="0" fontId="347" fillId="3" borderId="6" xfId="0" applyFont="1" applyFill="1" applyBorder="1" applyAlignment="1">
      <alignment horizontal="center" vertical="center" wrapText="1"/>
    </xf>
    <xf numFmtId="0" fontId="0" fillId="3" borderId="22" xfId="0" applyFill="1" applyBorder="1" applyAlignment="1">
      <alignment horizontal="center"/>
    </xf>
    <xf numFmtId="0" fontId="232" fillId="39" borderId="86" xfId="0" applyFont="1" applyFill="1" applyBorder="1" applyAlignment="1">
      <alignment horizontal="center"/>
    </xf>
    <xf numFmtId="0" fontId="232" fillId="39" borderId="85" xfId="0" applyFont="1" applyFill="1" applyBorder="1" applyAlignment="1">
      <alignment horizontal="center"/>
    </xf>
    <xf numFmtId="0" fontId="232" fillId="40" borderId="86" xfId="0" applyFont="1" applyFill="1" applyBorder="1" applyAlignment="1">
      <alignment horizontal="center"/>
    </xf>
    <xf numFmtId="0" fontId="232" fillId="40" borderId="85" xfId="0" applyFont="1" applyFill="1" applyBorder="1" applyAlignment="1">
      <alignment horizontal="center"/>
    </xf>
    <xf numFmtId="0" fontId="232" fillId="90" borderId="86" xfId="0" applyFont="1" applyFill="1" applyBorder="1" applyAlignment="1">
      <alignment horizontal="center"/>
    </xf>
    <xf numFmtId="0" fontId="232" fillId="90" borderId="85" xfId="0" applyFont="1" applyFill="1" applyBorder="1" applyAlignment="1">
      <alignment horizontal="center"/>
    </xf>
    <xf numFmtId="0" fontId="232" fillId="90" borderId="76" xfId="0" applyFont="1" applyFill="1" applyBorder="1" applyAlignment="1">
      <alignment horizontal="center"/>
    </xf>
    <xf numFmtId="0" fontId="232" fillId="29" borderId="86" xfId="0" applyFont="1" applyFill="1" applyBorder="1" applyAlignment="1">
      <alignment horizontal="center"/>
    </xf>
    <xf numFmtId="0" fontId="232" fillId="29" borderId="76" xfId="0" applyFont="1" applyFill="1" applyBorder="1" applyAlignment="1">
      <alignment horizontal="center"/>
    </xf>
    <xf numFmtId="0" fontId="232" fillId="29" borderId="85" xfId="0" applyFont="1" applyFill="1" applyBorder="1" applyAlignment="1">
      <alignment horizontal="center"/>
    </xf>
    <xf numFmtId="0" fontId="262" fillId="0" borderId="8" xfId="0" applyFont="1" applyBorder="1" applyAlignment="1">
      <alignment horizontal="left" vertical="center" wrapText="1"/>
    </xf>
    <xf numFmtId="0" fontId="262" fillId="0" borderId="10" xfId="0" applyFont="1" applyBorder="1" applyAlignment="1">
      <alignment horizontal="left" vertical="center" wrapText="1"/>
    </xf>
    <xf numFmtId="0" fontId="175" fillId="0" borderId="0" xfId="0" applyFont="1" applyAlignment="1">
      <alignment horizontal="left" vertical="top" wrapText="1"/>
    </xf>
    <xf numFmtId="0" fontId="258" fillId="3" borderId="6" xfId="0" applyFont="1" applyFill="1" applyBorder="1" applyAlignment="1">
      <alignment horizontal="left" vertical="top"/>
    </xf>
    <xf numFmtId="0" fontId="258" fillId="0" borderId="0" xfId="0" applyFont="1" applyAlignment="1">
      <alignment horizontal="left" vertical="center"/>
    </xf>
    <xf numFmtId="0" fontId="258" fillId="3" borderId="0" xfId="0" applyFont="1" applyFill="1" applyAlignment="1">
      <alignment horizontal="left" vertical="top"/>
    </xf>
    <xf numFmtId="0" fontId="262" fillId="3" borderId="0" xfId="0" applyFont="1" applyFill="1" applyAlignment="1">
      <alignment horizontal="left" vertical="top" wrapText="1"/>
    </xf>
    <xf numFmtId="0" fontId="262" fillId="3" borderId="0" xfId="0" applyFont="1" applyFill="1" applyAlignment="1">
      <alignment horizontal="left" vertical="center" wrapText="1"/>
    </xf>
    <xf numFmtId="0" fontId="268" fillId="60" borderId="0" xfId="0" applyFont="1" applyFill="1" applyAlignment="1">
      <alignment horizontal="center" vertical="center" wrapText="1"/>
    </xf>
    <xf numFmtId="0" fontId="262" fillId="3" borderId="0" xfId="0" applyFont="1" applyFill="1" applyAlignment="1" applyProtection="1">
      <alignment horizontal="left" vertical="top" wrapText="1"/>
      <protection locked="0"/>
    </xf>
    <xf numFmtId="10" fontId="180" fillId="0" borderId="0" xfId="0" applyNumberFormat="1" applyFont="1" applyAlignment="1">
      <alignment horizontal="left" vertical="top" wrapText="1"/>
    </xf>
    <xf numFmtId="172" fontId="262" fillId="3" borderId="0" xfId="0" applyNumberFormat="1" applyFont="1" applyFill="1" applyAlignment="1">
      <alignment horizontal="left" vertical="top" wrapText="1"/>
    </xf>
    <xf numFmtId="0" fontId="262" fillId="0" borderId="0" xfId="0" applyFont="1" applyAlignment="1">
      <alignment horizontal="left" vertical="top" wrapText="1"/>
    </xf>
    <xf numFmtId="0" fontId="258" fillId="0" borderId="8" xfId="0" applyFont="1" applyBorder="1" applyAlignment="1">
      <alignment horizontal="center" vertical="center" wrapText="1"/>
    </xf>
    <xf numFmtId="0" fontId="258" fillId="0" borderId="9" xfId="0" applyFont="1" applyBorder="1" applyAlignment="1">
      <alignment horizontal="center" vertical="center" wrapText="1"/>
    </xf>
    <xf numFmtId="0" fontId="258" fillId="0" borderId="10" xfId="0" applyFont="1" applyBorder="1" applyAlignment="1">
      <alignment horizontal="center" vertical="center" wrapText="1"/>
    </xf>
    <xf numFmtId="10" fontId="262" fillId="3" borderId="0" xfId="0" applyNumberFormat="1" applyFont="1" applyFill="1" applyAlignment="1">
      <alignment horizontal="left" vertical="top" wrapText="1"/>
    </xf>
    <xf numFmtId="165" fontId="262" fillId="0" borderId="0" xfId="0" applyNumberFormat="1" applyFont="1" applyAlignment="1">
      <alignment horizontal="left" vertical="top" wrapText="1"/>
    </xf>
    <xf numFmtId="0" fontId="4" fillId="0" borderId="0" xfId="0" applyFont="1" applyAlignment="1">
      <alignment horizontal="left" vertical="center" wrapText="1"/>
    </xf>
    <xf numFmtId="0" fontId="273" fillId="2" borderId="140" xfId="3" applyFont="1" applyBorder="1" applyAlignment="1" applyProtection="1">
      <alignment horizontal="center" vertical="center"/>
      <protection locked="0"/>
    </xf>
    <xf numFmtId="0" fontId="273" fillId="2" borderId="139" xfId="3" applyFont="1" applyBorder="1" applyAlignment="1" applyProtection="1">
      <alignment horizontal="center" vertical="center"/>
      <protection locked="0"/>
    </xf>
    <xf numFmtId="0" fontId="258" fillId="35" borderId="8" xfId="0" applyFont="1" applyFill="1" applyBorder="1" applyAlignment="1">
      <alignment horizontal="left" vertical="center" wrapText="1"/>
    </xf>
    <xf numFmtId="0" fontId="258" fillId="35" borderId="10" xfId="0" applyFont="1" applyFill="1" applyBorder="1" applyAlignment="1">
      <alignment horizontal="left" vertical="center" wrapText="1"/>
    </xf>
    <xf numFmtId="189" fontId="262" fillId="0" borderId="8" xfId="0" applyNumberFormat="1" applyFont="1" applyBorder="1" applyAlignment="1">
      <alignment horizontal="left" vertical="center" wrapText="1"/>
    </xf>
    <xf numFmtId="189" fontId="262" fillId="0" borderId="10" xfId="0" applyNumberFormat="1" applyFont="1" applyBorder="1" applyAlignment="1">
      <alignment horizontal="left" vertical="center" wrapText="1"/>
    </xf>
    <xf numFmtId="0" fontId="4" fillId="3" borderId="0" xfId="0" applyFont="1" applyFill="1" applyAlignment="1">
      <alignment horizontal="left" vertical="center" wrapText="1"/>
    </xf>
    <xf numFmtId="0" fontId="258" fillId="3" borderId="0" xfId="0" applyFont="1" applyFill="1" applyAlignment="1">
      <alignment horizontal="left" vertical="top" wrapText="1"/>
    </xf>
    <xf numFmtId="0" fontId="257" fillId="3" borderId="0" xfId="0" applyFont="1" applyFill="1" applyAlignment="1">
      <alignment horizontal="left" vertical="top"/>
    </xf>
    <xf numFmtId="0" fontId="180" fillId="0" borderId="0" xfId="0" applyFont="1" applyAlignment="1">
      <alignment horizontal="left" vertical="top" wrapText="1"/>
    </xf>
    <xf numFmtId="0" fontId="258" fillId="3" borderId="0" xfId="0" applyFont="1" applyFill="1" applyAlignment="1">
      <alignment horizontal="left" vertical="center"/>
    </xf>
    <xf numFmtId="0" fontId="262" fillId="0" borderId="8" xfId="0" applyFont="1" applyBorder="1" applyAlignment="1">
      <alignment horizontal="left" vertical="top" wrapText="1"/>
    </xf>
    <xf numFmtId="0" fontId="262" fillId="0" borderId="10" xfId="0" applyFont="1" applyBorder="1" applyAlignment="1">
      <alignment horizontal="left" vertical="top" wrapText="1"/>
    </xf>
    <xf numFmtId="0" fontId="258" fillId="35" borderId="8" xfId="0" applyFont="1" applyFill="1" applyBorder="1" applyAlignment="1">
      <alignment horizontal="left" vertical="top" wrapText="1"/>
    </xf>
    <xf numFmtId="0" fontId="258" fillId="35" borderId="10" xfId="0" applyFont="1" applyFill="1" applyBorder="1" applyAlignment="1">
      <alignment horizontal="left" vertical="top" wrapText="1"/>
    </xf>
    <xf numFmtId="0" fontId="258" fillId="3" borderId="0" xfId="0" applyFont="1" applyFill="1" applyAlignment="1" applyProtection="1">
      <alignment horizontal="left" vertical="top" wrapText="1"/>
      <protection locked="0"/>
    </xf>
    <xf numFmtId="0" fontId="270" fillId="3" borderId="30" xfId="0" applyFont="1" applyFill="1" applyBorder="1" applyAlignment="1">
      <alignment horizontal="left" vertical="top" wrapText="1"/>
    </xf>
    <xf numFmtId="0" fontId="191" fillId="3" borderId="0" xfId="0" applyFont="1" applyFill="1" applyAlignment="1">
      <alignment horizontal="center" wrapText="1"/>
    </xf>
    <xf numFmtId="0" fontId="3" fillId="59" borderId="0" xfId="0" applyFont="1" applyFill="1" applyAlignment="1">
      <alignment horizontal="center"/>
    </xf>
    <xf numFmtId="0" fontId="266" fillId="0" borderId="0" xfId="0" applyFont="1" applyAlignment="1">
      <alignment horizontal="left" vertical="center" wrapText="1"/>
    </xf>
    <xf numFmtId="0" fontId="263" fillId="0" borderId="0" xfId="0" applyFont="1" applyAlignment="1">
      <alignment horizontal="left" vertical="center" wrapText="1"/>
    </xf>
    <xf numFmtId="0" fontId="258" fillId="3" borderId="0" xfId="0" applyFont="1" applyFill="1" applyAlignment="1">
      <alignment horizontal="left"/>
    </xf>
    <xf numFmtId="0" fontId="0" fillId="3" borderId="0" xfId="0" applyFill="1" applyAlignment="1">
      <alignment horizontal="left"/>
    </xf>
    <xf numFmtId="0" fontId="257" fillId="3" borderId="0" xfId="0" applyFont="1" applyFill="1" applyAlignment="1">
      <alignment horizontal="left" vertical="center"/>
    </xf>
    <xf numFmtId="178" fontId="258" fillId="0" borderId="0" xfId="0" applyNumberFormat="1" applyFont="1" applyAlignment="1">
      <alignment horizontal="right"/>
    </xf>
    <xf numFmtId="0" fontId="262" fillId="3" borderId="0" xfId="0" applyFont="1" applyFill="1" applyAlignment="1">
      <alignment horizontal="left" vertical="center"/>
    </xf>
    <xf numFmtId="165" fontId="262" fillId="3" borderId="0" xfId="0" applyNumberFormat="1" applyFont="1" applyFill="1" applyAlignment="1">
      <alignment horizontal="left" vertical="top" wrapText="1"/>
    </xf>
    <xf numFmtId="0" fontId="260" fillId="9" borderId="30" xfId="0" applyFont="1" applyFill="1" applyBorder="1" applyAlignment="1">
      <alignment horizontal="center" vertical="center" wrapText="1"/>
    </xf>
    <xf numFmtId="0" fontId="260" fillId="9" borderId="0" xfId="0" applyFont="1" applyFill="1" applyAlignment="1">
      <alignment horizontal="center" vertical="center" wrapText="1"/>
    </xf>
    <xf numFmtId="0" fontId="177" fillId="60" borderId="0" xfId="0" applyFont="1" applyFill="1" applyAlignment="1">
      <alignment horizontal="center" vertical="center" wrapText="1"/>
    </xf>
    <xf numFmtId="0" fontId="0" fillId="0" borderId="0" xfId="0" applyAlignment="1">
      <alignment horizontal="left" vertical="center"/>
    </xf>
    <xf numFmtId="0" fontId="354" fillId="96" borderId="27" xfId="0" applyFont="1" applyFill="1" applyBorder="1" applyAlignment="1">
      <alignment horizontal="center" vertical="center" textRotation="90" wrapText="1"/>
    </xf>
    <xf numFmtId="0" fontId="354" fillId="96" borderId="0" xfId="0" applyFont="1" applyFill="1" applyAlignment="1">
      <alignment horizontal="center" vertical="center" textRotation="90" wrapText="1"/>
    </xf>
    <xf numFmtId="0" fontId="39" fillId="0" borderId="6" xfId="0" applyFont="1" applyBorder="1" applyAlignment="1">
      <alignment horizontal="center"/>
    </xf>
    <xf numFmtId="0" fontId="355" fillId="96" borderId="75" xfId="0" applyFont="1" applyFill="1" applyBorder="1" applyAlignment="1">
      <alignment horizontal="center" vertical="center" textRotation="90" wrapText="1"/>
    </xf>
    <xf numFmtId="0" fontId="355" fillId="96" borderId="60" xfId="0" applyFont="1" applyFill="1" applyBorder="1" applyAlignment="1">
      <alignment horizontal="center" vertical="center" textRotation="90" wrapText="1"/>
    </xf>
    <xf numFmtId="0" fontId="355" fillId="96" borderId="56" xfId="0" applyFont="1" applyFill="1" applyBorder="1" applyAlignment="1">
      <alignment horizontal="center" vertical="center" textRotation="90" wrapText="1"/>
    </xf>
    <xf numFmtId="0" fontId="25" fillId="0" borderId="0" xfId="0" applyFont="1" applyAlignment="1">
      <alignment horizontal="center"/>
    </xf>
    <xf numFmtId="0" fontId="144" fillId="0" borderId="0" xfId="0" applyFont="1" applyAlignment="1">
      <alignment horizontal="left" vertical="center"/>
    </xf>
    <xf numFmtId="0" fontId="32" fillId="0" borderId="0" xfId="0" applyFont="1" applyAlignment="1">
      <alignment horizontal="center"/>
    </xf>
    <xf numFmtId="0" fontId="40" fillId="0" borderId="8" xfId="0" applyFont="1" applyBorder="1" applyAlignment="1">
      <alignment horizontal="center"/>
    </xf>
    <xf numFmtId="0" fontId="40" fillId="0" borderId="9" xfId="0" applyFont="1" applyBorder="1" applyAlignment="1">
      <alignment horizontal="center"/>
    </xf>
    <xf numFmtId="0" fontId="40" fillId="0" borderId="10" xfId="0" applyFont="1" applyBorder="1" applyAlignment="1">
      <alignment horizontal="center"/>
    </xf>
    <xf numFmtId="0" fontId="32" fillId="0" borderId="0" xfId="0" applyFont="1" applyAlignment="1">
      <alignment horizontal="center" wrapText="1"/>
    </xf>
    <xf numFmtId="0" fontId="354" fillId="81" borderId="75" xfId="0" applyFont="1" applyFill="1" applyBorder="1" applyAlignment="1">
      <alignment horizontal="center" vertical="center" textRotation="90" wrapText="1"/>
    </xf>
    <xf numFmtId="0" fontId="354" fillId="81" borderId="60" xfId="0" applyFont="1" applyFill="1" applyBorder="1" applyAlignment="1">
      <alignment horizontal="center" vertical="center" textRotation="90" wrapText="1"/>
    </xf>
    <xf numFmtId="0" fontId="402" fillId="0" borderId="22" xfId="0" applyFont="1" applyBorder="1" applyAlignment="1">
      <alignment horizontal="left"/>
    </xf>
    <xf numFmtId="0" fontId="26" fillId="0" borderId="86" xfId="0" applyFont="1" applyBorder="1" applyAlignment="1">
      <alignment horizontal="center"/>
    </xf>
    <xf numFmtId="0" fontId="26" fillId="0" borderId="85" xfId="0" applyFont="1" applyBorder="1" applyAlignment="1">
      <alignment horizontal="center"/>
    </xf>
    <xf numFmtId="0" fontId="26" fillId="0" borderId="76" xfId="0" applyFont="1" applyBorder="1" applyAlignment="1">
      <alignment horizontal="center"/>
    </xf>
    <xf numFmtId="0" fontId="0" fillId="3" borderId="0" xfId="0" applyFill="1" applyAlignment="1">
      <alignment horizontal="center"/>
    </xf>
    <xf numFmtId="171" fontId="232" fillId="62" borderId="0" xfId="0" applyNumberFormat="1" applyFont="1" applyFill="1" applyAlignment="1">
      <alignment horizontal="center"/>
    </xf>
    <xf numFmtId="171" fontId="232" fillId="102" borderId="0" xfId="0" applyNumberFormat="1" applyFont="1" applyFill="1" applyAlignment="1">
      <alignment horizontal="center"/>
    </xf>
    <xf numFmtId="171" fontId="232" fillId="3" borderId="0" xfId="0" applyNumberFormat="1" applyFont="1" applyFill="1" applyAlignment="1">
      <alignment horizontal="center"/>
    </xf>
    <xf numFmtId="0" fontId="414" fillId="31" borderId="0" xfId="0" applyFont="1" applyFill="1" applyAlignment="1">
      <alignment horizontal="left" vertical="center"/>
    </xf>
    <xf numFmtId="0" fontId="412" fillId="3" borderId="0" xfId="0" applyFont="1" applyFill="1" applyAlignment="1">
      <alignment horizontal="center" vertical="center"/>
    </xf>
    <xf numFmtId="0" fontId="410" fillId="3" borderId="0" xfId="0" applyFont="1" applyFill="1" applyAlignment="1">
      <alignment horizontal="left" vertical="center"/>
    </xf>
    <xf numFmtId="0" fontId="413" fillId="3" borderId="0" xfId="0" applyFont="1" applyFill="1" applyAlignment="1">
      <alignment horizontal="left" vertical="center"/>
    </xf>
    <xf numFmtId="0" fontId="412" fillId="103" borderId="0" xfId="0" applyFont="1" applyFill="1" applyAlignment="1">
      <alignment horizontal="center" vertical="center"/>
    </xf>
    <xf numFmtId="0" fontId="169" fillId="20" borderId="2" xfId="0" applyFont="1" applyFill="1" applyBorder="1" applyAlignment="1">
      <alignment horizontal="center" vertical="center"/>
    </xf>
    <xf numFmtId="0" fontId="391" fillId="3" borderId="0" xfId="0" applyFont="1" applyFill="1" applyAlignment="1">
      <alignment horizontal="center" vertical="center"/>
    </xf>
    <xf numFmtId="14" fontId="395" fillId="99" borderId="0" xfId="0" applyNumberFormat="1" applyFont="1" applyFill="1" applyAlignment="1">
      <alignment horizontal="center" vertical="center"/>
    </xf>
    <xf numFmtId="0" fontId="224" fillId="3" borderId="0" xfId="0" applyFont="1" applyFill="1" applyAlignment="1">
      <alignment horizontal="center" vertical="center" wrapText="1"/>
    </xf>
    <xf numFmtId="0" fontId="224" fillId="3" borderId="0" xfId="0" applyFont="1" applyFill="1" applyAlignment="1">
      <alignment horizontal="center" vertical="center"/>
    </xf>
    <xf numFmtId="0" fontId="408" fillId="103" borderId="0" xfId="0" applyFont="1" applyFill="1" applyAlignment="1">
      <alignment horizontal="center" vertical="center"/>
    </xf>
    <xf numFmtId="0" fontId="410" fillId="3" borderId="0" xfId="0" applyFont="1" applyFill="1" applyAlignment="1">
      <alignment horizontal="left" vertical="center" wrapText="1"/>
    </xf>
    <xf numFmtId="0" fontId="405" fillId="99" borderId="0" xfId="0" applyFont="1" applyFill="1" applyAlignment="1">
      <alignment horizontal="right" vertical="center"/>
    </xf>
    <xf numFmtId="0" fontId="395" fillId="99" borderId="0" xfId="0" applyFont="1" applyFill="1" applyAlignment="1">
      <alignment horizontal="center" vertical="center"/>
    </xf>
    <xf numFmtId="0" fontId="407" fillId="3" borderId="0" xfId="0" applyFont="1" applyFill="1" applyAlignment="1">
      <alignment horizontal="left" vertical="center" wrapText="1"/>
    </xf>
    <xf numFmtId="0" fontId="410" fillId="0" borderId="0" xfId="0" applyFont="1" applyAlignment="1">
      <alignment horizontal="left" vertical="center" wrapText="1"/>
    </xf>
    <xf numFmtId="0" fontId="7" fillId="76" borderId="0" xfId="0" applyFont="1" applyFill="1" applyAlignment="1">
      <alignment horizontal="center" vertical="center" wrapText="1"/>
    </xf>
    <xf numFmtId="0" fontId="408" fillId="103" borderId="296" xfId="0" applyFont="1" applyFill="1" applyBorder="1" applyAlignment="1">
      <alignment horizontal="center" vertical="center"/>
    </xf>
    <xf numFmtId="0" fontId="408" fillId="103" borderId="297" xfId="0" applyFont="1" applyFill="1" applyBorder="1" applyAlignment="1">
      <alignment horizontal="center" vertical="center"/>
    </xf>
    <xf numFmtId="0" fontId="408" fillId="103" borderId="298" xfId="0" applyFont="1" applyFill="1" applyBorder="1" applyAlignment="1">
      <alignment horizontal="center" vertical="center"/>
    </xf>
    <xf numFmtId="0" fontId="383" fillId="3" borderId="0" xfId="0" applyFont="1" applyFill="1" applyAlignment="1">
      <alignment horizontal="left" vertical="center"/>
    </xf>
    <xf numFmtId="0" fontId="409" fillId="3" borderId="0" xfId="0" applyFont="1" applyFill="1" applyAlignment="1">
      <alignment horizontal="center" vertical="center"/>
    </xf>
    <xf numFmtId="0" fontId="175" fillId="3" borderId="0" xfId="0" applyFont="1" applyFill="1" applyAlignment="1">
      <alignment horizontal="center" vertical="center" wrapText="1"/>
    </xf>
    <xf numFmtId="0" fontId="180" fillId="3" borderId="0" xfId="0" quotePrefix="1" applyFont="1" applyFill="1" applyAlignment="1">
      <alignment horizontal="left" vertical="center" wrapText="1"/>
    </xf>
    <xf numFmtId="0" fontId="180" fillId="3" borderId="22" xfId="0" quotePrefix="1" applyFont="1" applyFill="1" applyBorder="1" applyAlignment="1">
      <alignment horizontal="left" vertical="center" wrapText="1"/>
    </xf>
    <xf numFmtId="0" fontId="161" fillId="3" borderId="0" xfId="0" quotePrefix="1" applyFont="1" applyFill="1" applyAlignment="1">
      <alignment horizontal="left" vertical="top" wrapText="1"/>
    </xf>
    <xf numFmtId="0" fontId="172" fillId="3" borderId="0" xfId="0" quotePrefix="1" applyFont="1" applyFill="1" applyAlignment="1">
      <alignment horizontal="left" vertical="center" wrapText="1"/>
    </xf>
    <xf numFmtId="0" fontId="161" fillId="3" borderId="16" xfId="0" applyFont="1" applyFill="1" applyBorder="1" applyAlignment="1">
      <alignment horizontal="left" vertical="center" wrapText="1" indent="1"/>
    </xf>
    <xf numFmtId="0" fontId="161" fillId="3" borderId="0" xfId="0" applyFont="1" applyFill="1" applyAlignment="1">
      <alignment horizontal="left" vertical="center" wrapText="1" indent="1"/>
    </xf>
    <xf numFmtId="0" fontId="361" fillId="3" borderId="16" xfId="0" applyFont="1" applyFill="1" applyBorder="1" applyAlignment="1">
      <alignment horizontal="left" vertical="top" wrapText="1" indent="1"/>
    </xf>
    <xf numFmtId="0" fontId="161" fillId="3" borderId="0" xfId="0" applyFont="1" applyFill="1" applyAlignment="1">
      <alignment horizontal="left" vertical="top" wrapText="1" indent="1"/>
    </xf>
    <xf numFmtId="0" fontId="161" fillId="3" borderId="16" xfId="0" applyFont="1" applyFill="1" applyBorder="1" applyAlignment="1">
      <alignment horizontal="left" vertical="top" wrapText="1" indent="1"/>
    </xf>
    <xf numFmtId="0" fontId="13" fillId="26" borderId="241" xfId="0" applyFont="1" applyFill="1" applyBorder="1" applyAlignment="1">
      <alignment horizontal="center" vertical="center" wrapText="1"/>
    </xf>
    <xf numFmtId="0" fontId="13" fillId="26" borderId="242" xfId="0" applyFont="1" applyFill="1" applyBorder="1" applyAlignment="1">
      <alignment horizontal="center" vertical="center" wrapText="1"/>
    </xf>
    <xf numFmtId="0" fontId="302" fillId="0" borderId="58" xfId="0" applyFont="1" applyBorder="1" applyAlignment="1" applyProtection="1">
      <alignment horizontal="center" vertical="center" wrapText="1"/>
      <protection locked="0"/>
    </xf>
    <xf numFmtId="0" fontId="302" fillId="0" borderId="244" xfId="0" applyFont="1" applyBorder="1" applyAlignment="1" applyProtection="1">
      <alignment horizontal="center" vertical="center" wrapText="1"/>
      <protection locked="0"/>
    </xf>
    <xf numFmtId="171" fontId="310" fillId="0" borderId="29" xfId="0" applyNumberFormat="1" applyFont="1" applyBorder="1" applyAlignment="1">
      <alignment horizontal="center" wrapText="1"/>
    </xf>
    <xf numFmtId="171" fontId="310" fillId="0" borderId="30" xfId="0" applyNumberFormat="1" applyFont="1" applyBorder="1" applyAlignment="1">
      <alignment horizontal="center" wrapText="1"/>
    </xf>
    <xf numFmtId="171" fontId="310" fillId="0" borderId="31" xfId="0" applyNumberFormat="1" applyFont="1" applyBorder="1" applyAlignment="1">
      <alignment horizontal="center" wrapText="1"/>
    </xf>
    <xf numFmtId="171" fontId="310" fillId="0" borderId="3" xfId="0" applyNumberFormat="1" applyFont="1" applyBorder="1" applyAlignment="1">
      <alignment horizontal="center" wrapText="1"/>
    </xf>
    <xf numFmtId="171" fontId="310" fillId="0" borderId="0" xfId="0" applyNumberFormat="1" applyFont="1" applyAlignment="1">
      <alignment horizontal="center" wrapText="1"/>
    </xf>
    <xf numFmtId="171" fontId="310" fillId="0" borderId="4" xfId="0" applyNumberFormat="1" applyFont="1" applyBorder="1" applyAlignment="1">
      <alignment horizontal="center" wrapText="1"/>
    </xf>
    <xf numFmtId="171" fontId="310" fillId="0" borderId="5" xfId="0" applyNumberFormat="1" applyFont="1" applyBorder="1" applyAlignment="1">
      <alignment horizontal="center" wrapText="1"/>
    </xf>
    <xf numFmtId="171" fontId="310" fillId="0" borderId="6" xfId="0" applyNumberFormat="1" applyFont="1" applyBorder="1" applyAlignment="1">
      <alignment horizontal="center" wrapText="1"/>
    </xf>
    <xf numFmtId="171" fontId="310" fillId="0" borderId="7" xfId="0" applyNumberFormat="1" applyFont="1" applyBorder="1" applyAlignment="1">
      <alignment horizontal="center" wrapText="1"/>
    </xf>
    <xf numFmtId="0" fontId="13" fillId="24" borderId="8" xfId="0" applyFont="1" applyFill="1" applyBorder="1" applyAlignment="1">
      <alignment horizontal="center"/>
    </xf>
    <xf numFmtId="0" fontId="13" fillId="24" borderId="9" xfId="0" applyFont="1" applyFill="1" applyBorder="1" applyAlignment="1">
      <alignment horizontal="center"/>
    </xf>
    <xf numFmtId="0" fontId="101" fillId="23" borderId="0" xfId="0" applyFont="1" applyFill="1" applyAlignment="1">
      <alignment horizontal="center"/>
    </xf>
    <xf numFmtId="0" fontId="40" fillId="23" borderId="8" xfId="0" applyFont="1" applyFill="1" applyBorder="1" applyAlignment="1">
      <alignment horizontal="center" vertical="center"/>
    </xf>
    <xf numFmtId="0" fontId="40" fillId="23" borderId="9" xfId="0" applyFont="1" applyFill="1" applyBorder="1" applyAlignment="1">
      <alignment horizontal="center" vertical="center"/>
    </xf>
    <xf numFmtId="0" fontId="40" fillId="23" borderId="10" xfId="0" applyFont="1" applyFill="1" applyBorder="1" applyAlignment="1">
      <alignment horizontal="center" vertical="center"/>
    </xf>
    <xf numFmtId="0" fontId="102" fillId="0" borderId="0" xfId="0" applyFont="1" applyAlignment="1">
      <alignment horizontal="left" vertical="center" wrapText="1"/>
    </xf>
    <xf numFmtId="0" fontId="102" fillId="0" borderId="21" xfId="0" applyFont="1" applyBorder="1" applyAlignment="1">
      <alignment horizontal="left" vertical="center"/>
    </xf>
    <xf numFmtId="0" fontId="102" fillId="0" borderId="0" xfId="0" applyFont="1" applyAlignment="1">
      <alignment horizontal="left" vertical="center"/>
    </xf>
    <xf numFmtId="0" fontId="104" fillId="0" borderId="21" xfId="0" applyFont="1" applyBorder="1" applyAlignment="1">
      <alignment horizontal="left" vertical="center"/>
    </xf>
    <xf numFmtId="0" fontId="104" fillId="0" borderId="0" xfId="0" applyFont="1" applyAlignment="1">
      <alignment horizontal="left" vertical="center"/>
    </xf>
    <xf numFmtId="0" fontId="54" fillId="0" borderId="0" xfId="0" applyFont="1" applyAlignment="1">
      <alignment horizontal="center"/>
    </xf>
    <xf numFmtId="0" fontId="287" fillId="25" borderId="0" xfId="0" applyFont="1" applyFill="1" applyAlignment="1">
      <alignment horizontal="left" vertical="center" wrapText="1"/>
    </xf>
    <xf numFmtId="0" fontId="276" fillId="25" borderId="0" xfId="0" applyFont="1" applyFill="1" applyAlignment="1">
      <alignment horizontal="left" vertical="center" wrapText="1"/>
    </xf>
    <xf numFmtId="0" fontId="287" fillId="0" borderId="0" xfId="0" applyFont="1" applyAlignment="1">
      <alignment horizontal="left" vertical="center" wrapText="1"/>
    </xf>
    <xf numFmtId="0" fontId="276" fillId="0" borderId="0" xfId="0" applyFont="1" applyAlignment="1">
      <alignment horizontal="left" vertical="center" wrapText="1"/>
    </xf>
    <xf numFmtId="0" fontId="284" fillId="0" borderId="0" xfId="0" applyFont="1" applyAlignment="1">
      <alignment horizontal="left" vertical="top" wrapText="1"/>
    </xf>
    <xf numFmtId="0" fontId="287" fillId="0" borderId="0" xfId="0" applyFont="1" applyAlignment="1">
      <alignment horizontal="left" vertical="top" wrapText="1"/>
    </xf>
    <xf numFmtId="0" fontId="276" fillId="0" borderId="0" xfId="0" applyFont="1" applyAlignment="1">
      <alignment horizontal="left" vertical="top" wrapText="1"/>
    </xf>
    <xf numFmtId="0" fontId="286" fillId="25" borderId="0" xfId="0" applyFont="1" applyFill="1" applyAlignment="1">
      <alignment horizontal="left" vertical="center" wrapText="1"/>
    </xf>
    <xf numFmtId="0" fontId="282" fillId="25" borderId="0" xfId="0" applyFont="1" applyFill="1" applyAlignment="1">
      <alignment horizontal="left" vertical="center" wrapText="1"/>
    </xf>
    <xf numFmtId="0" fontId="282" fillId="0" borderId="0" xfId="0" applyFont="1" applyAlignment="1">
      <alignment horizontal="left" vertical="top" wrapText="1"/>
    </xf>
    <xf numFmtId="0" fontId="279" fillId="0" borderId="0" xfId="0" applyFont="1" applyAlignment="1">
      <alignment horizontal="left" vertical="center" wrapText="1"/>
    </xf>
    <xf numFmtId="0" fontId="276" fillId="0" borderId="0" xfId="0" applyFont="1" applyAlignment="1">
      <alignment horizontal="left" vertical="center"/>
    </xf>
    <xf numFmtId="0" fontId="279" fillId="0" borderId="0" xfId="0" applyFont="1" applyAlignment="1">
      <alignment horizontal="left" vertical="top" wrapText="1"/>
    </xf>
    <xf numFmtId="0" fontId="281" fillId="25" borderId="0" xfId="0" applyFont="1" applyFill="1" applyAlignment="1">
      <alignment horizontal="left" vertical="top" wrapText="1"/>
    </xf>
    <xf numFmtId="0" fontId="0" fillId="0" borderId="0" xfId="0" applyAlignment="1">
      <alignment horizontal="left" vertical="top"/>
    </xf>
    <xf numFmtId="0" fontId="276" fillId="25" borderId="0" xfId="0" applyFont="1" applyFill="1" applyAlignment="1">
      <alignment horizontal="left" vertical="top" wrapText="1"/>
    </xf>
    <xf numFmtId="0" fontId="291" fillId="0" borderId="0" xfId="0" applyFont="1" applyAlignment="1">
      <alignment horizontal="left" vertical="top" wrapText="1"/>
    </xf>
    <xf numFmtId="0" fontId="287" fillId="20" borderId="0" xfId="0" applyFont="1" applyFill="1" applyAlignment="1">
      <alignment horizontal="left" vertical="top" wrapText="1"/>
    </xf>
    <xf numFmtId="0" fontId="276" fillId="25" borderId="0" xfId="0" applyFont="1" applyFill="1" applyAlignment="1">
      <alignment horizontal="center" vertical="top" wrapText="1"/>
    </xf>
    <xf numFmtId="0" fontId="282" fillId="0" borderId="0" xfId="0" applyFont="1" applyAlignment="1">
      <alignment horizontal="left" vertical="center" wrapText="1"/>
    </xf>
    <xf numFmtId="0" fontId="276" fillId="20" borderId="0" xfId="0" applyFont="1" applyFill="1" applyAlignment="1">
      <alignment horizontal="left" vertical="top" wrapText="1"/>
    </xf>
    <xf numFmtId="0" fontId="276" fillId="20" borderId="0" xfId="0" applyFont="1" applyFill="1" applyAlignment="1">
      <alignment horizontal="left" vertical="center" wrapText="1"/>
    </xf>
    <xf numFmtId="0" fontId="26" fillId="0" borderId="0" xfId="0" applyFont="1" applyAlignment="1">
      <alignment horizontal="right" vertical="top" wrapText="1"/>
    </xf>
    <xf numFmtId="0" fontId="127" fillId="0" borderId="0" xfId="0" applyFont="1" applyAlignment="1">
      <alignment horizontal="center" vertical="center"/>
    </xf>
    <xf numFmtId="0" fontId="40" fillId="20" borderId="0" xfId="0" applyFont="1" applyFill="1" applyAlignment="1">
      <alignment horizontal="center"/>
    </xf>
    <xf numFmtId="0" fontId="39" fillId="0" borderId="29" xfId="0" applyFont="1" applyBorder="1" applyAlignment="1">
      <alignment horizontal="left" vertical="top" wrapText="1"/>
    </xf>
    <xf numFmtId="0" fontId="39" fillId="0" borderId="30" xfId="0" applyFont="1" applyBorder="1" applyAlignment="1">
      <alignment horizontal="left" vertical="top" wrapText="1"/>
    </xf>
    <xf numFmtId="0" fontId="39" fillId="0" borderId="31" xfId="0" applyFont="1" applyBorder="1" applyAlignment="1">
      <alignment horizontal="left" vertical="top" wrapText="1"/>
    </xf>
    <xf numFmtId="0" fontId="39" fillId="0" borderId="5" xfId="0" applyFont="1" applyBorder="1" applyAlignment="1">
      <alignment horizontal="left" vertical="top" wrapText="1"/>
    </xf>
    <xf numFmtId="0" fontId="39" fillId="0" borderId="6" xfId="0" applyFont="1" applyBorder="1" applyAlignment="1">
      <alignment horizontal="left" vertical="top" wrapText="1"/>
    </xf>
    <xf numFmtId="0" fontId="39" fillId="0" borderId="7" xfId="0" applyFont="1" applyBorder="1" applyAlignment="1">
      <alignment horizontal="left" vertical="top" wrapText="1"/>
    </xf>
    <xf numFmtId="0" fontId="123" fillId="0" borderId="0" xfId="0" applyFont="1" applyAlignment="1">
      <alignment horizontal="left" vertical="center" wrapText="1"/>
    </xf>
    <xf numFmtId="0" fontId="75" fillId="0" borderId="8" xfId="0" applyFont="1" applyBorder="1" applyAlignment="1">
      <alignment horizontal="center" vertical="center"/>
    </xf>
    <xf numFmtId="0" fontId="75" fillId="0" borderId="10" xfId="0" applyFont="1" applyBorder="1" applyAlignment="1">
      <alignment horizontal="center" vertical="center"/>
    </xf>
    <xf numFmtId="165" fontId="46" fillId="0" borderId="8" xfId="0" applyNumberFormat="1" applyFont="1" applyBorder="1" applyAlignment="1" applyProtection="1">
      <alignment horizontal="left"/>
      <protection locked="0"/>
    </xf>
    <xf numFmtId="165" fontId="46" fillId="0" borderId="44" xfId="0" applyNumberFormat="1" applyFont="1" applyBorder="1" applyAlignment="1" applyProtection="1">
      <alignment horizontal="left"/>
      <protection locked="0"/>
    </xf>
    <xf numFmtId="165" fontId="47" fillId="0" borderId="8" xfId="0" applyNumberFormat="1" applyFont="1" applyBorder="1" applyAlignment="1" applyProtection="1">
      <alignment horizontal="left"/>
      <protection locked="0"/>
    </xf>
    <xf numFmtId="165" fontId="47" fillId="0" borderId="44" xfId="0" applyNumberFormat="1" applyFont="1" applyBorder="1" applyAlignment="1" applyProtection="1">
      <alignment horizontal="left"/>
      <protection locked="0"/>
    </xf>
    <xf numFmtId="0" fontId="47" fillId="0" borderId="8" xfId="0" applyFont="1" applyBorder="1" applyAlignment="1" applyProtection="1">
      <alignment horizontal="left"/>
      <protection locked="0"/>
    </xf>
    <xf numFmtId="0" fontId="47" fillId="0" borderId="44" xfId="0" applyFont="1" applyBorder="1" applyAlignment="1" applyProtection="1">
      <alignment horizontal="left"/>
      <protection locked="0"/>
    </xf>
    <xf numFmtId="0" fontId="46" fillId="0" borderId="45" xfId="0" applyFont="1" applyBorder="1" applyAlignment="1" applyProtection="1">
      <alignment horizontal="left" vertical="center" wrapText="1"/>
      <protection locked="0"/>
    </xf>
    <xf numFmtId="0" fontId="46" fillId="0" borderId="9" xfId="0" applyFont="1" applyBorder="1" applyAlignment="1" applyProtection="1">
      <alignment horizontal="left" vertical="center" wrapText="1"/>
      <protection locked="0"/>
    </xf>
    <xf numFmtId="0" fontId="46" fillId="0" borderId="44" xfId="0" applyFont="1" applyBorder="1" applyAlignment="1" applyProtection="1">
      <alignment horizontal="left" vertical="center" wrapText="1"/>
      <protection locked="0"/>
    </xf>
    <xf numFmtId="178" fontId="91" fillId="0" borderId="8" xfId="0" applyNumberFormat="1" applyFont="1" applyBorder="1" applyAlignment="1" applyProtection="1">
      <alignment horizontal="left"/>
      <protection locked="0"/>
    </xf>
    <xf numFmtId="178" fontId="91" fillId="0" borderId="44" xfId="0" applyNumberFormat="1" applyFont="1" applyBorder="1" applyAlignment="1" applyProtection="1">
      <alignment horizontal="left"/>
      <protection locked="0"/>
    </xf>
    <xf numFmtId="9" fontId="46" fillId="27" borderId="8" xfId="2" applyFont="1" applyFill="1" applyBorder="1" applyAlignment="1" applyProtection="1">
      <alignment horizontal="center"/>
    </xf>
    <xf numFmtId="9" fontId="46" fillId="27" borderId="44" xfId="2" applyFont="1" applyFill="1" applyBorder="1" applyAlignment="1" applyProtection="1">
      <alignment horizontal="center"/>
    </xf>
    <xf numFmtId="10" fontId="47" fillId="0" borderId="8" xfId="0" applyNumberFormat="1" applyFont="1" applyBorder="1" applyAlignment="1" applyProtection="1">
      <alignment horizontal="left"/>
      <protection locked="0"/>
    </xf>
    <xf numFmtId="10" fontId="47" fillId="0" borderId="44" xfId="0" applyNumberFormat="1" applyFont="1" applyBorder="1" applyAlignment="1" applyProtection="1">
      <alignment horizontal="left"/>
      <protection locked="0"/>
    </xf>
    <xf numFmtId="15" fontId="47" fillId="0" borderId="8" xfId="1" applyNumberFormat="1" applyFont="1" applyFill="1" applyBorder="1" applyAlignment="1" applyProtection="1">
      <alignment horizontal="left"/>
      <protection locked="0"/>
    </xf>
    <xf numFmtId="15" fontId="47" fillId="0" borderId="44" xfId="1" applyNumberFormat="1" applyFont="1" applyFill="1" applyBorder="1" applyAlignment="1" applyProtection="1">
      <alignment horizontal="left"/>
      <protection locked="0"/>
    </xf>
    <xf numFmtId="178" fontId="47" fillId="27" borderId="8" xfId="0" applyNumberFormat="1" applyFont="1" applyFill="1" applyBorder="1" applyAlignment="1" applyProtection="1">
      <alignment horizontal="left"/>
      <protection locked="0"/>
    </xf>
    <xf numFmtId="178" fontId="47" fillId="27" borderId="44" xfId="0" applyNumberFormat="1" applyFont="1" applyFill="1" applyBorder="1" applyAlignment="1" applyProtection="1">
      <alignment horizontal="left"/>
      <protection locked="0"/>
    </xf>
    <xf numFmtId="0" fontId="47" fillId="0" borderId="42" xfId="0" applyFont="1" applyBorder="1" applyAlignment="1" applyProtection="1">
      <alignment horizontal="left"/>
      <protection locked="0"/>
    </xf>
    <xf numFmtId="0" fontId="47" fillId="0" borderId="41" xfId="0" applyFont="1" applyBorder="1" applyAlignment="1" applyProtection="1">
      <alignment horizontal="left"/>
      <protection locked="0"/>
    </xf>
    <xf numFmtId="177" fontId="47" fillId="27" borderId="8" xfId="0" applyNumberFormat="1" applyFont="1" applyFill="1" applyBorder="1" applyAlignment="1" applyProtection="1">
      <alignment horizontal="left"/>
      <protection locked="0"/>
    </xf>
    <xf numFmtId="177" fontId="47" fillId="27" borderId="44" xfId="0" applyNumberFormat="1" applyFont="1" applyFill="1" applyBorder="1" applyAlignment="1" applyProtection="1">
      <alignment horizontal="left"/>
      <protection locked="0"/>
    </xf>
    <xf numFmtId="0" fontId="92" fillId="24" borderId="45" xfId="0" applyFont="1" applyFill="1" applyBorder="1" applyAlignment="1" applyProtection="1">
      <alignment horizontal="center" wrapText="1"/>
      <protection locked="0"/>
    </xf>
    <xf numFmtId="0" fontId="92" fillId="24" borderId="9" xfId="0" applyFont="1" applyFill="1" applyBorder="1" applyAlignment="1" applyProtection="1">
      <alignment horizontal="center" wrapText="1"/>
      <protection locked="0"/>
    </xf>
    <xf numFmtId="0" fontId="92" fillId="24" borderId="44" xfId="0" applyFont="1" applyFill="1" applyBorder="1" applyAlignment="1" applyProtection="1">
      <alignment horizontal="center" wrapText="1"/>
      <protection locked="0"/>
    </xf>
    <xf numFmtId="0" fontId="89" fillId="0" borderId="0" xfId="0" applyFont="1" applyAlignment="1">
      <alignment horizontal="center"/>
    </xf>
    <xf numFmtId="0" fontId="89" fillId="0" borderId="17" xfId="0" applyFont="1" applyBorder="1" applyAlignment="1">
      <alignment horizontal="center"/>
    </xf>
    <xf numFmtId="0" fontId="47" fillId="0" borderId="48" xfId="0" applyFont="1" applyBorder="1" applyAlignment="1" applyProtection="1">
      <alignment horizontal="left" vertical="center" wrapText="1"/>
      <protection locked="0"/>
    </xf>
    <xf numFmtId="0" fontId="47" fillId="0" borderId="49" xfId="0" applyFont="1" applyBorder="1" applyAlignment="1" applyProtection="1">
      <alignment horizontal="left" vertical="center" wrapText="1"/>
      <protection locked="0"/>
    </xf>
    <xf numFmtId="0" fontId="85" fillId="0" borderId="26" xfId="0" applyFont="1" applyBorder="1" applyAlignment="1">
      <alignment horizontal="center" vertical="center" wrapText="1"/>
    </xf>
    <xf numFmtId="0" fontId="85" fillId="0" borderId="16" xfId="0" applyFont="1" applyBorder="1" applyAlignment="1">
      <alignment horizontal="center" vertical="center" wrapText="1"/>
    </xf>
    <xf numFmtId="0" fontId="85" fillId="0" borderId="51" xfId="0" applyFont="1" applyBorder="1" applyAlignment="1">
      <alignment horizontal="center" vertical="center" wrapText="1"/>
    </xf>
    <xf numFmtId="0" fontId="86" fillId="0" borderId="27" xfId="0" applyFont="1" applyBorder="1" applyAlignment="1">
      <alignment horizontal="center"/>
    </xf>
    <xf numFmtId="0" fontId="86" fillId="0" borderId="18" xfId="0" applyFont="1" applyBorder="1" applyAlignment="1">
      <alignment horizontal="center"/>
    </xf>
    <xf numFmtId="0" fontId="91" fillId="0" borderId="8" xfId="7" quotePrefix="1" applyFont="1" applyFill="1" applyBorder="1" applyAlignment="1">
      <alignment horizontal="left" vertical="center"/>
    </xf>
    <xf numFmtId="0" fontId="91" fillId="0" borderId="44" xfId="7" quotePrefix="1" applyFont="1" applyFill="1" applyBorder="1" applyAlignment="1">
      <alignment horizontal="left" vertical="center"/>
    </xf>
    <xf numFmtId="49" fontId="91" fillId="0" borderId="8" xfId="7" quotePrefix="1" applyNumberFormat="1" applyFont="1" applyFill="1" applyBorder="1" applyAlignment="1">
      <alignment horizontal="left" vertical="center"/>
    </xf>
    <xf numFmtId="49" fontId="91" fillId="0" borderId="44" xfId="7" quotePrefix="1" applyNumberFormat="1" applyFont="1" applyFill="1" applyBorder="1" applyAlignment="1">
      <alignment horizontal="left" vertical="center"/>
    </xf>
    <xf numFmtId="0" fontId="87" fillId="0" borderId="0" xfId="0" applyFont="1" applyAlignment="1">
      <alignment horizontal="center"/>
    </xf>
    <xf numFmtId="0" fontId="87" fillId="0" borderId="17" xfId="0" applyFont="1" applyBorder="1" applyAlignment="1">
      <alignment horizontal="center"/>
    </xf>
    <xf numFmtId="2" fontId="55" fillId="0" borderId="8" xfId="7" quotePrefix="1" applyNumberFormat="1" applyFont="1" applyFill="1" applyBorder="1" applyAlignment="1">
      <alignment horizontal="left" vertical="center"/>
    </xf>
    <xf numFmtId="2" fontId="91" fillId="0" borderId="44" xfId="7" quotePrefix="1" applyNumberFormat="1" applyFont="1" applyFill="1" applyBorder="1" applyAlignment="1">
      <alignment horizontal="left" vertical="center"/>
    </xf>
    <xf numFmtId="0" fontId="47" fillId="0" borderId="8" xfId="0" applyFont="1" applyBorder="1" applyAlignment="1" applyProtection="1">
      <alignment horizontal="left" wrapText="1"/>
      <protection locked="0"/>
    </xf>
    <xf numFmtId="0" fontId="47" fillId="0" borderId="44" xfId="0" applyFont="1" applyBorder="1" applyAlignment="1" applyProtection="1">
      <alignment horizontal="left" wrapText="1"/>
      <protection locked="0"/>
    </xf>
    <xf numFmtId="0" fontId="32" fillId="0" borderId="6" xfId="0" applyFont="1" applyBorder="1" applyAlignment="1" applyProtection="1">
      <alignment horizontal="center"/>
      <protection locked="0"/>
    </xf>
    <xf numFmtId="0" fontId="32" fillId="0" borderId="50" xfId="0" applyFont="1" applyBorder="1" applyAlignment="1" applyProtection="1">
      <alignment horizontal="center"/>
      <protection locked="0"/>
    </xf>
    <xf numFmtId="0" fontId="55" fillId="0" borderId="8" xfId="7" quotePrefix="1" applyFont="1" applyFill="1" applyBorder="1" applyAlignment="1">
      <alignment horizontal="left" vertical="center"/>
    </xf>
    <xf numFmtId="0" fontId="55" fillId="0" borderId="44" xfId="7" quotePrefix="1" applyFont="1" applyFill="1" applyBorder="1" applyAlignment="1">
      <alignment horizontal="left" vertical="center"/>
    </xf>
    <xf numFmtId="164" fontId="47" fillId="0" borderId="8" xfId="1" applyNumberFormat="1" applyFont="1" applyFill="1" applyBorder="1" applyAlignment="1" applyProtection="1">
      <alignment horizontal="left"/>
      <protection locked="0"/>
    </xf>
    <xf numFmtId="164" fontId="47" fillId="0" borderId="44" xfId="1" applyNumberFormat="1" applyFont="1" applyFill="1" applyBorder="1" applyAlignment="1" applyProtection="1">
      <alignment horizontal="left"/>
      <protection locked="0"/>
    </xf>
    <xf numFmtId="1" fontId="47" fillId="0" borderId="8" xfId="0" applyNumberFormat="1" applyFont="1" applyBorder="1" applyAlignment="1" applyProtection="1">
      <alignment horizontal="left"/>
      <protection locked="0"/>
    </xf>
    <xf numFmtId="165" fontId="47" fillId="27" borderId="8" xfId="0" applyNumberFormat="1" applyFont="1" applyFill="1" applyBorder="1" applyAlignment="1" applyProtection="1">
      <alignment horizontal="left"/>
      <protection locked="0"/>
    </xf>
    <xf numFmtId="165" fontId="47" fillId="27" borderId="44" xfId="0" applyNumberFormat="1" applyFont="1" applyFill="1" applyBorder="1" applyAlignment="1" applyProtection="1">
      <alignment horizontal="left"/>
      <protection locked="0"/>
    </xf>
    <xf numFmtId="178" fontId="47" fillId="0" borderId="8" xfId="0" applyNumberFormat="1" applyFont="1" applyBorder="1" applyAlignment="1" applyProtection="1">
      <alignment horizontal="left"/>
      <protection locked="0"/>
    </xf>
    <xf numFmtId="178" fontId="47" fillId="0" borderId="44" xfId="0" applyNumberFormat="1" applyFont="1" applyBorder="1" applyAlignment="1" applyProtection="1">
      <alignment horizontal="left"/>
      <protection locked="0"/>
    </xf>
    <xf numFmtId="0" fontId="31" fillId="11" borderId="3" xfId="0" applyFont="1" applyFill="1" applyBorder="1" applyAlignment="1">
      <alignment horizontal="center" vertical="center" wrapText="1"/>
    </xf>
    <xf numFmtId="0" fontId="31" fillId="11" borderId="0" xfId="0" applyFont="1" applyFill="1" applyAlignment="1">
      <alignment horizontal="center" vertical="center" wrapText="1"/>
    </xf>
    <xf numFmtId="0" fontId="26" fillId="0" borderId="6" xfId="0" applyFont="1" applyBorder="1" applyAlignment="1">
      <alignment horizontal="center"/>
    </xf>
    <xf numFmtId="0" fontId="76" fillId="36" borderId="3" xfId="0" applyFont="1" applyFill="1" applyBorder="1" applyAlignment="1">
      <alignment horizontal="center" vertical="center"/>
    </xf>
    <xf numFmtId="0" fontId="76" fillId="36" borderId="0" xfId="0" applyFont="1" applyFill="1" applyAlignment="1">
      <alignment horizontal="center" vertical="center"/>
    </xf>
    <xf numFmtId="0" fontId="26" fillId="3" borderId="6" xfId="0" applyFont="1" applyFill="1" applyBorder="1" applyAlignment="1">
      <alignment horizontal="center"/>
    </xf>
    <xf numFmtId="0" fontId="36" fillId="12" borderId="8" xfId="0" applyFont="1" applyFill="1" applyBorder="1" applyAlignment="1">
      <alignment horizontal="left" vertical="center"/>
    </xf>
    <xf numFmtId="0" fontId="36" fillId="12" borderId="10" xfId="0" applyFont="1" applyFill="1" applyBorder="1" applyAlignment="1">
      <alignment horizontal="left" vertical="center"/>
    </xf>
    <xf numFmtId="0" fontId="36" fillId="12" borderId="74" xfId="0" applyFont="1" applyFill="1" applyBorder="1" applyAlignment="1">
      <alignment horizontal="left" vertical="center"/>
    </xf>
    <xf numFmtId="0" fontId="36" fillId="12" borderId="59" xfId="0" applyFont="1" applyFill="1" applyBorder="1" applyAlignment="1">
      <alignment horizontal="left" vertical="center"/>
    </xf>
    <xf numFmtId="0" fontId="36" fillId="12" borderId="58" xfId="0" applyFont="1" applyFill="1" applyBorder="1" applyAlignment="1">
      <alignment horizontal="left" wrapText="1"/>
    </xf>
    <xf numFmtId="0" fontId="36" fillId="12" borderId="57" xfId="0" applyFont="1" applyFill="1" applyBorder="1" applyAlignment="1">
      <alignment horizontal="left" wrapText="1"/>
    </xf>
    <xf numFmtId="0" fontId="36" fillId="12" borderId="77" xfId="0" applyFont="1" applyFill="1" applyBorder="1" applyAlignment="1">
      <alignment horizontal="left" vertical="center"/>
    </xf>
    <xf numFmtId="0" fontId="36" fillId="12" borderId="55" xfId="0" applyFont="1" applyFill="1" applyBorder="1" applyAlignment="1">
      <alignment horizontal="left" vertical="center"/>
    </xf>
    <xf numFmtId="0" fontId="25" fillId="0" borderId="75" xfId="0" applyFont="1" applyBorder="1" applyAlignment="1">
      <alignment horizontal="center" vertical="center"/>
    </xf>
    <xf numFmtId="0" fontId="25" fillId="0" borderId="60" xfId="0" applyFont="1" applyBorder="1" applyAlignment="1">
      <alignment horizontal="center" vertical="center"/>
    </xf>
    <xf numFmtId="0" fontId="25" fillId="0" borderId="56" xfId="0" applyFont="1" applyBorder="1" applyAlignment="1">
      <alignment horizontal="center" vertical="center"/>
    </xf>
    <xf numFmtId="0" fontId="57" fillId="12" borderId="47" xfId="0" applyFont="1" applyFill="1" applyBorder="1" applyAlignment="1">
      <alignment horizontal="center" vertical="center"/>
    </xf>
    <xf numFmtId="0" fontId="57" fillId="12" borderId="16" xfId="0" applyFont="1" applyFill="1" applyBorder="1" applyAlignment="1">
      <alignment horizontal="center" vertical="center"/>
    </xf>
    <xf numFmtId="0" fontId="57" fillId="12" borderId="51" xfId="0" applyFont="1" applyFill="1" applyBorder="1" applyAlignment="1">
      <alignment horizontal="center" vertical="center"/>
    </xf>
    <xf numFmtId="0" fontId="36" fillId="12" borderId="78" xfId="0" applyFont="1" applyFill="1" applyBorder="1" applyAlignment="1">
      <alignment horizontal="left" vertical="center"/>
    </xf>
    <xf numFmtId="0" fontId="36" fillId="12" borderId="68" xfId="0" applyFont="1" applyFill="1" applyBorder="1" applyAlignment="1">
      <alignment horizontal="left" vertical="center"/>
    </xf>
    <xf numFmtId="0" fontId="36" fillId="12" borderId="84" xfId="0" applyFont="1" applyFill="1" applyBorder="1" applyAlignment="1">
      <alignment horizontal="left" vertical="center"/>
    </xf>
    <xf numFmtId="0" fontId="36" fillId="12" borderId="31" xfId="0" applyFont="1" applyFill="1" applyBorder="1" applyAlignment="1">
      <alignment horizontal="left" vertical="center"/>
    </xf>
    <xf numFmtId="0" fontId="36" fillId="12" borderId="58" xfId="0" applyFont="1" applyFill="1" applyBorder="1" applyAlignment="1">
      <alignment horizontal="left" vertical="center"/>
    </xf>
    <xf numFmtId="0" fontId="36" fillId="12" borderId="57" xfId="0" applyFont="1" applyFill="1" applyBorder="1" applyAlignment="1">
      <alignment horizontal="left" vertical="center"/>
    </xf>
    <xf numFmtId="0" fontId="36" fillId="12" borderId="54" xfId="0" applyFont="1" applyFill="1" applyBorder="1" applyAlignment="1">
      <alignment horizontal="left" vertical="center"/>
    </xf>
    <xf numFmtId="0" fontId="36" fillId="12" borderId="53" xfId="0" applyFont="1" applyFill="1" applyBorder="1" applyAlignment="1">
      <alignment horizontal="left" vertical="center"/>
    </xf>
    <xf numFmtId="0" fontId="36" fillId="12" borderId="73" xfId="0" applyFont="1" applyFill="1" applyBorder="1" applyAlignment="1">
      <alignment horizontal="left" vertical="center"/>
    </xf>
    <xf numFmtId="0" fontId="36" fillId="12" borderId="72" xfId="0" applyFont="1" applyFill="1" applyBorder="1" applyAlignment="1">
      <alignment horizontal="left" vertical="center"/>
    </xf>
    <xf numFmtId="0" fontId="36" fillId="12" borderId="64" xfId="0" applyFont="1" applyFill="1" applyBorder="1" applyAlignment="1">
      <alignment horizontal="left" vertical="center"/>
    </xf>
    <xf numFmtId="0" fontId="57" fillId="12" borderId="68" xfId="0" applyFont="1" applyFill="1" applyBorder="1" applyAlignment="1">
      <alignment horizontal="center" vertical="center"/>
    </xf>
    <xf numFmtId="0" fontId="57" fillId="12" borderId="59" xfId="0" applyFont="1" applyFill="1" applyBorder="1" applyAlignment="1">
      <alignment horizontal="center" vertical="center"/>
    </xf>
    <xf numFmtId="0" fontId="57" fillId="12" borderId="55" xfId="0" applyFont="1" applyFill="1" applyBorder="1" applyAlignment="1">
      <alignment horizontal="center" vertical="center"/>
    </xf>
    <xf numFmtId="0" fontId="36" fillId="12" borderId="66" xfId="0" applyFont="1" applyFill="1" applyBorder="1" applyAlignment="1">
      <alignment horizontal="left" vertical="center"/>
    </xf>
    <xf numFmtId="0" fontId="36" fillId="12" borderId="69" xfId="0" applyFont="1" applyFill="1" applyBorder="1" applyAlignment="1">
      <alignment horizontal="left" vertical="center"/>
    </xf>
    <xf numFmtId="0" fontId="26" fillId="20" borderId="18" xfId="0" quotePrefix="1" applyFont="1" applyFill="1" applyBorder="1" applyAlignment="1">
      <alignment horizontal="center" vertical="center" wrapText="1"/>
    </xf>
    <xf numFmtId="0" fontId="26" fillId="20" borderId="19" xfId="0" quotePrefix="1" applyFont="1" applyFill="1" applyBorder="1" applyAlignment="1">
      <alignment horizontal="center" vertical="center" wrapText="1"/>
    </xf>
    <xf numFmtId="0" fontId="26" fillId="12" borderId="74" xfId="0" applyFont="1" applyFill="1" applyBorder="1" applyAlignment="1">
      <alignment horizontal="left"/>
    </xf>
    <xf numFmtId="0" fontId="26" fillId="12" borderId="59" xfId="0" applyFont="1" applyFill="1" applyBorder="1" applyAlignment="1">
      <alignment horizontal="left"/>
    </xf>
    <xf numFmtId="0" fontId="46" fillId="0" borderId="27" xfId="0" applyFont="1" applyBorder="1" applyAlignment="1">
      <alignment horizontal="center" vertical="center" wrapText="1"/>
    </xf>
    <xf numFmtId="0" fontId="46" fillId="0" borderId="22" xfId="0" applyFont="1" applyBorder="1" applyAlignment="1">
      <alignment horizontal="center" vertical="center" wrapText="1"/>
    </xf>
    <xf numFmtId="0" fontId="26" fillId="12" borderId="8" xfId="0" applyFont="1" applyFill="1" applyBorder="1" applyAlignment="1">
      <alignment horizontal="left" vertical="top" wrapText="1"/>
    </xf>
    <xf numFmtId="0" fontId="26" fillId="12" borderId="10" xfId="0" applyFont="1" applyFill="1" applyBorder="1" applyAlignment="1">
      <alignment horizontal="left" vertical="top" wrapText="1"/>
    </xf>
    <xf numFmtId="0" fontId="36" fillId="12" borderId="73" xfId="0" applyFont="1" applyFill="1" applyBorder="1" applyAlignment="1">
      <alignment horizontal="left" vertical="top" wrapText="1"/>
    </xf>
    <xf numFmtId="0" fontId="36" fillId="12" borderId="72" xfId="0" applyFont="1" applyFill="1" applyBorder="1" applyAlignment="1">
      <alignment horizontal="left" vertical="top" wrapText="1"/>
    </xf>
    <xf numFmtId="0" fontId="36" fillId="12" borderId="55" xfId="0" applyFont="1" applyFill="1" applyBorder="1" applyAlignment="1">
      <alignment horizontal="left" vertical="top" wrapText="1"/>
    </xf>
    <xf numFmtId="0" fontId="36" fillId="12" borderId="88" xfId="0" applyFont="1" applyFill="1" applyBorder="1" applyAlignment="1">
      <alignment horizontal="left" vertical="top" wrapText="1"/>
    </xf>
    <xf numFmtId="0" fontId="36" fillId="12" borderId="48" xfId="0" applyFont="1" applyFill="1" applyBorder="1" applyAlignment="1">
      <alignment horizontal="center" vertical="center" wrapText="1"/>
    </xf>
    <xf numFmtId="0" fontId="36" fillId="12" borderId="87" xfId="0" applyFont="1" applyFill="1" applyBorder="1" applyAlignment="1">
      <alignment horizontal="center" vertical="center" wrapText="1"/>
    </xf>
    <xf numFmtId="0" fontId="36" fillId="12" borderId="49" xfId="0" applyFont="1" applyFill="1" applyBorder="1" applyAlignment="1">
      <alignment horizontal="center" vertical="center" wrapText="1"/>
    </xf>
    <xf numFmtId="0" fontId="26" fillId="0" borderId="18" xfId="0" quotePrefix="1" applyFont="1" applyBorder="1" applyAlignment="1">
      <alignment horizontal="center" vertical="center" wrapText="1"/>
    </xf>
    <xf numFmtId="0" fontId="26" fillId="0" borderId="19" xfId="0" quotePrefix="1" applyFont="1" applyBorder="1" applyAlignment="1">
      <alignment horizontal="center" vertical="center" wrapText="1"/>
    </xf>
    <xf numFmtId="0" fontId="36" fillId="12" borderId="48" xfId="0" applyFont="1" applyFill="1" applyBorder="1" applyAlignment="1">
      <alignment horizontal="center" vertical="center"/>
    </xf>
    <xf numFmtId="0" fontId="36" fillId="12" borderId="87" xfId="0" applyFont="1" applyFill="1" applyBorder="1" applyAlignment="1">
      <alignment horizontal="center" vertical="center"/>
    </xf>
    <xf numFmtId="0" fontId="36" fillId="12" borderId="49" xfId="0" applyFont="1" applyFill="1" applyBorder="1" applyAlignment="1">
      <alignment horizontal="center" vertical="center"/>
    </xf>
    <xf numFmtId="0" fontId="36" fillId="12" borderId="59" xfId="0" applyFont="1" applyFill="1" applyBorder="1" applyAlignment="1">
      <alignment horizontal="left" vertical="top" wrapText="1"/>
    </xf>
    <xf numFmtId="0" fontId="36" fillId="12" borderId="89" xfId="0" applyFont="1" applyFill="1" applyBorder="1" applyAlignment="1">
      <alignment horizontal="left" vertical="top" wrapText="1"/>
    </xf>
    <xf numFmtId="0" fontId="36" fillId="12" borderId="68" xfId="0" applyFont="1" applyFill="1" applyBorder="1" applyAlignment="1">
      <alignment horizontal="left" vertical="top" wrapText="1"/>
    </xf>
    <xf numFmtId="0" fontId="36" fillId="12" borderId="90" xfId="0" applyFont="1" applyFill="1" applyBorder="1" applyAlignment="1">
      <alignment horizontal="left" vertical="top" wrapText="1"/>
    </xf>
    <xf numFmtId="0" fontId="36" fillId="12" borderId="58" xfId="0" applyFont="1" applyFill="1" applyBorder="1" applyAlignment="1">
      <alignment horizontal="left" vertical="top" wrapText="1"/>
    </xf>
    <xf numFmtId="0" fontId="36" fillId="12" borderId="57" xfId="0" applyFont="1" applyFill="1" applyBorder="1" applyAlignment="1">
      <alignment horizontal="left" vertical="top" wrapText="1"/>
    </xf>
    <xf numFmtId="0" fontId="36" fillId="12" borderId="54" xfId="0" applyFont="1" applyFill="1" applyBorder="1" applyAlignment="1">
      <alignment horizontal="left" vertical="top" wrapText="1"/>
    </xf>
    <xf numFmtId="0" fontId="36" fillId="12" borderId="53" xfId="0" applyFont="1" applyFill="1" applyBorder="1" applyAlignment="1">
      <alignment horizontal="left" vertical="top" wrapText="1"/>
    </xf>
    <xf numFmtId="0" fontId="36" fillId="12" borderId="74" xfId="0" applyFont="1" applyFill="1" applyBorder="1" applyAlignment="1">
      <alignment horizontal="left" vertical="top" wrapText="1"/>
    </xf>
    <xf numFmtId="0" fontId="46" fillId="0" borderId="86" xfId="0" applyFont="1" applyBorder="1" applyAlignment="1">
      <alignment horizontal="center" vertical="center"/>
    </xf>
    <xf numFmtId="0" fontId="46" fillId="0" borderId="85" xfId="0" applyFont="1" applyBorder="1" applyAlignment="1">
      <alignment horizontal="center" vertical="center"/>
    </xf>
    <xf numFmtId="0" fontId="39" fillId="31" borderId="86" xfId="0" applyFont="1" applyFill="1" applyBorder="1" applyAlignment="1">
      <alignment horizontal="center"/>
    </xf>
    <xf numFmtId="0" fontId="39" fillId="31" borderId="76" xfId="0" applyFont="1" applyFill="1" applyBorder="1" applyAlignment="1">
      <alignment horizontal="center"/>
    </xf>
    <xf numFmtId="0" fontId="36" fillId="29" borderId="86" xfId="0" applyFont="1" applyFill="1" applyBorder="1" applyAlignment="1">
      <alignment horizontal="center" vertical="center"/>
    </xf>
    <xf numFmtId="0" fontId="36" fillId="29" borderId="76" xfId="0" applyFont="1" applyFill="1" applyBorder="1" applyAlignment="1">
      <alignment horizontal="center" vertical="center"/>
    </xf>
    <xf numFmtId="0" fontId="36" fillId="29" borderId="26" xfId="0" applyFont="1" applyFill="1" applyBorder="1" applyAlignment="1">
      <alignment horizontal="center"/>
    </xf>
    <xf numFmtId="0" fontId="36" fillId="29" borderId="18" xfId="0" applyFont="1" applyFill="1" applyBorder="1" applyAlignment="1">
      <alignment horizontal="center"/>
    </xf>
    <xf numFmtId="14" fontId="47" fillId="0" borderId="0" xfId="0" applyNumberFormat="1" applyFont="1" applyAlignment="1">
      <alignment horizontal="center"/>
    </xf>
    <xf numFmtId="0" fontId="47" fillId="0" borderId="0" xfId="0" applyFont="1" applyAlignment="1">
      <alignment horizontal="center"/>
    </xf>
    <xf numFmtId="10" fontId="47" fillId="0" borderId="0" xfId="0" applyNumberFormat="1" applyFont="1" applyAlignment="1">
      <alignment horizontal="center"/>
    </xf>
    <xf numFmtId="171" fontId="47" fillId="0" borderId="0" xfId="0" applyNumberFormat="1" applyFont="1" applyAlignment="1">
      <alignment horizontal="center"/>
    </xf>
    <xf numFmtId="0" fontId="49" fillId="0" borderId="0" xfId="0" applyFont="1" applyAlignment="1">
      <alignment horizontal="left" vertical="center" wrapText="1"/>
    </xf>
    <xf numFmtId="0" fontId="46" fillId="0" borderId="124" xfId="0" applyFont="1" applyBorder="1" applyAlignment="1">
      <alignment horizontal="center" vertical="center" wrapText="1"/>
    </xf>
    <xf numFmtId="0" fontId="46" fillId="0" borderId="123" xfId="0" applyFont="1" applyBorder="1" applyAlignment="1">
      <alignment horizontal="center" vertical="center" wrapText="1"/>
    </xf>
    <xf numFmtId="173" fontId="39" fillId="31" borderId="86" xfId="1" applyNumberFormat="1" applyFont="1" applyFill="1" applyBorder="1" applyAlignment="1">
      <alignment horizontal="center"/>
    </xf>
    <xf numFmtId="173" fontId="39" fillId="31" borderId="76" xfId="1" applyNumberFormat="1" applyFont="1" applyFill="1" applyBorder="1" applyAlignment="1">
      <alignment horizontal="center"/>
    </xf>
    <xf numFmtId="15" fontId="49" fillId="0" borderId="86" xfId="0" applyNumberFormat="1" applyFont="1" applyBorder="1" applyAlignment="1">
      <alignment horizontal="center"/>
    </xf>
    <xf numFmtId="15" fontId="49" fillId="0" borderId="85" xfId="0" applyNumberFormat="1" applyFont="1" applyBorder="1" applyAlignment="1">
      <alignment horizontal="center"/>
    </xf>
    <xf numFmtId="15" fontId="49" fillId="0" borderId="76" xfId="0" applyNumberFormat="1" applyFont="1" applyBorder="1" applyAlignment="1">
      <alignment horizontal="center"/>
    </xf>
    <xf numFmtId="0" fontId="51" fillId="10" borderId="0" xfId="0" applyFont="1" applyFill="1" applyAlignment="1">
      <alignment horizontal="center" vertical="center"/>
    </xf>
    <xf numFmtId="15" fontId="52" fillId="0" borderId="86" xfId="0" applyNumberFormat="1" applyFont="1" applyBorder="1" applyAlignment="1">
      <alignment horizontal="center"/>
    </xf>
    <xf numFmtId="15" fontId="52" fillId="0" borderId="85" xfId="0" applyNumberFormat="1" applyFont="1" applyBorder="1" applyAlignment="1">
      <alignment horizontal="center"/>
    </xf>
    <xf numFmtId="0" fontId="46" fillId="0" borderId="127" xfId="0" applyFont="1" applyBorder="1" applyAlignment="1">
      <alignment horizontal="center"/>
    </xf>
    <xf numFmtId="0" fontId="46" fillId="0" borderId="128" xfId="0" applyFont="1" applyBorder="1" applyAlignment="1">
      <alignment horizontal="center"/>
    </xf>
    <xf numFmtId="0" fontId="46" fillId="0" borderId="126" xfId="0" applyFont="1" applyBorder="1" applyAlignment="1">
      <alignment horizontal="center"/>
    </xf>
    <xf numFmtId="0" fontId="46" fillId="0" borderId="131" xfId="0" applyFont="1" applyBorder="1" applyAlignment="1">
      <alignment horizontal="center" vertical="center"/>
    </xf>
    <xf numFmtId="0" fontId="46" fillId="0" borderId="132" xfId="0" applyFont="1" applyBorder="1" applyAlignment="1">
      <alignment horizontal="center" vertical="center"/>
    </xf>
    <xf numFmtId="0" fontId="46" fillId="0" borderId="26" xfId="0" applyFont="1" applyBorder="1" applyAlignment="1">
      <alignment horizontal="center" vertical="center"/>
    </xf>
    <xf numFmtId="0" fontId="46" fillId="0" borderId="28" xfId="0" applyFont="1" applyBorder="1" applyAlignment="1">
      <alignment horizontal="center" vertical="center"/>
    </xf>
    <xf numFmtId="0" fontId="25" fillId="0" borderId="0" xfId="0" applyFont="1" applyAlignment="1">
      <alignment horizontal="center" vertical="top" wrapText="1"/>
    </xf>
    <xf numFmtId="0" fontId="78" fillId="32" borderId="96" xfId="8" applyFont="1" applyFill="1" applyBorder="1" applyAlignment="1">
      <alignment horizontal="center" vertical="center" wrapText="1"/>
    </xf>
    <xf numFmtId="0" fontId="78" fillId="32" borderId="105" xfId="8" applyFont="1" applyFill="1" applyBorder="1" applyAlignment="1">
      <alignment horizontal="center" vertical="center" wrapText="1"/>
    </xf>
    <xf numFmtId="0" fontId="78" fillId="32" borderId="104" xfId="8" applyFont="1" applyFill="1" applyBorder="1" applyAlignment="1">
      <alignment horizontal="center" vertical="center" wrapText="1"/>
    </xf>
    <xf numFmtId="0" fontId="78" fillId="4" borderId="96" xfId="8" applyFont="1" applyFill="1" applyBorder="1" applyAlignment="1">
      <alignment horizontal="center" vertical="center" wrapText="1"/>
    </xf>
    <xf numFmtId="0" fontId="78" fillId="4" borderId="105" xfId="8" applyFont="1" applyFill="1" applyBorder="1" applyAlignment="1">
      <alignment horizontal="center" vertical="center" wrapText="1"/>
    </xf>
    <xf numFmtId="0" fontId="78" fillId="4" borderId="104" xfId="8" applyFont="1" applyFill="1" applyBorder="1" applyAlignment="1">
      <alignment horizontal="center" vertical="center" wrapText="1"/>
    </xf>
    <xf numFmtId="0" fontId="78" fillId="33" borderId="96" xfId="8" applyFont="1" applyFill="1" applyBorder="1" applyAlignment="1">
      <alignment horizontal="center" vertical="center" wrapText="1"/>
    </xf>
    <xf numFmtId="0" fontId="78" fillId="33" borderId="105" xfId="8" applyFont="1" applyFill="1" applyBorder="1" applyAlignment="1">
      <alignment horizontal="center" vertical="center" wrapText="1"/>
    </xf>
    <xf numFmtId="0" fontId="78" fillId="33" borderId="104" xfId="8" applyFont="1" applyFill="1" applyBorder="1" applyAlignment="1">
      <alignment horizontal="center" vertical="center" wrapText="1"/>
    </xf>
    <xf numFmtId="0" fontId="130" fillId="33" borderId="96" xfId="8" applyFont="1" applyFill="1" applyBorder="1" applyAlignment="1">
      <alignment horizontal="center" vertical="center" wrapText="1"/>
    </xf>
    <xf numFmtId="0" fontId="130" fillId="33" borderId="105" xfId="8" applyFont="1" applyFill="1" applyBorder="1" applyAlignment="1">
      <alignment horizontal="center" vertical="center" wrapText="1"/>
    </xf>
    <xf numFmtId="0" fontId="130" fillId="33" borderId="110" xfId="8" applyFont="1" applyFill="1" applyBorder="1" applyAlignment="1">
      <alignment horizontal="center" vertical="center" wrapText="1"/>
    </xf>
    <xf numFmtId="0" fontId="130" fillId="33" borderId="104" xfId="8" applyFont="1" applyFill="1" applyBorder="1" applyAlignment="1">
      <alignment horizontal="center" vertical="center" wrapText="1"/>
    </xf>
  </cellXfs>
  <cellStyles count="22">
    <cellStyle name="Calculation" xfId="6" builtinId="22"/>
    <cellStyle name="Check Cell" xfId="12" builtinId="23"/>
    <cellStyle name="Comma" xfId="1" builtinId="3"/>
    <cellStyle name="Comma 2" xfId="17" xr:uid="{D41DAD14-D38A-45E0-915B-04581BD21BCD}"/>
    <cellStyle name="Currency" xfId="14" builtinId="4"/>
    <cellStyle name="Currency 2" xfId="16" xr:uid="{AADBBFC9-121D-4D38-870A-C3D501DD9E30}"/>
    <cellStyle name="Currency 2 2" xfId="21" xr:uid="{5158A3B1-1640-4042-8399-0FAB5EB02F08}"/>
    <cellStyle name="Currency 3" xfId="20" xr:uid="{EA28E328-8EEC-4691-9754-66A3376D72AE}"/>
    <cellStyle name="Good" xfId="5" builtinId="26"/>
    <cellStyle name="Hyperlink" xfId="7" builtinId="8"/>
    <cellStyle name="Input" xfId="3" builtinId="20"/>
    <cellStyle name="Normal" xfId="0" builtinId="0"/>
    <cellStyle name="Normal 2" xfId="8" xr:uid="{1C477085-7A6E-4BDA-A5BE-4BC4AEB10853}"/>
    <cellStyle name="Normal 3" xfId="10" xr:uid="{8F079836-9B28-4381-A02F-6FBCE1DBE852}"/>
    <cellStyle name="Normal 3 2" xfId="18" xr:uid="{77A0B6F4-3365-4DCD-9B0F-EB86C369C519}"/>
    <cellStyle name="Normal 4" xfId="9" xr:uid="{3095E5F2-6FAB-40EE-B499-8CB329187A35}"/>
    <cellStyle name="Normal 5" xfId="11" xr:uid="{A888A9A5-B491-40D8-B7AB-5559F3593D29}"/>
    <cellStyle name="Normal 5 2" xfId="19" xr:uid="{6142C23D-814D-4A5A-9B01-09BBC07C31C3}"/>
    <cellStyle name="Normal 6" xfId="13" xr:uid="{8C06339C-0D76-4688-9A93-ECE7D6AE05A8}"/>
    <cellStyle name="Note" xfId="4" builtinId="10"/>
    <cellStyle name="Per cent" xfId="2" builtinId="5"/>
    <cellStyle name="Percent 2" xfId="15" xr:uid="{2E6D0B34-51ED-4BB1-A42F-5651AE6EA0E9}"/>
  </cellStyles>
  <dxfs count="301">
    <dxf>
      <fill>
        <patternFill>
          <bgColor theme="8" tint="-0.24994659260841701"/>
        </patternFill>
      </fill>
    </dxf>
    <dxf>
      <fill>
        <patternFill>
          <bgColor theme="9" tint="-0.24994659260841701"/>
        </patternFill>
      </fill>
    </dxf>
    <dxf>
      <fill>
        <patternFill>
          <bgColor rgb="FFFFC000"/>
        </patternFill>
      </fill>
    </dxf>
    <dxf>
      <fill>
        <patternFill>
          <bgColor theme="8" tint="-0.24994659260841701"/>
        </patternFill>
      </fill>
    </dxf>
    <dxf>
      <fill>
        <patternFill>
          <bgColor theme="9" tint="-0.24994659260841701"/>
        </patternFill>
      </fill>
    </dxf>
    <dxf>
      <fill>
        <patternFill>
          <bgColor rgb="FFFFC000"/>
        </patternFill>
      </fill>
    </dxf>
    <dxf>
      <fill>
        <patternFill>
          <bgColor theme="8" tint="-0.24994659260841701"/>
        </patternFill>
      </fill>
    </dxf>
    <dxf>
      <fill>
        <patternFill>
          <bgColor theme="9" tint="-0.24994659260841701"/>
        </patternFill>
      </fill>
    </dxf>
    <dxf>
      <fill>
        <patternFill>
          <bgColor rgb="FFFFC000"/>
        </patternFill>
      </fill>
    </dxf>
    <dxf>
      <fill>
        <patternFill>
          <bgColor theme="8" tint="-0.24994659260841701"/>
        </patternFill>
      </fill>
    </dxf>
    <dxf>
      <fill>
        <patternFill>
          <bgColor theme="9" tint="-0.24994659260841701"/>
        </patternFill>
      </fill>
    </dxf>
    <dxf>
      <fill>
        <patternFill>
          <bgColor rgb="FFFFC000"/>
        </patternFill>
      </fill>
    </dxf>
    <dxf>
      <fill>
        <patternFill>
          <bgColor theme="8" tint="-0.24994659260841701"/>
        </patternFill>
      </fill>
    </dxf>
    <dxf>
      <fill>
        <patternFill>
          <bgColor theme="9" tint="-0.24994659260841701"/>
        </patternFill>
      </fill>
    </dxf>
    <dxf>
      <fill>
        <patternFill>
          <bgColor rgb="FFFFC000"/>
        </patternFill>
      </fill>
    </dxf>
    <dxf>
      <fill>
        <patternFill>
          <bgColor theme="8" tint="-0.24994659260841701"/>
        </patternFill>
      </fill>
    </dxf>
    <dxf>
      <fill>
        <patternFill>
          <bgColor theme="9" tint="-0.24994659260841701"/>
        </patternFill>
      </fill>
    </dxf>
    <dxf>
      <fill>
        <patternFill>
          <bgColor rgb="FFFFC000"/>
        </patternFill>
      </fill>
    </dxf>
    <dxf>
      <fill>
        <patternFill>
          <bgColor theme="8" tint="-0.24994659260841701"/>
        </patternFill>
      </fill>
    </dxf>
    <dxf>
      <fill>
        <patternFill>
          <bgColor theme="9" tint="-0.24994659260841701"/>
        </patternFill>
      </fill>
    </dxf>
    <dxf>
      <fill>
        <patternFill>
          <bgColor rgb="FFFFC000"/>
        </patternFill>
      </fill>
    </dxf>
    <dxf>
      <fill>
        <patternFill>
          <bgColor theme="8" tint="-0.24994659260841701"/>
        </patternFill>
      </fill>
    </dxf>
    <dxf>
      <fill>
        <patternFill>
          <bgColor theme="9" tint="-0.24994659260841701"/>
        </patternFill>
      </fill>
    </dxf>
    <dxf>
      <fill>
        <patternFill>
          <bgColor rgb="FFFFC000"/>
        </patternFill>
      </fill>
    </dxf>
    <dxf>
      <fill>
        <patternFill>
          <bgColor rgb="FFB2B2B2"/>
        </patternFill>
      </fill>
    </dxf>
    <dxf>
      <fill>
        <patternFill>
          <bgColor rgb="FFFFCCFF"/>
        </patternFill>
      </fill>
    </dxf>
    <dxf>
      <fill>
        <patternFill>
          <bgColor rgb="FFCC99FF"/>
        </patternFill>
      </fill>
    </dxf>
    <dxf>
      <fill>
        <patternFill>
          <bgColor rgb="FF6600CC"/>
        </patternFill>
      </fill>
    </dxf>
    <dxf>
      <fill>
        <patternFill>
          <bgColor rgb="FFB1D9B3"/>
        </patternFill>
      </fill>
    </dxf>
    <dxf>
      <fill>
        <patternFill>
          <bgColor rgb="FF99FF99"/>
        </patternFill>
      </fill>
    </dxf>
    <dxf>
      <fill>
        <patternFill>
          <bgColor rgb="FFFFFFCC"/>
        </patternFill>
      </fill>
    </dxf>
    <dxf>
      <fill>
        <patternFill>
          <bgColor rgb="FFFFFF85"/>
        </patternFill>
      </fill>
    </dxf>
    <dxf>
      <fill>
        <patternFill>
          <bgColor rgb="FFFFFF85"/>
        </patternFill>
      </fill>
    </dxf>
    <dxf>
      <fill>
        <patternFill>
          <bgColor rgb="FFFFFF00"/>
        </patternFill>
      </fill>
    </dxf>
    <dxf>
      <fill>
        <patternFill>
          <bgColor rgb="FF0AE6EB"/>
        </patternFill>
      </fill>
    </dxf>
    <dxf>
      <fill>
        <patternFill>
          <bgColor rgb="FF0AE6EB"/>
        </patternFill>
      </fill>
    </dxf>
    <dxf>
      <fill>
        <patternFill>
          <bgColor rgb="FF66CCFF"/>
        </patternFill>
      </fill>
    </dxf>
    <dxf>
      <fill>
        <patternFill>
          <bgColor rgb="FF0066CC"/>
        </patternFill>
      </fill>
    </dxf>
    <dxf>
      <fill>
        <patternFill>
          <bgColor rgb="FF33CC33"/>
        </patternFill>
      </fill>
    </dxf>
    <dxf>
      <fill>
        <patternFill>
          <bgColor rgb="FFA50021"/>
        </patternFill>
      </fill>
    </dxf>
    <dxf>
      <fill>
        <patternFill>
          <bgColor rgb="FFCCECFF"/>
        </patternFill>
      </fill>
    </dxf>
    <dxf>
      <fill>
        <patternFill>
          <bgColor rgb="FFFF9900"/>
        </patternFill>
      </fill>
    </dxf>
    <dxf>
      <fill>
        <patternFill>
          <bgColor rgb="FF996633"/>
        </patternFill>
      </fill>
    </dxf>
    <dxf>
      <fill>
        <patternFill>
          <bgColor rgb="FFD60093"/>
        </patternFill>
      </fill>
    </dxf>
    <dxf>
      <fill>
        <patternFill>
          <bgColor rgb="FFFFA3E7"/>
        </patternFill>
      </fill>
    </dxf>
    <dxf>
      <fill>
        <patternFill>
          <bgColor rgb="FFFFC000"/>
        </patternFill>
      </fill>
    </dxf>
    <dxf>
      <fill>
        <patternFill>
          <bgColor theme="0" tint="-0.24994659260841701"/>
        </patternFill>
      </fill>
    </dxf>
    <dxf>
      <fill>
        <patternFill>
          <bgColor rgb="FF92D050"/>
        </patternFill>
      </fill>
    </dxf>
    <dxf>
      <fill>
        <patternFill>
          <bgColor rgb="FFFF0000"/>
        </patternFill>
      </fill>
    </dxf>
    <dxf>
      <fill>
        <patternFill>
          <bgColor theme="0" tint="-0.34998626667073579"/>
        </patternFill>
      </fill>
    </dxf>
    <dxf>
      <fill>
        <patternFill>
          <bgColor rgb="FFFFC000"/>
        </patternFill>
      </fill>
    </dxf>
    <dxf>
      <fill>
        <patternFill>
          <bgColor rgb="FF92D050"/>
        </patternFill>
      </fill>
    </dxf>
    <dxf>
      <fill>
        <patternFill>
          <bgColor rgb="FFFF0000"/>
        </patternFill>
      </fill>
    </dxf>
    <dxf>
      <fill>
        <patternFill>
          <bgColor theme="0" tint="-0.34998626667073579"/>
        </patternFill>
      </fill>
    </dxf>
    <dxf>
      <fill>
        <patternFill>
          <bgColor rgb="FF92D050"/>
        </patternFill>
      </fill>
    </dxf>
    <dxf>
      <fill>
        <patternFill>
          <bgColor rgb="FFFF0000"/>
        </patternFill>
      </fill>
    </dxf>
    <dxf>
      <fill>
        <patternFill>
          <bgColor rgb="FFFF0000"/>
        </patternFill>
      </fill>
    </dxf>
    <dxf>
      <fill>
        <patternFill>
          <bgColor rgb="FFFFC000"/>
        </patternFill>
      </fill>
    </dxf>
    <dxf>
      <fill>
        <patternFill>
          <bgColor theme="0" tint="-0.24994659260841701"/>
        </patternFill>
      </fill>
    </dxf>
    <dxf>
      <font>
        <b/>
        <i/>
        <color theme="0"/>
      </font>
      <fill>
        <patternFill>
          <bgColor theme="5"/>
        </patternFill>
      </fill>
    </dxf>
    <dxf>
      <font>
        <b/>
        <i/>
        <color theme="0"/>
      </font>
      <fill>
        <patternFill>
          <bgColor theme="5"/>
        </patternFill>
      </fill>
    </dxf>
    <dxf>
      <font>
        <b/>
        <i/>
        <color theme="0"/>
      </font>
      <fill>
        <patternFill>
          <bgColor theme="5"/>
        </patternFill>
      </fill>
    </dxf>
    <dxf>
      <font>
        <b/>
        <i/>
        <color theme="0"/>
      </font>
      <fill>
        <patternFill>
          <bgColor theme="5"/>
        </patternFill>
      </fill>
    </dxf>
    <dxf>
      <font>
        <b/>
        <i/>
        <color theme="0"/>
      </font>
      <fill>
        <patternFill>
          <bgColor theme="5"/>
        </patternFill>
      </fill>
    </dxf>
    <dxf>
      <font>
        <b/>
        <i/>
        <color theme="0"/>
      </font>
      <fill>
        <patternFill>
          <bgColor theme="5"/>
        </patternFill>
      </fill>
    </dxf>
    <dxf>
      <font>
        <b/>
        <i/>
        <color theme="0"/>
      </font>
      <fill>
        <patternFill>
          <bgColor theme="5"/>
        </patternFill>
      </fill>
    </dxf>
    <dxf>
      <font>
        <b/>
        <i/>
        <color theme="0"/>
      </font>
      <fill>
        <patternFill>
          <bgColor theme="5"/>
        </patternFill>
      </fill>
    </dxf>
    <dxf>
      <fill>
        <patternFill>
          <bgColor rgb="FFFF0000"/>
        </patternFill>
      </fill>
    </dxf>
    <dxf>
      <font>
        <color theme="2" tint="-0.24994659260841701"/>
      </font>
      <fill>
        <patternFill>
          <bgColor theme="0"/>
        </patternFill>
      </fill>
    </dxf>
    <dxf>
      <font>
        <color rgb="FF006100"/>
      </font>
      <fill>
        <patternFill>
          <bgColor rgb="FFC6EFCE"/>
        </patternFill>
      </fill>
    </dxf>
    <dxf>
      <font>
        <color theme="0"/>
      </font>
      <fill>
        <patternFill>
          <bgColor theme="0"/>
        </patternFill>
      </fill>
      <border>
        <left/>
        <right/>
        <top/>
        <bottom/>
        <vertical/>
        <horizontal/>
      </border>
    </dxf>
    <dxf>
      <font>
        <b/>
        <i/>
        <color theme="0"/>
      </font>
      <fill>
        <patternFill>
          <bgColor rgb="FFFF0000"/>
        </patternFill>
      </fill>
    </dxf>
    <dxf>
      <font>
        <color theme="2" tint="-0.24994659260841701"/>
      </font>
      <fill>
        <patternFill>
          <bgColor theme="0"/>
        </patternFill>
      </fill>
    </dxf>
    <dxf>
      <font>
        <color theme="2" tint="-0.24994659260841701"/>
      </font>
      <fill>
        <patternFill>
          <bgColor theme="2" tint="-0.499984740745262"/>
        </patternFill>
      </fill>
    </dxf>
    <dxf>
      <font>
        <color theme="2" tint="-0.24994659260841701"/>
      </font>
      <fill>
        <patternFill>
          <bgColor theme="0"/>
        </patternFill>
      </fill>
    </dxf>
    <dxf>
      <font>
        <color theme="6"/>
      </font>
      <fill>
        <patternFill>
          <bgColor theme="0"/>
        </patternFill>
      </fill>
    </dxf>
    <dxf>
      <font>
        <color rgb="FF006100"/>
      </font>
      <fill>
        <patternFill>
          <bgColor rgb="FFC6EFCE"/>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patternType="solid">
          <bgColor theme="0"/>
        </patternFill>
      </fill>
    </dxf>
    <dxf>
      <font>
        <color theme="0"/>
      </font>
      <fill>
        <patternFill patternType="solid">
          <bgColor theme="0"/>
        </patternFill>
      </fill>
    </dxf>
    <dxf>
      <font>
        <color theme="0"/>
      </font>
      <fill>
        <patternFill patternType="solid">
          <bgColor theme="0"/>
        </patternFill>
      </fill>
    </dxf>
    <dxf>
      <font>
        <color theme="0"/>
      </font>
    </dxf>
    <dxf>
      <font>
        <color theme="0"/>
      </font>
      <fill>
        <patternFill>
          <bgColor theme="0"/>
        </patternFill>
      </fill>
    </dxf>
    <dxf>
      <font>
        <color theme="0"/>
      </font>
      <fill>
        <patternFill>
          <bgColor theme="0"/>
        </patternFill>
      </fill>
    </dxf>
    <dxf>
      <font>
        <color theme="0"/>
      </font>
    </dxf>
    <dxf>
      <font>
        <color theme="0"/>
      </font>
    </dxf>
    <dxf>
      <font>
        <color theme="0"/>
      </font>
    </dxf>
    <dxf>
      <font>
        <color theme="0"/>
      </font>
    </dxf>
    <dxf>
      <font>
        <color theme="0"/>
      </font>
      <fill>
        <patternFill>
          <bgColor theme="0"/>
        </patternFill>
      </fill>
    </dxf>
    <dxf>
      <fill>
        <patternFill>
          <bgColor rgb="FF002855"/>
        </patternFill>
      </fill>
    </dxf>
    <dxf>
      <font>
        <color theme="0"/>
      </font>
    </dxf>
    <dxf>
      <fill>
        <patternFill patternType="solid">
          <fgColor auto="1"/>
          <bgColor indexed="65"/>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0"/>
        </patternFill>
      </fill>
      <border>
        <left/>
        <right/>
        <top/>
        <bottom/>
        <vertical/>
        <horizontal/>
      </border>
    </dxf>
    <dxf>
      <font>
        <color theme="0"/>
      </font>
      <fill>
        <patternFill>
          <fgColor theme="0"/>
          <bgColor rgb="FFFF0000"/>
        </patternFill>
      </fill>
    </dxf>
    <dxf>
      <font>
        <color theme="0"/>
      </font>
      <fill>
        <patternFill patternType="solid">
          <bgColor theme="0"/>
        </patternFill>
      </fill>
    </dxf>
    <dxf>
      <font>
        <color theme="0"/>
      </font>
    </dxf>
    <dxf>
      <font>
        <strike/>
        <color theme="0"/>
      </font>
      <fill>
        <patternFill>
          <bgColor rgb="FFFF0000"/>
        </patternFill>
      </fill>
    </dxf>
    <dxf>
      <font>
        <strike/>
        <color theme="0"/>
      </font>
      <fill>
        <patternFill>
          <bgColor rgb="FFFF0000"/>
        </patternFill>
      </fill>
    </dxf>
    <dxf>
      <font>
        <color theme="0"/>
      </font>
      <fill>
        <patternFill>
          <bgColor rgb="FFFF0000"/>
        </patternFill>
      </fill>
    </dxf>
    <dxf>
      <font>
        <color theme="0"/>
      </font>
    </dxf>
    <dxf>
      <font>
        <b/>
        <i val="0"/>
        <color theme="0"/>
      </font>
      <fill>
        <patternFill>
          <bgColor rgb="FFFF0000"/>
        </patternFill>
      </fill>
    </dxf>
    <dxf>
      <font>
        <color theme="0"/>
      </font>
      <fill>
        <patternFill>
          <bgColor theme="0"/>
        </patternFill>
      </fill>
    </dxf>
    <dxf>
      <font>
        <color theme="0"/>
      </font>
      <fill>
        <patternFill>
          <bgColor theme="0"/>
        </patternFill>
      </fill>
    </dxf>
    <dxf>
      <fill>
        <patternFill>
          <bgColor theme="0"/>
        </patternFill>
      </fill>
    </dxf>
    <dxf>
      <font>
        <strike val="0"/>
        <color theme="0"/>
      </font>
      <fill>
        <patternFill>
          <bgColor rgb="FFFF0000"/>
        </patternFill>
      </fill>
    </dxf>
    <dxf>
      <font>
        <color theme="0"/>
      </font>
      <fill>
        <patternFill>
          <bgColor theme="0"/>
        </patternFill>
      </fill>
      <border>
        <left/>
        <right/>
        <bottom/>
        <vertical/>
        <horizontal/>
      </border>
    </dxf>
    <dxf>
      <font>
        <color theme="0"/>
      </font>
      <fill>
        <patternFill>
          <bgColor theme="0"/>
        </patternFill>
      </fill>
      <border>
        <left/>
        <right/>
        <top/>
        <bottom/>
        <vertical/>
        <horizontal/>
      </border>
    </dxf>
    <dxf>
      <font>
        <color theme="0"/>
      </font>
      <fill>
        <patternFill>
          <bgColor rgb="FFC00000"/>
        </patternFill>
      </fill>
    </dxf>
    <dxf>
      <font>
        <b/>
        <i val="0"/>
        <color rgb="FFFF0000"/>
      </font>
      <fill>
        <patternFill>
          <bgColor theme="7" tint="0.59996337778862885"/>
        </patternFill>
      </fill>
      <border>
        <left style="thin">
          <color auto="1"/>
        </left>
        <right style="thin">
          <color auto="1"/>
        </right>
        <top style="thin">
          <color auto="1"/>
        </top>
        <bottom style="thin">
          <color auto="1"/>
        </bottom>
        <vertical/>
        <horizontal/>
      </border>
    </dxf>
    <dxf>
      <font>
        <b/>
        <i val="0"/>
        <color rgb="FFFF0000"/>
      </font>
      <fill>
        <patternFill>
          <bgColor theme="7" tint="0.59996337778862885"/>
        </patternFill>
      </fill>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right/>
        <top/>
        <bottom/>
        <vertical/>
        <horizontal/>
      </border>
    </dxf>
    <dxf>
      <font>
        <color theme="0"/>
      </font>
      <fill>
        <patternFill>
          <bgColor theme="0"/>
        </patternFill>
      </fill>
      <border>
        <left/>
        <right/>
        <top/>
        <bottom/>
        <vertical/>
        <horizontal/>
      </border>
    </dxf>
    <dxf>
      <font>
        <color theme="0"/>
      </font>
      <fill>
        <patternFill>
          <bgColor theme="0"/>
        </patternFill>
      </fill>
      <border>
        <left style="thin">
          <color theme="0"/>
        </left>
        <right style="thin">
          <color theme="0"/>
        </right>
        <top style="thin">
          <color auto="1"/>
        </top>
        <bottom style="thin">
          <color theme="0"/>
        </bottom>
      </border>
    </dxf>
    <dxf>
      <font>
        <b/>
        <i val="0"/>
        <color rgb="FFFF0000"/>
      </font>
      <fill>
        <patternFill>
          <bgColor theme="7" tint="0.59996337778862885"/>
        </patternFill>
      </fill>
      <border>
        <left style="thin">
          <color auto="1"/>
        </left>
        <right style="thin">
          <color auto="1"/>
        </right>
        <top style="thin">
          <color auto="1"/>
        </top>
        <bottom style="thin">
          <color auto="1"/>
        </bottom>
        <vertical/>
        <horizontal/>
      </border>
    </dxf>
    <dxf>
      <font>
        <b/>
        <i val="0"/>
        <color rgb="FFFF0000"/>
      </font>
      <fill>
        <patternFill>
          <bgColor theme="7" tint="0.59996337778862885"/>
        </patternFill>
      </fill>
      <border>
        <left style="thin">
          <color auto="1"/>
        </left>
        <right style="thin">
          <color auto="1"/>
        </right>
        <top style="thin">
          <color auto="1"/>
        </top>
        <bottom style="thin">
          <color auto="1"/>
        </bottom>
        <vertical/>
        <horizontal/>
      </border>
    </dxf>
    <dxf>
      <font>
        <color rgb="FFFF0000"/>
      </font>
      <fill>
        <patternFill>
          <bgColor theme="0"/>
        </patternFill>
      </fill>
      <border>
        <left style="thin">
          <color auto="1"/>
        </left>
        <right style="thin">
          <color auto="1"/>
        </right>
        <top style="thin">
          <color auto="1"/>
        </top>
        <bottom style="thin">
          <color auto="1"/>
        </bottom>
        <vertical/>
        <horizontal/>
      </border>
    </dxf>
    <dxf>
      <font>
        <color theme="0"/>
      </font>
      <fill>
        <patternFill patternType="none">
          <fgColor indexed="64"/>
          <bgColor auto="1"/>
        </patternFill>
      </fill>
      <border>
        <left/>
        <right/>
        <top/>
        <bottom/>
        <vertical/>
        <horizontal/>
      </border>
    </dxf>
    <dxf>
      <font>
        <color theme="1"/>
      </font>
      <fill>
        <patternFill>
          <bgColor theme="0" tint="-0.34998626667073579"/>
        </patternFill>
      </fill>
    </dxf>
    <dxf>
      <font>
        <color rgb="FFFF0000"/>
      </font>
      <fill>
        <patternFill>
          <bgColor theme="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b/>
        <i val="0"/>
        <color rgb="FFFFC000"/>
      </font>
    </dxf>
    <dxf>
      <font>
        <color theme="1"/>
      </font>
      <fill>
        <patternFill>
          <bgColor theme="0" tint="-0.34998626667073579"/>
        </patternFill>
      </fill>
    </dxf>
    <dxf>
      <font>
        <color theme="0" tint="-0.34998626667073579"/>
      </font>
      <numFmt numFmtId="30" formatCode="@"/>
    </dxf>
    <dxf>
      <font>
        <b/>
        <i val="0"/>
        <color rgb="FFFFC000"/>
      </font>
    </dxf>
    <dxf>
      <font>
        <color theme="1"/>
      </font>
      <fill>
        <patternFill>
          <bgColor theme="0" tint="-0.34998626667073579"/>
        </patternFill>
      </fill>
    </dxf>
    <dxf>
      <font>
        <color theme="0" tint="-0.34998626667073579"/>
      </font>
      <numFmt numFmtId="30" formatCode="@"/>
    </dxf>
    <dxf>
      <font>
        <b/>
        <i val="0"/>
        <color rgb="FFFFC000"/>
      </font>
    </dxf>
    <dxf>
      <font>
        <color theme="1"/>
      </font>
      <fill>
        <patternFill>
          <bgColor theme="0" tint="-0.34998626667073579"/>
        </patternFill>
      </fill>
    </dxf>
    <dxf>
      <font>
        <color theme="0" tint="-0.34998626667073579"/>
      </font>
      <numFmt numFmtId="30" formatCode="@"/>
    </dxf>
    <dxf>
      <font>
        <color theme="1"/>
      </font>
      <fill>
        <patternFill>
          <bgColor theme="0" tint="-0.34998626667073579"/>
        </patternFill>
      </fill>
    </dxf>
    <dxf>
      <font>
        <color theme="1"/>
      </font>
      <fill>
        <patternFill>
          <bgColor theme="0" tint="-0.34998626667073579"/>
        </patternFill>
      </fill>
    </dxf>
    <dxf>
      <font>
        <color theme="1"/>
      </font>
      <fill>
        <patternFill>
          <bgColor theme="0" tint="-0.34998626667073579"/>
        </patternFill>
      </fill>
    </dxf>
    <dxf>
      <font>
        <color theme="1"/>
      </font>
      <fill>
        <patternFill>
          <bgColor theme="0" tint="-0.34998626667073579"/>
        </patternFill>
      </fill>
    </dxf>
    <dxf>
      <font>
        <color theme="1"/>
      </font>
      <fill>
        <patternFill>
          <bgColor theme="0" tint="-0.34998626667073579"/>
        </patternFill>
      </fill>
    </dxf>
    <dxf>
      <font>
        <color theme="1"/>
      </font>
      <fill>
        <patternFill>
          <bgColor theme="0" tint="-0.34998626667073579"/>
        </patternFill>
      </fill>
    </dxf>
    <dxf>
      <font>
        <color theme="1"/>
      </font>
      <fill>
        <patternFill>
          <bgColor theme="0" tint="-0.34998626667073579"/>
        </patternFill>
      </fill>
    </dxf>
    <dxf>
      <font>
        <color theme="1"/>
      </font>
      <fill>
        <patternFill>
          <bgColor theme="0" tint="-0.34998626667073579"/>
        </patternFill>
      </fill>
    </dxf>
    <dxf>
      <font>
        <b/>
        <i val="0"/>
        <color theme="0"/>
      </font>
      <fill>
        <patternFill>
          <bgColor rgb="FFFF00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b/>
        <i val="0"/>
        <color theme="0"/>
      </font>
      <fill>
        <patternFill>
          <bgColor rgb="FFC00000"/>
        </patternFill>
      </fill>
    </dxf>
    <dxf>
      <font>
        <b/>
        <i val="0"/>
        <color theme="0"/>
      </font>
      <fill>
        <patternFill>
          <bgColor theme="5"/>
        </patternFill>
      </fill>
    </dxf>
    <dxf>
      <font>
        <color theme="0"/>
      </font>
      <fill>
        <patternFill patternType="none">
          <bgColor auto="1"/>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b/>
        <i val="0"/>
        <color theme="7"/>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b/>
        <i val="0"/>
        <color theme="0"/>
      </font>
      <fill>
        <patternFill>
          <bgColor rgb="FFFF0000"/>
        </patternFill>
      </fill>
    </dxf>
    <dxf>
      <font>
        <b/>
        <i val="0"/>
        <color theme="0"/>
      </font>
      <fill>
        <patternFill>
          <bgColor rgb="FFC00000"/>
        </patternFill>
      </fill>
    </dxf>
    <dxf>
      <font>
        <b/>
        <i val="0"/>
        <color theme="0"/>
      </font>
      <fill>
        <patternFill>
          <bgColor rgb="FFFF000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b val="0"/>
        <i/>
        <color theme="0"/>
      </font>
      <fill>
        <patternFill patternType="none">
          <fgColor indexed="64"/>
          <bgColor auto="1"/>
        </patternFill>
      </fill>
    </dxf>
    <dxf>
      <font>
        <color auto="1"/>
      </font>
      <fill>
        <patternFill>
          <bgColor theme="9" tint="0.39994506668294322"/>
        </patternFill>
      </fill>
    </dxf>
    <dxf>
      <font>
        <color theme="0"/>
      </font>
      <fill>
        <patternFill>
          <bgColor rgb="FFFF0000"/>
        </patternFill>
      </fill>
    </dxf>
    <dxf>
      <font>
        <b/>
        <i val="0"/>
        <color theme="0"/>
      </font>
      <fill>
        <patternFill>
          <fgColor rgb="FFFF0000"/>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1"/>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0"/>
      </font>
      <fill>
        <patternFill>
          <bgColor theme="0"/>
        </patternFill>
      </fill>
      <border>
        <left/>
        <right/>
        <top/>
        <bottom/>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rgb="FFC00000"/>
        </patternFill>
      </fill>
    </dxf>
    <dxf>
      <font>
        <b/>
        <i val="0"/>
        <color theme="0"/>
      </font>
      <fill>
        <patternFill>
          <bgColor rgb="FFC00000"/>
        </patternFill>
      </fill>
    </dxf>
    <dxf>
      <font>
        <color theme="0"/>
      </font>
      <fill>
        <patternFill>
          <bgColor rgb="FFFF0000"/>
        </patternFill>
      </fill>
    </dxf>
    <dxf>
      <font>
        <b/>
        <i val="0"/>
        <color theme="0"/>
      </font>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style="thin">
          <color auto="1"/>
        </top>
        <bottom/>
        <vertical/>
        <horizontal/>
      </border>
    </dxf>
    <dxf>
      <font>
        <color theme="0"/>
      </font>
      <fill>
        <patternFill>
          <bgColor rgb="FFC00000"/>
        </patternFill>
      </fill>
    </dxf>
    <dxf>
      <fill>
        <patternFill>
          <bgColor theme="0"/>
        </patternFill>
      </fill>
    </dxf>
    <dxf>
      <fill>
        <patternFill>
          <bgColor theme="0"/>
        </patternFill>
      </fill>
    </dxf>
    <dxf>
      <font>
        <b val="0"/>
        <i val="0"/>
        <color theme="0"/>
      </font>
      <fill>
        <patternFill>
          <fgColor rgb="FFFFFFFF"/>
          <bgColor theme="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dxf>
    <dxf>
      <font>
        <color theme="0"/>
      </font>
      <fill>
        <patternFill>
          <fgColor theme="0"/>
          <bgColor rgb="FFC00000"/>
        </patternFill>
      </fill>
    </dxf>
    <dxf>
      <font>
        <color theme="0"/>
      </font>
    </dxf>
    <dxf>
      <fill>
        <patternFill>
          <bgColor rgb="FFFFFF00"/>
        </patternFill>
      </fill>
    </dxf>
    <dxf>
      <fill>
        <patternFill>
          <bgColor rgb="FFFFFF00"/>
        </patternFill>
      </fill>
    </dxf>
    <dxf>
      <font>
        <color theme="1" tint="0.34998626667073579"/>
      </font>
      <fill>
        <patternFill>
          <bgColor theme="0" tint="-0.24994659260841701"/>
        </patternFill>
      </fill>
    </dxf>
    <dxf>
      <font>
        <b/>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1"/>
        <color theme="1"/>
        <name val="Calibri"/>
        <family val="2"/>
        <scheme val="minor"/>
      </font>
      <numFmt numFmtId="171" formatCode="&quot;£&quot;#,##0"/>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71" formatCode="&quot;£&quot;#,##0"/>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71" formatCode="&quot;£&quot;#,##0"/>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71" formatCode="&quot;£&quot;#,##0"/>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171" formatCode="&quot;£&quot;#,##0"/>
      <alignment horizontal="center" vertical="center" textRotation="0" wrapText="0" indent="0" justifyLastLine="0" shrinkToFit="0" readingOrder="0"/>
    </dxf>
    <dxf>
      <numFmt numFmtId="171" formatCode="&quot;£&quot;#,##0"/>
      <alignment horizontal="center" vertical="center" textRotation="0" wrapText="0" indent="0" justifyLastLine="0" shrinkToFit="0" readingOrder="0"/>
    </dxf>
    <dxf>
      <numFmt numFmtId="30" formatCode="@"/>
      <fill>
        <patternFill patternType="solid">
          <fgColor indexed="64"/>
          <bgColor theme="4" tint="0.39997558519241921"/>
        </patternFill>
      </fill>
      <border diagonalUp="0" diagonalDown="0"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70" formatCode="0.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rgb="FFFFC000"/>
        </patternFill>
      </fill>
    </dxf>
    <dxf>
      <fill>
        <patternFill>
          <bgColor theme="0" tint="-0.14996795556505021"/>
        </patternFill>
      </fill>
    </dxf>
    <dxf>
      <font>
        <b/>
        <i val="0"/>
        <color theme="0"/>
      </font>
      <fill>
        <patternFill>
          <bgColor rgb="FFFF0000"/>
        </patternFill>
      </fill>
    </dxf>
    <dxf>
      <font>
        <color theme="0"/>
      </font>
      <fill>
        <patternFill>
          <bgColor theme="0"/>
        </patternFill>
      </fill>
    </dxf>
    <dxf>
      <font>
        <color theme="0"/>
      </font>
      <fill>
        <patternFill>
          <bgColor theme="0"/>
        </patternFill>
      </fill>
    </dxf>
    <dxf>
      <font>
        <b/>
        <i val="0"/>
        <color theme="0"/>
      </font>
      <fill>
        <patternFill>
          <bgColor rgb="FFC00000"/>
        </patternFill>
      </fill>
    </dxf>
    <dxf>
      <font>
        <color theme="0"/>
      </font>
      <fill>
        <patternFill patternType="none">
          <bgColor auto="1"/>
        </patternFill>
      </fill>
    </dxf>
    <dxf>
      <font>
        <b/>
        <i val="0"/>
        <color theme="0"/>
      </font>
      <fill>
        <patternFill>
          <bgColor theme="5"/>
        </patternFill>
      </fill>
    </dxf>
    <dxf>
      <font>
        <color theme="0"/>
      </font>
      <fill>
        <patternFill patternType="none">
          <bgColor auto="1"/>
        </patternFill>
      </fill>
    </dxf>
    <dxf>
      <font>
        <color theme="0"/>
      </font>
    </dxf>
    <dxf>
      <font>
        <b/>
        <i val="0"/>
        <color theme="0"/>
      </font>
      <fill>
        <patternFill>
          <bgColor rgb="FFC00000"/>
        </patternFill>
      </fill>
    </dxf>
    <dxf>
      <font>
        <b/>
        <i val="0"/>
        <color rgb="FFFFC000"/>
      </font>
    </dxf>
    <dxf>
      <font>
        <color theme="0" tint="-0.34998626667073579"/>
      </font>
      <numFmt numFmtId="30" formatCode="@"/>
    </dxf>
    <dxf>
      <font>
        <color theme="1"/>
      </font>
      <fill>
        <patternFill>
          <bgColor theme="0" tint="-0.34998626667073579"/>
        </patternFill>
      </fill>
    </dxf>
    <dxf>
      <font>
        <color theme="1"/>
      </font>
      <fill>
        <patternFill>
          <bgColor theme="0" tint="-0.34998626667073579"/>
        </patternFill>
      </fill>
    </dxf>
    <dxf>
      <font>
        <color theme="1"/>
      </font>
      <fill>
        <patternFill>
          <bgColor theme="0" tint="-0.34998626667073579"/>
        </patternFill>
      </fill>
    </dxf>
    <dxf>
      <font>
        <color theme="1"/>
      </font>
      <fill>
        <patternFill>
          <bgColor theme="0" tint="-0.34998626667073579"/>
        </patternFill>
      </fill>
    </dxf>
    <dxf>
      <font>
        <b/>
        <i val="0"/>
        <color theme="7"/>
      </font>
    </dxf>
    <dxf>
      <font>
        <color theme="0"/>
      </font>
      <fill>
        <patternFill>
          <bgColor theme="0"/>
        </patternFill>
      </fill>
      <border>
        <left/>
        <right/>
        <top/>
        <bottom/>
      </border>
    </dxf>
    <dxf>
      <font>
        <color theme="0"/>
      </font>
      <fill>
        <patternFill>
          <bgColor rgb="FFC00000"/>
        </patternFill>
      </fill>
    </dxf>
    <dxf>
      <font>
        <color theme="1" tint="0.34998626667073579"/>
      </font>
      <fill>
        <patternFill>
          <bgColor theme="0" tint="-0.24994659260841701"/>
        </patternFill>
      </fill>
    </dxf>
    <dxf>
      <font>
        <b/>
        <i val="0"/>
        <color theme="0"/>
      </font>
      <fill>
        <patternFill>
          <bgColor rgb="FFFF0000"/>
        </patternFill>
      </fill>
    </dxf>
    <dxf>
      <font>
        <color theme="0"/>
      </font>
      <fill>
        <patternFill>
          <bgColor rgb="FFFF0000"/>
        </patternFill>
      </fill>
    </dxf>
    <dxf>
      <font>
        <color rgb="FFFF0000"/>
      </font>
      <fill>
        <patternFill>
          <bgColor theme="0"/>
        </patternFill>
      </fill>
    </dxf>
    <dxf>
      <font>
        <b/>
        <i val="0"/>
        <color theme="0"/>
      </font>
      <fill>
        <patternFill>
          <bgColor rgb="FFC0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dxf>
    <dxf>
      <font>
        <b/>
        <i val="0"/>
        <color theme="0"/>
      </font>
      <fill>
        <patternFill>
          <bgColor theme="5"/>
        </patternFill>
      </fill>
    </dxf>
  </dxfs>
  <tableStyles count="0" defaultTableStyle="TableStyleMedium2" defaultPivotStyle="PivotStyleLight16"/>
  <colors>
    <mruColors>
      <color rgb="FF002D55"/>
      <color rgb="FFFF7C80"/>
      <color rgb="FFFFCC66"/>
      <color rgb="FFE1CCF0"/>
      <color rgb="FF8A8A8A"/>
      <color rgb="FFBABABA"/>
      <color rgb="FFDEDEDE"/>
      <color rgb="FFFFFFFF"/>
      <color rgb="FF008891"/>
      <color rgb="FFF7F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Waterfall - Gross/Net Loan + Redemption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Waterfall - Gross/Net Loan + Redemption</a:t>
          </a:r>
        </a:p>
      </cx:txPr>
    </cx:title>
    <cx:plotArea>
      <cx:plotAreaRegion>
        <cx:series layoutId="waterfall" uniqueId="{00000000-8BB8-4107-ACC4-D6807C7F53D4}" formatIdx="0">
          <cx:dataLabels pos="outEnd">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1" value="1"/>
            <cx:separator>
</cx:separator>
            <cx:dataLabel idx="3">
              <cx:txPr>
                <a:bodyPr spcFirstLastPara="1" vertOverflow="ellipsis" horzOverflow="overflow" wrap="square" lIns="0" tIns="0" rIns="0" bIns="0" anchor="ctr" anchorCtr="1"/>
                <a:lstStyle/>
                <a:p>
                  <a:pPr algn="ctr" rtl="0">
                    <a:defRPr>
                      <a:solidFill>
                        <a:schemeClr val="tx1"/>
                      </a:solidFill>
                    </a:defRPr>
                  </a:pPr>
                  <a:r>
                    <a:rPr lang="en-US" sz="900" b="1" i="0" u="none" strike="noStrike" baseline="0">
                      <a:solidFill>
                        <a:schemeClr val="tx1"/>
                      </a:solidFill>
                      <a:latin typeface="Calibri" panose="020F0502020204030204"/>
                    </a:rPr>
                    <a:t>To Redeem (=gross)
£0</a:t>
                  </a:r>
                </a:p>
              </cx:txPr>
              <cx:visibility seriesName="0" categoryName="1" value="1"/>
              <cx:separator>
</cx:separator>
            </cx:dataLabel>
          </cx:dataLabels>
          <cx:dataId val="0"/>
          <cx:layoutPr>
            <cx:visibility connectorLines="1"/>
            <cx:subtotals>
              <cx:idx val="2"/>
              <cx:idx val="3"/>
            </cx:subtotals>
          </cx:layoutPr>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Waterfall - Gross/Net Loan + Redemption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Waterfall - Gross/Net Loan + Redemption</a:t>
          </a:r>
        </a:p>
      </cx:txPr>
    </cx:title>
    <cx:plotArea>
      <cx:plotAreaRegion>
        <cx:series layoutId="waterfall" hidden="1" uniqueId="{00000000-8BB8-4107-ACC4-D6807C7F53D4}" formatIdx="0">
          <cx:dataLabels pos="outEnd">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1" value="1"/>
            <cx:separator>
</cx:separator>
            <cx:dataLabel idx="5">
              <cx:txPr>
                <a:bodyPr spcFirstLastPara="1" vertOverflow="ellipsis" horzOverflow="overflow" wrap="square" lIns="0" tIns="0" rIns="0" bIns="0" anchor="ctr" anchorCtr="1"/>
                <a:lstStyle/>
                <a:p>
                  <a:pPr algn="ctr" rtl="0">
                    <a:defRPr>
                      <a:solidFill>
                        <a:schemeClr val="tx1"/>
                      </a:solidFill>
                    </a:defRPr>
                  </a:pPr>
                  <a:r>
                    <a:rPr lang="en-US" sz="900" b="1" i="0" u="none" strike="noStrike" baseline="0">
                      <a:solidFill>
                        <a:schemeClr val="tx1"/>
                      </a:solidFill>
                      <a:latin typeface="Calibri" panose="020F0502020204030204"/>
                    </a:rPr>
                    <a:t>To Redeem (=gross)
£734,353</a:t>
                  </a:r>
                </a:p>
              </cx:txPr>
              <cx:visibility seriesName="0" categoryName="1" value="1"/>
              <cx:separator>
</cx:separator>
            </cx:dataLabel>
          </cx:dataLabels>
          <cx:dataId val="0"/>
          <cx:layoutPr>
            <cx:visibility connectorLines="1"/>
            <cx:subtotals>
              <cx:idx val="4"/>
              <cx:idx val="5"/>
            </cx:subtotals>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Radio" checked="Checked" firstButton="1" fmlaLink="$AQ$2" lockText="1"/>
</file>

<file path=xl/ctrlProps/ctrlProp2.xml><?xml version="1.0" encoding="utf-8"?>
<formControlPr xmlns="http://schemas.microsoft.com/office/spreadsheetml/2009/9/main" objectType="CheckBox" fmlaLink="'KB_CRITERIA AND CALCULATION '!$D$72" lockText="1"/>
</file>

<file path=xl/ctrlProps/ctrlProp3.xml><?xml version="1.0" encoding="utf-8"?>
<formControlPr xmlns="http://schemas.microsoft.com/office/spreadsheetml/2009/9/main" objectType="Spin" dx="22" fmlaLink="'BTL Calculator WIP'!$AR$2" max="9" noThreeD="1" page="10" val="4"/>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CheckBox" checked="Checked" fmlaLink="$O$15" lockText="1" noThreeD="1"/>
</file>

<file path=xl/ctrlProps/ctrlProp12.xml><?xml version="1.0" encoding="utf-8"?>
<formControlPr xmlns="http://schemas.microsoft.com/office/spreadsheetml/2009/9/main" objectType="CheckBox" fmlaLink="$O$16" lockText="1" noThreeD="1"/>
</file>

<file path=xl/ctrlProps/ctrlProp13.xml><?xml version="1.0" encoding="utf-8"?>
<formControlPr xmlns="http://schemas.microsoft.com/office/spreadsheetml/2009/9/main" objectType="CheckBox" fmlaLink="$O$17" lockText="1" noThreeD="1"/>
</file>

<file path=xl/ctrlProps/ctrlProp14.xml><?xml version="1.0" encoding="utf-8"?>
<formControlPr xmlns="http://schemas.microsoft.com/office/spreadsheetml/2009/9/main" objectType="CheckBox" checked="Checked" fmlaLink="$O$18" lockText="1" noThreeD="1"/>
</file>

<file path=xl/ctrlProps/ctrlProp15.xml><?xml version="1.0" encoding="utf-8"?>
<formControlPr xmlns="http://schemas.microsoft.com/office/spreadsheetml/2009/9/main" objectType="CheckBox" fmlaLink="$O$19" lockText="1" noThreeD="1"/>
</file>

<file path=xl/ctrlProps/ctrlProp16.xml><?xml version="1.0" encoding="utf-8"?>
<formControlPr xmlns="http://schemas.microsoft.com/office/spreadsheetml/2009/9/main" objectType="CheckBox" fmlaLink="$O$20" lockText="1" noThreeD="1"/>
</file>

<file path=xl/ctrlProps/ctrlProp17.xml><?xml version="1.0" encoding="utf-8"?>
<formControlPr xmlns="http://schemas.microsoft.com/office/spreadsheetml/2009/9/main" objectType="CheckBox" fmlaLink="$P$15" lockText="1" noThreeD="1"/>
</file>

<file path=xl/ctrlProps/ctrlProp18.xml><?xml version="1.0" encoding="utf-8"?>
<formControlPr xmlns="http://schemas.microsoft.com/office/spreadsheetml/2009/9/main" objectType="CheckBox" fmlaLink="$P$16" lockText="1" noThreeD="1"/>
</file>

<file path=xl/ctrlProps/ctrlProp19.xml><?xml version="1.0" encoding="utf-8"?>
<formControlPr xmlns="http://schemas.microsoft.com/office/spreadsheetml/2009/9/main" objectType="CheckBox" checked="Checked" fmlaLink="$P$17"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hyperlink" Target="#DIP!A1"/><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hyperlink" Target="#'ICR Main'!A1"/><Relationship Id="rId6" Type="http://schemas.openxmlformats.org/officeDocument/2006/relationships/image" Target="../media/image4.png"/><Relationship Id="rId5" Type="http://schemas.openxmlformats.org/officeDocument/2006/relationships/hyperlink" Target="#'Holiday-Let'!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hyperlink" Target="#DIP!A1"/><Relationship Id="rId2" Type="http://schemas.openxmlformats.org/officeDocument/2006/relationships/image" Target="../media/image2.png"/><Relationship Id="rId1" Type="http://schemas.openxmlformats.org/officeDocument/2006/relationships/hyperlink" Target="#'ICR Main'!A1"/><Relationship Id="rId6" Type="http://schemas.openxmlformats.org/officeDocument/2006/relationships/image" Target="../media/image4.png"/><Relationship Id="rId5" Type="http://schemas.openxmlformats.org/officeDocument/2006/relationships/hyperlink" Target="#'Holiday-Let'!A1"/><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emf"/><Relationship Id="rId5" Type="http://schemas.openxmlformats.org/officeDocument/2006/relationships/image" Target="../media/image11.jpe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6.gif"/></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2.emf"/></Relationships>
</file>

<file path=xl/drawings/_rels/drawing24.xml.rels><?xml version="1.0" encoding="UTF-8" standalone="yes"?>
<Relationships xmlns="http://schemas.openxmlformats.org/package/2006/relationships"><Relationship Id="rId8" Type="http://schemas.openxmlformats.org/officeDocument/2006/relationships/image" Target="../media/image31.png"/><Relationship Id="rId3" Type="http://schemas.openxmlformats.org/officeDocument/2006/relationships/image" Target="../media/image26.png"/><Relationship Id="rId7" Type="http://schemas.openxmlformats.org/officeDocument/2006/relationships/image" Target="../media/image30.png"/><Relationship Id="rId2" Type="http://schemas.openxmlformats.org/officeDocument/2006/relationships/image" Target="../media/image25.jpg"/><Relationship Id="rId1" Type="http://schemas.openxmlformats.org/officeDocument/2006/relationships/image" Target="../media/image24.jpg"/><Relationship Id="rId6" Type="http://schemas.openxmlformats.org/officeDocument/2006/relationships/image" Target="../media/image29.jpg"/><Relationship Id="rId5" Type="http://schemas.openxmlformats.org/officeDocument/2006/relationships/image" Target="../media/image28.png"/><Relationship Id="rId4" Type="http://schemas.openxmlformats.org/officeDocument/2006/relationships/image" Target="../media/image27.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3.emf"/></Relationships>
</file>

<file path=xl/drawings/drawing1.xml><?xml version="1.0" encoding="utf-8"?>
<xdr:wsDr xmlns:xdr="http://schemas.openxmlformats.org/drawingml/2006/spreadsheetDrawing" xmlns:a="http://schemas.openxmlformats.org/drawingml/2006/main">
  <xdr:oneCellAnchor>
    <xdr:from>
      <xdr:col>0</xdr:col>
      <xdr:colOff>122311</xdr:colOff>
      <xdr:row>47</xdr:row>
      <xdr:rowOff>103867</xdr:rowOff>
    </xdr:from>
    <xdr:ext cx="288000" cy="288000"/>
    <xdr:sp macro="" textlink="">
      <xdr:nvSpPr>
        <xdr:cNvPr id="2" name="Oval 1">
          <a:extLst>
            <a:ext uri="{FF2B5EF4-FFF2-40B4-BE49-F238E27FC236}">
              <a16:creationId xmlns:a16="http://schemas.microsoft.com/office/drawing/2014/main" id="{00000000-0008-0000-0000-000002000000}"/>
            </a:ext>
          </a:extLst>
        </xdr:cNvPr>
        <xdr:cNvSpPr/>
      </xdr:nvSpPr>
      <xdr:spPr>
        <a:xfrm>
          <a:off x="122311" y="9400267"/>
          <a:ext cx="288000" cy="288000"/>
        </a:xfrm>
        <a:prstGeom prst="ellipse">
          <a:avLst/>
        </a:prstGeom>
        <a:solidFill>
          <a:schemeClr val="bg1"/>
        </a:solidFill>
        <a:ln w="38100">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GB" sz="1400" b="1">
              <a:solidFill>
                <a:srgbClr val="002060"/>
              </a:solidFill>
            </a:rPr>
            <a:t>2</a:t>
          </a:r>
        </a:p>
      </xdr:txBody>
    </xdr:sp>
    <xdr:clientData/>
  </xdr:oneCellAnchor>
  <mc:AlternateContent xmlns:mc="http://schemas.openxmlformats.org/markup-compatibility/2006">
    <mc:Choice xmlns:a14="http://schemas.microsoft.com/office/drawing/2010/main" Requires="a14">
      <xdr:twoCellAnchor editAs="oneCell">
        <xdr:from>
          <xdr:col>10</xdr:col>
          <xdr:colOff>114300</xdr:colOff>
          <xdr:row>20</xdr:row>
          <xdr:rowOff>114300</xdr:rowOff>
        </xdr:from>
        <xdr:to>
          <xdr:col>11</xdr:col>
          <xdr:colOff>19050</xdr:colOff>
          <xdr:row>20</xdr:row>
          <xdr:rowOff>266700</xdr:rowOff>
        </xdr:to>
        <xdr:sp macro="" textlink="">
          <xdr:nvSpPr>
            <xdr:cNvPr id="125953" name="Option24" hidden="1">
              <a:extLst>
                <a:ext uri="{63B3BB69-23CF-44E3-9099-C40C66FF867C}">
                  <a14:compatExt spid="_x0000_s125953"/>
                </a:ext>
                <a:ext uri="{FF2B5EF4-FFF2-40B4-BE49-F238E27FC236}">
                  <a16:creationId xmlns:a16="http://schemas.microsoft.com/office/drawing/2014/main" id="{00000000-0008-0000-0000-000001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24 months</a:t>
              </a:r>
            </a:p>
          </xdr:txBody>
        </xdr:sp>
        <xdr:clientData fLocksWithSheet="0"/>
      </xdr:twoCellAnchor>
    </mc:Choice>
    <mc:Fallback/>
  </mc:AlternateContent>
  <xdr:oneCellAnchor>
    <xdr:from>
      <xdr:col>0</xdr:col>
      <xdr:colOff>68224</xdr:colOff>
      <xdr:row>66</xdr:row>
      <xdr:rowOff>46001</xdr:rowOff>
    </xdr:from>
    <xdr:ext cx="288000" cy="288000"/>
    <xdr:sp macro="" textlink="">
      <xdr:nvSpPr>
        <xdr:cNvPr id="3" name="Oval 2">
          <a:extLst>
            <a:ext uri="{FF2B5EF4-FFF2-40B4-BE49-F238E27FC236}">
              <a16:creationId xmlns:a16="http://schemas.microsoft.com/office/drawing/2014/main" id="{00000000-0008-0000-0000-000003000000}"/>
            </a:ext>
          </a:extLst>
        </xdr:cNvPr>
        <xdr:cNvSpPr/>
      </xdr:nvSpPr>
      <xdr:spPr>
        <a:xfrm>
          <a:off x="68224" y="11797470"/>
          <a:ext cx="288000" cy="288000"/>
        </a:xfrm>
        <a:prstGeom prst="ellipse">
          <a:avLst/>
        </a:prstGeom>
        <a:solidFill>
          <a:schemeClr val="bg1"/>
        </a:solidFill>
        <a:ln w="38100">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GB" sz="1400" b="1">
              <a:solidFill>
                <a:srgbClr val="002060"/>
              </a:solidFill>
            </a:rPr>
            <a:t>3</a:t>
          </a:r>
        </a:p>
      </xdr:txBody>
    </xdr:sp>
    <xdr:clientData/>
  </xdr:oneCellAnchor>
  <mc:AlternateContent xmlns:mc="http://schemas.openxmlformats.org/markup-compatibility/2006">
    <mc:Choice xmlns:a14="http://schemas.microsoft.com/office/drawing/2010/main" Requires="a14">
      <xdr:twoCellAnchor editAs="oneCell">
        <xdr:from>
          <xdr:col>39</xdr:col>
          <xdr:colOff>114300</xdr:colOff>
          <xdr:row>29</xdr:row>
          <xdr:rowOff>28575</xdr:rowOff>
        </xdr:from>
        <xdr:to>
          <xdr:col>39</xdr:col>
          <xdr:colOff>295275</xdr:colOff>
          <xdr:row>31</xdr:row>
          <xdr:rowOff>0</xdr:rowOff>
        </xdr:to>
        <xdr:sp macro="" textlink="">
          <xdr:nvSpPr>
            <xdr:cNvPr id="125954" name="Check Box 2" hidden="1">
              <a:extLst>
                <a:ext uri="{63B3BB69-23CF-44E3-9099-C40C66FF867C}">
                  <a14:compatExt spid="_x0000_s125954"/>
                </a:ext>
                <a:ext uri="{FF2B5EF4-FFF2-40B4-BE49-F238E27FC236}">
                  <a16:creationId xmlns:a16="http://schemas.microsoft.com/office/drawing/2014/main" id="{00000000-0008-0000-0000-000002E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142875</xdr:colOff>
          <xdr:row>57</xdr:row>
          <xdr:rowOff>9525</xdr:rowOff>
        </xdr:from>
        <xdr:to>
          <xdr:col>13</xdr:col>
          <xdr:colOff>361950</xdr:colOff>
          <xdr:row>59</xdr:row>
          <xdr:rowOff>57150</xdr:rowOff>
        </xdr:to>
        <xdr:sp macro="" textlink="">
          <xdr:nvSpPr>
            <xdr:cNvPr id="125955" name="Spinner 3" hidden="1">
              <a:extLst>
                <a:ext uri="{63B3BB69-23CF-44E3-9099-C40C66FF867C}">
                  <a14:compatExt spid="_x0000_s125955"/>
                </a:ext>
                <a:ext uri="{FF2B5EF4-FFF2-40B4-BE49-F238E27FC236}">
                  <a16:creationId xmlns:a16="http://schemas.microsoft.com/office/drawing/2014/main" id="{00000000-0008-0000-0000-000003EC0100}"/>
                </a:ext>
              </a:extLst>
            </xdr:cNvPr>
            <xdr:cNvSpPr/>
          </xdr:nvSpPr>
          <xdr:spPr bwMode="auto">
            <a:xfrm>
              <a:off x="0" y="0"/>
              <a:ext cx="0" cy="0"/>
            </a:xfrm>
            <a:prstGeom prst="rect">
              <a:avLst/>
            </a:prstGeom>
            <a:noFill/>
            <a:ln w="9525">
              <a:miter lim="800000"/>
              <a:headEnd/>
              <a:tailEnd/>
            </a:ln>
          </xdr:spPr>
        </xdr:sp>
        <xdr:clientData fLocksWithSheet="0"/>
      </xdr:twoCellAnchor>
    </mc:Choice>
    <mc:Fallback/>
  </mc:AlternateContent>
  <xdr:oneCellAnchor>
    <xdr:from>
      <xdr:col>0</xdr:col>
      <xdr:colOff>158143</xdr:colOff>
      <xdr:row>1</xdr:row>
      <xdr:rowOff>84666</xdr:rowOff>
    </xdr:from>
    <xdr:ext cx="288000" cy="288000"/>
    <xdr:sp macro="" textlink="">
      <xdr:nvSpPr>
        <xdr:cNvPr id="4" name="Oval 3">
          <a:extLst>
            <a:ext uri="{FF2B5EF4-FFF2-40B4-BE49-F238E27FC236}">
              <a16:creationId xmlns:a16="http://schemas.microsoft.com/office/drawing/2014/main" id="{00000000-0008-0000-0000-000004000000}"/>
            </a:ext>
          </a:extLst>
        </xdr:cNvPr>
        <xdr:cNvSpPr/>
      </xdr:nvSpPr>
      <xdr:spPr>
        <a:xfrm>
          <a:off x="158143" y="837141"/>
          <a:ext cx="288000" cy="288000"/>
        </a:xfrm>
        <a:prstGeom prst="ellipse">
          <a:avLst/>
        </a:prstGeom>
        <a:solidFill>
          <a:schemeClr val="bg1"/>
        </a:solidFill>
        <a:ln w="3810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GB" sz="1400" b="1">
              <a:solidFill>
                <a:srgbClr val="002060"/>
              </a:solidFill>
            </a:rPr>
            <a:t>1</a:t>
          </a:r>
        </a:p>
      </xdr:txBody>
    </xdr:sp>
    <xdr:clientData/>
  </xdr:oneCellAnchor>
  <xdr:twoCellAnchor>
    <xdr:from>
      <xdr:col>3</xdr:col>
      <xdr:colOff>70910</xdr:colOff>
      <xdr:row>115</xdr:row>
      <xdr:rowOff>149677</xdr:rowOff>
    </xdr:from>
    <xdr:to>
      <xdr:col>20</xdr:col>
      <xdr:colOff>424521</xdr:colOff>
      <xdr:row>128</xdr:row>
      <xdr:rowOff>219037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85485" y="23622000"/>
              <a:ext cx="9278536" cy="15049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0</xdr:colOff>
      <xdr:row>53</xdr:row>
      <xdr:rowOff>222253</xdr:rowOff>
    </xdr:from>
    <xdr:to>
      <xdr:col>30</xdr:col>
      <xdr:colOff>31750</xdr:colOff>
      <xdr:row>56</xdr:row>
      <xdr:rowOff>95252</xdr:rowOff>
    </xdr:to>
    <xdr:sp macro="" textlink="">
      <xdr:nvSpPr>
        <xdr:cNvPr id="6" name="Arrow: Right 5">
          <a:extLst>
            <a:ext uri="{FF2B5EF4-FFF2-40B4-BE49-F238E27FC236}">
              <a16:creationId xmlns:a16="http://schemas.microsoft.com/office/drawing/2014/main" id="{00000000-0008-0000-0000-000006000000}"/>
            </a:ext>
          </a:extLst>
        </xdr:cNvPr>
        <xdr:cNvSpPr/>
      </xdr:nvSpPr>
      <xdr:spPr>
        <a:xfrm>
          <a:off x="10972800" y="10966453"/>
          <a:ext cx="3203575" cy="454024"/>
        </a:xfrm>
        <a:prstGeom prst="rightArrow">
          <a:avLst/>
        </a:prstGeom>
        <a:gradFill>
          <a:gsLst>
            <a:gs pos="9768">
              <a:srgbClr val="ECF1F9"/>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0</xdr:colOff>
      <xdr:row>0</xdr:row>
      <xdr:rowOff>0</xdr:rowOff>
    </xdr:from>
    <xdr:to>
      <xdr:col>2</xdr:col>
      <xdr:colOff>1060393</xdr:colOff>
      <xdr:row>0</xdr:row>
      <xdr:rowOff>740832</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962887" cy="7408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1047750</xdr:colOff>
      <xdr:row>7</xdr:row>
      <xdr:rowOff>161925</xdr:rowOff>
    </xdr:from>
    <xdr:to>
      <xdr:col>1</xdr:col>
      <xdr:colOff>64071</xdr:colOff>
      <xdr:row>12</xdr:row>
      <xdr:rowOff>134925</xdr:rowOff>
    </xdr:to>
    <xdr:pic>
      <xdr:nvPicPr>
        <xdr:cNvPr id="2" name="Picture 1" descr="Ios 11 Calculator Icon - Apple ... | Calculator app, Apple apps, Iphone  life hacks">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828" r="4138" b="11348"/>
        <a:stretch/>
      </xdr:blipFill>
      <xdr:spPr bwMode="auto">
        <a:xfrm>
          <a:off x="1047750" y="1181100"/>
          <a:ext cx="1178496" cy="111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619125</xdr:colOff>
      <xdr:row>6</xdr:row>
      <xdr:rowOff>0</xdr:rowOff>
    </xdr:from>
    <xdr:to>
      <xdr:col>1</xdr:col>
      <xdr:colOff>685800</xdr:colOff>
      <xdr:row>7</xdr:row>
      <xdr:rowOff>95250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619125" y="1247775"/>
          <a:ext cx="2809875"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chemeClr val="accent1"/>
              </a:solidFill>
            </a:rPr>
            <a:t>BTL Calculator</a:t>
          </a:r>
        </a:p>
      </xdr:txBody>
    </xdr:sp>
    <xdr:clientData/>
  </xdr:twoCellAnchor>
  <xdr:twoCellAnchor editAs="oneCell">
    <xdr:from>
      <xdr:col>0</xdr:col>
      <xdr:colOff>1057275</xdr:colOff>
      <xdr:row>14</xdr:row>
      <xdr:rowOff>190500</xdr:rowOff>
    </xdr:from>
    <xdr:to>
      <xdr:col>1</xdr:col>
      <xdr:colOff>114300</xdr:colOff>
      <xdr:row>19</xdr:row>
      <xdr:rowOff>51185</xdr:rowOff>
    </xdr:to>
    <xdr:pic>
      <xdr:nvPicPr>
        <xdr:cNvPr id="4" name="Picture 3" descr="Maximum Icon #107488 - Free Icons Library">
          <a:hlinkClick xmlns:r="http://schemas.openxmlformats.org/officeDocument/2006/relationships" r:id="rId3"/>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57275" y="2809875"/>
          <a:ext cx="1219200" cy="1003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561975</xdr:colOff>
      <xdr:row>12</xdr:row>
      <xdr:rowOff>209550</xdr:rowOff>
    </xdr:from>
    <xdr:to>
      <xdr:col>1</xdr:col>
      <xdr:colOff>676275</xdr:colOff>
      <xdr:row>14</xdr:row>
      <xdr:rowOff>76200</xdr:rowOff>
    </xdr:to>
    <xdr:sp macro="" textlink="">
      <xdr:nvSpPr>
        <xdr:cNvPr id="5" name="TextBox 4">
          <a:hlinkClick xmlns:r="http://schemas.openxmlformats.org/officeDocument/2006/relationships" r:id="rId3"/>
          <a:extLst>
            <a:ext uri="{FF2B5EF4-FFF2-40B4-BE49-F238E27FC236}">
              <a16:creationId xmlns:a16="http://schemas.microsoft.com/office/drawing/2014/main" id="{00000000-0008-0000-0100-000005000000}"/>
            </a:ext>
          </a:extLst>
        </xdr:cNvPr>
        <xdr:cNvSpPr txBox="1"/>
      </xdr:nvSpPr>
      <xdr:spPr>
        <a:xfrm>
          <a:off x="561975" y="2828925"/>
          <a:ext cx="28575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chemeClr val="accent1"/>
              </a:solidFill>
            </a:rPr>
            <a:t>Decision</a:t>
          </a:r>
          <a:r>
            <a:rPr lang="en-GB" sz="1100" b="1" baseline="0">
              <a:solidFill>
                <a:schemeClr val="accent1"/>
              </a:solidFill>
            </a:rPr>
            <a:t> in Principle</a:t>
          </a:r>
          <a:endParaRPr lang="en-GB" sz="1100" b="1">
            <a:solidFill>
              <a:schemeClr val="accent1"/>
            </a:solidFill>
          </a:endParaRPr>
        </a:p>
      </xdr:txBody>
    </xdr:sp>
    <xdr:clientData/>
  </xdr:twoCellAnchor>
  <xdr:twoCellAnchor>
    <xdr:from>
      <xdr:col>0</xdr:col>
      <xdr:colOff>581025</xdr:colOff>
      <xdr:row>19</xdr:row>
      <xdr:rowOff>152400</xdr:rowOff>
    </xdr:from>
    <xdr:to>
      <xdr:col>1</xdr:col>
      <xdr:colOff>695325</xdr:colOff>
      <xdr:row>21</xdr:row>
      <xdr:rowOff>19050</xdr:rowOff>
    </xdr:to>
    <xdr:sp macro="" textlink="">
      <xdr:nvSpPr>
        <xdr:cNvPr id="6" name="TextBox 5">
          <a:hlinkClick xmlns:r="http://schemas.openxmlformats.org/officeDocument/2006/relationships" r:id="rId5"/>
          <a:extLst>
            <a:ext uri="{FF2B5EF4-FFF2-40B4-BE49-F238E27FC236}">
              <a16:creationId xmlns:a16="http://schemas.microsoft.com/office/drawing/2014/main" id="{00000000-0008-0000-0100-000006000000}"/>
            </a:ext>
          </a:extLst>
        </xdr:cNvPr>
        <xdr:cNvSpPr txBox="1"/>
      </xdr:nvSpPr>
      <xdr:spPr>
        <a:xfrm>
          <a:off x="581025" y="4371975"/>
          <a:ext cx="28575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chemeClr val="accent1"/>
              </a:solidFill>
            </a:rPr>
            <a:t>Holiday Let</a:t>
          </a:r>
        </a:p>
      </xdr:txBody>
    </xdr:sp>
    <xdr:clientData/>
  </xdr:twoCellAnchor>
  <xdr:twoCellAnchor editAs="oneCell">
    <xdr:from>
      <xdr:col>0</xdr:col>
      <xdr:colOff>1009650</xdr:colOff>
      <xdr:row>21</xdr:row>
      <xdr:rowOff>161925</xdr:rowOff>
    </xdr:from>
    <xdr:to>
      <xdr:col>1</xdr:col>
      <xdr:colOff>209550</xdr:colOff>
      <xdr:row>26</xdr:row>
      <xdr:rowOff>57150</xdr:rowOff>
    </xdr:to>
    <xdr:pic>
      <xdr:nvPicPr>
        <xdr:cNvPr id="7" name="Picture 6" descr="Family Of Four With Two Minors And Two Adults Vector SVG Icon (2) - PNG  Repo Free PNG Icons">
          <a:hlinkClick xmlns:r="http://schemas.openxmlformats.org/officeDocument/2006/relationships" r:id="rId5"/>
          <a:extLst>
            <a:ext uri="{FF2B5EF4-FFF2-40B4-BE49-F238E27FC236}">
              <a16:creationId xmlns:a16="http://schemas.microsoft.com/office/drawing/2014/main" id="{00000000-0008-0000-0100-00000700000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11189" b="12587"/>
        <a:stretch/>
      </xdr:blipFill>
      <xdr:spPr bwMode="auto">
        <a:xfrm>
          <a:off x="1009650" y="4381500"/>
          <a:ext cx="1362075"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628650</xdr:colOff>
      <xdr:row>5</xdr:row>
      <xdr:rowOff>171450</xdr:rowOff>
    </xdr:from>
    <xdr:to>
      <xdr:col>4</xdr:col>
      <xdr:colOff>695325</xdr:colOff>
      <xdr:row>7</xdr:row>
      <xdr:rowOff>38100</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6410325" y="733425"/>
          <a:ext cx="2809875"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chemeClr val="accent1"/>
              </a:solidFill>
            </a:rPr>
            <a:t>Product Data</a:t>
          </a:r>
        </a:p>
      </xdr:txBody>
    </xdr:sp>
    <xdr:clientData/>
  </xdr:twoCellAnchor>
  <xdr:twoCellAnchor>
    <xdr:from>
      <xdr:col>3</xdr:col>
      <xdr:colOff>638175</xdr:colOff>
      <xdr:row>12</xdr:row>
      <xdr:rowOff>85725</xdr:rowOff>
    </xdr:from>
    <xdr:to>
      <xdr:col>4</xdr:col>
      <xdr:colOff>676275</xdr:colOff>
      <xdr:row>13</xdr:row>
      <xdr:rowOff>180975</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5257800" y="2247900"/>
          <a:ext cx="2200275"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chemeClr val="accent1"/>
              </a:solidFill>
            </a:rPr>
            <a:t>Criteria and Calculation</a:t>
          </a:r>
        </a:p>
      </xdr:txBody>
    </xdr:sp>
    <xdr:clientData/>
  </xdr:twoCellAnchor>
  <xdr:twoCellAnchor>
    <xdr:from>
      <xdr:col>3</xdr:col>
      <xdr:colOff>552450</xdr:colOff>
      <xdr:row>19</xdr:row>
      <xdr:rowOff>142875</xdr:rowOff>
    </xdr:from>
    <xdr:to>
      <xdr:col>4</xdr:col>
      <xdr:colOff>590550</xdr:colOff>
      <xdr:row>21</xdr:row>
      <xdr:rowOff>9525</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5172075" y="3905250"/>
          <a:ext cx="2200275"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chemeClr val="accent1"/>
              </a:solidFill>
            </a:rPr>
            <a:t>Optimum Roll Defer Top</a:t>
          </a:r>
          <a:r>
            <a:rPr lang="en-GB" sz="1100" b="1" baseline="0">
              <a:solidFill>
                <a:schemeClr val="accent1"/>
              </a:solidFill>
            </a:rPr>
            <a:t> Slice</a:t>
          </a:r>
          <a:endParaRPr lang="en-GB" sz="1100" b="1">
            <a:solidFill>
              <a:schemeClr val="accent1"/>
            </a:solidFill>
          </a:endParaRPr>
        </a:p>
      </xdr:txBody>
    </xdr:sp>
    <xdr:clientData/>
  </xdr:twoCellAnchor>
  <xdr:twoCellAnchor editAs="oneCell">
    <xdr:from>
      <xdr:col>3</xdr:col>
      <xdr:colOff>1314450</xdr:colOff>
      <xdr:row>14</xdr:row>
      <xdr:rowOff>209550</xdr:rowOff>
    </xdr:from>
    <xdr:to>
      <xdr:col>4</xdr:col>
      <xdr:colOff>66675</xdr:colOff>
      <xdr:row>18</xdr:row>
      <xdr:rowOff>209550</xdr:rowOff>
    </xdr:to>
    <xdr:pic>
      <xdr:nvPicPr>
        <xdr:cNvPr id="13" name="Graphic 12" descr="Bullseye outline">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934075" y="2828925"/>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581025</xdr:colOff>
      <xdr:row>4</xdr:row>
      <xdr:rowOff>38100</xdr:rowOff>
    </xdr:from>
    <xdr:to>
      <xdr:col>4</xdr:col>
      <xdr:colOff>559371</xdr:colOff>
      <xdr:row>9</xdr:row>
      <xdr:rowOff>11100</xdr:rowOff>
    </xdr:to>
    <xdr:pic>
      <xdr:nvPicPr>
        <xdr:cNvPr id="2" name="Picture 1" descr="Ios 11 Calculator Icon - Apple ... | Calculator app, Apple apps, Iphone  life hacks">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828" r="4138" b="11348"/>
        <a:stretch/>
      </xdr:blipFill>
      <xdr:spPr bwMode="auto">
        <a:xfrm>
          <a:off x="838200" y="809625"/>
          <a:ext cx="1178496" cy="111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495300</xdr:colOff>
      <xdr:row>10</xdr:row>
      <xdr:rowOff>38100</xdr:rowOff>
    </xdr:from>
    <xdr:to>
      <xdr:col>4</xdr:col>
      <xdr:colOff>619125</xdr:colOff>
      <xdr:row>11</xdr:row>
      <xdr:rowOff>133350</xdr:rowOff>
    </xdr:to>
    <xdr:sp macro="" textlink="">
      <xdr:nvSpPr>
        <xdr:cNvPr id="3" name="TextBox 2">
          <a:hlinkClick xmlns:r="http://schemas.openxmlformats.org/officeDocument/2006/relationships" r:id="rId1"/>
          <a:extLst>
            <a:ext uri="{FF2B5EF4-FFF2-40B4-BE49-F238E27FC236}">
              <a16:creationId xmlns:a16="http://schemas.microsoft.com/office/drawing/2014/main" id="{00000000-0008-0000-0200-000003000000}"/>
            </a:ext>
          </a:extLst>
        </xdr:cNvPr>
        <xdr:cNvSpPr txBox="1"/>
      </xdr:nvSpPr>
      <xdr:spPr>
        <a:xfrm>
          <a:off x="752475" y="1952625"/>
          <a:ext cx="13239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b="1">
              <a:solidFill>
                <a:schemeClr val="accent1"/>
              </a:solidFill>
            </a:rPr>
            <a:t>ICR Main calculator</a:t>
          </a:r>
        </a:p>
      </xdr:txBody>
    </xdr:sp>
    <xdr:clientData/>
  </xdr:twoCellAnchor>
  <xdr:twoCellAnchor editAs="oneCell">
    <xdr:from>
      <xdr:col>4</xdr:col>
      <xdr:colOff>1266825</xdr:colOff>
      <xdr:row>4</xdr:row>
      <xdr:rowOff>133350</xdr:rowOff>
    </xdr:from>
    <xdr:to>
      <xdr:col>7</xdr:col>
      <xdr:colOff>228600</xdr:colOff>
      <xdr:row>8</xdr:row>
      <xdr:rowOff>222635</xdr:rowOff>
    </xdr:to>
    <xdr:pic>
      <xdr:nvPicPr>
        <xdr:cNvPr id="4" name="Picture 3" descr="Maximum Icon #107488 - Free Icons Library">
          <a:hlinkClick xmlns:r="http://schemas.openxmlformats.org/officeDocument/2006/relationships" r:id="rId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24150" y="904875"/>
          <a:ext cx="1219200" cy="1003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1162050</xdr:colOff>
      <xdr:row>10</xdr:row>
      <xdr:rowOff>38100</xdr:rowOff>
    </xdr:from>
    <xdr:to>
      <xdr:col>7</xdr:col>
      <xdr:colOff>276225</xdr:colOff>
      <xdr:row>11</xdr:row>
      <xdr:rowOff>133350</xdr:rowOff>
    </xdr:to>
    <xdr:sp macro="" textlink="">
      <xdr:nvSpPr>
        <xdr:cNvPr id="6" name="TextBox 5">
          <a:hlinkClick xmlns:r="http://schemas.openxmlformats.org/officeDocument/2006/relationships" r:id="rId3"/>
          <a:extLst>
            <a:ext uri="{FF2B5EF4-FFF2-40B4-BE49-F238E27FC236}">
              <a16:creationId xmlns:a16="http://schemas.microsoft.com/office/drawing/2014/main" id="{00000000-0008-0000-0200-000006000000}"/>
            </a:ext>
          </a:extLst>
        </xdr:cNvPr>
        <xdr:cNvSpPr txBox="1"/>
      </xdr:nvSpPr>
      <xdr:spPr>
        <a:xfrm>
          <a:off x="2619375" y="1952625"/>
          <a:ext cx="13716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chemeClr val="accent1"/>
              </a:solidFill>
            </a:rPr>
            <a:t>Decision</a:t>
          </a:r>
          <a:r>
            <a:rPr lang="en-GB" sz="1100" b="1" baseline="0">
              <a:solidFill>
                <a:schemeClr val="accent1"/>
              </a:solidFill>
            </a:rPr>
            <a:t> in Principle</a:t>
          </a:r>
          <a:endParaRPr lang="en-GB" sz="1100" b="1">
            <a:solidFill>
              <a:schemeClr val="accent1"/>
            </a:solidFill>
          </a:endParaRPr>
        </a:p>
      </xdr:txBody>
    </xdr:sp>
    <xdr:clientData/>
  </xdr:twoCellAnchor>
  <xdr:twoCellAnchor>
    <xdr:from>
      <xdr:col>8</xdr:col>
      <xdr:colOff>209550</xdr:colOff>
      <xdr:row>10</xdr:row>
      <xdr:rowOff>38100</xdr:rowOff>
    </xdr:from>
    <xdr:to>
      <xdr:col>10</xdr:col>
      <xdr:colOff>219075</xdr:colOff>
      <xdr:row>11</xdr:row>
      <xdr:rowOff>133350</xdr:rowOff>
    </xdr:to>
    <xdr:sp macro="" textlink="">
      <xdr:nvSpPr>
        <xdr:cNvPr id="8" name="TextBox 7">
          <a:hlinkClick xmlns:r="http://schemas.openxmlformats.org/officeDocument/2006/relationships" r:id="rId5"/>
          <a:extLst>
            <a:ext uri="{FF2B5EF4-FFF2-40B4-BE49-F238E27FC236}">
              <a16:creationId xmlns:a16="http://schemas.microsoft.com/office/drawing/2014/main" id="{00000000-0008-0000-0200-000008000000}"/>
            </a:ext>
          </a:extLst>
        </xdr:cNvPr>
        <xdr:cNvSpPr txBox="1"/>
      </xdr:nvSpPr>
      <xdr:spPr>
        <a:xfrm>
          <a:off x="4533900" y="1952625"/>
          <a:ext cx="13716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solidFill>
                <a:schemeClr val="accent1"/>
              </a:solidFill>
            </a:rPr>
            <a:t>Holiday Let</a:t>
          </a:r>
        </a:p>
      </xdr:txBody>
    </xdr:sp>
    <xdr:clientData/>
  </xdr:twoCellAnchor>
  <xdr:twoCellAnchor editAs="oneCell">
    <xdr:from>
      <xdr:col>8</xdr:col>
      <xdr:colOff>228600</xdr:colOff>
      <xdr:row>4</xdr:row>
      <xdr:rowOff>133350</xdr:rowOff>
    </xdr:from>
    <xdr:to>
      <xdr:col>10</xdr:col>
      <xdr:colOff>228600</xdr:colOff>
      <xdr:row>9</xdr:row>
      <xdr:rowOff>28575</xdr:rowOff>
    </xdr:to>
    <xdr:pic>
      <xdr:nvPicPr>
        <xdr:cNvPr id="9" name="Picture 8" descr="Family Of Four With Two Minors And Two Adults Vector SVG Icon (2) - PNG  Repo Free PNG Icons">
          <a:hlinkClick xmlns:r="http://schemas.openxmlformats.org/officeDocument/2006/relationships" r:id="rId5"/>
          <a:extLst>
            <a:ext uri="{FF2B5EF4-FFF2-40B4-BE49-F238E27FC236}">
              <a16:creationId xmlns:a16="http://schemas.microsoft.com/office/drawing/2014/main" id="{00000000-0008-0000-0200-00000900000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11189" b="12587"/>
        <a:stretch/>
      </xdr:blipFill>
      <xdr:spPr bwMode="auto">
        <a:xfrm>
          <a:off x="4552950" y="1038225"/>
          <a:ext cx="1362075"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29</xdr:row>
      <xdr:rowOff>0</xdr:rowOff>
    </xdr:from>
    <xdr:to>
      <xdr:col>4</xdr:col>
      <xdr:colOff>28575</xdr:colOff>
      <xdr:row>29</xdr:row>
      <xdr:rowOff>9525</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1143000"/>
          <a:ext cx="2857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57150</xdr:colOff>
      <xdr:row>52</xdr:row>
      <xdr:rowOff>19051</xdr:rowOff>
    </xdr:from>
    <xdr:to>
      <xdr:col>14</xdr:col>
      <xdr:colOff>133350</xdr:colOff>
      <xdr:row>64</xdr:row>
      <xdr:rowOff>8232</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5600700" y="10106026"/>
          <a:ext cx="4705350" cy="2370431"/>
        </a:xfrm>
        <a:prstGeom prst="rect">
          <a:avLst/>
        </a:prstGeom>
      </xdr:spPr>
    </xdr:pic>
    <xdr:clientData/>
  </xdr:twoCellAnchor>
  <xdr:oneCellAnchor>
    <xdr:from>
      <xdr:col>4</xdr:col>
      <xdr:colOff>0</xdr:colOff>
      <xdr:row>16</xdr:row>
      <xdr:rowOff>0</xdr:rowOff>
    </xdr:from>
    <xdr:ext cx="28575" cy="9525"/>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7550" y="1333500"/>
          <a:ext cx="2857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8</xdr:col>
      <xdr:colOff>914401</xdr:colOff>
      <xdr:row>55</xdr:row>
      <xdr:rowOff>1</xdr:rowOff>
    </xdr:from>
    <xdr:to>
      <xdr:col>14</xdr:col>
      <xdr:colOff>638175</xdr:colOff>
      <xdr:row>62</xdr:row>
      <xdr:rowOff>187005</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a:stretch>
          <a:fillRect/>
        </a:stretch>
      </xdr:blipFill>
      <xdr:spPr>
        <a:xfrm>
          <a:off x="6457951" y="10753726"/>
          <a:ext cx="4352924" cy="1520504"/>
        </a:xfrm>
        <a:prstGeom prst="rect">
          <a:avLst/>
        </a:prstGeom>
      </xdr:spPr>
    </xdr:pic>
    <xdr:clientData/>
  </xdr:twoCellAnchor>
  <xdr:oneCellAnchor>
    <xdr:from>
      <xdr:col>12</xdr:col>
      <xdr:colOff>0</xdr:colOff>
      <xdr:row>30</xdr:row>
      <xdr:rowOff>0</xdr:rowOff>
    </xdr:from>
    <xdr:ext cx="28575" cy="9525"/>
    <xdr:pic>
      <xdr:nvPicPr>
        <xdr:cNvPr id="6" name="Picture 5">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57625" y="1143000"/>
          <a:ext cx="2857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0</xdr:colOff>
      <xdr:row>16</xdr:row>
      <xdr:rowOff>0</xdr:rowOff>
    </xdr:from>
    <xdr:ext cx="28575" cy="9525"/>
    <xdr:pic>
      <xdr:nvPicPr>
        <xdr:cNvPr id="8" name="Picture 7">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71950" y="9248775"/>
          <a:ext cx="2857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619127</xdr:colOff>
      <xdr:row>54</xdr:row>
      <xdr:rowOff>47626</xdr:rowOff>
    </xdr:from>
    <xdr:ext cx="4771954" cy="1666874"/>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3"/>
        <a:stretch>
          <a:fillRect/>
        </a:stretch>
      </xdr:blipFill>
      <xdr:spPr>
        <a:xfrm>
          <a:off x="6162677" y="10563226"/>
          <a:ext cx="4771954" cy="1666874"/>
        </a:xfrm>
        <a:prstGeom prst="rect">
          <a:avLst/>
        </a:prstGeom>
      </xdr:spPr>
    </xdr:pic>
    <xdr:clientData/>
  </xdr:oneCellAnchor>
  <xdr:oneCellAnchor>
    <xdr:from>
      <xdr:col>12</xdr:col>
      <xdr:colOff>0</xdr:colOff>
      <xdr:row>44</xdr:row>
      <xdr:rowOff>0</xdr:rowOff>
    </xdr:from>
    <xdr:ext cx="28575" cy="9525"/>
    <xdr:pic>
      <xdr:nvPicPr>
        <xdr:cNvPr id="10" name="Picture 9">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0050" y="4238625"/>
          <a:ext cx="2857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17</xdr:col>
      <xdr:colOff>600075</xdr:colOff>
      <xdr:row>5</xdr:row>
      <xdr:rowOff>9525</xdr:rowOff>
    </xdr:from>
    <xdr:to>
      <xdr:col>24</xdr:col>
      <xdr:colOff>85725</xdr:colOff>
      <xdr:row>12</xdr:row>
      <xdr:rowOff>23819</xdr:rowOff>
    </xdr:to>
    <xdr:pic>
      <xdr:nvPicPr>
        <xdr:cNvPr id="11" name="Picture 10">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582650" y="962025"/>
          <a:ext cx="4676775" cy="14335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581025</xdr:colOff>
      <xdr:row>0</xdr:row>
      <xdr:rowOff>0</xdr:rowOff>
    </xdr:from>
    <xdr:to>
      <xdr:col>25</xdr:col>
      <xdr:colOff>95250</xdr:colOff>
      <xdr:row>21</xdr:row>
      <xdr:rowOff>41892</xdr:rowOff>
    </xdr:to>
    <xdr:pic>
      <xdr:nvPicPr>
        <xdr:cNvPr id="12" name="Picture 11">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563600" y="0"/>
          <a:ext cx="5314950" cy="41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124385</xdr:colOff>
      <xdr:row>6</xdr:row>
      <xdr:rowOff>47626</xdr:rowOff>
    </xdr:from>
    <xdr:to>
      <xdr:col>25</xdr:col>
      <xdr:colOff>114300</xdr:colOff>
      <xdr:row>13</xdr:row>
      <xdr:rowOff>114301</xdr:rowOff>
    </xdr:to>
    <xdr:pic>
      <xdr:nvPicPr>
        <xdr:cNvPr id="13" name="Picture 12">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049935" y="1190626"/>
          <a:ext cx="4847665"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57</xdr:row>
      <xdr:rowOff>0</xdr:rowOff>
    </xdr:from>
    <xdr:ext cx="28575" cy="9525"/>
    <xdr:pic>
      <xdr:nvPicPr>
        <xdr:cNvPr id="14" name="Picture 13">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0050" y="9667875"/>
          <a:ext cx="2857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43</xdr:row>
      <xdr:rowOff>0</xdr:rowOff>
    </xdr:from>
    <xdr:ext cx="28575" cy="9525"/>
    <xdr:pic>
      <xdr:nvPicPr>
        <xdr:cNvPr id="15" name="Picture 14">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10050" y="7000875"/>
          <a:ext cx="2857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136964</xdr:colOff>
      <xdr:row>55</xdr:row>
      <xdr:rowOff>15944</xdr:rowOff>
    </xdr:from>
    <xdr:ext cx="288000" cy="288000"/>
    <xdr:sp macro="" textlink="">
      <xdr:nvSpPr>
        <xdr:cNvPr id="53" name="Oval 52">
          <a:extLst>
            <a:ext uri="{FF2B5EF4-FFF2-40B4-BE49-F238E27FC236}">
              <a16:creationId xmlns:a16="http://schemas.microsoft.com/office/drawing/2014/main" id="{00000000-0008-0000-0600-000035000000}"/>
            </a:ext>
          </a:extLst>
        </xdr:cNvPr>
        <xdr:cNvSpPr/>
      </xdr:nvSpPr>
      <xdr:spPr>
        <a:xfrm>
          <a:off x="136964" y="9731444"/>
          <a:ext cx="288000" cy="288000"/>
        </a:xfrm>
        <a:prstGeom prst="ellipse">
          <a:avLst/>
        </a:prstGeom>
        <a:solidFill>
          <a:schemeClr val="bg1"/>
        </a:solidFill>
        <a:ln w="38100">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GB" sz="1400" b="1">
              <a:solidFill>
                <a:srgbClr val="002060"/>
              </a:solidFill>
            </a:rPr>
            <a:t>2</a:t>
          </a:r>
        </a:p>
      </xdr:txBody>
    </xdr:sp>
    <xdr:clientData/>
  </xdr:oneCellAnchor>
  <xdr:oneCellAnchor>
    <xdr:from>
      <xdr:col>2</xdr:col>
      <xdr:colOff>1598986</xdr:colOff>
      <xdr:row>1</xdr:row>
      <xdr:rowOff>774908</xdr:rowOff>
    </xdr:from>
    <xdr:ext cx="288000" cy="288000"/>
    <xdr:sp macro="" textlink="">
      <xdr:nvSpPr>
        <xdr:cNvPr id="10" name="Oval 9">
          <a:extLst>
            <a:ext uri="{FF2B5EF4-FFF2-40B4-BE49-F238E27FC236}">
              <a16:creationId xmlns:a16="http://schemas.microsoft.com/office/drawing/2014/main" id="{00000000-0008-0000-0600-00000A000000}"/>
            </a:ext>
          </a:extLst>
        </xdr:cNvPr>
        <xdr:cNvSpPr/>
      </xdr:nvSpPr>
      <xdr:spPr>
        <a:xfrm>
          <a:off x="2061629" y="1618551"/>
          <a:ext cx="288000" cy="288000"/>
        </a:xfrm>
        <a:prstGeom prst="ellipse">
          <a:avLst/>
        </a:prstGeom>
        <a:solidFill>
          <a:schemeClr val="bg1"/>
        </a:solidFill>
        <a:ln w="3810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GB" sz="1400" b="1">
              <a:solidFill>
                <a:srgbClr val="002060"/>
              </a:solidFill>
            </a:rPr>
            <a:t>1</a:t>
          </a:r>
        </a:p>
      </xdr:txBody>
    </xdr:sp>
    <xdr:clientData/>
  </xdr:oneCellAnchor>
  <xdr:twoCellAnchor>
    <xdr:from>
      <xdr:col>3</xdr:col>
      <xdr:colOff>70910</xdr:colOff>
      <xdr:row>122</xdr:row>
      <xdr:rowOff>149677</xdr:rowOff>
    </xdr:from>
    <xdr:to>
      <xdr:col>23</xdr:col>
      <xdr:colOff>424521</xdr:colOff>
      <xdr:row>135</xdr:row>
      <xdr:rowOff>219037</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99760" y="27679650"/>
              <a:ext cx="15041161" cy="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21</xdr:col>
      <xdr:colOff>46684</xdr:colOff>
      <xdr:row>78</xdr:row>
      <xdr:rowOff>70127</xdr:rowOff>
    </xdr:from>
    <xdr:ext cx="358890" cy="329973"/>
    <xdr:sp macro="" textlink="">
      <xdr:nvSpPr>
        <xdr:cNvPr id="13" name="Oval 2">
          <a:extLst>
            <a:ext uri="{FF2B5EF4-FFF2-40B4-BE49-F238E27FC236}">
              <a16:creationId xmlns:a16="http://schemas.microsoft.com/office/drawing/2014/main" id="{00000000-0008-0000-0600-00000D000000}"/>
            </a:ext>
          </a:extLst>
        </xdr:cNvPr>
        <xdr:cNvSpPr/>
      </xdr:nvSpPr>
      <xdr:spPr>
        <a:xfrm>
          <a:off x="14876376" y="13786127"/>
          <a:ext cx="358890" cy="329973"/>
        </a:xfrm>
        <a:prstGeom prst="ellipse">
          <a:avLst/>
        </a:prstGeom>
        <a:solidFill>
          <a:schemeClr val="bg1"/>
        </a:solidFill>
        <a:ln w="38100">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GB" sz="1400" b="1">
              <a:solidFill>
                <a:srgbClr val="002060"/>
              </a:solidFill>
            </a:rPr>
            <a:t>3</a:t>
          </a:r>
        </a:p>
      </xdr:txBody>
    </xdr:sp>
    <xdr:clientData/>
  </xdr:oneCellAnchor>
  <xdr:twoCellAnchor>
    <xdr:from>
      <xdr:col>38</xdr:col>
      <xdr:colOff>353786</xdr:colOff>
      <xdr:row>77</xdr:row>
      <xdr:rowOff>81641</xdr:rowOff>
    </xdr:from>
    <xdr:to>
      <xdr:col>39</xdr:col>
      <xdr:colOff>507623</xdr:colOff>
      <xdr:row>79</xdr:row>
      <xdr:rowOff>109988</xdr:rowOff>
    </xdr:to>
    <xdr:sp macro="" textlink="">
      <xdr:nvSpPr>
        <xdr:cNvPr id="4" name="Arrow: Down 3">
          <a:extLst>
            <a:ext uri="{FF2B5EF4-FFF2-40B4-BE49-F238E27FC236}">
              <a16:creationId xmlns:a16="http://schemas.microsoft.com/office/drawing/2014/main" id="{00000000-0008-0000-0600-000004000000}"/>
            </a:ext>
          </a:extLst>
        </xdr:cNvPr>
        <xdr:cNvSpPr/>
      </xdr:nvSpPr>
      <xdr:spPr>
        <a:xfrm>
          <a:off x="31854322" y="14913427"/>
          <a:ext cx="1160765" cy="817561"/>
        </a:xfrm>
        <a:prstGeom prst="down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oneCellAnchor>
    <xdr:from>
      <xdr:col>35</xdr:col>
      <xdr:colOff>172129</xdr:colOff>
      <xdr:row>77</xdr:row>
      <xdr:rowOff>232341</xdr:rowOff>
    </xdr:from>
    <xdr:ext cx="358890" cy="329973"/>
    <xdr:sp macro="" textlink="">
      <xdr:nvSpPr>
        <xdr:cNvPr id="5" name="Oval 2">
          <a:extLst>
            <a:ext uri="{FF2B5EF4-FFF2-40B4-BE49-F238E27FC236}">
              <a16:creationId xmlns:a16="http://schemas.microsoft.com/office/drawing/2014/main" id="{00000000-0008-0000-0600-000005000000}"/>
            </a:ext>
          </a:extLst>
        </xdr:cNvPr>
        <xdr:cNvSpPr/>
      </xdr:nvSpPr>
      <xdr:spPr>
        <a:xfrm>
          <a:off x="29771067" y="15091341"/>
          <a:ext cx="358890" cy="329973"/>
        </a:xfrm>
        <a:prstGeom prst="ellipse">
          <a:avLst/>
        </a:prstGeom>
        <a:solidFill>
          <a:schemeClr val="bg1"/>
        </a:solidFill>
        <a:ln w="38100">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GB" sz="1400" b="1">
              <a:solidFill>
                <a:srgbClr val="002060"/>
              </a:solidFill>
            </a:rPr>
            <a:t>4</a:t>
          </a:r>
        </a:p>
      </xdr:txBody>
    </xdr:sp>
    <xdr:clientData/>
  </xdr:oneCellAnchor>
  <xdr:twoCellAnchor>
    <xdr:from>
      <xdr:col>19</xdr:col>
      <xdr:colOff>547511</xdr:colOff>
      <xdr:row>79</xdr:row>
      <xdr:rowOff>192342</xdr:rowOff>
    </xdr:from>
    <xdr:to>
      <xdr:col>19</xdr:col>
      <xdr:colOff>854428</xdr:colOff>
      <xdr:row>80</xdr:row>
      <xdr:rowOff>193852</xdr:rowOff>
    </xdr:to>
    <xdr:sp macro="" textlink="">
      <xdr:nvSpPr>
        <xdr:cNvPr id="3" name="Arrow: Left 2">
          <a:extLst>
            <a:ext uri="{FF2B5EF4-FFF2-40B4-BE49-F238E27FC236}">
              <a16:creationId xmlns:a16="http://schemas.microsoft.com/office/drawing/2014/main" id="{00000000-0008-0000-0600-000003000000}"/>
            </a:ext>
          </a:extLst>
        </xdr:cNvPr>
        <xdr:cNvSpPr/>
      </xdr:nvSpPr>
      <xdr:spPr>
        <a:xfrm>
          <a:off x="13145359" y="14852559"/>
          <a:ext cx="306917" cy="332815"/>
        </a:xfrm>
        <a:prstGeom prst="lef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21</xdr:col>
      <xdr:colOff>312965</xdr:colOff>
      <xdr:row>80</xdr:row>
      <xdr:rowOff>231321</xdr:rowOff>
    </xdr:from>
    <xdr:to>
      <xdr:col>22</xdr:col>
      <xdr:colOff>108858</xdr:colOff>
      <xdr:row>83</xdr:row>
      <xdr:rowOff>548463</xdr:rowOff>
    </xdr:to>
    <xdr:pic>
      <xdr:nvPicPr>
        <xdr:cNvPr id="9" name="Picture 8">
          <a:extLst>
            <a:ext uri="{FF2B5EF4-FFF2-40B4-BE49-F238E27FC236}">
              <a16:creationId xmlns:a16="http://schemas.microsoft.com/office/drawing/2014/main" id="{E56AB0EF-ADD1-4EE5-8CE7-24BF3D48A59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362465" y="16246928"/>
          <a:ext cx="952500" cy="1269642"/>
        </a:xfrm>
        <a:prstGeom prst="rect">
          <a:avLst/>
        </a:prstGeom>
      </xdr:spPr>
    </xdr:pic>
    <xdr:clientData/>
  </xdr:twoCellAnchor>
  <mc:AlternateContent xmlns:mc="http://schemas.openxmlformats.org/markup-compatibility/2006">
    <mc:Choice xmlns:a14="http://schemas.microsoft.com/office/drawing/2010/main" Requires="a14">
      <xdr:twoCellAnchor>
        <xdr:from>
          <xdr:col>29</xdr:col>
          <xdr:colOff>1247775</xdr:colOff>
          <xdr:row>77</xdr:row>
          <xdr:rowOff>285750</xdr:rowOff>
        </xdr:from>
        <xdr:to>
          <xdr:col>33</xdr:col>
          <xdr:colOff>9525</xdr:colOff>
          <xdr:row>78</xdr:row>
          <xdr:rowOff>495300</xdr:rowOff>
        </xdr:to>
        <xdr:sp macro="" textlink="">
          <xdr:nvSpPr>
            <xdr:cNvPr id="4265" name="Button 169" hidden="1">
              <a:extLst>
                <a:ext uri="{63B3BB69-23CF-44E3-9099-C40C66FF867C}">
                  <a14:compatExt spid="_x0000_s4265"/>
                </a:ext>
                <a:ext uri="{FF2B5EF4-FFF2-40B4-BE49-F238E27FC236}">
                  <a16:creationId xmlns:a16="http://schemas.microsoft.com/office/drawing/2014/main" id="{00000000-0008-0000-0700-0000A91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400" b="1" i="0" u="none" strike="noStrike" baseline="0">
                  <a:solidFill>
                    <a:srgbClr val="000000"/>
                  </a:solidFill>
                  <a:latin typeface="Calibri"/>
                  <a:ea typeface="Calibri"/>
                  <a:cs typeface="Calibri"/>
                </a:rPr>
                <a:t>Print preview indicative</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21166</xdr:colOff>
      <xdr:row>0</xdr:row>
      <xdr:rowOff>42333</xdr:rowOff>
    </xdr:from>
    <xdr:to>
      <xdr:col>2</xdr:col>
      <xdr:colOff>285751</xdr:colOff>
      <xdr:row>0</xdr:row>
      <xdr:rowOff>872610</xdr:rowOff>
    </xdr:to>
    <xdr:pic>
      <xdr:nvPicPr>
        <xdr:cNvPr id="2" name="Picture 1">
          <a:extLst>
            <a:ext uri="{FF2B5EF4-FFF2-40B4-BE49-F238E27FC236}">
              <a16:creationId xmlns:a16="http://schemas.microsoft.com/office/drawing/2014/main" id="{4A6BCBC7-1668-4E32-BC5C-E46BEAF705E8}"/>
            </a:ext>
          </a:extLst>
        </xdr:cNvPr>
        <xdr:cNvPicPr>
          <a:picLocks noChangeAspect="1"/>
        </xdr:cNvPicPr>
      </xdr:nvPicPr>
      <xdr:blipFill>
        <a:blip xmlns:r="http://schemas.openxmlformats.org/officeDocument/2006/relationships" r:embed="rId1"/>
        <a:stretch>
          <a:fillRect/>
        </a:stretch>
      </xdr:blipFill>
      <xdr:spPr>
        <a:xfrm>
          <a:off x="1354666" y="42333"/>
          <a:ext cx="1798110" cy="8302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21166</xdr:colOff>
      <xdr:row>0</xdr:row>
      <xdr:rowOff>42333</xdr:rowOff>
    </xdr:from>
    <xdr:to>
      <xdr:col>2</xdr:col>
      <xdr:colOff>285751</xdr:colOff>
      <xdr:row>0</xdr:row>
      <xdr:rowOff>872610</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792691" y="42333"/>
          <a:ext cx="1798109" cy="83027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21166</xdr:colOff>
      <xdr:row>0</xdr:row>
      <xdr:rowOff>42333</xdr:rowOff>
    </xdr:from>
    <xdr:to>
      <xdr:col>2</xdr:col>
      <xdr:colOff>285750</xdr:colOff>
      <xdr:row>0</xdr:row>
      <xdr:rowOff>872610</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792691" y="42333"/>
          <a:ext cx="1798109" cy="83027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78441</xdr:colOff>
      <xdr:row>0</xdr:row>
      <xdr:rowOff>0</xdr:rowOff>
    </xdr:from>
    <xdr:to>
      <xdr:col>1</xdr:col>
      <xdr:colOff>762000</xdr:colOff>
      <xdr:row>0</xdr:row>
      <xdr:rowOff>911155</xdr:rowOff>
    </xdr:to>
    <xdr:pic>
      <xdr:nvPicPr>
        <xdr:cNvPr id="3" name="Picture 2">
          <a:extLst>
            <a:ext uri="{FF2B5EF4-FFF2-40B4-BE49-F238E27FC236}">
              <a16:creationId xmlns:a16="http://schemas.microsoft.com/office/drawing/2014/main" id="{3777706D-3B11-49D6-B5C2-070549A5B2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1647" y="0"/>
          <a:ext cx="683559" cy="91115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661147</xdr:colOff>
      <xdr:row>0</xdr:row>
      <xdr:rowOff>182097</xdr:rowOff>
    </xdr:from>
    <xdr:to>
      <xdr:col>11</xdr:col>
      <xdr:colOff>952500</xdr:colOff>
      <xdr:row>1</xdr:row>
      <xdr:rowOff>0</xdr:rowOff>
    </xdr:to>
    <xdr:sp macro="" textlink="">
      <xdr:nvSpPr>
        <xdr:cNvPr id="2" name="Arrow: Down 1">
          <a:extLst>
            <a:ext uri="{FF2B5EF4-FFF2-40B4-BE49-F238E27FC236}">
              <a16:creationId xmlns:a16="http://schemas.microsoft.com/office/drawing/2014/main" id="{00000000-0008-0000-1200-000002000000}"/>
            </a:ext>
          </a:extLst>
        </xdr:cNvPr>
        <xdr:cNvSpPr/>
      </xdr:nvSpPr>
      <xdr:spPr>
        <a:xfrm>
          <a:off x="10858500" y="630332"/>
          <a:ext cx="291353" cy="22131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661147</xdr:colOff>
      <xdr:row>0</xdr:row>
      <xdr:rowOff>182097</xdr:rowOff>
    </xdr:from>
    <xdr:to>
      <xdr:col>11</xdr:col>
      <xdr:colOff>952500</xdr:colOff>
      <xdr:row>1</xdr:row>
      <xdr:rowOff>0</xdr:rowOff>
    </xdr:to>
    <xdr:sp macro="" textlink="">
      <xdr:nvSpPr>
        <xdr:cNvPr id="3" name="Arrow: Down 2">
          <a:extLst>
            <a:ext uri="{FF2B5EF4-FFF2-40B4-BE49-F238E27FC236}">
              <a16:creationId xmlns:a16="http://schemas.microsoft.com/office/drawing/2014/main" id="{00000000-0008-0000-1200-000003000000}"/>
            </a:ext>
          </a:extLst>
        </xdr:cNvPr>
        <xdr:cNvSpPr/>
      </xdr:nvSpPr>
      <xdr:spPr>
        <a:xfrm>
          <a:off x="18491947" y="182097"/>
          <a:ext cx="0" cy="26557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4</xdr:col>
      <xdr:colOff>727870</xdr:colOff>
      <xdr:row>235</xdr:row>
      <xdr:rowOff>28574</xdr:rowOff>
    </xdr:from>
    <xdr:ext cx="4901509" cy="6915150"/>
    <xdr:pic>
      <xdr:nvPicPr>
        <xdr:cNvPr id="3" name="Picture 2" descr="See the source image">
          <a:extLst>
            <a:ext uri="{FF2B5EF4-FFF2-40B4-BE49-F238E27FC236}">
              <a16:creationId xmlns:a16="http://schemas.microsoft.com/office/drawing/2014/main" id="{00000000-0008-0000-0D00-000003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320"/>
        <a:stretch/>
      </xdr:blipFill>
      <xdr:spPr bwMode="auto">
        <a:xfrm>
          <a:off x="4287839" y="12089605"/>
          <a:ext cx="4901509" cy="69151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21166</xdr:colOff>
      <xdr:row>0</xdr:row>
      <xdr:rowOff>42333</xdr:rowOff>
    </xdr:from>
    <xdr:to>
      <xdr:col>2</xdr:col>
      <xdr:colOff>285750</xdr:colOff>
      <xdr:row>0</xdr:row>
      <xdr:rowOff>872610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792691" y="42333"/>
          <a:ext cx="1798109" cy="83027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21166</xdr:colOff>
      <xdr:row>0</xdr:row>
      <xdr:rowOff>42333</xdr:rowOff>
    </xdr:from>
    <xdr:to>
      <xdr:col>2</xdr:col>
      <xdr:colOff>285751</xdr:colOff>
      <xdr:row>0</xdr:row>
      <xdr:rowOff>872610</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92691" y="42333"/>
          <a:ext cx="1798109" cy="83027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21166</xdr:colOff>
      <xdr:row>0</xdr:row>
      <xdr:rowOff>42333</xdr:rowOff>
    </xdr:from>
    <xdr:to>
      <xdr:col>2</xdr:col>
      <xdr:colOff>285751</xdr:colOff>
      <xdr:row>0</xdr:row>
      <xdr:rowOff>872610</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1402291" y="42333"/>
          <a:ext cx="1798110" cy="83027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21166</xdr:colOff>
      <xdr:row>0</xdr:row>
      <xdr:rowOff>42333</xdr:rowOff>
    </xdr:from>
    <xdr:to>
      <xdr:col>2</xdr:col>
      <xdr:colOff>285750</xdr:colOff>
      <xdr:row>0</xdr:row>
      <xdr:rowOff>872610</xdr:rowOff>
    </xdr:to>
    <xdr:pic>
      <xdr:nvPicPr>
        <xdr:cNvPr id="2" name="Future_Rent_TBL">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792691" y="42333"/>
          <a:ext cx="1798109" cy="83027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21166</xdr:colOff>
      <xdr:row>0</xdr:row>
      <xdr:rowOff>42333</xdr:rowOff>
    </xdr:from>
    <xdr:to>
      <xdr:col>2</xdr:col>
      <xdr:colOff>285750</xdr:colOff>
      <xdr:row>0</xdr:row>
      <xdr:rowOff>872610</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507999" y="42333"/>
          <a:ext cx="1799168" cy="83027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4</xdr:col>
      <xdr:colOff>58514</xdr:colOff>
      <xdr:row>6</xdr:row>
      <xdr:rowOff>0</xdr:rowOff>
    </xdr:from>
    <xdr:to>
      <xdr:col>11</xdr:col>
      <xdr:colOff>74360</xdr:colOff>
      <xdr:row>8</xdr:row>
      <xdr:rowOff>36532</xdr:rowOff>
    </xdr:to>
    <xdr:sp macro="" textlink="">
      <xdr:nvSpPr>
        <xdr:cNvPr id="41" name="object 27">
          <a:extLst>
            <a:ext uri="{FF2B5EF4-FFF2-40B4-BE49-F238E27FC236}">
              <a16:creationId xmlns:a16="http://schemas.microsoft.com/office/drawing/2014/main" id="{9C0E6B2D-C600-4AAF-8F37-8E8FEB48D0AF}"/>
            </a:ext>
          </a:extLst>
        </xdr:cNvPr>
        <xdr:cNvSpPr/>
      </xdr:nvSpPr>
      <xdr:spPr>
        <a:xfrm>
          <a:off x="58514" y="2027464"/>
          <a:ext cx="12357525" cy="512782"/>
        </a:xfrm>
        <a:custGeom>
          <a:avLst/>
          <a:gdLst/>
          <a:ahLst/>
          <a:cxnLst/>
          <a:rect l="l" t="t" r="r" b="b"/>
          <a:pathLst>
            <a:path w="6595745" h="307975">
              <a:moveTo>
                <a:pt x="6595440" y="0"/>
              </a:moveTo>
              <a:lnTo>
                <a:pt x="299135" y="0"/>
              </a:lnTo>
              <a:lnTo>
                <a:pt x="250616" y="3915"/>
              </a:lnTo>
              <a:lnTo>
                <a:pt x="204588" y="15249"/>
              </a:lnTo>
              <a:lnTo>
                <a:pt x="161668" y="33387"/>
              </a:lnTo>
              <a:lnTo>
                <a:pt x="122472" y="57714"/>
              </a:lnTo>
              <a:lnTo>
                <a:pt x="87617" y="87612"/>
              </a:lnTo>
              <a:lnTo>
                <a:pt x="57717" y="122467"/>
              </a:lnTo>
              <a:lnTo>
                <a:pt x="33390" y="161662"/>
              </a:lnTo>
              <a:lnTo>
                <a:pt x="15250" y="204583"/>
              </a:lnTo>
              <a:lnTo>
                <a:pt x="3915" y="250612"/>
              </a:lnTo>
              <a:lnTo>
                <a:pt x="0" y="299135"/>
              </a:lnTo>
              <a:lnTo>
                <a:pt x="0" y="307594"/>
              </a:lnTo>
              <a:lnTo>
                <a:pt x="6287846" y="307594"/>
              </a:lnTo>
              <a:lnTo>
                <a:pt x="6333299" y="304258"/>
              </a:lnTo>
              <a:lnTo>
                <a:pt x="6376681" y="294570"/>
              </a:lnTo>
              <a:lnTo>
                <a:pt x="6417518" y="279004"/>
              </a:lnTo>
              <a:lnTo>
                <a:pt x="6455332" y="258037"/>
              </a:lnTo>
              <a:lnTo>
                <a:pt x="6489648" y="232144"/>
              </a:lnTo>
              <a:lnTo>
                <a:pt x="6519991" y="201802"/>
              </a:lnTo>
              <a:lnTo>
                <a:pt x="6545883" y="167486"/>
              </a:lnTo>
              <a:lnTo>
                <a:pt x="6566850" y="129672"/>
              </a:lnTo>
              <a:lnTo>
                <a:pt x="6582416" y="88835"/>
              </a:lnTo>
              <a:lnTo>
                <a:pt x="6592104" y="45453"/>
              </a:lnTo>
              <a:lnTo>
                <a:pt x="6595440" y="0"/>
              </a:lnTo>
              <a:close/>
            </a:path>
          </a:pathLst>
        </a:custGeom>
        <a:solidFill>
          <a:srgbClr val="00A79D">
            <a:alpha val="54000"/>
          </a:srgbClr>
        </a:solidFill>
      </xdr:spPr>
      <xdr:txBody>
        <a:bodyPr wrap="square" lIns="0" tIns="0" rIns="0" bIns="0" rtlCol="0"/>
        <a:lstStyle>
          <a:defPPr>
            <a:defRPr kern="0"/>
          </a:defPPr>
        </a:lstStyle>
        <a:p>
          <a:endParaRPr/>
        </a:p>
      </xdr:txBody>
    </xdr:sp>
    <xdr:clientData/>
  </xdr:twoCellAnchor>
  <mc:AlternateContent xmlns:mc="http://schemas.openxmlformats.org/markup-compatibility/2006">
    <mc:Choice xmlns:a14="http://schemas.microsoft.com/office/drawing/2010/main" Requires="a14">
      <xdr:twoCellAnchor>
        <xdr:from>
          <xdr:col>12</xdr:col>
          <xdr:colOff>0</xdr:colOff>
          <xdr:row>3</xdr:row>
          <xdr:rowOff>161925</xdr:rowOff>
        </xdr:from>
        <xdr:to>
          <xdr:col>14</xdr:col>
          <xdr:colOff>352425</xdr:colOff>
          <xdr:row>4</xdr:row>
          <xdr:rowOff>152400</xdr:rowOff>
        </xdr:to>
        <xdr:sp macro="" textlink="">
          <xdr:nvSpPr>
            <xdr:cNvPr id="179201" name="Button 1" hidden="1">
              <a:extLst>
                <a:ext uri="{63B3BB69-23CF-44E3-9099-C40C66FF867C}">
                  <a14:compatExt spid="_x0000_s179201"/>
                </a:ext>
                <a:ext uri="{FF2B5EF4-FFF2-40B4-BE49-F238E27FC236}">
                  <a16:creationId xmlns:a16="http://schemas.microsoft.com/office/drawing/2014/main" id="{00000000-0008-0000-1300-000001BC02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200" b="1" i="0" u="none" strike="noStrike" baseline="0">
                  <a:solidFill>
                    <a:srgbClr val="000000"/>
                  </a:solidFill>
                  <a:latin typeface="Calibri"/>
                  <a:ea typeface="Calibri"/>
                  <a:cs typeface="Calibri"/>
                </a:rPr>
                <a:t>Hide empty rows before printing only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390525</xdr:colOff>
          <xdr:row>3</xdr:row>
          <xdr:rowOff>161925</xdr:rowOff>
        </xdr:from>
        <xdr:to>
          <xdr:col>16</xdr:col>
          <xdr:colOff>161925</xdr:colOff>
          <xdr:row>4</xdr:row>
          <xdr:rowOff>152400</xdr:rowOff>
        </xdr:to>
        <xdr:sp macro="" textlink="">
          <xdr:nvSpPr>
            <xdr:cNvPr id="179202" name="Button 2" hidden="1">
              <a:extLst>
                <a:ext uri="{63B3BB69-23CF-44E3-9099-C40C66FF867C}">
                  <a14:compatExt spid="_x0000_s179202"/>
                </a:ext>
                <a:ext uri="{FF2B5EF4-FFF2-40B4-BE49-F238E27FC236}">
                  <a16:creationId xmlns:a16="http://schemas.microsoft.com/office/drawing/2014/main" id="{00000000-0008-0000-1300-000002BC02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200" b="1" i="0" u="none" strike="noStrike" baseline="0">
                  <a:solidFill>
                    <a:srgbClr val="000000"/>
                  </a:solidFill>
                  <a:latin typeface="Calibri"/>
                  <a:ea typeface="Calibri"/>
                  <a:cs typeface="Calibri"/>
                </a:rPr>
                <a:t>Unhide empty rows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0</xdr:colOff>
          <xdr:row>4</xdr:row>
          <xdr:rowOff>219075</xdr:rowOff>
        </xdr:from>
        <xdr:to>
          <xdr:col>16</xdr:col>
          <xdr:colOff>161925</xdr:colOff>
          <xdr:row>5</xdr:row>
          <xdr:rowOff>247650</xdr:rowOff>
        </xdr:to>
        <xdr:sp macro="" textlink="">
          <xdr:nvSpPr>
            <xdr:cNvPr id="179203" name="Button 3" hidden="1">
              <a:extLst>
                <a:ext uri="{63B3BB69-23CF-44E3-9099-C40C66FF867C}">
                  <a14:compatExt spid="_x0000_s179203"/>
                </a:ext>
                <a:ext uri="{FF2B5EF4-FFF2-40B4-BE49-F238E27FC236}">
                  <a16:creationId xmlns:a16="http://schemas.microsoft.com/office/drawing/2014/main" id="{00000000-0008-0000-1300-000003BC02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GB" sz="1400" b="1" i="0" u="none" strike="noStrike" baseline="0">
                  <a:solidFill>
                    <a:srgbClr val="000000"/>
                  </a:solidFill>
                  <a:latin typeface="Calibri"/>
                  <a:ea typeface="Calibri"/>
                  <a:cs typeface="Calibri"/>
                </a:rPr>
                <a:t>Print preview</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16</xdr:col>
          <xdr:colOff>285750</xdr:colOff>
          <xdr:row>3</xdr:row>
          <xdr:rowOff>152400</xdr:rowOff>
        </xdr:from>
        <xdr:to>
          <xdr:col>16</xdr:col>
          <xdr:colOff>1581150</xdr:colOff>
          <xdr:row>4</xdr:row>
          <xdr:rowOff>152400</xdr:rowOff>
        </xdr:to>
        <xdr:sp macro="" textlink="">
          <xdr:nvSpPr>
            <xdr:cNvPr id="179204" name="Button 4" hidden="1">
              <a:extLst>
                <a:ext uri="{63B3BB69-23CF-44E3-9099-C40C66FF867C}">
                  <a14:compatExt spid="_x0000_s179204"/>
                </a:ext>
                <a:ext uri="{FF2B5EF4-FFF2-40B4-BE49-F238E27FC236}">
                  <a16:creationId xmlns:a16="http://schemas.microsoft.com/office/drawing/2014/main" id="{00000000-0008-0000-1300-000004BC02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200" b="1" i="0" u="none" strike="noStrike" baseline="0">
                  <a:solidFill>
                    <a:srgbClr val="000000"/>
                  </a:solidFill>
                  <a:latin typeface="Calibri"/>
                  <a:ea typeface="Calibri"/>
                  <a:cs typeface="Calibri"/>
                </a:rPr>
                <a:t>Filter for </a:t>
              </a:r>
            </a:p>
            <a:p>
              <a:pPr algn="ctr" rtl="0">
                <a:defRPr sz="1000"/>
              </a:pPr>
              <a:r>
                <a:rPr lang="en-GB" sz="1200" b="1" i="0" u="none" strike="noStrike" baseline="0">
                  <a:solidFill>
                    <a:srgbClr val="000000"/>
                  </a:solidFill>
                  <a:latin typeface="Calibri"/>
                  <a:ea typeface="Calibri"/>
                  <a:cs typeface="Calibri"/>
                </a:rPr>
                <a:t>DIP list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16</xdr:col>
          <xdr:colOff>1609725</xdr:colOff>
          <xdr:row>3</xdr:row>
          <xdr:rowOff>152400</xdr:rowOff>
        </xdr:from>
        <xdr:to>
          <xdr:col>16</xdr:col>
          <xdr:colOff>2952750</xdr:colOff>
          <xdr:row>4</xdr:row>
          <xdr:rowOff>152400</xdr:rowOff>
        </xdr:to>
        <xdr:sp macro="" textlink="">
          <xdr:nvSpPr>
            <xdr:cNvPr id="179205" name="Button 5" hidden="1">
              <a:extLst>
                <a:ext uri="{63B3BB69-23CF-44E3-9099-C40C66FF867C}">
                  <a14:compatExt spid="_x0000_s179205"/>
                </a:ext>
                <a:ext uri="{FF2B5EF4-FFF2-40B4-BE49-F238E27FC236}">
                  <a16:creationId xmlns:a16="http://schemas.microsoft.com/office/drawing/2014/main" id="{00000000-0008-0000-1300-000005BC02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200" b="1" i="0" u="none" strike="noStrike" baseline="0">
                  <a:solidFill>
                    <a:srgbClr val="000000"/>
                  </a:solidFill>
                  <a:latin typeface="Calibri"/>
                  <a:ea typeface="Calibri"/>
                  <a:cs typeface="Calibri"/>
                </a:rPr>
                <a:t>Filter for </a:t>
              </a:r>
            </a:p>
            <a:p>
              <a:pPr algn="ctr" rtl="0">
                <a:defRPr sz="1000"/>
              </a:pPr>
              <a:r>
                <a:rPr lang="en-GB" sz="1200" b="1" i="0" u="none" strike="noStrike" baseline="0">
                  <a:solidFill>
                    <a:srgbClr val="000000"/>
                  </a:solidFill>
                  <a:latin typeface="Calibri"/>
                  <a:ea typeface="Calibri"/>
                  <a:cs typeface="Calibri"/>
                </a:rPr>
                <a:t>indicative list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16</xdr:col>
          <xdr:colOff>285750</xdr:colOff>
          <xdr:row>4</xdr:row>
          <xdr:rowOff>200025</xdr:rowOff>
        </xdr:from>
        <xdr:to>
          <xdr:col>16</xdr:col>
          <xdr:colOff>2943225</xdr:colOff>
          <xdr:row>5</xdr:row>
          <xdr:rowOff>247650</xdr:rowOff>
        </xdr:to>
        <xdr:sp macro="" textlink="">
          <xdr:nvSpPr>
            <xdr:cNvPr id="179206" name="Button 6" hidden="1">
              <a:extLst>
                <a:ext uri="{63B3BB69-23CF-44E3-9099-C40C66FF867C}">
                  <a14:compatExt spid="_x0000_s179206"/>
                </a:ext>
                <a:ext uri="{FF2B5EF4-FFF2-40B4-BE49-F238E27FC236}">
                  <a16:creationId xmlns:a16="http://schemas.microsoft.com/office/drawing/2014/main" id="{00000000-0008-0000-1300-000006BC02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200" b="1" i="0" u="none" strike="noStrike" baseline="0">
                  <a:solidFill>
                    <a:srgbClr val="000000"/>
                  </a:solidFill>
                  <a:latin typeface="Calibri"/>
                  <a:ea typeface="Calibri"/>
                  <a:cs typeface="Calibri"/>
                </a:rPr>
                <a:t>Filter to see combined list</a:t>
              </a:r>
            </a:p>
          </xdr:txBody>
        </xdr:sp>
        <xdr:clientData fPrintsWithSheet="0"/>
      </xdr:twoCellAnchor>
    </mc:Choice>
    <mc:Fallback/>
  </mc:AlternateContent>
  <xdr:twoCellAnchor>
    <xdr:from>
      <xdr:col>5</xdr:col>
      <xdr:colOff>1768923</xdr:colOff>
      <xdr:row>1</xdr:row>
      <xdr:rowOff>13612</xdr:rowOff>
    </xdr:from>
    <xdr:to>
      <xdr:col>11</xdr:col>
      <xdr:colOff>20351</xdr:colOff>
      <xdr:row>4</xdr:row>
      <xdr:rowOff>127505</xdr:rowOff>
    </xdr:to>
    <xdr:sp macro="" textlink="">
      <xdr:nvSpPr>
        <xdr:cNvPr id="39" name="object 45">
          <a:extLst>
            <a:ext uri="{FF2B5EF4-FFF2-40B4-BE49-F238E27FC236}">
              <a16:creationId xmlns:a16="http://schemas.microsoft.com/office/drawing/2014/main" id="{84E95146-FC8A-4A97-88F9-3A7DCED894CF}"/>
            </a:ext>
          </a:extLst>
        </xdr:cNvPr>
        <xdr:cNvSpPr/>
      </xdr:nvSpPr>
      <xdr:spPr>
        <a:xfrm>
          <a:off x="2340423" y="251737"/>
          <a:ext cx="10005278" cy="1066393"/>
        </a:xfrm>
        <a:custGeom>
          <a:avLst/>
          <a:gdLst/>
          <a:ahLst/>
          <a:cxnLst/>
          <a:rect l="l" t="t" r="r" b="b"/>
          <a:pathLst>
            <a:path w="5753100" h="641985">
              <a:moveTo>
                <a:pt x="4766018" y="432701"/>
              </a:moveTo>
              <a:lnTo>
                <a:pt x="4762360" y="421462"/>
              </a:lnTo>
              <a:lnTo>
                <a:pt x="4759998" y="413334"/>
              </a:lnTo>
              <a:lnTo>
                <a:pt x="4756975" y="401624"/>
              </a:lnTo>
              <a:lnTo>
                <a:pt x="4753534" y="399529"/>
              </a:lnTo>
              <a:lnTo>
                <a:pt x="4750117" y="400456"/>
              </a:lnTo>
              <a:lnTo>
                <a:pt x="4746726" y="401332"/>
              </a:lnTo>
              <a:lnTo>
                <a:pt x="4744682" y="404799"/>
              </a:lnTo>
              <a:lnTo>
                <a:pt x="4756226" y="437680"/>
              </a:lnTo>
              <a:lnTo>
                <a:pt x="4759947" y="437680"/>
              </a:lnTo>
              <a:lnTo>
                <a:pt x="4764189" y="436295"/>
              </a:lnTo>
              <a:lnTo>
                <a:pt x="4766018" y="432701"/>
              </a:lnTo>
              <a:close/>
            </a:path>
            <a:path w="5753100" h="641985">
              <a:moveTo>
                <a:pt x="4798098" y="501078"/>
              </a:moveTo>
              <a:lnTo>
                <a:pt x="4791938" y="491159"/>
              </a:lnTo>
              <a:lnTo>
                <a:pt x="4787811" y="483768"/>
              </a:lnTo>
              <a:lnTo>
                <a:pt x="4782401" y="472986"/>
              </a:lnTo>
              <a:lnTo>
                <a:pt x="4778540" y="471754"/>
              </a:lnTo>
              <a:lnTo>
                <a:pt x="4772304" y="474891"/>
              </a:lnTo>
              <a:lnTo>
                <a:pt x="4771060" y="478701"/>
              </a:lnTo>
              <a:lnTo>
                <a:pt x="4772622" y="481838"/>
              </a:lnTo>
              <a:lnTo>
                <a:pt x="4788738" y="507796"/>
              </a:lnTo>
              <a:lnTo>
                <a:pt x="4792015" y="507796"/>
              </a:lnTo>
              <a:lnTo>
                <a:pt x="4793170" y="507492"/>
              </a:lnTo>
              <a:lnTo>
                <a:pt x="4797196" y="504990"/>
              </a:lnTo>
              <a:lnTo>
                <a:pt x="4798098" y="501078"/>
              </a:lnTo>
              <a:close/>
            </a:path>
            <a:path w="5753100" h="641985">
              <a:moveTo>
                <a:pt x="4847895" y="561390"/>
              </a:moveTo>
              <a:lnTo>
                <a:pt x="4847590" y="557377"/>
              </a:lnTo>
              <a:lnTo>
                <a:pt x="4838611" y="549706"/>
              </a:lnTo>
              <a:lnTo>
                <a:pt x="4832629" y="544017"/>
              </a:lnTo>
              <a:lnTo>
                <a:pt x="4824361" y="535292"/>
              </a:lnTo>
              <a:lnTo>
                <a:pt x="4820221" y="535292"/>
              </a:lnTo>
              <a:lnTo>
                <a:pt x="4815256" y="540004"/>
              </a:lnTo>
              <a:lnTo>
                <a:pt x="4815141" y="544017"/>
              </a:lnTo>
              <a:lnTo>
                <a:pt x="4817554" y="546569"/>
              </a:lnTo>
              <a:lnTo>
                <a:pt x="4839335" y="566280"/>
              </a:lnTo>
              <a:lnTo>
                <a:pt x="4842573" y="566280"/>
              </a:lnTo>
              <a:lnTo>
                <a:pt x="4844364" y="565518"/>
              </a:lnTo>
              <a:lnTo>
                <a:pt x="4847895" y="561390"/>
              </a:lnTo>
              <a:close/>
            </a:path>
            <a:path w="5753100" h="641985">
              <a:moveTo>
                <a:pt x="4913274" y="600024"/>
              </a:moveTo>
              <a:lnTo>
                <a:pt x="4911826" y="596265"/>
              </a:lnTo>
              <a:lnTo>
                <a:pt x="4900917" y="591413"/>
              </a:lnTo>
              <a:lnTo>
                <a:pt x="4893322" y="587654"/>
              </a:lnTo>
              <a:lnTo>
                <a:pt x="4883035" y="581914"/>
              </a:lnTo>
              <a:lnTo>
                <a:pt x="4879162" y="583031"/>
              </a:lnTo>
              <a:lnTo>
                <a:pt x="4877447" y="586092"/>
              </a:lnTo>
              <a:lnTo>
                <a:pt x="4875758" y="589165"/>
              </a:lnTo>
              <a:lnTo>
                <a:pt x="4876863" y="593026"/>
              </a:lnTo>
              <a:lnTo>
                <a:pt x="4905172" y="606996"/>
              </a:lnTo>
              <a:lnTo>
                <a:pt x="4908474" y="606996"/>
              </a:lnTo>
              <a:lnTo>
                <a:pt x="4910785" y="605586"/>
              </a:lnTo>
              <a:lnTo>
                <a:pt x="4913274" y="600024"/>
              </a:lnTo>
              <a:close/>
            </a:path>
            <a:path w="5753100" h="641985">
              <a:moveTo>
                <a:pt x="4986477" y="621703"/>
              </a:moveTo>
              <a:lnTo>
                <a:pt x="4984280" y="618337"/>
              </a:lnTo>
              <a:lnTo>
                <a:pt x="4972355" y="615848"/>
              </a:lnTo>
              <a:lnTo>
                <a:pt x="4964150" y="613867"/>
              </a:lnTo>
              <a:lnTo>
                <a:pt x="4952847" y="610781"/>
              </a:lnTo>
              <a:lnTo>
                <a:pt x="4949342" y="612749"/>
              </a:lnTo>
              <a:lnTo>
                <a:pt x="4948479" y="615848"/>
              </a:lnTo>
              <a:lnTo>
                <a:pt x="4947463" y="619518"/>
              </a:lnTo>
              <a:lnTo>
                <a:pt x="4949456" y="623011"/>
              </a:lnTo>
              <a:lnTo>
                <a:pt x="4959045" y="625576"/>
              </a:lnTo>
              <a:lnTo>
                <a:pt x="4965344" y="627138"/>
              </a:lnTo>
              <a:lnTo>
                <a:pt x="4971745" y="628637"/>
              </a:lnTo>
              <a:lnTo>
                <a:pt x="4978933" y="630186"/>
              </a:lnTo>
              <a:lnTo>
                <a:pt x="4982502" y="630186"/>
              </a:lnTo>
              <a:lnTo>
                <a:pt x="4985143" y="628129"/>
              </a:lnTo>
              <a:lnTo>
                <a:pt x="4986477" y="621703"/>
              </a:lnTo>
              <a:close/>
            </a:path>
            <a:path w="5753100" h="641985">
              <a:moveTo>
                <a:pt x="5062652" y="630732"/>
              </a:moveTo>
              <a:lnTo>
                <a:pt x="5059997" y="627710"/>
              </a:lnTo>
              <a:lnTo>
                <a:pt x="5050028" y="627049"/>
              </a:lnTo>
              <a:lnTo>
                <a:pt x="5043652" y="626541"/>
              </a:lnTo>
              <a:lnTo>
                <a:pt x="5037340" y="625983"/>
              </a:lnTo>
              <a:lnTo>
                <a:pt x="5031117" y="625373"/>
              </a:lnTo>
              <a:lnTo>
                <a:pt x="5027650" y="624928"/>
              </a:lnTo>
              <a:lnTo>
                <a:pt x="5024513" y="627519"/>
              </a:lnTo>
              <a:lnTo>
                <a:pt x="5056098" y="640181"/>
              </a:lnTo>
              <a:lnTo>
                <a:pt x="5059438" y="640181"/>
              </a:lnTo>
              <a:lnTo>
                <a:pt x="5062182" y="637628"/>
              </a:lnTo>
              <a:lnTo>
                <a:pt x="5062423" y="634504"/>
              </a:lnTo>
              <a:lnTo>
                <a:pt x="5062652" y="630732"/>
              </a:lnTo>
              <a:close/>
            </a:path>
            <a:path w="5753100" h="641985">
              <a:moveTo>
                <a:pt x="5139715" y="631723"/>
              </a:moveTo>
              <a:lnTo>
                <a:pt x="5136870" y="628891"/>
              </a:lnTo>
              <a:lnTo>
                <a:pt x="5104079" y="628891"/>
              </a:lnTo>
              <a:lnTo>
                <a:pt x="5101247" y="631723"/>
              </a:lnTo>
              <a:lnTo>
                <a:pt x="5101247" y="638746"/>
              </a:lnTo>
              <a:lnTo>
                <a:pt x="5104079" y="641591"/>
              </a:lnTo>
              <a:lnTo>
                <a:pt x="5136870" y="641591"/>
              </a:lnTo>
              <a:lnTo>
                <a:pt x="5139715" y="638746"/>
              </a:lnTo>
              <a:lnTo>
                <a:pt x="5139715" y="631723"/>
              </a:lnTo>
              <a:close/>
            </a:path>
            <a:path w="5753100" h="641985">
              <a:moveTo>
                <a:pt x="5217045" y="631723"/>
              </a:moveTo>
              <a:lnTo>
                <a:pt x="5214201" y="628891"/>
              </a:lnTo>
              <a:lnTo>
                <a:pt x="5181409" y="628891"/>
              </a:lnTo>
              <a:lnTo>
                <a:pt x="5178564" y="631723"/>
              </a:lnTo>
              <a:lnTo>
                <a:pt x="5178564" y="638746"/>
              </a:lnTo>
              <a:lnTo>
                <a:pt x="5181409" y="641591"/>
              </a:lnTo>
              <a:lnTo>
                <a:pt x="5214201" y="641591"/>
              </a:lnTo>
              <a:lnTo>
                <a:pt x="5217045" y="638746"/>
              </a:lnTo>
              <a:lnTo>
                <a:pt x="5217045" y="631723"/>
              </a:lnTo>
              <a:close/>
            </a:path>
            <a:path w="5753100" h="641985">
              <a:moveTo>
                <a:pt x="5294376" y="631723"/>
              </a:moveTo>
              <a:lnTo>
                <a:pt x="5291531" y="628891"/>
              </a:lnTo>
              <a:lnTo>
                <a:pt x="5258740" y="628891"/>
              </a:lnTo>
              <a:lnTo>
                <a:pt x="5255895" y="631723"/>
              </a:lnTo>
              <a:lnTo>
                <a:pt x="5255895" y="638746"/>
              </a:lnTo>
              <a:lnTo>
                <a:pt x="5258740" y="641591"/>
              </a:lnTo>
              <a:lnTo>
                <a:pt x="5291531" y="641591"/>
              </a:lnTo>
              <a:lnTo>
                <a:pt x="5294376" y="638746"/>
              </a:lnTo>
              <a:lnTo>
                <a:pt x="5294376" y="631723"/>
              </a:lnTo>
              <a:close/>
            </a:path>
            <a:path w="5753100" h="641985">
              <a:moveTo>
                <a:pt x="5371693" y="631723"/>
              </a:moveTo>
              <a:lnTo>
                <a:pt x="5368861" y="628891"/>
              </a:lnTo>
              <a:lnTo>
                <a:pt x="5336070" y="628891"/>
              </a:lnTo>
              <a:lnTo>
                <a:pt x="5333225" y="631723"/>
              </a:lnTo>
              <a:lnTo>
                <a:pt x="5333225" y="638746"/>
              </a:lnTo>
              <a:lnTo>
                <a:pt x="5336070" y="641591"/>
              </a:lnTo>
              <a:lnTo>
                <a:pt x="5368861" y="641591"/>
              </a:lnTo>
              <a:lnTo>
                <a:pt x="5371693" y="638746"/>
              </a:lnTo>
              <a:lnTo>
                <a:pt x="5371693" y="631723"/>
              </a:lnTo>
              <a:close/>
            </a:path>
            <a:path w="5753100" h="641985">
              <a:moveTo>
                <a:pt x="5449024" y="631723"/>
              </a:moveTo>
              <a:lnTo>
                <a:pt x="5446192" y="628891"/>
              </a:lnTo>
              <a:lnTo>
                <a:pt x="5413400" y="628891"/>
              </a:lnTo>
              <a:lnTo>
                <a:pt x="5410555" y="631723"/>
              </a:lnTo>
              <a:lnTo>
                <a:pt x="5410555" y="638746"/>
              </a:lnTo>
              <a:lnTo>
                <a:pt x="5413400" y="641591"/>
              </a:lnTo>
              <a:lnTo>
                <a:pt x="5446192" y="641591"/>
              </a:lnTo>
              <a:lnTo>
                <a:pt x="5449024" y="638746"/>
              </a:lnTo>
              <a:lnTo>
                <a:pt x="5449024" y="631723"/>
              </a:lnTo>
              <a:close/>
            </a:path>
            <a:path w="5753100" h="641985">
              <a:moveTo>
                <a:pt x="5526367" y="631723"/>
              </a:moveTo>
              <a:lnTo>
                <a:pt x="5523535" y="628891"/>
              </a:lnTo>
              <a:lnTo>
                <a:pt x="5490730" y="628891"/>
              </a:lnTo>
              <a:lnTo>
                <a:pt x="5487886" y="631723"/>
              </a:lnTo>
              <a:lnTo>
                <a:pt x="5487886" y="638746"/>
              </a:lnTo>
              <a:lnTo>
                <a:pt x="5490730" y="641591"/>
              </a:lnTo>
              <a:lnTo>
                <a:pt x="5523535" y="641591"/>
              </a:lnTo>
              <a:lnTo>
                <a:pt x="5526367" y="638746"/>
              </a:lnTo>
              <a:lnTo>
                <a:pt x="5526367" y="631723"/>
              </a:lnTo>
              <a:close/>
            </a:path>
            <a:path w="5753100" h="641985">
              <a:moveTo>
                <a:pt x="5603697" y="631723"/>
              </a:moveTo>
              <a:lnTo>
                <a:pt x="5600852" y="628891"/>
              </a:lnTo>
              <a:lnTo>
                <a:pt x="5568048" y="628891"/>
              </a:lnTo>
              <a:lnTo>
                <a:pt x="5565216" y="631723"/>
              </a:lnTo>
              <a:lnTo>
                <a:pt x="5565216" y="638746"/>
              </a:lnTo>
              <a:lnTo>
                <a:pt x="5568048" y="641591"/>
              </a:lnTo>
              <a:lnTo>
                <a:pt x="5600852" y="641591"/>
              </a:lnTo>
              <a:lnTo>
                <a:pt x="5603697" y="638746"/>
              </a:lnTo>
              <a:lnTo>
                <a:pt x="5603697" y="631723"/>
              </a:lnTo>
              <a:close/>
            </a:path>
            <a:path w="5753100" h="641985">
              <a:moveTo>
                <a:pt x="5681027" y="631723"/>
              </a:moveTo>
              <a:lnTo>
                <a:pt x="5678182" y="628891"/>
              </a:lnTo>
              <a:lnTo>
                <a:pt x="5645378" y="628891"/>
              </a:lnTo>
              <a:lnTo>
                <a:pt x="5642546" y="631723"/>
              </a:lnTo>
              <a:lnTo>
                <a:pt x="5642546" y="638746"/>
              </a:lnTo>
              <a:lnTo>
                <a:pt x="5645378" y="641591"/>
              </a:lnTo>
              <a:lnTo>
                <a:pt x="5678182" y="641591"/>
              </a:lnTo>
              <a:lnTo>
                <a:pt x="5681027" y="638746"/>
              </a:lnTo>
              <a:lnTo>
                <a:pt x="5681027" y="631723"/>
              </a:lnTo>
              <a:close/>
            </a:path>
            <a:path w="5753100" h="641985">
              <a:moveTo>
                <a:pt x="5753011" y="628891"/>
              </a:moveTo>
              <a:lnTo>
                <a:pt x="5722721" y="628891"/>
              </a:lnTo>
              <a:lnTo>
                <a:pt x="5719877" y="631723"/>
              </a:lnTo>
              <a:lnTo>
                <a:pt x="5719877" y="638746"/>
              </a:lnTo>
              <a:lnTo>
                <a:pt x="5722721" y="641591"/>
              </a:lnTo>
              <a:lnTo>
                <a:pt x="5753011" y="641591"/>
              </a:lnTo>
              <a:lnTo>
                <a:pt x="5753011" y="628891"/>
              </a:lnTo>
              <a:close/>
            </a:path>
            <a:path w="5753100" h="641985">
              <a:moveTo>
                <a:pt x="5753011" y="0"/>
              </a:moveTo>
              <a:lnTo>
                <a:pt x="88" y="0"/>
              </a:lnTo>
              <a:lnTo>
                <a:pt x="0" y="59728"/>
              </a:lnTo>
              <a:lnTo>
                <a:pt x="0" y="199974"/>
              </a:lnTo>
              <a:lnTo>
                <a:pt x="6896" y="246024"/>
              </a:lnTo>
              <a:lnTo>
                <a:pt x="26352" y="287388"/>
              </a:lnTo>
              <a:lnTo>
                <a:pt x="56540" y="322440"/>
              </a:lnTo>
              <a:lnTo>
                <a:pt x="95605" y="349516"/>
              </a:lnTo>
              <a:lnTo>
                <a:pt x="141719" y="366979"/>
              </a:lnTo>
              <a:lnTo>
                <a:pt x="193027" y="373164"/>
              </a:lnTo>
              <a:lnTo>
                <a:pt x="5379847" y="373164"/>
              </a:lnTo>
              <a:lnTo>
                <a:pt x="5426659" y="370255"/>
              </a:lnTo>
              <a:lnTo>
                <a:pt x="5471731" y="361772"/>
              </a:lnTo>
              <a:lnTo>
                <a:pt x="5514721" y="348043"/>
              </a:lnTo>
              <a:lnTo>
                <a:pt x="5555272" y="329450"/>
              </a:lnTo>
              <a:lnTo>
                <a:pt x="5593042" y="306311"/>
              </a:lnTo>
              <a:lnTo>
                <a:pt x="5627687" y="278993"/>
              </a:lnTo>
              <a:lnTo>
                <a:pt x="5658840" y="247840"/>
              </a:lnTo>
              <a:lnTo>
                <a:pt x="5686158" y="213194"/>
              </a:lnTo>
              <a:lnTo>
                <a:pt x="5709297" y="175425"/>
              </a:lnTo>
              <a:lnTo>
                <a:pt x="5727890" y="134874"/>
              </a:lnTo>
              <a:lnTo>
                <a:pt x="5741619" y="91884"/>
              </a:lnTo>
              <a:lnTo>
                <a:pt x="5750103" y="46812"/>
              </a:lnTo>
              <a:lnTo>
                <a:pt x="5753011" y="0"/>
              </a:lnTo>
              <a:close/>
            </a:path>
          </a:pathLst>
        </a:custGeom>
        <a:solidFill>
          <a:srgbClr val="00A79D"/>
        </a:solidFill>
      </xdr:spPr>
      <xdr:txBody>
        <a:bodyPr wrap="square" lIns="0" tIns="0" rIns="0" bIns="0" rtlCol="0"/>
        <a:lstStyle>
          <a:defPPr>
            <a:defRPr kern="0"/>
          </a:defPPr>
        </a:lstStyle>
        <a:p>
          <a:endParaRPr/>
        </a:p>
      </xdr:txBody>
    </xdr:sp>
    <xdr:clientData/>
  </xdr:twoCellAnchor>
  <xdr:twoCellAnchor>
    <xdr:from>
      <xdr:col>5</xdr:col>
      <xdr:colOff>1646459</xdr:colOff>
      <xdr:row>4</xdr:row>
      <xdr:rowOff>68041</xdr:rowOff>
    </xdr:from>
    <xdr:to>
      <xdr:col>8</xdr:col>
      <xdr:colOff>81637</xdr:colOff>
      <xdr:row>4</xdr:row>
      <xdr:rowOff>452313</xdr:rowOff>
    </xdr:to>
    <xdr:sp macro="" textlink="">
      <xdr:nvSpPr>
        <xdr:cNvPr id="40" name="object 52">
          <a:extLst>
            <a:ext uri="{FF2B5EF4-FFF2-40B4-BE49-F238E27FC236}">
              <a16:creationId xmlns:a16="http://schemas.microsoft.com/office/drawing/2014/main" id="{0D665F25-3CFA-496A-9B62-6303E965E182}"/>
            </a:ext>
          </a:extLst>
        </xdr:cNvPr>
        <xdr:cNvSpPr txBox="1"/>
      </xdr:nvSpPr>
      <xdr:spPr>
        <a:xfrm>
          <a:off x="2227484" y="1258666"/>
          <a:ext cx="4912178" cy="384272"/>
        </a:xfrm>
        <a:prstGeom prst="rect">
          <a:avLst/>
        </a:prstGeom>
      </xdr:spPr>
      <xdr:txBody>
        <a:bodyPr vert="horz" wrap="square" lIns="0" tIns="12700" rIns="0" bIns="0" rtlCol="0">
          <a:spAutoFit/>
        </a:bodyPr>
        <a:lstStyle>
          <a:defPPr>
            <a:defRPr kern="0"/>
          </a:defPPr>
        </a:lstStyle>
        <a:p>
          <a:pPr marL="12700">
            <a:lnSpc>
              <a:spcPct val="100000"/>
            </a:lnSpc>
            <a:spcBef>
              <a:spcPts val="100"/>
            </a:spcBef>
          </a:pPr>
          <a:r>
            <a:rPr lang="en-GB" sz="2400" b="1" spc="-140">
              <a:solidFill>
                <a:srgbClr val="142E52"/>
              </a:solidFill>
              <a:latin typeface="Tahoma"/>
              <a:cs typeface="Tahoma"/>
            </a:rPr>
            <a:t>Underwriting</a:t>
          </a:r>
          <a:r>
            <a:rPr lang="en-GB" sz="2400" b="1" spc="-140" baseline="0">
              <a:solidFill>
                <a:srgbClr val="142E52"/>
              </a:solidFill>
              <a:latin typeface="Tahoma"/>
              <a:cs typeface="Tahoma"/>
            </a:rPr>
            <a:t> Requirements </a:t>
          </a:r>
          <a:r>
            <a:rPr sz="2400" b="1" spc="-130">
              <a:solidFill>
                <a:srgbClr val="142E52"/>
              </a:solidFill>
              <a:latin typeface="Tahoma"/>
              <a:cs typeface="Tahoma"/>
            </a:rPr>
            <a:t>-</a:t>
          </a:r>
          <a:r>
            <a:rPr sz="2400" b="1" spc="-95">
              <a:solidFill>
                <a:srgbClr val="142E52"/>
              </a:solidFill>
              <a:latin typeface="Tahoma"/>
              <a:cs typeface="Tahoma"/>
            </a:rPr>
            <a:t> </a:t>
          </a:r>
          <a:r>
            <a:rPr sz="2400" b="1" spc="-75">
              <a:solidFill>
                <a:srgbClr val="142E52"/>
              </a:solidFill>
              <a:latin typeface="Tahoma"/>
              <a:cs typeface="Tahoma"/>
            </a:rPr>
            <a:t>BTL</a:t>
          </a:r>
          <a:r>
            <a:rPr sz="2400" b="1" spc="-160">
              <a:solidFill>
                <a:srgbClr val="142E52"/>
              </a:solidFill>
              <a:latin typeface="Tahoma"/>
              <a:cs typeface="Tahoma"/>
            </a:rPr>
            <a:t> </a:t>
          </a:r>
          <a:endParaRPr sz="2400">
            <a:latin typeface="Tahoma"/>
            <a:cs typeface="Tahoma"/>
          </a:endParaRPr>
        </a:p>
      </xdr:txBody>
    </xdr:sp>
    <xdr:clientData/>
  </xdr:twoCellAnchor>
  <xdr:twoCellAnchor>
    <xdr:from>
      <xdr:col>0</xdr:col>
      <xdr:colOff>0</xdr:colOff>
      <xdr:row>76</xdr:row>
      <xdr:rowOff>68041</xdr:rowOff>
    </xdr:from>
    <xdr:to>
      <xdr:col>10</xdr:col>
      <xdr:colOff>1018071</xdr:colOff>
      <xdr:row>78</xdr:row>
      <xdr:rowOff>18114</xdr:rowOff>
    </xdr:to>
    <xdr:sp macro="" textlink="">
      <xdr:nvSpPr>
        <xdr:cNvPr id="44" name="object 7">
          <a:extLst>
            <a:ext uri="{FF2B5EF4-FFF2-40B4-BE49-F238E27FC236}">
              <a16:creationId xmlns:a16="http://schemas.microsoft.com/office/drawing/2014/main" id="{0C162BC9-E5AA-4E14-99F8-BB9AB765923A}"/>
            </a:ext>
          </a:extLst>
        </xdr:cNvPr>
        <xdr:cNvSpPr/>
      </xdr:nvSpPr>
      <xdr:spPr>
        <a:xfrm>
          <a:off x="0" y="20574005"/>
          <a:ext cx="12312000" cy="576002"/>
        </a:xfrm>
        <a:custGeom>
          <a:avLst/>
          <a:gdLst/>
          <a:ahLst/>
          <a:cxnLst/>
          <a:rect l="l" t="t" r="r" b="b"/>
          <a:pathLst>
            <a:path w="7560309" h="373379">
              <a:moveTo>
                <a:pt x="5752998" y="173189"/>
              </a:moveTo>
              <a:lnTo>
                <a:pt x="5746102" y="127152"/>
              </a:lnTo>
              <a:lnTo>
                <a:pt x="5726646" y="85775"/>
              </a:lnTo>
              <a:lnTo>
                <a:pt x="5723052" y="81610"/>
              </a:lnTo>
              <a:lnTo>
                <a:pt x="5743867" y="81610"/>
              </a:lnTo>
              <a:lnTo>
                <a:pt x="5746712" y="78765"/>
              </a:lnTo>
              <a:lnTo>
                <a:pt x="5746712" y="71755"/>
              </a:lnTo>
              <a:lnTo>
                <a:pt x="5743867" y="68910"/>
              </a:lnTo>
              <a:lnTo>
                <a:pt x="5712117" y="68910"/>
              </a:lnTo>
              <a:lnTo>
                <a:pt x="5696470" y="50723"/>
              </a:lnTo>
              <a:lnTo>
                <a:pt x="5657405" y="23647"/>
              </a:lnTo>
              <a:lnTo>
                <a:pt x="5611292" y="6184"/>
              </a:lnTo>
              <a:lnTo>
                <a:pt x="5559971" y="0"/>
              </a:lnTo>
              <a:lnTo>
                <a:pt x="373151" y="0"/>
              </a:lnTo>
              <a:lnTo>
                <a:pt x="326351" y="2908"/>
              </a:lnTo>
              <a:lnTo>
                <a:pt x="281266" y="11391"/>
              </a:lnTo>
              <a:lnTo>
                <a:pt x="238277" y="25120"/>
              </a:lnTo>
              <a:lnTo>
                <a:pt x="197726" y="43726"/>
              </a:lnTo>
              <a:lnTo>
                <a:pt x="159956" y="66852"/>
              </a:lnTo>
              <a:lnTo>
                <a:pt x="125323" y="94170"/>
              </a:lnTo>
              <a:lnTo>
                <a:pt x="94170" y="125323"/>
              </a:lnTo>
              <a:lnTo>
                <a:pt x="66852" y="159969"/>
              </a:lnTo>
              <a:lnTo>
                <a:pt x="43713" y="197726"/>
              </a:lnTo>
              <a:lnTo>
                <a:pt x="25107" y="238290"/>
              </a:lnTo>
              <a:lnTo>
                <a:pt x="11391" y="281266"/>
              </a:lnTo>
              <a:lnTo>
                <a:pt x="2895" y="326339"/>
              </a:lnTo>
              <a:lnTo>
                <a:pt x="0" y="373151"/>
              </a:lnTo>
              <a:lnTo>
                <a:pt x="5752909" y="373151"/>
              </a:lnTo>
              <a:lnTo>
                <a:pt x="5752998" y="313436"/>
              </a:lnTo>
              <a:lnTo>
                <a:pt x="5752998" y="173189"/>
              </a:lnTo>
              <a:close/>
            </a:path>
            <a:path w="7560309" h="373379">
              <a:moveTo>
                <a:pt x="5823585" y="71755"/>
              </a:moveTo>
              <a:lnTo>
                <a:pt x="5820740" y="68910"/>
              </a:lnTo>
              <a:lnTo>
                <a:pt x="5788101" y="68910"/>
              </a:lnTo>
              <a:lnTo>
                <a:pt x="5785256" y="71755"/>
              </a:lnTo>
              <a:lnTo>
                <a:pt x="5785256" y="78765"/>
              </a:lnTo>
              <a:lnTo>
                <a:pt x="5788101" y="81610"/>
              </a:lnTo>
              <a:lnTo>
                <a:pt x="5820740" y="81610"/>
              </a:lnTo>
              <a:lnTo>
                <a:pt x="5823585" y="78765"/>
              </a:lnTo>
              <a:lnTo>
                <a:pt x="5823585" y="71755"/>
              </a:lnTo>
              <a:close/>
            </a:path>
            <a:path w="7560309" h="373379">
              <a:moveTo>
                <a:pt x="5900445" y="71755"/>
              </a:moveTo>
              <a:lnTo>
                <a:pt x="5897613" y="68910"/>
              </a:lnTo>
              <a:lnTo>
                <a:pt x="5864974" y="68910"/>
              </a:lnTo>
              <a:lnTo>
                <a:pt x="5862129" y="71755"/>
              </a:lnTo>
              <a:lnTo>
                <a:pt x="5862129" y="78765"/>
              </a:lnTo>
              <a:lnTo>
                <a:pt x="5864974" y="81610"/>
              </a:lnTo>
              <a:lnTo>
                <a:pt x="5897613" y="81610"/>
              </a:lnTo>
              <a:lnTo>
                <a:pt x="5900445" y="78765"/>
              </a:lnTo>
              <a:lnTo>
                <a:pt x="5900445" y="71755"/>
              </a:lnTo>
              <a:close/>
            </a:path>
            <a:path w="7560309" h="373379">
              <a:moveTo>
                <a:pt x="5977318" y="71755"/>
              </a:moveTo>
              <a:lnTo>
                <a:pt x="5974486" y="68910"/>
              </a:lnTo>
              <a:lnTo>
                <a:pt x="5941834" y="68910"/>
              </a:lnTo>
              <a:lnTo>
                <a:pt x="5939002" y="71755"/>
              </a:lnTo>
              <a:lnTo>
                <a:pt x="5939002" y="78765"/>
              </a:lnTo>
              <a:lnTo>
                <a:pt x="5941834" y="81610"/>
              </a:lnTo>
              <a:lnTo>
                <a:pt x="5974486" y="81610"/>
              </a:lnTo>
              <a:lnTo>
                <a:pt x="5977318" y="78765"/>
              </a:lnTo>
              <a:lnTo>
                <a:pt x="5977318" y="71755"/>
              </a:lnTo>
              <a:close/>
            </a:path>
            <a:path w="7560309" h="373379">
              <a:moveTo>
                <a:pt x="6054204" y="71755"/>
              </a:moveTo>
              <a:lnTo>
                <a:pt x="6051359" y="68910"/>
              </a:lnTo>
              <a:lnTo>
                <a:pt x="6018720" y="68910"/>
              </a:lnTo>
              <a:lnTo>
                <a:pt x="6015875" y="71755"/>
              </a:lnTo>
              <a:lnTo>
                <a:pt x="6015875" y="78765"/>
              </a:lnTo>
              <a:lnTo>
                <a:pt x="6018720" y="81610"/>
              </a:lnTo>
              <a:lnTo>
                <a:pt x="6051359" y="81610"/>
              </a:lnTo>
              <a:lnTo>
                <a:pt x="6054204" y="78765"/>
              </a:lnTo>
              <a:lnTo>
                <a:pt x="6054204" y="71755"/>
              </a:lnTo>
              <a:close/>
            </a:path>
            <a:path w="7560309" h="373379">
              <a:moveTo>
                <a:pt x="6131077" y="71755"/>
              </a:moveTo>
              <a:lnTo>
                <a:pt x="6128232" y="68910"/>
              </a:lnTo>
              <a:lnTo>
                <a:pt x="6095593" y="68910"/>
              </a:lnTo>
              <a:lnTo>
                <a:pt x="6092749" y="71755"/>
              </a:lnTo>
              <a:lnTo>
                <a:pt x="6092749" y="78765"/>
              </a:lnTo>
              <a:lnTo>
                <a:pt x="6095593" y="81610"/>
              </a:lnTo>
              <a:lnTo>
                <a:pt x="6128232" y="81610"/>
              </a:lnTo>
              <a:lnTo>
                <a:pt x="6131077" y="78765"/>
              </a:lnTo>
              <a:lnTo>
                <a:pt x="6131077" y="71755"/>
              </a:lnTo>
              <a:close/>
            </a:path>
            <a:path w="7560309" h="373379">
              <a:moveTo>
                <a:pt x="6207938" y="71755"/>
              </a:moveTo>
              <a:lnTo>
                <a:pt x="6205105" y="68910"/>
              </a:lnTo>
              <a:lnTo>
                <a:pt x="6172454" y="68910"/>
              </a:lnTo>
              <a:lnTo>
                <a:pt x="6169622" y="71755"/>
              </a:lnTo>
              <a:lnTo>
                <a:pt x="6169622" y="78765"/>
              </a:lnTo>
              <a:lnTo>
                <a:pt x="6172454" y="81610"/>
              </a:lnTo>
              <a:lnTo>
                <a:pt x="6205105" y="81610"/>
              </a:lnTo>
              <a:lnTo>
                <a:pt x="6207938" y="78765"/>
              </a:lnTo>
              <a:lnTo>
                <a:pt x="6207938" y="71755"/>
              </a:lnTo>
              <a:close/>
            </a:path>
            <a:path w="7560309" h="373379">
              <a:moveTo>
                <a:pt x="6284811" y="71755"/>
              </a:moveTo>
              <a:lnTo>
                <a:pt x="6281966" y="68910"/>
              </a:lnTo>
              <a:lnTo>
                <a:pt x="6249327" y="68910"/>
              </a:lnTo>
              <a:lnTo>
                <a:pt x="6246495" y="71755"/>
              </a:lnTo>
              <a:lnTo>
                <a:pt x="6246495" y="78765"/>
              </a:lnTo>
              <a:lnTo>
                <a:pt x="6249327" y="81610"/>
              </a:lnTo>
              <a:lnTo>
                <a:pt x="6281966" y="81610"/>
              </a:lnTo>
              <a:lnTo>
                <a:pt x="6284811" y="78765"/>
              </a:lnTo>
              <a:lnTo>
                <a:pt x="6284811" y="71755"/>
              </a:lnTo>
              <a:close/>
            </a:path>
            <a:path w="7560309" h="373379">
              <a:moveTo>
                <a:pt x="6361684" y="71755"/>
              </a:moveTo>
              <a:lnTo>
                <a:pt x="6358839" y="68910"/>
              </a:lnTo>
              <a:lnTo>
                <a:pt x="6326200" y="68910"/>
              </a:lnTo>
              <a:lnTo>
                <a:pt x="6323355" y="71755"/>
              </a:lnTo>
              <a:lnTo>
                <a:pt x="6323355" y="78765"/>
              </a:lnTo>
              <a:lnTo>
                <a:pt x="6326200" y="81610"/>
              </a:lnTo>
              <a:lnTo>
                <a:pt x="6358839" y="81610"/>
              </a:lnTo>
              <a:lnTo>
                <a:pt x="6361684" y="78765"/>
              </a:lnTo>
              <a:lnTo>
                <a:pt x="6361684" y="71755"/>
              </a:lnTo>
              <a:close/>
            </a:path>
            <a:path w="7560309" h="373379">
              <a:moveTo>
                <a:pt x="6438557" y="71755"/>
              </a:moveTo>
              <a:lnTo>
                <a:pt x="6435712" y="68910"/>
              </a:lnTo>
              <a:lnTo>
                <a:pt x="6403073" y="68910"/>
              </a:lnTo>
              <a:lnTo>
                <a:pt x="6400228" y="71755"/>
              </a:lnTo>
              <a:lnTo>
                <a:pt x="6400228" y="78765"/>
              </a:lnTo>
              <a:lnTo>
                <a:pt x="6403073" y="81610"/>
              </a:lnTo>
              <a:lnTo>
                <a:pt x="6435712" y="81610"/>
              </a:lnTo>
              <a:lnTo>
                <a:pt x="6438557" y="78765"/>
              </a:lnTo>
              <a:lnTo>
                <a:pt x="6438557" y="71755"/>
              </a:lnTo>
              <a:close/>
            </a:path>
            <a:path w="7560309" h="373379">
              <a:moveTo>
                <a:pt x="6515417" y="71755"/>
              </a:moveTo>
              <a:lnTo>
                <a:pt x="6512585" y="68910"/>
              </a:lnTo>
              <a:lnTo>
                <a:pt x="6479934" y="68910"/>
              </a:lnTo>
              <a:lnTo>
                <a:pt x="6477101" y="71755"/>
              </a:lnTo>
              <a:lnTo>
                <a:pt x="6477101" y="78765"/>
              </a:lnTo>
              <a:lnTo>
                <a:pt x="6479934" y="81610"/>
              </a:lnTo>
              <a:lnTo>
                <a:pt x="6512585" y="81610"/>
              </a:lnTo>
              <a:lnTo>
                <a:pt x="6515417" y="78765"/>
              </a:lnTo>
              <a:lnTo>
                <a:pt x="6515417" y="71755"/>
              </a:lnTo>
              <a:close/>
            </a:path>
            <a:path w="7560309" h="373379">
              <a:moveTo>
                <a:pt x="6592303" y="71755"/>
              </a:moveTo>
              <a:lnTo>
                <a:pt x="6589458" y="68910"/>
              </a:lnTo>
              <a:lnTo>
                <a:pt x="6556819" y="68910"/>
              </a:lnTo>
              <a:lnTo>
                <a:pt x="6553975" y="71755"/>
              </a:lnTo>
              <a:lnTo>
                <a:pt x="6553975" y="78765"/>
              </a:lnTo>
              <a:lnTo>
                <a:pt x="6556819" y="81610"/>
              </a:lnTo>
              <a:lnTo>
                <a:pt x="6589458" y="81610"/>
              </a:lnTo>
              <a:lnTo>
                <a:pt x="6592303" y="78765"/>
              </a:lnTo>
              <a:lnTo>
                <a:pt x="6592303" y="71755"/>
              </a:lnTo>
              <a:close/>
            </a:path>
            <a:path w="7560309" h="373379">
              <a:moveTo>
                <a:pt x="6669176" y="71755"/>
              </a:moveTo>
              <a:lnTo>
                <a:pt x="6666331" y="68910"/>
              </a:lnTo>
              <a:lnTo>
                <a:pt x="6633692" y="68910"/>
              </a:lnTo>
              <a:lnTo>
                <a:pt x="6630848" y="71755"/>
              </a:lnTo>
              <a:lnTo>
                <a:pt x="6630848" y="78765"/>
              </a:lnTo>
              <a:lnTo>
                <a:pt x="6633692" y="81610"/>
              </a:lnTo>
              <a:lnTo>
                <a:pt x="6666331" y="81610"/>
              </a:lnTo>
              <a:lnTo>
                <a:pt x="6669176" y="78765"/>
              </a:lnTo>
              <a:lnTo>
                <a:pt x="6669176" y="71755"/>
              </a:lnTo>
              <a:close/>
            </a:path>
            <a:path w="7560309" h="373379">
              <a:moveTo>
                <a:pt x="6746049" y="71755"/>
              </a:moveTo>
              <a:lnTo>
                <a:pt x="6743205" y="68910"/>
              </a:lnTo>
              <a:lnTo>
                <a:pt x="6710566" y="68910"/>
              </a:lnTo>
              <a:lnTo>
                <a:pt x="6707721" y="71755"/>
              </a:lnTo>
              <a:lnTo>
                <a:pt x="6707721" y="78765"/>
              </a:lnTo>
              <a:lnTo>
                <a:pt x="6710566" y="81610"/>
              </a:lnTo>
              <a:lnTo>
                <a:pt x="6743205" y="81610"/>
              </a:lnTo>
              <a:lnTo>
                <a:pt x="6746049" y="78765"/>
              </a:lnTo>
              <a:lnTo>
                <a:pt x="6746049" y="71755"/>
              </a:lnTo>
              <a:close/>
            </a:path>
            <a:path w="7560309" h="373379">
              <a:moveTo>
                <a:pt x="6822910" y="71755"/>
              </a:moveTo>
              <a:lnTo>
                <a:pt x="6820078" y="68910"/>
              </a:lnTo>
              <a:lnTo>
                <a:pt x="6787426" y="68910"/>
              </a:lnTo>
              <a:lnTo>
                <a:pt x="6784594" y="71755"/>
              </a:lnTo>
              <a:lnTo>
                <a:pt x="6784594" y="78765"/>
              </a:lnTo>
              <a:lnTo>
                <a:pt x="6787426" y="81610"/>
              </a:lnTo>
              <a:lnTo>
                <a:pt x="6820078" y="81610"/>
              </a:lnTo>
              <a:lnTo>
                <a:pt x="6822910" y="78765"/>
              </a:lnTo>
              <a:lnTo>
                <a:pt x="6822910" y="71755"/>
              </a:lnTo>
              <a:close/>
            </a:path>
            <a:path w="7560309" h="373379">
              <a:moveTo>
                <a:pt x="6899884" y="72351"/>
              </a:moveTo>
              <a:lnTo>
                <a:pt x="6897129" y="69418"/>
              </a:lnTo>
              <a:lnTo>
                <a:pt x="6897662" y="69418"/>
              </a:lnTo>
              <a:lnTo>
                <a:pt x="6887184" y="69151"/>
              </a:lnTo>
              <a:lnTo>
                <a:pt x="6864070" y="69151"/>
              </a:lnTo>
              <a:lnTo>
                <a:pt x="6861467" y="71742"/>
              </a:lnTo>
              <a:lnTo>
                <a:pt x="6861442" y="78740"/>
              </a:lnTo>
              <a:lnTo>
                <a:pt x="6864540" y="81851"/>
              </a:lnTo>
              <a:lnTo>
                <a:pt x="6886905" y="81851"/>
              </a:lnTo>
              <a:lnTo>
                <a:pt x="6893433" y="82016"/>
              </a:lnTo>
              <a:lnTo>
                <a:pt x="6896862" y="82016"/>
              </a:lnTo>
              <a:lnTo>
                <a:pt x="6899681" y="79286"/>
              </a:lnTo>
              <a:lnTo>
                <a:pt x="6899783" y="75857"/>
              </a:lnTo>
              <a:lnTo>
                <a:pt x="6899884" y="72351"/>
              </a:lnTo>
              <a:close/>
            </a:path>
            <a:path w="7560309" h="373379">
              <a:moveTo>
                <a:pt x="6976846" y="78066"/>
              </a:moveTo>
              <a:lnTo>
                <a:pt x="6974332" y="74942"/>
              </a:lnTo>
              <a:lnTo>
                <a:pt x="6958012" y="73266"/>
              </a:lnTo>
              <a:lnTo>
                <a:pt x="6945109" y="72148"/>
              </a:lnTo>
              <a:lnTo>
                <a:pt x="6941667" y="71932"/>
              </a:lnTo>
              <a:lnTo>
                <a:pt x="6938556" y="74472"/>
              </a:lnTo>
              <a:lnTo>
                <a:pt x="6937997" y="81445"/>
              </a:lnTo>
              <a:lnTo>
                <a:pt x="6940601" y="84518"/>
              </a:lnTo>
              <a:lnTo>
                <a:pt x="6950456" y="85344"/>
              </a:lnTo>
              <a:lnTo>
                <a:pt x="6969861" y="87223"/>
              </a:lnTo>
              <a:lnTo>
                <a:pt x="6973379" y="87223"/>
              </a:lnTo>
              <a:lnTo>
                <a:pt x="6976135" y="84810"/>
              </a:lnTo>
              <a:lnTo>
                <a:pt x="6976846" y="78066"/>
              </a:lnTo>
              <a:close/>
            </a:path>
            <a:path w="7560309" h="373379">
              <a:moveTo>
                <a:pt x="7053123" y="89801"/>
              </a:moveTo>
              <a:lnTo>
                <a:pt x="7050849" y="86474"/>
              </a:lnTo>
              <a:lnTo>
                <a:pt x="7034720" y="83527"/>
              </a:lnTo>
              <a:lnTo>
                <a:pt x="7021957" y="81394"/>
              </a:lnTo>
              <a:lnTo>
                <a:pt x="7018566" y="80772"/>
              </a:lnTo>
              <a:lnTo>
                <a:pt x="7015239" y="83185"/>
              </a:lnTo>
              <a:lnTo>
                <a:pt x="7014184" y="89801"/>
              </a:lnTo>
              <a:lnTo>
                <a:pt x="7014134" y="90119"/>
              </a:lnTo>
              <a:lnTo>
                <a:pt x="7016470" y="93383"/>
              </a:lnTo>
              <a:lnTo>
                <a:pt x="7019950" y="93929"/>
              </a:lnTo>
              <a:lnTo>
                <a:pt x="7032536" y="96037"/>
              </a:lnTo>
              <a:lnTo>
                <a:pt x="7045680" y="98412"/>
              </a:lnTo>
              <a:lnTo>
                <a:pt x="7049249" y="98412"/>
              </a:lnTo>
              <a:lnTo>
                <a:pt x="7051903" y="96278"/>
              </a:lnTo>
              <a:lnTo>
                <a:pt x="7053059" y="90119"/>
              </a:lnTo>
              <a:lnTo>
                <a:pt x="7053123" y="89801"/>
              </a:lnTo>
              <a:close/>
            </a:path>
            <a:path w="7560309" h="373379">
              <a:moveTo>
                <a:pt x="7128243" y="107505"/>
              </a:moveTo>
              <a:lnTo>
                <a:pt x="7126249" y="104013"/>
              </a:lnTo>
              <a:lnTo>
                <a:pt x="7110387" y="99796"/>
              </a:lnTo>
              <a:lnTo>
                <a:pt x="7097852" y="96659"/>
              </a:lnTo>
              <a:lnTo>
                <a:pt x="7094398" y="95897"/>
              </a:lnTo>
              <a:lnTo>
                <a:pt x="7091007" y="97929"/>
              </a:lnTo>
              <a:lnTo>
                <a:pt x="7089356" y="104736"/>
              </a:lnTo>
              <a:lnTo>
                <a:pt x="7091439" y="108178"/>
              </a:lnTo>
              <a:lnTo>
                <a:pt x="7107225" y="112077"/>
              </a:lnTo>
              <a:lnTo>
                <a:pt x="7120382" y="115570"/>
              </a:lnTo>
              <a:lnTo>
                <a:pt x="7124001" y="115570"/>
              </a:lnTo>
              <a:lnTo>
                <a:pt x="7126554" y="113703"/>
              </a:lnTo>
              <a:lnTo>
                <a:pt x="7128243" y="107505"/>
              </a:lnTo>
              <a:close/>
            </a:path>
            <a:path w="7560309" h="373379">
              <a:moveTo>
                <a:pt x="7201725" y="131076"/>
              </a:moveTo>
              <a:lnTo>
                <a:pt x="7200024" y="127431"/>
              </a:lnTo>
              <a:lnTo>
                <a:pt x="7184530" y="121983"/>
              </a:lnTo>
              <a:lnTo>
                <a:pt x="7172274" y="117868"/>
              </a:lnTo>
              <a:lnTo>
                <a:pt x="7168947" y="116801"/>
              </a:lnTo>
              <a:lnTo>
                <a:pt x="7165365" y="118605"/>
              </a:lnTo>
              <a:lnTo>
                <a:pt x="7163168" y="125272"/>
              </a:lnTo>
              <a:lnTo>
                <a:pt x="7164997" y="128854"/>
              </a:lnTo>
              <a:lnTo>
                <a:pt x="7180415" y="133997"/>
              </a:lnTo>
              <a:lnTo>
                <a:pt x="7193483" y="138582"/>
              </a:lnTo>
              <a:lnTo>
                <a:pt x="7197179" y="138582"/>
              </a:lnTo>
              <a:lnTo>
                <a:pt x="7199617" y="136969"/>
              </a:lnTo>
              <a:lnTo>
                <a:pt x="7201725" y="131076"/>
              </a:lnTo>
              <a:close/>
            </a:path>
            <a:path w="7560309" h="373379">
              <a:moveTo>
                <a:pt x="7273087" y="160388"/>
              </a:moveTo>
              <a:lnTo>
                <a:pt x="7271652" y="156616"/>
              </a:lnTo>
              <a:lnTo>
                <a:pt x="7256666" y="149961"/>
              </a:lnTo>
              <a:lnTo>
                <a:pt x="7241540" y="143548"/>
              </a:lnTo>
              <a:lnTo>
                <a:pt x="7237831" y="145084"/>
              </a:lnTo>
              <a:lnTo>
                <a:pt x="7235126" y="151549"/>
              </a:lnTo>
              <a:lnTo>
                <a:pt x="7236650" y="155270"/>
              </a:lnTo>
              <a:lnTo>
                <a:pt x="7251598" y="161620"/>
              </a:lnTo>
              <a:lnTo>
                <a:pt x="7264095" y="167144"/>
              </a:lnTo>
              <a:lnTo>
                <a:pt x="7264971" y="167322"/>
              </a:lnTo>
              <a:lnTo>
                <a:pt x="7268273" y="167322"/>
              </a:lnTo>
              <a:lnTo>
                <a:pt x="7270572" y="165938"/>
              </a:lnTo>
              <a:lnTo>
                <a:pt x="7273087" y="160388"/>
              </a:lnTo>
              <a:close/>
            </a:path>
            <a:path w="7560309" h="373379">
              <a:moveTo>
                <a:pt x="7341921" y="195224"/>
              </a:moveTo>
              <a:lnTo>
                <a:pt x="7340930" y="191795"/>
              </a:lnTo>
              <a:lnTo>
                <a:pt x="7340803" y="191376"/>
              </a:lnTo>
              <a:lnTo>
                <a:pt x="7326363" y="183565"/>
              </a:lnTo>
              <a:lnTo>
                <a:pt x="7311822" y="175971"/>
              </a:lnTo>
              <a:lnTo>
                <a:pt x="7307999" y="177177"/>
              </a:lnTo>
              <a:lnTo>
                <a:pt x="7306259" y="180555"/>
              </a:lnTo>
              <a:lnTo>
                <a:pt x="7304811" y="183565"/>
              </a:lnTo>
              <a:lnTo>
                <a:pt x="7305992" y="187261"/>
              </a:lnTo>
              <a:lnTo>
                <a:pt x="7314768" y="191795"/>
              </a:lnTo>
              <a:lnTo>
                <a:pt x="7326033" y="197777"/>
              </a:lnTo>
              <a:lnTo>
                <a:pt x="7332586" y="201358"/>
              </a:lnTo>
              <a:lnTo>
                <a:pt x="7333628" y="201599"/>
              </a:lnTo>
              <a:lnTo>
                <a:pt x="7336917" y="201599"/>
              </a:lnTo>
              <a:lnTo>
                <a:pt x="7339089" y="200406"/>
              </a:lnTo>
              <a:lnTo>
                <a:pt x="7341921" y="195224"/>
              </a:lnTo>
              <a:close/>
            </a:path>
            <a:path w="7560309" h="373379">
              <a:moveTo>
                <a:pt x="7407796" y="235356"/>
              </a:moveTo>
              <a:lnTo>
                <a:pt x="7406970" y="231432"/>
              </a:lnTo>
              <a:lnTo>
                <a:pt x="7398639" y="225996"/>
              </a:lnTo>
              <a:lnTo>
                <a:pt x="7387755" y="219075"/>
              </a:lnTo>
              <a:lnTo>
                <a:pt x="7379348" y="213842"/>
              </a:lnTo>
              <a:lnTo>
                <a:pt x="7375411" y="214718"/>
              </a:lnTo>
              <a:lnTo>
                <a:pt x="7371689" y="220700"/>
              </a:lnTo>
              <a:lnTo>
                <a:pt x="7372604" y="224612"/>
              </a:lnTo>
              <a:lnTo>
                <a:pt x="7380999" y="229831"/>
              </a:lnTo>
              <a:lnTo>
                <a:pt x="7386383" y="233235"/>
              </a:lnTo>
              <a:lnTo>
                <a:pt x="7398156" y="240842"/>
              </a:lnTo>
              <a:lnTo>
                <a:pt x="7399363" y="241173"/>
              </a:lnTo>
              <a:lnTo>
                <a:pt x="7402639" y="241173"/>
              </a:lnTo>
              <a:lnTo>
                <a:pt x="7404659" y="240157"/>
              </a:lnTo>
              <a:lnTo>
                <a:pt x="7405891" y="238302"/>
              </a:lnTo>
              <a:lnTo>
                <a:pt x="7407796" y="235356"/>
              </a:lnTo>
              <a:close/>
            </a:path>
            <a:path w="7560309" h="373379">
              <a:moveTo>
                <a:pt x="7470292" y="280581"/>
              </a:moveTo>
              <a:lnTo>
                <a:pt x="7443597" y="256857"/>
              </a:lnTo>
              <a:lnTo>
                <a:pt x="7439634" y="257467"/>
              </a:lnTo>
              <a:lnTo>
                <a:pt x="7435482" y="263118"/>
              </a:lnTo>
              <a:lnTo>
                <a:pt x="7436002" y="266611"/>
              </a:lnTo>
              <a:lnTo>
                <a:pt x="7436078" y="267081"/>
              </a:lnTo>
              <a:lnTo>
                <a:pt x="7444041" y="272935"/>
              </a:lnTo>
              <a:lnTo>
                <a:pt x="7449134" y="276733"/>
              </a:lnTo>
              <a:lnTo>
                <a:pt x="7454201" y="280581"/>
              </a:lnTo>
              <a:lnTo>
                <a:pt x="7460412" y="285369"/>
              </a:lnTo>
              <a:lnTo>
                <a:pt x="7461771" y="285800"/>
              </a:lnTo>
              <a:lnTo>
                <a:pt x="7465022" y="285800"/>
              </a:lnTo>
              <a:lnTo>
                <a:pt x="7466901" y="284962"/>
              </a:lnTo>
              <a:lnTo>
                <a:pt x="7470292" y="280581"/>
              </a:lnTo>
              <a:close/>
            </a:path>
            <a:path w="7560309" h="373379">
              <a:moveTo>
                <a:pt x="7529106" y="330492"/>
              </a:moveTo>
              <a:lnTo>
                <a:pt x="7504328" y="304749"/>
              </a:lnTo>
              <a:lnTo>
                <a:pt x="7500315" y="305054"/>
              </a:lnTo>
              <a:lnTo>
                <a:pt x="7495743" y="310362"/>
              </a:lnTo>
              <a:lnTo>
                <a:pt x="7496048" y="314375"/>
              </a:lnTo>
              <a:lnTo>
                <a:pt x="7503515" y="320827"/>
              </a:lnTo>
              <a:lnTo>
                <a:pt x="7508303" y="325018"/>
              </a:lnTo>
              <a:lnTo>
                <a:pt x="7513053" y="329247"/>
              </a:lnTo>
              <a:lnTo>
                <a:pt x="7518997" y="334619"/>
              </a:lnTo>
              <a:lnTo>
                <a:pt x="7520521" y="335165"/>
              </a:lnTo>
              <a:lnTo>
                <a:pt x="7523772" y="335165"/>
              </a:lnTo>
              <a:lnTo>
                <a:pt x="7525499" y="334454"/>
              </a:lnTo>
              <a:lnTo>
                <a:pt x="7529106" y="330492"/>
              </a:lnTo>
              <a:close/>
            </a:path>
            <a:path w="7560309" h="373379">
              <a:moveTo>
                <a:pt x="7559992" y="357949"/>
              </a:moveTo>
              <a:lnTo>
                <a:pt x="7558087" y="357657"/>
              </a:lnTo>
              <a:lnTo>
                <a:pt x="7556093" y="358114"/>
              </a:lnTo>
              <a:lnTo>
                <a:pt x="7552068" y="361962"/>
              </a:lnTo>
              <a:lnTo>
                <a:pt x="7552004" y="365988"/>
              </a:lnTo>
              <a:lnTo>
                <a:pt x="7555484" y="369582"/>
              </a:lnTo>
              <a:lnTo>
                <a:pt x="7558989" y="373151"/>
              </a:lnTo>
              <a:lnTo>
                <a:pt x="7559992" y="373151"/>
              </a:lnTo>
              <a:lnTo>
                <a:pt x="7559992" y="357949"/>
              </a:lnTo>
              <a:close/>
            </a:path>
          </a:pathLst>
        </a:custGeom>
        <a:solidFill>
          <a:srgbClr val="00A79D"/>
        </a:solidFill>
      </xdr:spPr>
      <xdr:txBody>
        <a:bodyPr wrap="square" lIns="0" tIns="0" rIns="0" bIns="0" rtlCol="0"/>
        <a:lstStyle>
          <a:defPPr>
            <a:defRPr kern="0"/>
          </a:defPPr>
        </a:lstStyle>
        <a:p>
          <a:endParaRPr/>
        </a:p>
      </xdr:txBody>
    </xdr:sp>
    <xdr:clientData/>
  </xdr:twoCellAnchor>
  <xdr:twoCellAnchor>
    <xdr:from>
      <xdr:col>0</xdr:col>
      <xdr:colOff>0</xdr:colOff>
      <xdr:row>2</xdr:row>
      <xdr:rowOff>149680</xdr:rowOff>
    </xdr:from>
    <xdr:to>
      <xdr:col>5</xdr:col>
      <xdr:colOff>890893</xdr:colOff>
      <xdr:row>5</xdr:row>
      <xdr:rowOff>104251</xdr:rowOff>
    </xdr:to>
    <xdr:sp macro="" textlink="">
      <xdr:nvSpPr>
        <xdr:cNvPr id="46" name="object 47">
          <a:extLst>
            <a:ext uri="{FF2B5EF4-FFF2-40B4-BE49-F238E27FC236}">
              <a16:creationId xmlns:a16="http://schemas.microsoft.com/office/drawing/2014/main" id="{EF752D7E-FD58-56B4-2F82-4F4C5F611212}"/>
            </a:ext>
          </a:extLst>
        </xdr:cNvPr>
        <xdr:cNvSpPr/>
      </xdr:nvSpPr>
      <xdr:spPr>
        <a:xfrm>
          <a:off x="0" y="628651"/>
          <a:ext cx="1473279" cy="1152000"/>
        </a:xfrm>
        <a:custGeom>
          <a:avLst/>
          <a:gdLst/>
          <a:ahLst/>
          <a:cxnLst/>
          <a:rect l="l" t="t" r="r" b="b"/>
          <a:pathLst>
            <a:path w="911225" h="659130">
              <a:moveTo>
                <a:pt x="796594" y="0"/>
              </a:moveTo>
              <a:lnTo>
                <a:pt x="0" y="0"/>
              </a:lnTo>
              <a:lnTo>
                <a:pt x="0" y="658609"/>
              </a:lnTo>
              <a:lnTo>
                <a:pt x="796594" y="658609"/>
              </a:lnTo>
              <a:lnTo>
                <a:pt x="840998" y="649645"/>
              </a:lnTo>
              <a:lnTo>
                <a:pt x="877257" y="625200"/>
              </a:lnTo>
              <a:lnTo>
                <a:pt x="901702" y="588941"/>
              </a:lnTo>
              <a:lnTo>
                <a:pt x="910666" y="544537"/>
              </a:lnTo>
              <a:lnTo>
                <a:pt x="910666" y="114071"/>
              </a:lnTo>
              <a:lnTo>
                <a:pt x="901702" y="69667"/>
              </a:lnTo>
              <a:lnTo>
                <a:pt x="877257" y="33408"/>
              </a:lnTo>
              <a:lnTo>
                <a:pt x="840998" y="8963"/>
              </a:lnTo>
              <a:lnTo>
                <a:pt x="796594" y="0"/>
              </a:lnTo>
              <a:close/>
            </a:path>
          </a:pathLst>
        </a:custGeom>
        <a:solidFill>
          <a:srgbClr val="002452"/>
        </a:solidFill>
      </xdr:spPr>
      <xdr:txBody>
        <a:bodyPr wrap="square" lIns="0" tIns="0" rIns="0" bIns="0" rtlCol="0"/>
        <a:lstStyle>
          <a:defPPr>
            <a:defRPr kern="0"/>
          </a:defPPr>
        </a:lstStyle>
        <a:p>
          <a:endParaRPr/>
        </a:p>
      </xdr:txBody>
    </xdr:sp>
    <xdr:clientData/>
  </xdr:twoCellAnchor>
  <xdr:twoCellAnchor editAs="oneCell">
    <xdr:from>
      <xdr:col>5</xdr:col>
      <xdr:colOff>51486</xdr:colOff>
      <xdr:row>3</xdr:row>
      <xdr:rowOff>52285</xdr:rowOff>
    </xdr:from>
    <xdr:to>
      <xdr:col>5</xdr:col>
      <xdr:colOff>740227</xdr:colOff>
      <xdr:row>5</xdr:row>
      <xdr:rowOff>14066</xdr:rowOff>
    </xdr:to>
    <xdr:pic>
      <xdr:nvPicPr>
        <xdr:cNvPr id="3" name="Picture 2">
          <a:extLst>
            <a:ext uri="{FF2B5EF4-FFF2-40B4-BE49-F238E27FC236}">
              <a16:creationId xmlns:a16="http://schemas.microsoft.com/office/drawing/2014/main" id="{EBBCB8C5-1751-54B0-DD7A-EC3446FD9B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3872" y="770742"/>
          <a:ext cx="688741" cy="91972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323850</xdr:colOff>
      <xdr:row>0</xdr:row>
      <xdr:rowOff>1</xdr:rowOff>
    </xdr:from>
    <xdr:to>
      <xdr:col>3</xdr:col>
      <xdr:colOff>160442</xdr:colOff>
      <xdr:row>2</xdr:row>
      <xdr:rowOff>209551</xdr:rowOff>
    </xdr:to>
    <xdr:pic>
      <xdr:nvPicPr>
        <xdr:cNvPr id="3" name="Picture 2">
          <a:extLst>
            <a:ext uri="{FF2B5EF4-FFF2-40B4-BE49-F238E27FC236}">
              <a16:creationId xmlns:a16="http://schemas.microsoft.com/office/drawing/2014/main" id="{4D9C9D10-25DD-45B2-9BC8-AF883FE3FE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57550" y="1"/>
          <a:ext cx="617642" cy="6667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7</xdr:col>
      <xdr:colOff>114300</xdr:colOff>
      <xdr:row>11</xdr:row>
      <xdr:rowOff>123825</xdr:rowOff>
    </xdr:from>
    <xdr:to>
      <xdr:col>12</xdr:col>
      <xdr:colOff>47625</xdr:colOff>
      <xdr:row>17</xdr:row>
      <xdr:rowOff>171451</xdr:rowOff>
    </xdr:to>
    <xdr:sp macro="" textlink="">
      <xdr:nvSpPr>
        <xdr:cNvPr id="2" name="Rectangle: Rounded Corners 1">
          <a:extLst>
            <a:ext uri="{FF2B5EF4-FFF2-40B4-BE49-F238E27FC236}">
              <a16:creationId xmlns:a16="http://schemas.microsoft.com/office/drawing/2014/main" id="{00000000-0008-0000-1B00-000002000000}"/>
            </a:ext>
          </a:extLst>
        </xdr:cNvPr>
        <xdr:cNvSpPr/>
      </xdr:nvSpPr>
      <xdr:spPr>
        <a:xfrm>
          <a:off x="4381500" y="2219325"/>
          <a:ext cx="2981325" cy="1190626"/>
        </a:xfrm>
        <a:prstGeom prst="roundRect">
          <a:avLst>
            <a:gd name="adj" fmla="val 10229"/>
          </a:avLst>
        </a:prstGeom>
        <a:noFill/>
        <a:ln w="28575">
          <a:solidFill>
            <a:srgbClr val="0070C0"/>
          </a:solid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114300</xdr:colOff>
      <xdr:row>8</xdr:row>
      <xdr:rowOff>76200</xdr:rowOff>
    </xdr:from>
    <xdr:to>
      <xdr:col>1</xdr:col>
      <xdr:colOff>438300</xdr:colOff>
      <xdr:row>9</xdr:row>
      <xdr:rowOff>162075</xdr:rowOff>
    </xdr:to>
    <xdr:sp macro="" textlink="">
      <xdr:nvSpPr>
        <xdr:cNvPr id="3" name="Oval 2">
          <a:extLst>
            <a:ext uri="{FF2B5EF4-FFF2-40B4-BE49-F238E27FC236}">
              <a16:creationId xmlns:a16="http://schemas.microsoft.com/office/drawing/2014/main" id="{00000000-0008-0000-1B00-000003000000}"/>
            </a:ext>
          </a:extLst>
        </xdr:cNvPr>
        <xdr:cNvSpPr/>
      </xdr:nvSpPr>
      <xdr:spPr>
        <a:xfrm>
          <a:off x="723900" y="1600200"/>
          <a:ext cx="324000" cy="276375"/>
        </a:xfrm>
        <a:prstGeom prst="ellipse">
          <a:avLst/>
        </a:prstGeom>
        <a:noFill/>
        <a:ln w="28575">
          <a:solidFill>
            <a:srgbClr val="0070C0"/>
          </a:solid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800" b="1">
              <a:solidFill>
                <a:schemeClr val="accent1"/>
              </a:solidFill>
              <a:latin typeface="+mn-lt"/>
              <a:ea typeface="+mn-ea"/>
              <a:cs typeface="+mn-cs"/>
            </a:rPr>
            <a:t>1</a:t>
          </a:r>
        </a:p>
      </xdr:txBody>
    </xdr:sp>
    <xdr:clientData/>
  </xdr:twoCellAnchor>
  <xdr:twoCellAnchor>
    <xdr:from>
      <xdr:col>1</xdr:col>
      <xdr:colOff>114300</xdr:colOff>
      <xdr:row>11</xdr:row>
      <xdr:rowOff>161925</xdr:rowOff>
    </xdr:from>
    <xdr:to>
      <xdr:col>1</xdr:col>
      <xdr:colOff>438300</xdr:colOff>
      <xdr:row>13</xdr:row>
      <xdr:rowOff>76350</xdr:rowOff>
    </xdr:to>
    <xdr:sp macro="" textlink="">
      <xdr:nvSpPr>
        <xdr:cNvPr id="4" name="Oval 3">
          <a:extLst>
            <a:ext uri="{FF2B5EF4-FFF2-40B4-BE49-F238E27FC236}">
              <a16:creationId xmlns:a16="http://schemas.microsoft.com/office/drawing/2014/main" id="{00000000-0008-0000-1B00-000004000000}"/>
            </a:ext>
          </a:extLst>
        </xdr:cNvPr>
        <xdr:cNvSpPr/>
      </xdr:nvSpPr>
      <xdr:spPr>
        <a:xfrm>
          <a:off x="723900" y="2257425"/>
          <a:ext cx="324000" cy="295425"/>
        </a:xfrm>
        <a:prstGeom prst="ellipse">
          <a:avLst/>
        </a:prstGeom>
        <a:noFill/>
        <a:ln w="28575">
          <a:solidFill>
            <a:srgbClr val="0070C0"/>
          </a:solid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800" b="1">
              <a:solidFill>
                <a:schemeClr val="accent1"/>
              </a:solidFill>
              <a:latin typeface="+mn-lt"/>
              <a:ea typeface="+mn-ea"/>
              <a:cs typeface="+mn-cs"/>
            </a:rPr>
            <a:t>2</a:t>
          </a:r>
        </a:p>
      </xdr:txBody>
    </xdr:sp>
    <xdr:clientData/>
  </xdr:twoCellAnchor>
  <xdr:twoCellAnchor>
    <xdr:from>
      <xdr:col>7</xdr:col>
      <xdr:colOff>123825</xdr:colOff>
      <xdr:row>11</xdr:row>
      <xdr:rowOff>133349</xdr:rowOff>
    </xdr:from>
    <xdr:to>
      <xdr:col>7</xdr:col>
      <xdr:colOff>447825</xdr:colOff>
      <xdr:row>13</xdr:row>
      <xdr:rowOff>47774</xdr:rowOff>
    </xdr:to>
    <xdr:sp macro="" textlink="">
      <xdr:nvSpPr>
        <xdr:cNvPr id="5" name="Oval 4">
          <a:extLst>
            <a:ext uri="{FF2B5EF4-FFF2-40B4-BE49-F238E27FC236}">
              <a16:creationId xmlns:a16="http://schemas.microsoft.com/office/drawing/2014/main" id="{00000000-0008-0000-1B00-000005000000}"/>
            </a:ext>
          </a:extLst>
        </xdr:cNvPr>
        <xdr:cNvSpPr/>
      </xdr:nvSpPr>
      <xdr:spPr>
        <a:xfrm>
          <a:off x="4391025" y="2228849"/>
          <a:ext cx="324000" cy="295425"/>
        </a:xfrm>
        <a:prstGeom prst="ellipse">
          <a:avLst/>
        </a:prstGeom>
        <a:noFill/>
        <a:ln w="28575">
          <a:solidFill>
            <a:srgbClr val="0070C0"/>
          </a:solid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800" b="1">
              <a:solidFill>
                <a:schemeClr val="accent1"/>
              </a:solidFill>
              <a:latin typeface="+mn-lt"/>
              <a:ea typeface="+mn-ea"/>
              <a:cs typeface="+mn-cs"/>
            </a:rPr>
            <a:t>3</a:t>
          </a:r>
        </a:p>
      </xdr:txBody>
    </xdr:sp>
    <xdr:clientData/>
  </xdr:twoCellAnchor>
  <xdr:twoCellAnchor>
    <xdr:from>
      <xdr:col>1</xdr:col>
      <xdr:colOff>95250</xdr:colOff>
      <xdr:row>22</xdr:row>
      <xdr:rowOff>95249</xdr:rowOff>
    </xdr:from>
    <xdr:to>
      <xdr:col>1</xdr:col>
      <xdr:colOff>419250</xdr:colOff>
      <xdr:row>24</xdr:row>
      <xdr:rowOff>57299</xdr:rowOff>
    </xdr:to>
    <xdr:sp macro="" textlink="">
      <xdr:nvSpPr>
        <xdr:cNvPr id="6" name="Oval 5">
          <a:extLst>
            <a:ext uri="{FF2B5EF4-FFF2-40B4-BE49-F238E27FC236}">
              <a16:creationId xmlns:a16="http://schemas.microsoft.com/office/drawing/2014/main" id="{00000000-0008-0000-1B00-000006000000}"/>
            </a:ext>
          </a:extLst>
        </xdr:cNvPr>
        <xdr:cNvSpPr/>
      </xdr:nvSpPr>
      <xdr:spPr>
        <a:xfrm>
          <a:off x="704850" y="4286249"/>
          <a:ext cx="324000" cy="343050"/>
        </a:xfrm>
        <a:prstGeom prst="ellipse">
          <a:avLst/>
        </a:prstGeom>
        <a:noFill/>
        <a:ln w="28575">
          <a:solidFill>
            <a:srgbClr val="0070C0"/>
          </a:solid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800" b="1">
              <a:solidFill>
                <a:schemeClr val="accent1"/>
              </a:solidFill>
              <a:latin typeface="+mn-lt"/>
              <a:ea typeface="+mn-ea"/>
              <a:cs typeface="+mn-cs"/>
            </a:rPr>
            <a:t>4</a:t>
          </a:r>
        </a:p>
      </xdr:txBody>
    </xdr:sp>
    <xdr:clientData/>
  </xdr:twoCellAnchor>
  <xdr:oneCellAnchor>
    <xdr:from>
      <xdr:col>10</xdr:col>
      <xdr:colOff>38100</xdr:colOff>
      <xdr:row>0</xdr:row>
      <xdr:rowOff>0</xdr:rowOff>
    </xdr:from>
    <xdr:ext cx="1766540" cy="631798"/>
    <xdr:pic>
      <xdr:nvPicPr>
        <xdr:cNvPr id="7" name="Picture 6">
          <a:extLst>
            <a:ext uri="{FF2B5EF4-FFF2-40B4-BE49-F238E27FC236}">
              <a16:creationId xmlns:a16="http://schemas.microsoft.com/office/drawing/2014/main" id="{00000000-0008-0000-1B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34100" y="0"/>
          <a:ext cx="1766540" cy="63179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4</xdr:col>
          <xdr:colOff>161925</xdr:colOff>
          <xdr:row>14</xdr:row>
          <xdr:rowOff>9525</xdr:rowOff>
        </xdr:from>
        <xdr:to>
          <xdr:col>4</xdr:col>
          <xdr:colOff>590550</xdr:colOff>
          <xdr:row>14</xdr:row>
          <xdr:rowOff>228600</xdr:rowOff>
        </xdr:to>
        <xdr:sp macro="" textlink="">
          <xdr:nvSpPr>
            <xdr:cNvPr id="30721" name="Check Box 1" hidden="1">
              <a:extLst>
                <a:ext uri="{63B3BB69-23CF-44E3-9099-C40C66FF867C}">
                  <a14:compatExt spid="_x0000_s30721"/>
                </a:ext>
                <a:ext uri="{FF2B5EF4-FFF2-40B4-BE49-F238E27FC236}">
                  <a16:creationId xmlns:a16="http://schemas.microsoft.com/office/drawing/2014/main" id="{00000000-0008-0000-1C00-000001780000}"/>
                </a:ext>
              </a:extLst>
            </xdr:cNvPr>
            <xdr:cNvSpPr/>
          </xdr:nvSpPr>
          <xdr:spPr bwMode="auto">
            <a:xfrm>
              <a:off x="0" y="0"/>
              <a:ext cx="0" cy="0"/>
            </a:xfrm>
            <a:prstGeom prst="rect">
              <a:avLst/>
            </a:prstGeom>
            <a:solidFill>
              <a:srgbClr val="FFFFCC"/>
            </a:solidFill>
            <a:ln>
              <a:noFill/>
            </a:ln>
            <a:extLst>
              <a:ext uri="{91240B29-F687-4F45-9708-019B960494DF}">
                <a14:hiddenLine w="12700">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161925</xdr:colOff>
          <xdr:row>15</xdr:row>
          <xdr:rowOff>9525</xdr:rowOff>
        </xdr:from>
        <xdr:to>
          <xdr:col>4</xdr:col>
          <xdr:colOff>590550</xdr:colOff>
          <xdr:row>15</xdr:row>
          <xdr:rowOff>228600</xdr:rowOff>
        </xdr:to>
        <xdr:sp macro="" textlink="">
          <xdr:nvSpPr>
            <xdr:cNvPr id="30722" name="Check Box 2" hidden="1">
              <a:extLst>
                <a:ext uri="{63B3BB69-23CF-44E3-9099-C40C66FF867C}">
                  <a14:compatExt spid="_x0000_s30722"/>
                </a:ext>
                <a:ext uri="{FF2B5EF4-FFF2-40B4-BE49-F238E27FC236}">
                  <a16:creationId xmlns:a16="http://schemas.microsoft.com/office/drawing/2014/main" id="{00000000-0008-0000-1C00-000002780000}"/>
                </a:ext>
              </a:extLst>
            </xdr:cNvPr>
            <xdr:cNvSpPr/>
          </xdr:nvSpPr>
          <xdr:spPr bwMode="auto">
            <a:xfrm>
              <a:off x="0" y="0"/>
              <a:ext cx="0" cy="0"/>
            </a:xfrm>
            <a:prstGeom prst="rect">
              <a:avLst/>
            </a:prstGeom>
            <a:solidFill>
              <a:srgbClr val="FFFFCC"/>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161925</xdr:colOff>
          <xdr:row>16</xdr:row>
          <xdr:rowOff>9525</xdr:rowOff>
        </xdr:from>
        <xdr:to>
          <xdr:col>4</xdr:col>
          <xdr:colOff>590550</xdr:colOff>
          <xdr:row>16</xdr:row>
          <xdr:rowOff>228600</xdr:rowOff>
        </xdr:to>
        <xdr:sp macro="" textlink="">
          <xdr:nvSpPr>
            <xdr:cNvPr id="30723" name="Check Box 3" hidden="1">
              <a:extLst>
                <a:ext uri="{63B3BB69-23CF-44E3-9099-C40C66FF867C}">
                  <a14:compatExt spid="_x0000_s30723"/>
                </a:ext>
                <a:ext uri="{FF2B5EF4-FFF2-40B4-BE49-F238E27FC236}">
                  <a16:creationId xmlns:a16="http://schemas.microsoft.com/office/drawing/2014/main" id="{00000000-0008-0000-1C00-000003780000}"/>
                </a:ext>
              </a:extLst>
            </xdr:cNvPr>
            <xdr:cNvSpPr/>
          </xdr:nvSpPr>
          <xdr:spPr bwMode="auto">
            <a:xfrm>
              <a:off x="0" y="0"/>
              <a:ext cx="0" cy="0"/>
            </a:xfrm>
            <a:prstGeom prst="rect">
              <a:avLst/>
            </a:prstGeom>
            <a:solidFill>
              <a:srgbClr val="FFFFCC"/>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161925</xdr:colOff>
          <xdr:row>17</xdr:row>
          <xdr:rowOff>9525</xdr:rowOff>
        </xdr:from>
        <xdr:to>
          <xdr:col>4</xdr:col>
          <xdr:colOff>590550</xdr:colOff>
          <xdr:row>17</xdr:row>
          <xdr:rowOff>228600</xdr:rowOff>
        </xdr:to>
        <xdr:sp macro="" textlink="">
          <xdr:nvSpPr>
            <xdr:cNvPr id="30724" name="Check Box 4" hidden="1">
              <a:extLst>
                <a:ext uri="{63B3BB69-23CF-44E3-9099-C40C66FF867C}">
                  <a14:compatExt spid="_x0000_s30724"/>
                </a:ext>
                <a:ext uri="{FF2B5EF4-FFF2-40B4-BE49-F238E27FC236}">
                  <a16:creationId xmlns:a16="http://schemas.microsoft.com/office/drawing/2014/main" id="{00000000-0008-0000-1C00-000004780000}"/>
                </a:ext>
              </a:extLst>
            </xdr:cNvPr>
            <xdr:cNvSpPr/>
          </xdr:nvSpPr>
          <xdr:spPr bwMode="auto">
            <a:xfrm>
              <a:off x="0" y="0"/>
              <a:ext cx="0" cy="0"/>
            </a:xfrm>
            <a:prstGeom prst="rect">
              <a:avLst/>
            </a:prstGeom>
            <a:solidFill>
              <a:srgbClr val="FFFFCC"/>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161925</xdr:colOff>
          <xdr:row>18</xdr:row>
          <xdr:rowOff>9525</xdr:rowOff>
        </xdr:from>
        <xdr:to>
          <xdr:col>4</xdr:col>
          <xdr:colOff>590550</xdr:colOff>
          <xdr:row>18</xdr:row>
          <xdr:rowOff>228600</xdr:rowOff>
        </xdr:to>
        <xdr:sp macro="" textlink="">
          <xdr:nvSpPr>
            <xdr:cNvPr id="30725" name="Check Box 5" hidden="1">
              <a:extLst>
                <a:ext uri="{63B3BB69-23CF-44E3-9099-C40C66FF867C}">
                  <a14:compatExt spid="_x0000_s30725"/>
                </a:ext>
                <a:ext uri="{FF2B5EF4-FFF2-40B4-BE49-F238E27FC236}">
                  <a16:creationId xmlns:a16="http://schemas.microsoft.com/office/drawing/2014/main" id="{00000000-0008-0000-1C00-000005780000}"/>
                </a:ext>
              </a:extLst>
            </xdr:cNvPr>
            <xdr:cNvSpPr/>
          </xdr:nvSpPr>
          <xdr:spPr bwMode="auto">
            <a:xfrm>
              <a:off x="0" y="0"/>
              <a:ext cx="0" cy="0"/>
            </a:xfrm>
            <a:prstGeom prst="rect">
              <a:avLst/>
            </a:prstGeom>
            <a:solidFill>
              <a:srgbClr val="FFFFCC"/>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161925</xdr:colOff>
          <xdr:row>19</xdr:row>
          <xdr:rowOff>9525</xdr:rowOff>
        </xdr:from>
        <xdr:to>
          <xdr:col>4</xdr:col>
          <xdr:colOff>590550</xdr:colOff>
          <xdr:row>19</xdr:row>
          <xdr:rowOff>228600</xdr:rowOff>
        </xdr:to>
        <xdr:sp macro="" textlink="">
          <xdr:nvSpPr>
            <xdr:cNvPr id="30726" name="Check Box 6" hidden="1">
              <a:extLst>
                <a:ext uri="{63B3BB69-23CF-44E3-9099-C40C66FF867C}">
                  <a14:compatExt spid="_x0000_s30726"/>
                </a:ext>
                <a:ext uri="{FF2B5EF4-FFF2-40B4-BE49-F238E27FC236}">
                  <a16:creationId xmlns:a16="http://schemas.microsoft.com/office/drawing/2014/main" id="{00000000-0008-0000-1C00-000006780000}"/>
                </a:ext>
              </a:extLst>
            </xdr:cNvPr>
            <xdr:cNvSpPr/>
          </xdr:nvSpPr>
          <xdr:spPr bwMode="auto">
            <a:xfrm>
              <a:off x="0" y="0"/>
              <a:ext cx="0" cy="0"/>
            </a:xfrm>
            <a:prstGeom prst="rect">
              <a:avLst/>
            </a:prstGeom>
            <a:solidFill>
              <a:srgbClr val="FFFFCC"/>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161925</xdr:colOff>
          <xdr:row>14</xdr:row>
          <xdr:rowOff>9525</xdr:rowOff>
        </xdr:from>
        <xdr:to>
          <xdr:col>10</xdr:col>
          <xdr:colOff>590550</xdr:colOff>
          <xdr:row>14</xdr:row>
          <xdr:rowOff>228600</xdr:rowOff>
        </xdr:to>
        <xdr:sp macro="" textlink="">
          <xdr:nvSpPr>
            <xdr:cNvPr id="30727" name="Check Box 7" hidden="1">
              <a:extLst>
                <a:ext uri="{63B3BB69-23CF-44E3-9099-C40C66FF867C}">
                  <a14:compatExt spid="_x0000_s30727"/>
                </a:ext>
                <a:ext uri="{FF2B5EF4-FFF2-40B4-BE49-F238E27FC236}">
                  <a16:creationId xmlns:a16="http://schemas.microsoft.com/office/drawing/2014/main" id="{00000000-0008-0000-1C00-000007780000}"/>
                </a:ext>
              </a:extLst>
            </xdr:cNvPr>
            <xdr:cNvSpPr/>
          </xdr:nvSpPr>
          <xdr:spPr bwMode="auto">
            <a:xfrm>
              <a:off x="0" y="0"/>
              <a:ext cx="0" cy="0"/>
            </a:xfrm>
            <a:prstGeom prst="rect">
              <a:avLst/>
            </a:prstGeom>
            <a:solidFill>
              <a:srgbClr val="FFFFCC"/>
            </a:solidFill>
            <a:ln>
              <a:noFill/>
            </a:ln>
            <a:extLst>
              <a:ext uri="{91240B29-F687-4F45-9708-019B960494DF}">
                <a14:hiddenLine w="12700">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161925</xdr:colOff>
          <xdr:row>15</xdr:row>
          <xdr:rowOff>9525</xdr:rowOff>
        </xdr:from>
        <xdr:to>
          <xdr:col>10</xdr:col>
          <xdr:colOff>590550</xdr:colOff>
          <xdr:row>15</xdr:row>
          <xdr:rowOff>228600</xdr:rowOff>
        </xdr:to>
        <xdr:sp macro="" textlink="">
          <xdr:nvSpPr>
            <xdr:cNvPr id="30728" name="Check Box 8" hidden="1">
              <a:extLst>
                <a:ext uri="{63B3BB69-23CF-44E3-9099-C40C66FF867C}">
                  <a14:compatExt spid="_x0000_s30728"/>
                </a:ext>
                <a:ext uri="{FF2B5EF4-FFF2-40B4-BE49-F238E27FC236}">
                  <a16:creationId xmlns:a16="http://schemas.microsoft.com/office/drawing/2014/main" id="{00000000-0008-0000-1C00-000008780000}"/>
                </a:ext>
              </a:extLst>
            </xdr:cNvPr>
            <xdr:cNvSpPr/>
          </xdr:nvSpPr>
          <xdr:spPr bwMode="auto">
            <a:xfrm>
              <a:off x="0" y="0"/>
              <a:ext cx="0" cy="0"/>
            </a:xfrm>
            <a:prstGeom prst="rect">
              <a:avLst/>
            </a:prstGeom>
            <a:solidFill>
              <a:srgbClr val="FFFFCC"/>
            </a:solidFill>
            <a:ln>
              <a:noFill/>
            </a:ln>
            <a:extLst>
              <a:ext uri="{91240B29-F687-4F45-9708-019B960494DF}">
                <a14:hiddenLine w="12700">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161925</xdr:colOff>
          <xdr:row>16</xdr:row>
          <xdr:rowOff>9525</xdr:rowOff>
        </xdr:from>
        <xdr:to>
          <xdr:col>10</xdr:col>
          <xdr:colOff>590550</xdr:colOff>
          <xdr:row>16</xdr:row>
          <xdr:rowOff>228600</xdr:rowOff>
        </xdr:to>
        <xdr:sp macro="" textlink="">
          <xdr:nvSpPr>
            <xdr:cNvPr id="30729" name="Check Box 9" hidden="1">
              <a:extLst>
                <a:ext uri="{63B3BB69-23CF-44E3-9099-C40C66FF867C}">
                  <a14:compatExt spid="_x0000_s30729"/>
                </a:ext>
                <a:ext uri="{FF2B5EF4-FFF2-40B4-BE49-F238E27FC236}">
                  <a16:creationId xmlns:a16="http://schemas.microsoft.com/office/drawing/2014/main" id="{00000000-0008-0000-1C00-000009780000}"/>
                </a:ext>
              </a:extLst>
            </xdr:cNvPr>
            <xdr:cNvSpPr/>
          </xdr:nvSpPr>
          <xdr:spPr bwMode="auto">
            <a:xfrm>
              <a:off x="0" y="0"/>
              <a:ext cx="0" cy="0"/>
            </a:xfrm>
            <a:prstGeom prst="rect">
              <a:avLst/>
            </a:prstGeom>
            <a:solidFill>
              <a:srgbClr val="FFFFCC"/>
            </a:solidFill>
            <a:ln>
              <a:noFill/>
            </a:ln>
            <a:extLst>
              <a:ext uri="{91240B29-F687-4F45-9708-019B960494DF}">
                <a14:hiddenLine w="12700">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Yes</a:t>
              </a:r>
            </a:p>
          </xdr:txBody>
        </xdr:sp>
        <xdr:clientData fLocksWithSheet="0"/>
      </xdr:twoCellAnchor>
    </mc:Choice>
    <mc:Fallback/>
  </mc:AlternateContent>
  <xdr:twoCellAnchor>
    <xdr:from>
      <xdr:col>1</xdr:col>
      <xdr:colOff>85724</xdr:colOff>
      <xdr:row>11</xdr:row>
      <xdr:rowOff>144676</xdr:rowOff>
    </xdr:from>
    <xdr:to>
      <xdr:col>6</xdr:col>
      <xdr:colOff>171449</xdr:colOff>
      <xdr:row>21</xdr:row>
      <xdr:rowOff>19049</xdr:rowOff>
    </xdr:to>
    <xdr:sp macro="" textlink="">
      <xdr:nvSpPr>
        <xdr:cNvPr id="17" name="Rectangle: Rounded Corners 16">
          <a:extLst>
            <a:ext uri="{FF2B5EF4-FFF2-40B4-BE49-F238E27FC236}">
              <a16:creationId xmlns:a16="http://schemas.microsoft.com/office/drawing/2014/main" id="{00000000-0008-0000-1B00-000011000000}"/>
            </a:ext>
          </a:extLst>
        </xdr:cNvPr>
        <xdr:cNvSpPr/>
      </xdr:nvSpPr>
      <xdr:spPr>
        <a:xfrm>
          <a:off x="695324" y="2240176"/>
          <a:ext cx="3133725" cy="1779373"/>
        </a:xfrm>
        <a:prstGeom prst="roundRect">
          <a:avLst>
            <a:gd name="adj" fmla="val 9916"/>
          </a:avLst>
        </a:prstGeom>
        <a:noFill/>
        <a:ln w="28575">
          <a:solidFill>
            <a:srgbClr val="0070C0"/>
          </a:solid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66675</xdr:colOff>
      <xdr:row>22</xdr:row>
      <xdr:rowOff>76200</xdr:rowOff>
    </xdr:from>
    <xdr:to>
      <xdr:col>12</xdr:col>
      <xdr:colOff>76200</xdr:colOff>
      <xdr:row>29</xdr:row>
      <xdr:rowOff>123825</xdr:rowOff>
    </xdr:to>
    <xdr:sp macro="" textlink="">
      <xdr:nvSpPr>
        <xdr:cNvPr id="18" name="Rectangle: Rounded Corners 17">
          <a:extLst>
            <a:ext uri="{FF2B5EF4-FFF2-40B4-BE49-F238E27FC236}">
              <a16:creationId xmlns:a16="http://schemas.microsoft.com/office/drawing/2014/main" id="{00000000-0008-0000-1B00-000012000000}"/>
            </a:ext>
          </a:extLst>
        </xdr:cNvPr>
        <xdr:cNvSpPr/>
      </xdr:nvSpPr>
      <xdr:spPr>
        <a:xfrm>
          <a:off x="676275" y="4267200"/>
          <a:ext cx="6715125" cy="1381125"/>
        </a:xfrm>
        <a:prstGeom prst="roundRect">
          <a:avLst/>
        </a:prstGeom>
        <a:noFill/>
        <a:ln w="28575">
          <a:solidFill>
            <a:srgbClr val="0070C0"/>
          </a:solid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20.xml><?xml version="1.0" encoding="utf-8"?>
<xdr:wsDr xmlns:xdr="http://schemas.openxmlformats.org/drawingml/2006/spreadsheetDrawing" xmlns:a="http://schemas.openxmlformats.org/drawingml/2006/main">
  <xdr:oneCellAnchor>
    <xdr:from>
      <xdr:col>1</xdr:col>
      <xdr:colOff>457200</xdr:colOff>
      <xdr:row>0</xdr:row>
      <xdr:rowOff>0</xdr:rowOff>
    </xdr:from>
    <xdr:ext cx="2725000" cy="1050925"/>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1371600" y="0"/>
          <a:ext cx="2725000" cy="1050925"/>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25</xdr:col>
      <xdr:colOff>390525</xdr:colOff>
      <xdr:row>18</xdr:row>
      <xdr:rowOff>133351</xdr:rowOff>
    </xdr:from>
    <xdr:ext cx="5505450" cy="2304274"/>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17640300" y="3552826"/>
          <a:ext cx="5505450" cy="2304274"/>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26</xdr:col>
      <xdr:colOff>0</xdr:colOff>
      <xdr:row>18</xdr:row>
      <xdr:rowOff>1</xdr:rowOff>
    </xdr:from>
    <xdr:ext cx="5505450" cy="2304274"/>
    <xdr:pic>
      <xdr:nvPicPr>
        <xdr:cNvPr id="2" name="Picture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14630400" y="3238501"/>
          <a:ext cx="5505450" cy="2304274"/>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475588</xdr:colOff>
          <xdr:row>0</xdr:row>
          <xdr:rowOff>0</xdr:rowOff>
        </xdr:from>
        <xdr:to>
          <xdr:col>9</xdr:col>
          <xdr:colOff>790575</xdr:colOff>
          <xdr:row>6</xdr:row>
          <xdr:rowOff>9524</xdr:rowOff>
        </xdr:to>
        <xdr:pic>
          <xdr:nvPicPr>
            <xdr:cNvPr id="4" name="Picture 3">
              <a:extLst>
                <a:ext uri="{FF2B5EF4-FFF2-40B4-BE49-F238E27FC236}">
                  <a16:creationId xmlns:a16="http://schemas.microsoft.com/office/drawing/2014/main" id="{00000000-0008-0000-2100-000004000000}"/>
                </a:ext>
              </a:extLst>
            </xdr:cNvPr>
            <xdr:cNvPicPr>
              <a:picLocks noChangeAspect="1"/>
              <a:extLst>
                <a:ext uri="{84589F7E-364E-4C9E-8A38-B11213B215E9}">
                  <a14:cameraTool cellRange="Picture" spid="_x0000_s205177"/>
                </a:ext>
              </a:extLst>
            </xdr:cNvPicPr>
          </xdr:nvPicPr>
          <xdr:blipFill>
            <a:blip xmlns:r="http://schemas.openxmlformats.org/officeDocument/2006/relationships" r:embed="rId1"/>
            <a:stretch>
              <a:fillRect/>
            </a:stretch>
          </xdr:blipFill>
          <xdr:spPr>
            <a:xfrm>
              <a:off x="7781263" y="0"/>
              <a:ext cx="2639087" cy="1171574"/>
            </a:xfrm>
            <a:prstGeom prst="rect">
              <a:avLst/>
            </a:prstGeom>
          </xdr:spPr>
        </xdr:pic>
        <xdr:clientData/>
      </xdr:twoCellAnchor>
    </mc:Choice>
    <mc:Fallback/>
  </mc:AlternateContent>
</xdr:wsDr>
</file>

<file path=xl/drawings/drawing24.xml><?xml version="1.0" encoding="utf-8"?>
<xdr:wsDr xmlns:xdr="http://schemas.openxmlformats.org/drawingml/2006/spreadsheetDrawing" xmlns:a="http://schemas.openxmlformats.org/drawingml/2006/main">
  <xdr:twoCellAnchor editAs="oneCell">
    <xdr:from>
      <xdr:col>6</xdr:col>
      <xdr:colOff>895350</xdr:colOff>
      <xdr:row>15</xdr:row>
      <xdr:rowOff>38100</xdr:rowOff>
    </xdr:from>
    <xdr:to>
      <xdr:col>6</xdr:col>
      <xdr:colOff>2314575</xdr:colOff>
      <xdr:row>15</xdr:row>
      <xdr:rowOff>1162050</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963275" y="1952625"/>
          <a:ext cx="1419225" cy="1123950"/>
        </a:xfrm>
        <a:prstGeom prst="rect">
          <a:avLst/>
        </a:prstGeom>
      </xdr:spPr>
    </xdr:pic>
    <xdr:clientData/>
  </xdr:twoCellAnchor>
  <xdr:oneCellAnchor>
    <xdr:from>
      <xdr:col>6</xdr:col>
      <xdr:colOff>209550</xdr:colOff>
      <xdr:row>14</xdr:row>
      <xdr:rowOff>38100</xdr:rowOff>
    </xdr:from>
    <xdr:ext cx="2124075" cy="581025"/>
    <xdr:pic>
      <xdr:nvPicPr>
        <xdr:cNvPr id="4" name="Logo_3">
          <a:extLst>
            <a:ext uri="{FF2B5EF4-FFF2-40B4-BE49-F238E27FC236}">
              <a16:creationId xmlns:a16="http://schemas.microsoft.com/office/drawing/2014/main" id="{00000000-0008-0000-2200-000004000000}"/>
            </a:ext>
          </a:extLst>
        </xdr:cNvPr>
        <xdr:cNvPicPr>
          <a:picLocks noChangeAspect="1"/>
        </xdr:cNvPicPr>
      </xdr:nvPicPr>
      <xdr:blipFill>
        <a:blip xmlns:r="http://schemas.openxmlformats.org/officeDocument/2006/relationships" r:embed="rId2"/>
        <a:stretch>
          <a:fillRect/>
        </a:stretch>
      </xdr:blipFill>
      <xdr:spPr>
        <a:xfrm>
          <a:off x="10277475" y="3181350"/>
          <a:ext cx="2124075" cy="581025"/>
        </a:xfrm>
        <a:prstGeom prst="rect">
          <a:avLst/>
        </a:prstGeom>
      </xdr:spPr>
    </xdr:pic>
    <xdr:clientData/>
  </xdr:oneCellAnchor>
  <xdr:twoCellAnchor editAs="oneCell">
    <xdr:from>
      <xdr:col>6</xdr:col>
      <xdr:colOff>476250</xdr:colOff>
      <xdr:row>3</xdr:row>
      <xdr:rowOff>28575</xdr:rowOff>
    </xdr:from>
    <xdr:to>
      <xdr:col>6</xdr:col>
      <xdr:colOff>2322765</xdr:colOff>
      <xdr:row>3</xdr:row>
      <xdr:rowOff>904874</xdr:rowOff>
    </xdr:to>
    <xdr:pic>
      <xdr:nvPicPr>
        <xdr:cNvPr id="8" name="Logo_1">
          <a:extLst>
            <a:ext uri="{FF2B5EF4-FFF2-40B4-BE49-F238E27FC236}">
              <a16:creationId xmlns:a16="http://schemas.microsoft.com/office/drawing/2014/main" id="{00000000-0008-0000-22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448800" y="1466850"/>
          <a:ext cx="1846515" cy="876299"/>
        </a:xfrm>
        <a:prstGeom prst="rect">
          <a:avLst/>
        </a:prstGeom>
      </xdr:spPr>
    </xdr:pic>
    <xdr:clientData/>
  </xdr:twoCellAnchor>
  <xdr:oneCellAnchor>
    <xdr:from>
      <xdr:col>6</xdr:col>
      <xdr:colOff>857250</xdr:colOff>
      <xdr:row>8</xdr:row>
      <xdr:rowOff>38100</xdr:rowOff>
    </xdr:from>
    <xdr:ext cx="1453955" cy="1152525"/>
    <xdr:pic>
      <xdr:nvPicPr>
        <xdr:cNvPr id="11" name="Picture 10">
          <a:extLst>
            <a:ext uri="{FF2B5EF4-FFF2-40B4-BE49-F238E27FC236}">
              <a16:creationId xmlns:a16="http://schemas.microsoft.com/office/drawing/2014/main" id="{00000000-0008-0000-2200-00000B000000}"/>
            </a:ext>
          </a:extLst>
        </xdr:cNvPr>
        <xdr:cNvPicPr>
          <a:picLocks noChangeAspect="1"/>
        </xdr:cNvPicPr>
      </xdr:nvPicPr>
      <xdr:blipFill>
        <a:blip xmlns:r="http://schemas.openxmlformats.org/officeDocument/2006/relationships" r:embed="rId4"/>
        <a:stretch>
          <a:fillRect/>
        </a:stretch>
      </xdr:blipFill>
      <xdr:spPr>
        <a:xfrm>
          <a:off x="10925175" y="3467100"/>
          <a:ext cx="1453955" cy="1152525"/>
        </a:xfrm>
        <a:prstGeom prst="rect">
          <a:avLst/>
        </a:prstGeom>
      </xdr:spPr>
    </xdr:pic>
    <xdr:clientData/>
  </xdr:oneCellAnchor>
  <xdr:oneCellAnchor>
    <xdr:from>
      <xdr:col>6</xdr:col>
      <xdr:colOff>161925</xdr:colOff>
      <xdr:row>10</xdr:row>
      <xdr:rowOff>28575</xdr:rowOff>
    </xdr:from>
    <xdr:ext cx="2170364" cy="688908"/>
    <xdr:pic>
      <xdr:nvPicPr>
        <xdr:cNvPr id="12" name="Picture 11">
          <a:extLst>
            <a:ext uri="{FF2B5EF4-FFF2-40B4-BE49-F238E27FC236}">
              <a16:creationId xmlns:a16="http://schemas.microsoft.com/office/drawing/2014/main" id="{00000000-0008-0000-2200-00000C000000}"/>
            </a:ext>
          </a:extLst>
        </xdr:cNvPr>
        <xdr:cNvPicPr>
          <a:picLocks noChangeAspect="1"/>
        </xdr:cNvPicPr>
      </xdr:nvPicPr>
      <xdr:blipFill>
        <a:blip xmlns:r="http://schemas.openxmlformats.org/officeDocument/2006/relationships" r:embed="rId5"/>
        <a:stretch>
          <a:fillRect/>
        </a:stretch>
      </xdr:blipFill>
      <xdr:spPr>
        <a:xfrm>
          <a:off x="10229850" y="6819900"/>
          <a:ext cx="2170364" cy="688908"/>
        </a:xfrm>
        <a:prstGeom prst="rect">
          <a:avLst/>
        </a:prstGeom>
      </xdr:spPr>
    </xdr:pic>
    <xdr:clientData/>
  </xdr:oneCellAnchor>
  <xdr:oneCellAnchor>
    <xdr:from>
      <xdr:col>6</xdr:col>
      <xdr:colOff>209550</xdr:colOff>
      <xdr:row>11</xdr:row>
      <xdr:rowOff>38100</xdr:rowOff>
    </xdr:from>
    <xdr:ext cx="2124075" cy="581025"/>
    <xdr:pic>
      <xdr:nvPicPr>
        <xdr:cNvPr id="13" name="Logo_3">
          <a:extLst>
            <a:ext uri="{FF2B5EF4-FFF2-40B4-BE49-F238E27FC236}">
              <a16:creationId xmlns:a16="http://schemas.microsoft.com/office/drawing/2014/main" id="{00000000-0008-0000-2200-00000D000000}"/>
            </a:ext>
          </a:extLst>
        </xdr:cNvPr>
        <xdr:cNvPicPr>
          <a:picLocks noChangeAspect="1"/>
        </xdr:cNvPicPr>
      </xdr:nvPicPr>
      <xdr:blipFill>
        <a:blip xmlns:r="http://schemas.openxmlformats.org/officeDocument/2006/relationships" r:embed="rId2"/>
        <a:stretch>
          <a:fillRect/>
        </a:stretch>
      </xdr:blipFill>
      <xdr:spPr>
        <a:xfrm>
          <a:off x="10277475" y="9305925"/>
          <a:ext cx="2124075" cy="581025"/>
        </a:xfrm>
        <a:prstGeom prst="rect">
          <a:avLst/>
        </a:prstGeom>
      </xdr:spPr>
    </xdr:pic>
    <xdr:clientData/>
  </xdr:oneCellAnchor>
  <xdr:oneCellAnchor>
    <xdr:from>
      <xdr:col>6</xdr:col>
      <xdr:colOff>209550</xdr:colOff>
      <xdr:row>12</xdr:row>
      <xdr:rowOff>38100</xdr:rowOff>
    </xdr:from>
    <xdr:ext cx="2124075" cy="581025"/>
    <xdr:pic>
      <xdr:nvPicPr>
        <xdr:cNvPr id="14" name="Logo_3">
          <a:extLst>
            <a:ext uri="{FF2B5EF4-FFF2-40B4-BE49-F238E27FC236}">
              <a16:creationId xmlns:a16="http://schemas.microsoft.com/office/drawing/2014/main" id="{00000000-0008-0000-2200-00000E000000}"/>
            </a:ext>
          </a:extLst>
        </xdr:cNvPr>
        <xdr:cNvPicPr>
          <a:picLocks noChangeAspect="1"/>
        </xdr:cNvPicPr>
      </xdr:nvPicPr>
      <xdr:blipFill>
        <a:blip xmlns:r="http://schemas.openxmlformats.org/officeDocument/2006/relationships" r:embed="rId2"/>
        <a:stretch>
          <a:fillRect/>
        </a:stretch>
      </xdr:blipFill>
      <xdr:spPr>
        <a:xfrm>
          <a:off x="10277475" y="9305925"/>
          <a:ext cx="2124075" cy="581025"/>
        </a:xfrm>
        <a:prstGeom prst="rect">
          <a:avLst/>
        </a:prstGeom>
      </xdr:spPr>
    </xdr:pic>
    <xdr:clientData/>
  </xdr:oneCellAnchor>
  <xdr:oneCellAnchor>
    <xdr:from>
      <xdr:col>6</xdr:col>
      <xdr:colOff>209550</xdr:colOff>
      <xdr:row>13</xdr:row>
      <xdr:rowOff>38100</xdr:rowOff>
    </xdr:from>
    <xdr:ext cx="2124075" cy="581025"/>
    <xdr:pic>
      <xdr:nvPicPr>
        <xdr:cNvPr id="15" name="Logo_3">
          <a:extLst>
            <a:ext uri="{FF2B5EF4-FFF2-40B4-BE49-F238E27FC236}">
              <a16:creationId xmlns:a16="http://schemas.microsoft.com/office/drawing/2014/main" id="{00000000-0008-0000-2200-00000F000000}"/>
            </a:ext>
          </a:extLst>
        </xdr:cNvPr>
        <xdr:cNvPicPr>
          <a:picLocks noChangeAspect="1"/>
        </xdr:cNvPicPr>
      </xdr:nvPicPr>
      <xdr:blipFill>
        <a:blip xmlns:r="http://schemas.openxmlformats.org/officeDocument/2006/relationships" r:embed="rId2"/>
        <a:stretch>
          <a:fillRect/>
        </a:stretch>
      </xdr:blipFill>
      <xdr:spPr>
        <a:xfrm>
          <a:off x="10277475" y="9305925"/>
          <a:ext cx="2124075" cy="581025"/>
        </a:xfrm>
        <a:prstGeom prst="rect">
          <a:avLst/>
        </a:prstGeom>
      </xdr:spPr>
    </xdr:pic>
    <xdr:clientData/>
  </xdr:oneCellAnchor>
  <xdr:oneCellAnchor>
    <xdr:from>
      <xdr:col>6</xdr:col>
      <xdr:colOff>895350</xdr:colOff>
      <xdr:row>6</xdr:row>
      <xdr:rowOff>38100</xdr:rowOff>
    </xdr:from>
    <xdr:ext cx="1419225" cy="1123950"/>
    <xdr:pic>
      <xdr:nvPicPr>
        <xdr:cNvPr id="16" name="Picture 15">
          <a:extLst>
            <a:ext uri="{FF2B5EF4-FFF2-40B4-BE49-F238E27FC236}">
              <a16:creationId xmlns:a16="http://schemas.microsoft.com/office/drawing/2014/main" id="{00000000-0008-0000-2200-00001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963275" y="12734925"/>
          <a:ext cx="1419225" cy="1123950"/>
        </a:xfrm>
        <a:prstGeom prst="rect">
          <a:avLst/>
        </a:prstGeom>
      </xdr:spPr>
    </xdr:pic>
    <xdr:clientData/>
  </xdr:oneCellAnchor>
  <xdr:twoCellAnchor editAs="oneCell">
    <xdr:from>
      <xdr:col>6</xdr:col>
      <xdr:colOff>1123950</xdr:colOff>
      <xdr:row>7</xdr:row>
      <xdr:rowOff>57150</xdr:rowOff>
    </xdr:from>
    <xdr:to>
      <xdr:col>6</xdr:col>
      <xdr:colOff>2314575</xdr:colOff>
      <xdr:row>7</xdr:row>
      <xdr:rowOff>1066800</xdr:rowOff>
    </xdr:to>
    <xdr:pic>
      <xdr:nvPicPr>
        <xdr:cNvPr id="7" name="Picture 6">
          <a:extLst>
            <a:ext uri="{FF2B5EF4-FFF2-40B4-BE49-F238E27FC236}">
              <a16:creationId xmlns:a16="http://schemas.microsoft.com/office/drawing/2014/main" id="{00000000-0008-0000-2200-00000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096500" y="3105150"/>
          <a:ext cx="1190625" cy="1009650"/>
        </a:xfrm>
        <a:prstGeom prst="rect">
          <a:avLst/>
        </a:prstGeom>
      </xdr:spPr>
    </xdr:pic>
    <xdr:clientData/>
  </xdr:twoCellAnchor>
  <xdr:twoCellAnchor editAs="oneCell">
    <xdr:from>
      <xdr:col>6</xdr:col>
      <xdr:colOff>1114425</xdr:colOff>
      <xdr:row>9</xdr:row>
      <xdr:rowOff>47625</xdr:rowOff>
    </xdr:from>
    <xdr:to>
      <xdr:col>6</xdr:col>
      <xdr:colOff>2305050</xdr:colOff>
      <xdr:row>9</xdr:row>
      <xdr:rowOff>1057275</xdr:rowOff>
    </xdr:to>
    <xdr:pic>
      <xdr:nvPicPr>
        <xdr:cNvPr id="17" name="Picture 16">
          <a:extLst>
            <a:ext uri="{FF2B5EF4-FFF2-40B4-BE49-F238E27FC236}">
              <a16:creationId xmlns:a16="http://schemas.microsoft.com/office/drawing/2014/main" id="{00000000-0008-0000-2200-00001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086975" y="5591175"/>
          <a:ext cx="1190625" cy="1009650"/>
        </a:xfrm>
        <a:prstGeom prst="rect">
          <a:avLst/>
        </a:prstGeom>
      </xdr:spPr>
    </xdr:pic>
    <xdr:clientData/>
  </xdr:twoCellAnchor>
  <xdr:twoCellAnchor editAs="oneCell">
    <xdr:from>
      <xdr:col>6</xdr:col>
      <xdr:colOff>552450</xdr:colOff>
      <xdr:row>5</xdr:row>
      <xdr:rowOff>38100</xdr:rowOff>
    </xdr:from>
    <xdr:to>
      <xdr:col>6</xdr:col>
      <xdr:colOff>2324347</xdr:colOff>
      <xdr:row>5</xdr:row>
      <xdr:rowOff>676364</xdr:rowOff>
    </xdr:to>
    <xdr:pic>
      <xdr:nvPicPr>
        <xdr:cNvPr id="18" name="Picture 17">
          <a:extLst>
            <a:ext uri="{FF2B5EF4-FFF2-40B4-BE49-F238E27FC236}">
              <a16:creationId xmlns:a16="http://schemas.microsoft.com/office/drawing/2014/main" id="{00000000-0008-0000-2200-000012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525000" y="3314700"/>
          <a:ext cx="1771897" cy="638264"/>
        </a:xfrm>
        <a:prstGeom prst="rect">
          <a:avLst/>
        </a:prstGeom>
      </xdr:spPr>
    </xdr:pic>
    <xdr:clientData/>
  </xdr:twoCellAnchor>
  <xdr:twoCellAnchor editAs="oneCell">
    <xdr:from>
      <xdr:col>6</xdr:col>
      <xdr:colOff>636426</xdr:colOff>
      <xdr:row>4</xdr:row>
      <xdr:rowOff>38101</xdr:rowOff>
    </xdr:from>
    <xdr:to>
      <xdr:col>6</xdr:col>
      <xdr:colOff>2331712</xdr:colOff>
      <xdr:row>4</xdr:row>
      <xdr:rowOff>866775</xdr:rowOff>
    </xdr:to>
    <xdr:pic>
      <xdr:nvPicPr>
        <xdr:cNvPr id="5" name="Picture 4">
          <a:extLst>
            <a:ext uri="{FF2B5EF4-FFF2-40B4-BE49-F238E27FC236}">
              <a16:creationId xmlns:a16="http://schemas.microsoft.com/office/drawing/2014/main" id="{00000000-0008-0000-2200-00000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608976" y="2381251"/>
          <a:ext cx="1695286" cy="82867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FS" id="{9AB47B96-CF5C-4EE9-B7DE-30AE6DDBB6C3}" userId="MFS" providerId="None"/>
  <person displayName="michael" id="{516B1F63-8256-427A-9D0E-1E78C5CD7067}" userId="d09dfea94469ed9e" providerId="Windows Live"/>
  <person displayName="Roxhannah Fawthrop" id="{88F9238D-EEF8-4E52-962C-72C7163924AD}" userId="Roxhannah Fawthrop" providerId="None"/>
  <person displayName="Agnieszka Chmarowska" id="{44FF04C1-29C2-47A2-94F7-711CF521372A}" userId="S::achmarowska@mfsbtl.com::40b90e53-a75e-4a6c-8563-4e3294fdbea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6424152-BA00-4A0D-A43C-F1535C9F8A23}" name="SavillsHPI_TBL7" displayName="SavillsHPI_TBL7" ref="I26:O37" totalsRowShown="0" headerRowDxfId="271" dataDxfId="270">
  <autoFilter ref="I26:O37" xr:uid="{A6424152-BA00-4A0D-A43C-F1535C9F8A23}"/>
  <tableColumns count="7">
    <tableColumn id="1" xr3:uid="{7D1738EE-DEB5-4DDD-B080-34C6DB60B9E6}" name="Column1" dataDxfId="269"/>
    <tableColumn id="2" xr3:uid="{4A796719-123B-47F2-9B9F-835E2CA964DD}" name="2021" dataDxfId="268">
      <calculatedColumnFormula>MIN(J41,$O$25)</calculatedColumnFormula>
    </tableColumn>
    <tableColumn id="3" xr3:uid="{6B63AAE5-A1DA-409D-8419-CAF0830F474C}" name="2022" dataDxfId="267">
      <calculatedColumnFormula>MIN(K41,$O$25)</calculatedColumnFormula>
    </tableColumn>
    <tableColumn id="4" xr3:uid="{F9DCB93D-6867-40D7-BA0C-CCBF291D9129}" name="2023" dataDxfId="266">
      <calculatedColumnFormula>MIN(L41,$O$25)</calculatedColumnFormula>
    </tableColumn>
    <tableColumn id="5" xr3:uid="{BD9D0F64-58B3-44E8-A27D-90BA4D9166A6}" name="2024" dataDxfId="265">
      <calculatedColumnFormula>MIN(M41,$O$25)</calculatedColumnFormula>
    </tableColumn>
    <tableColumn id="6" xr3:uid="{7BB07995-1024-41F8-BC31-79E13B88DFC0}" name="2025" dataDxfId="264">
      <calculatedColumnFormula>MIN(N41,$O$25)</calculatedColumnFormula>
    </tableColumn>
    <tableColumn id="7" xr3:uid="{1DE8D8B7-3D36-4A0B-9D34-0E7EC25F4E37}" name="5yrs to 2025" dataDxfId="26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F62A10-9943-4323-8CB2-79F7C4E024F6}" name="Adjusted_House_Price_TBL2" displayName="Adjusted_House_Price_TBL2" ref="I13:O23" totalsRowShown="0" headerRowDxfId="262" dataDxfId="261">
  <autoFilter ref="I13:O23" xr:uid="{81F62A10-9943-4323-8CB2-79F7C4E024F6}"/>
  <tableColumns count="7">
    <tableColumn id="1" xr3:uid="{07A3557B-EBA9-4C00-9E96-EF7428AEC500}" name="Column1" dataDxfId="260"/>
    <tableColumn id="2" xr3:uid="{FCC974D0-CAE3-4E90-BA33-AA170E7DE2A3}" name="2021" dataDxfId="259" dataCellStyle="Good">
      <calculatedColumnFormula>$C$8</calculatedColumnFormula>
    </tableColumn>
    <tableColumn id="3" xr3:uid="{7FDD9E65-A8DC-4D50-80FE-EBC850391559}" name="2022" dataDxfId="258">
      <calculatedColumnFormula>J14*(100%+K27)</calculatedColumnFormula>
    </tableColumn>
    <tableColumn id="4" xr3:uid="{2E37F8EC-C5C7-46F9-A1D6-E3004B822575}" name="2023" dataDxfId="257">
      <calculatedColumnFormula>K14*(100%+L27)</calculatedColumnFormula>
    </tableColumn>
    <tableColumn id="5" xr3:uid="{047B9237-3B96-46A7-8066-00C3CAF6A21C}" name="2024" dataDxfId="256">
      <calculatedColumnFormula>L14*(100%+M27)</calculatedColumnFormula>
    </tableColumn>
    <tableColumn id="6" xr3:uid="{E6611FF0-7351-4CDE-B989-1FE4702CF64A}" name="2025" dataDxfId="255">
      <calculatedColumnFormula>M14*(100%+N27)</calculatedColumnFormula>
    </tableColumn>
    <tableColumn id="7" xr3:uid="{B6E1C3B1-969A-4BE3-BED0-6E410333507B}" name="5yrs to 2025" dataDxfId="254">
      <calculatedColumnFormula>J14*(100%+O27)</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C23F10-75CB-48DB-B851-A7A717A8820E}" name="SavillsHPI_TBL73" displayName="SavillsHPI_TBL73" ref="I40:O51" totalsRowShown="0" headerRowDxfId="253" dataDxfId="252">
  <autoFilter ref="I40:O51" xr:uid="{8EC23F10-75CB-48DB-B851-A7A717A8820E}"/>
  <tableColumns count="7">
    <tableColumn id="1" xr3:uid="{A5FF4924-B27A-4A67-B038-06EC418EC023}" name="Column1" dataDxfId="251"/>
    <tableColumn id="2" xr3:uid="{5D237D8E-571F-4353-82EB-0AE42313BF5E}" name="2021" dataDxfId="250"/>
    <tableColumn id="3" xr3:uid="{14AADD0C-25CE-446F-A7B2-ADA2EAD5BFAB}" name="2022" dataDxfId="249"/>
    <tableColumn id="4" xr3:uid="{254050AC-8057-48C5-AC13-6451EE6E38A9}" name="2023" dataDxfId="248"/>
    <tableColumn id="5" xr3:uid="{4C77361E-FB2E-4CAF-83DA-B72FDD203B9E}" name="2024" dataDxfId="247"/>
    <tableColumn id="6" xr3:uid="{B7D25ADB-B47E-4504-89CE-464C1AFA58FE}" name="2025" dataDxfId="246"/>
    <tableColumn id="7" xr3:uid="{5A9E9C95-DBB7-4962-98FE-89175A88385A}" name="5yrs to 2025" dataDxfId="24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BE22D3-A9B5-419E-A01C-37FC52DAC689}" name="SavillsHPI_TBL4" displayName="SavillsHPI_TBL4" ref="A54:G64" totalsRowShown="0" headerRowDxfId="244" dataDxfId="243">
  <tableColumns count="7">
    <tableColumn id="1" xr3:uid="{95741AB9-4F74-492C-A00E-7D2ECED1AEBB}" name="Column1" dataDxfId="242"/>
    <tableColumn id="2" xr3:uid="{6D1EBBE0-10B7-4D62-931D-4DA31DD8EFAA}" name="2021" dataDxfId="241"/>
    <tableColumn id="3" xr3:uid="{9759D08C-8FF0-4B13-A938-39B136487ED5}" name="2022" dataDxfId="240"/>
    <tableColumn id="4" xr3:uid="{FAD3A367-7E4D-4646-9B6C-67B0A78825B4}" name="2023" dataDxfId="239"/>
    <tableColumn id="5" xr3:uid="{C70677AA-A64F-4721-BF2F-602B3D884336}" name="2024" dataDxfId="238"/>
    <tableColumn id="6" xr3:uid="{F565D698-1A3D-4F86-9BD8-C7DC6F0E186C}" name="2025" dataDxfId="237"/>
    <tableColumn id="7" xr3:uid="{B9ACC0F0-5EE6-4E68-A314-5D3C05984193}" name="5yrs to 2025" dataDxfId="23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EEDEAB4-1E42-415F-85E4-7D7B031CA3C2}" name="SavillsHPI_TBL48" displayName="SavillsHPI_TBL48" ref="A40:G50" totalsRowShown="0" headerRowDxfId="235" dataDxfId="234">
  <tableColumns count="7">
    <tableColumn id="1" xr3:uid="{8484BECA-163B-41EF-8609-9085737FEF53}" name="Column1" dataDxfId="233"/>
    <tableColumn id="2" xr3:uid="{35A8A56D-BBEB-47B7-984B-5995A9041B6C}" name="2021" dataDxfId="232"/>
    <tableColumn id="3" xr3:uid="{65DAEC95-8330-45F3-B897-93A5B0337593}" name="2022" dataDxfId="231"/>
    <tableColumn id="4" xr3:uid="{D5CF051B-2E2F-41FB-99F9-DFEFC003B808}" name="2023" dataDxfId="230"/>
    <tableColumn id="5" xr3:uid="{5FBAFF70-AED8-471B-A22B-20C6FFFBB56C}" name="2024" dataDxfId="229"/>
    <tableColumn id="6" xr3:uid="{1AE83ECA-B85F-4C16-A4DD-A328888A80FA}" name="2025" dataDxfId="228"/>
    <tableColumn id="7" xr3:uid="{4AD14267-BE38-4C4E-9E80-4F75A26474F4}" name="5yrs to 2025" dataDxfId="2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2" dT="2022-01-21T10:25:40.01" personId="{516B1F63-8256-427A-9D0E-1E78C5CD7067}" id="{8A8225A1-D1DF-4309-9274-8434FC57F312}">
    <text>(Own UK Property or have active UK credit or accounts.)</text>
  </threadedComment>
  <threadedComment ref="AA13" dT="2022-01-21T10:33:53.17" personId="{516B1F63-8256-427A-9D0E-1E78C5CD7067}" id="{61866D2B-ACB6-4306-9FDB-7847001063A3}">
    <text>(Restricted: Restaurant/Takeaway/Pub/Launderette)</text>
  </threadedComment>
  <threadedComment ref="I14" dT="2022-01-21T10:24:28.70" personId="{516B1F63-8256-427A-9D0E-1E78C5CD7067}" id="{3D44B72A-5F18-4453-9841-83F5EDD28E0E}">
    <text>(E.g. CCJ/Defaults/Missed Loan payments/Bankruptcy/IVA. 
Ignore Telecoms/Utility, CCJ/Defaults &lt;£350, Other balances &lt; £500)</text>
  </threadedComment>
  <threadedComment ref="K27" dT="2022-02-17T14:36:49.54" personId="{516B1F63-8256-427A-9D0E-1E78C5CD7067}" id="{A788812D-7F51-4A07-A5D6-54376DA642BA}">
    <text>(leave blank unless overriding Bespoke standard rate)</text>
  </threadedComment>
  <threadedComment ref="K28" dT="2023-01-06T13:59:57.30" personId="{9AB47B96-CF5C-4EE9-B7DE-30AE6DDBB6C3}" id="{612F0156-84C2-4C95-B179-1D71D6CA6347}">
    <text xml:space="preserve">For the purpose of going back to old cases. For stressed BBR override look to the right. </text>
  </threadedComment>
  <threadedComment ref="AN29" dT="2023-01-04T10:02:20.40" personId="{9AB47B96-CF5C-4EE9-B7DE-30AE6DDBB6C3}" id="{8C17DC31-BEE9-42EC-90E5-EA00FCEA4E45}">
    <text>Rather than start DD after rolled months, 'Yes' allows 24 or 36 DD payments starting in month 1, but for a reduced amount (i.e. whether you choose this option or not, borrower will pay the same amount of interest over the term).  Ideal for borrowers who want to pay monthly and budget</text>
  </threadedComment>
  <threadedComment ref="K30" dT="2022-03-09T17:04:05.96" personId="{516B1F63-8256-427A-9D0E-1E78C5CD7067}" id="{6C757D86-0016-4F79-8452-752CB9FD2ABA}">
    <text>Override if exception made or on bespoke tier with loaded fee (and/or rate)</text>
  </threadedComment>
  <threadedComment ref="C49" dT="2022-03-01T10:43:45.58" personId="{516B1F63-8256-427A-9D0E-1E78C5CD7067}" id="{1E73D3D5-294A-446A-8072-87A7B4AD78AD}">
    <text>Use these settings to achieve the maximum LTV of the loan, i.e. 75% in most cases, 70% bespoke</text>
  </threadedComment>
</ThreadedComments>
</file>

<file path=xl/threadedComments/threadedComment2.xml><?xml version="1.0" encoding="utf-8"?>
<ThreadedComments xmlns="http://schemas.microsoft.com/office/spreadsheetml/2018/threadedcomments" xmlns:x="http://schemas.openxmlformats.org/spreadsheetml/2006/main">
  <threadedComment ref="P3" dT="2022-01-27T16:28:53.44" personId="{88F9238D-EEF8-4E52-962C-72C7163924AD}" id="{AA93A5D8-9C37-432A-808A-D2374B838A59}">
    <text>maybe use this method instead of the ranges, only as the names are getting too reffed up?</text>
  </threadedComment>
</ThreadedComments>
</file>

<file path=xl/threadedComments/threadedComment3.xml><?xml version="1.0" encoding="utf-8"?>
<ThreadedComments xmlns="http://schemas.microsoft.com/office/spreadsheetml/2018/threadedcomments" xmlns:x="http://schemas.openxmlformats.org/spreadsheetml/2006/main">
  <threadedComment ref="G16" dT="2022-01-21T10:25:40.01" personId="{516B1F63-8256-427A-9D0E-1E78C5CD7067}" id="{C8414301-78C2-4E3D-9400-A1952209073F}">
    <text>(Own UK Property or have active UK credit or accounts.)</text>
  </threadedComment>
  <threadedComment ref="G18" dT="2022-01-21T10:24:28.70" personId="{516B1F63-8256-427A-9D0E-1E78C5CD7067}" id="{4EC76E9A-85AF-450D-A95F-DBCBD95A759A}">
    <text>(E.g. CCJ/Defaults/Missed Loan payments/Bankruptcy/IVA. 
Ignore Telecoms/Utility, CCJ/Defaults &lt;£350, Other balances &lt; £500)</text>
  </threadedComment>
  <threadedComment ref="R18" dT="2022-01-21T10:33:53.17" personId="{516B1F63-8256-427A-9D0E-1E78C5CD7067}" id="{A3E95F3B-3B69-4D85-B338-73C4BC90990A}">
    <text>(Restricted: Restaurant/Takeaway/Pub/Launderette)</text>
  </threadedComment>
  <threadedComment ref="H29" dT="2024-01-24T09:52:34.46" personId="{44FF04C1-29C2-47A2-94F7-711CF521372A}" id="{BBF6F62B-33DE-42CE-AB07-9BC97C550193}">
    <text>Apply override/discount to the interest rate - will amend all products and fee options</text>
  </threadedComment>
  <threadedComment ref="H30" dT="2023-01-06T13:59:57.30" personId="{9AB47B96-CF5C-4EE9-B7DE-30AE6DDBB6C3}" id="{75A78187-BEA6-48A5-AC8A-62A935EEC92C}">
    <text xml:space="preserve">For the purpose of going back to old cases. For stressed BBR override look to the right. </text>
  </threadedComment>
  <threadedComment ref="H32" dT="2023-09-28T16:46:43.13" personId="{44FF04C1-29C2-47A2-94F7-711CF521372A}" id="{7E8D0204-8665-428F-B5CB-C9B1EE4410BA}">
    <text xml:space="preserve">Key the discount to the product fee (e.g. key 0.5% to get 5.5% / 3.5% /1.5% fee options) </text>
  </threadedComment>
  <threadedComment ref="C53" dT="2022-03-01T10:43:45.58" personId="{516B1F63-8256-427A-9D0E-1E78C5CD7067}" id="{872C9C35-5510-4247-956C-6B0AC46DDA93}">
    <text>Use these settings to achieve the maximum LTV of the loan, i.e. 75% in most cases, 70% bespoke</text>
  </threadedComment>
</ThreadedComments>
</file>

<file path=xl/threadedComments/threadedComment4.xml><?xml version="1.0" encoding="utf-8"?>
<ThreadedComments xmlns="http://schemas.microsoft.com/office/spreadsheetml/2018/threadedcomments" xmlns:x="http://schemas.openxmlformats.org/spreadsheetml/2006/main">
  <threadedComment ref="H49" dT="2021-12-09T13:53:54.79" personId="{516B1F63-8256-427A-9D0E-1E78C5CD7067}" id="{ACC074E4-FBD2-4DD1-9263-0F715D6F37B5}">
    <text>Please leave - change in ICR main if wrong</text>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vmlDrawing" Target="../drawings/vmlDrawing1.vml"/><Relationship Id="rId7" Type="http://schemas.openxmlformats.org/officeDocument/2006/relationships/comments" Target="../comments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vmlDrawing" Target="../drawings/vmlDrawing2.vml"/><Relationship Id="rId1" Type="http://schemas.openxmlformats.org/officeDocument/2006/relationships/drawing" Target="../drawings/drawing4.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 Id="rId9"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ctrlProp" Target="../ctrlProps/ctrlProp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6.bin"/><Relationship Id="rId6" Type="http://schemas.microsoft.com/office/2017/10/relationships/threadedComment" Target="../threadedComments/threadedComment4.xm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17.xml"/><Relationship Id="rId7" Type="http://schemas.openxmlformats.org/officeDocument/2006/relationships/ctrlProp" Target="../ctrlProps/ctrlProp7.xml"/><Relationship Id="rId2" Type="http://schemas.openxmlformats.org/officeDocument/2006/relationships/printerSettings" Target="../printerSettings/printerSettings8.bin"/><Relationship Id="rId1" Type="http://schemas.openxmlformats.org/officeDocument/2006/relationships/hyperlink" Target="https://www.consilium.europa.eu/prado/en/search-by-document-country.html" TargetMode="External"/><Relationship Id="rId6" Type="http://schemas.openxmlformats.org/officeDocument/2006/relationships/ctrlProp" Target="../ctrlProps/ctrlProp6.xml"/><Relationship Id="rId5" Type="http://schemas.openxmlformats.org/officeDocument/2006/relationships/ctrlProp" Target="../ctrlProps/ctrlProp5.xml"/><Relationship Id="rId10" Type="http://schemas.openxmlformats.org/officeDocument/2006/relationships/ctrlProp" Target="../ctrlProps/ctrlProp10.xml"/><Relationship Id="rId4" Type="http://schemas.openxmlformats.org/officeDocument/2006/relationships/vmlDrawing" Target="../drawings/vmlDrawing6.vml"/><Relationship Id="rId9" Type="http://schemas.openxmlformats.org/officeDocument/2006/relationships/ctrlProp" Target="../ctrlProps/ctrlProp9.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8" Type="http://schemas.openxmlformats.org/officeDocument/2006/relationships/ctrlProp" Target="../ctrlProps/ctrlProp15.xml"/><Relationship Id="rId3" Type="http://schemas.openxmlformats.org/officeDocument/2006/relationships/vmlDrawing" Target="../drawings/vmlDrawing7.vml"/><Relationship Id="rId7" Type="http://schemas.openxmlformats.org/officeDocument/2006/relationships/ctrlProp" Target="../ctrlProps/ctrlProp14.xml"/><Relationship Id="rId12" Type="http://schemas.openxmlformats.org/officeDocument/2006/relationships/ctrlProp" Target="../ctrlProps/ctrlProp19.xml"/><Relationship Id="rId2" Type="http://schemas.openxmlformats.org/officeDocument/2006/relationships/drawing" Target="../drawings/drawing19.xml"/><Relationship Id="rId1" Type="http://schemas.openxmlformats.org/officeDocument/2006/relationships/printerSettings" Target="../printerSettings/printerSettings12.bin"/><Relationship Id="rId6" Type="http://schemas.openxmlformats.org/officeDocument/2006/relationships/ctrlProp" Target="../ctrlProps/ctrlProp13.xml"/><Relationship Id="rId11" Type="http://schemas.openxmlformats.org/officeDocument/2006/relationships/ctrlProp" Target="../ctrlProps/ctrlProp18.xml"/><Relationship Id="rId5" Type="http://schemas.openxmlformats.org/officeDocument/2006/relationships/ctrlProp" Target="../ctrlProps/ctrlProp12.xml"/><Relationship Id="rId10" Type="http://schemas.openxmlformats.org/officeDocument/2006/relationships/ctrlProp" Target="../ctrlProps/ctrlProp17.xml"/><Relationship Id="rId4" Type="http://schemas.openxmlformats.org/officeDocument/2006/relationships/ctrlProp" Target="../ctrlProps/ctrlProp11.xml"/><Relationship Id="rId9" Type="http://schemas.openxmlformats.org/officeDocument/2006/relationships/ctrlProp" Target="../ctrlProps/ctrlProp1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3.xml"/><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0DC23-F187-499F-81CC-48AD0B5C22DC}">
  <sheetPr codeName="Sheet1">
    <tabColor rgb="FFC00000"/>
    <pageSetUpPr fitToPage="1"/>
  </sheetPr>
  <dimension ref="A1:BO177"/>
  <sheetViews>
    <sheetView showGridLines="0" zoomScale="80" zoomScaleNormal="80" workbookViewId="0">
      <selection activeCell="R100" sqref="R100:S100"/>
    </sheetView>
  </sheetViews>
  <sheetFormatPr defaultColWidth="0" defaultRowHeight="0" customHeight="1" zeroHeight="1" outlineLevelRow="1" x14ac:dyDescent="0.35"/>
  <cols>
    <col min="1" max="1" width="2.85546875" style="208" customWidth="1"/>
    <col min="2" max="2" width="10.7109375" style="208" customWidth="1"/>
    <col min="3" max="3" width="21.5703125" style="208" customWidth="1"/>
    <col min="4" max="6" width="0.5703125" style="440" customWidth="1"/>
    <col min="7" max="7" width="0.5703125" style="208" customWidth="1"/>
    <col min="8" max="9" width="12" style="208" customWidth="1"/>
    <col min="10" max="10" width="3.42578125" style="208" customWidth="1"/>
    <col min="11" max="12" width="12" style="208" customWidth="1"/>
    <col min="13" max="13" width="2.140625" style="208" customWidth="1"/>
    <col min="14" max="15" width="12" style="208" customWidth="1"/>
    <col min="16" max="21" width="10.7109375" style="208" customWidth="1"/>
    <col min="22" max="22" width="2.85546875" style="208" customWidth="1"/>
    <col min="23" max="23" width="6.42578125" style="208" customWidth="1"/>
    <col min="24" max="24" width="4.85546875" style="208" customWidth="1"/>
    <col min="25" max="25" width="6.5703125" style="208" customWidth="1"/>
    <col min="26" max="26" width="8" style="208" customWidth="1"/>
    <col min="27" max="27" width="6.28515625" style="208" customWidth="1"/>
    <col min="28" max="28" width="15.140625" style="208" customWidth="1"/>
    <col min="29" max="29" width="10" style="456" customWidth="1"/>
    <col min="30" max="30" width="15" style="456" customWidth="1"/>
    <col min="31" max="31" width="6.7109375" style="456" customWidth="1"/>
    <col min="32" max="32" width="22.140625" style="208" customWidth="1"/>
    <col min="33" max="33" width="4.7109375" style="208" customWidth="1"/>
    <col min="34" max="34" width="13.7109375" style="208" customWidth="1"/>
    <col min="35" max="35" width="18.28515625" style="208" customWidth="1"/>
    <col min="36" max="36" width="16.85546875" style="208" customWidth="1"/>
    <col min="37" max="37" width="18.140625" style="67" customWidth="1"/>
    <col min="38" max="38" width="10.5703125" style="67" customWidth="1"/>
    <col min="39" max="39" width="7.140625" style="67" customWidth="1"/>
    <col min="40" max="40" width="34.85546875" style="67" bestFit="1" customWidth="1"/>
    <col min="41" max="41" width="16.140625" style="67" customWidth="1"/>
    <col min="42" max="42" width="71.85546875" style="67" bestFit="1" customWidth="1"/>
    <col min="43" max="43" width="20.28515625" style="67" hidden="1" customWidth="1"/>
    <col min="44" max="44" width="11.85546875" style="67" hidden="1" customWidth="1"/>
    <col min="45" max="45" width="7.7109375" style="67" hidden="1" customWidth="1"/>
    <col min="46" max="46" width="10" style="67" hidden="1" customWidth="1"/>
    <col min="47" max="47" width="18.85546875" style="67" hidden="1" customWidth="1"/>
    <col min="48" max="48" width="15.7109375" style="67" hidden="1" customWidth="1"/>
    <col min="49" max="49" width="12.85546875" style="67" hidden="1" customWidth="1"/>
    <col min="50" max="50" width="13.42578125" style="67" hidden="1" customWidth="1"/>
    <col min="51" max="51" width="35.7109375" style="67" hidden="1" customWidth="1"/>
    <col min="52" max="60" width="12.85546875" style="67" hidden="1" customWidth="1"/>
    <col min="61" max="61" width="15" style="67" hidden="1" customWidth="1"/>
    <col min="62" max="64" width="9.140625" style="67" hidden="1" customWidth="1"/>
    <col min="65" max="65" width="12.7109375" style="67" hidden="1" customWidth="1"/>
    <col min="66" max="66" width="10.5703125" style="67" hidden="1" customWidth="1"/>
    <col min="67" max="67" width="12.42578125" style="67" hidden="1" customWidth="1"/>
    <col min="68" max="16384" width="9.140625" style="67" hidden="1"/>
  </cols>
  <sheetData>
    <row r="1" spans="1:55" ht="59.25" customHeight="1" x14ac:dyDescent="0.35">
      <c r="A1" s="951"/>
      <c r="B1" s="951"/>
      <c r="C1" s="951"/>
      <c r="D1" s="952"/>
      <c r="E1" s="952"/>
      <c r="F1" s="952"/>
      <c r="G1" s="952"/>
      <c r="H1" s="952"/>
      <c r="I1" s="952"/>
      <c r="J1" s="3155" t="s">
        <v>0</v>
      </c>
      <c r="K1" s="3155"/>
      <c r="L1" s="3155"/>
      <c r="M1" s="3155"/>
      <c r="N1" s="3155"/>
      <c r="O1" s="3155"/>
      <c r="P1" s="3155"/>
      <c r="Q1" s="3155"/>
      <c r="R1" s="3155"/>
      <c r="S1" s="3155"/>
      <c r="T1" s="3155"/>
      <c r="U1" s="3155"/>
      <c r="V1" s="3155"/>
      <c r="W1" s="3156" t="s">
        <v>1</v>
      </c>
      <c r="X1" s="3156"/>
      <c r="Y1" s="3156"/>
      <c r="Z1" s="3156"/>
      <c r="AA1" s="3156"/>
      <c r="AB1"/>
      <c r="AC1"/>
      <c r="AD1"/>
      <c r="AE1"/>
      <c r="AF1"/>
      <c r="AG1"/>
      <c r="AH1"/>
      <c r="AI1"/>
      <c r="AJ1"/>
      <c r="AK1"/>
      <c r="AL1"/>
      <c r="AO1" s="67" t="s">
        <v>2</v>
      </c>
      <c r="AP1" s="67" t="s">
        <v>3</v>
      </c>
      <c r="AQ1" s="538" t="s">
        <v>4</v>
      </c>
      <c r="AR1" s="67" t="s">
        <v>5</v>
      </c>
      <c r="AT1" s="67" t="s">
        <v>6</v>
      </c>
      <c r="AW1" s="539"/>
    </row>
    <row r="2" spans="1:55" ht="15" customHeight="1" x14ac:dyDescent="0.35">
      <c r="A2" s="952"/>
      <c r="B2" s="3157" t="s">
        <v>7</v>
      </c>
      <c r="C2" s="3158"/>
      <c r="D2" s="952"/>
      <c r="E2" s="952"/>
      <c r="F2" s="952"/>
      <c r="G2" s="952"/>
      <c r="H2" s="952"/>
      <c r="I2" s="952"/>
      <c r="J2" s="952"/>
      <c r="K2" s="952"/>
      <c r="L2" s="952"/>
      <c r="M2" s="952"/>
      <c r="N2" s="952"/>
      <c r="O2" s="952"/>
      <c r="P2" s="914"/>
      <c r="Q2" s="914"/>
      <c r="R2" s="951"/>
      <c r="S2" s="951"/>
      <c r="T2" s="951"/>
      <c r="U2" s="951"/>
      <c r="V2" s="951"/>
      <c r="W2"/>
      <c r="X2"/>
      <c r="Y2"/>
      <c r="Z2"/>
      <c r="AA2"/>
      <c r="AB2"/>
      <c r="AC2"/>
      <c r="AD2"/>
      <c r="AE2"/>
      <c r="AF2"/>
      <c r="AG2"/>
      <c r="AH2"/>
      <c r="AI2"/>
      <c r="AJ2"/>
      <c r="AK2"/>
      <c r="AL2"/>
      <c r="AO2" s="67" t="s">
        <v>8</v>
      </c>
      <c r="AQ2" s="540">
        <v>1</v>
      </c>
      <c r="AR2" s="401">
        <v>4</v>
      </c>
      <c r="AT2"/>
      <c r="AU2"/>
      <c r="AV2"/>
      <c r="AW2"/>
    </row>
    <row r="3" spans="1:55" s="541" customFormat="1" ht="3.75" customHeight="1" thickBot="1" x14ac:dyDescent="0.4">
      <c r="A3" s="953"/>
      <c r="B3" s="951"/>
      <c r="C3" s="951"/>
      <c r="D3" s="953"/>
      <c r="E3" s="953"/>
      <c r="F3" s="953"/>
      <c r="G3" s="953"/>
      <c r="H3" s="953"/>
      <c r="I3" s="953"/>
      <c r="J3" s="953"/>
      <c r="K3" s="953"/>
      <c r="L3" s="953"/>
      <c r="M3" s="953"/>
      <c r="N3" s="953"/>
      <c r="O3" s="953"/>
      <c r="P3" s="953"/>
      <c r="Q3" s="953"/>
      <c r="R3" s="953"/>
      <c r="S3" s="953"/>
      <c r="T3" s="953"/>
      <c r="U3" s="954"/>
      <c r="V3" s="954"/>
      <c r="W3" s="954"/>
      <c r="X3" s="953"/>
      <c r="Y3" s="953"/>
      <c r="Z3" s="953"/>
      <c r="AA3" s="953"/>
      <c r="AB3" s="953"/>
      <c r="AC3" s="953"/>
      <c r="AD3" s="953"/>
      <c r="AE3" s="953"/>
      <c r="AF3" s="953"/>
      <c r="AG3" s="953"/>
      <c r="AH3" s="953"/>
      <c r="AI3" s="953"/>
      <c r="AJ3" s="953"/>
      <c r="AK3" s="953"/>
      <c r="AL3" s="953"/>
      <c r="AR3"/>
      <c r="AS3"/>
      <c r="AT3"/>
      <c r="AU3"/>
      <c r="AV3"/>
      <c r="AW3"/>
      <c r="AX3" s="67"/>
      <c r="AY3" s="67"/>
      <c r="AZ3" s="67"/>
      <c r="BA3" s="67"/>
      <c r="BB3" s="67"/>
      <c r="BC3" s="67"/>
    </row>
    <row r="4" spans="1:55" s="537" customFormat="1" ht="15" customHeight="1" x14ac:dyDescent="0.35">
      <c r="A4" s="953"/>
      <c r="B4" s="3028" t="s">
        <v>9</v>
      </c>
      <c r="C4" s="3029"/>
      <c r="D4" s="955"/>
      <c r="E4" s="956"/>
      <c r="F4" s="1539"/>
      <c r="G4" s="1539"/>
      <c r="H4" s="1539"/>
      <c r="I4" s="1539" t="s">
        <v>10</v>
      </c>
      <c r="J4" s="955"/>
      <c r="K4" s="3159" t="s">
        <v>11</v>
      </c>
      <c r="L4" s="3160"/>
      <c r="M4" s="3160"/>
      <c r="N4" s="3161"/>
      <c r="O4" s="953"/>
      <c r="P4" s="951"/>
      <c r="Q4" s="951"/>
      <c r="R4" s="3162" t="s">
        <v>12</v>
      </c>
      <c r="S4" s="3162"/>
      <c r="T4" s="3162"/>
      <c r="U4" s="3162"/>
      <c r="V4" s="3162"/>
      <c r="W4" s="1545"/>
      <c r="X4" s="1546"/>
      <c r="Y4" s="1546"/>
      <c r="Z4" s="1546"/>
      <c r="AA4" s="1552" t="s">
        <v>13</v>
      </c>
      <c r="AB4" s="3164">
        <v>450000</v>
      </c>
      <c r="AC4" s="3165"/>
      <c r="AD4" s="951"/>
      <c r="AE4" s="951"/>
      <c r="AF4" s="957"/>
      <c r="AG4" s="957"/>
      <c r="AH4" s="958"/>
      <c r="AI4" s="958"/>
      <c r="AJ4" s="953"/>
      <c r="AK4" s="951"/>
      <c r="AM4" s="542"/>
      <c r="AN4" s="542"/>
      <c r="AO4" s="3140" t="s">
        <v>14</v>
      </c>
      <c r="AQ4"/>
      <c r="AR4"/>
      <c r="AS4"/>
      <c r="AT4"/>
      <c r="AU4"/>
      <c r="AV4"/>
      <c r="AW4" s="67"/>
      <c r="AX4" s="67"/>
      <c r="AY4" s="67"/>
      <c r="AZ4" s="67"/>
      <c r="BA4" s="67"/>
      <c r="BB4" s="67"/>
    </row>
    <row r="5" spans="1:55" s="537" customFormat="1" ht="15" customHeight="1" x14ac:dyDescent="0.35">
      <c r="A5" s="953"/>
      <c r="B5" s="3030"/>
      <c r="C5" s="3031"/>
      <c r="D5" s="959"/>
      <c r="E5" s="960"/>
      <c r="G5" s="1542"/>
      <c r="I5" s="1542" t="s">
        <v>15</v>
      </c>
      <c r="J5" s="948"/>
      <c r="K5" s="3141" t="s">
        <v>16</v>
      </c>
      <c r="L5" s="3142"/>
      <c r="M5" s="3142"/>
      <c r="N5" s="3143"/>
      <c r="O5" s="953"/>
      <c r="P5" s="953"/>
      <c r="Q5" s="953"/>
      <c r="R5" s="3163"/>
      <c r="S5" s="3163"/>
      <c r="T5" s="3163"/>
      <c r="U5" s="3163"/>
      <c r="V5" s="3163"/>
      <c r="W5" s="1547"/>
      <c r="X5" s="1542"/>
      <c r="Y5" s="1542"/>
      <c r="Z5" s="1542"/>
      <c r="AA5" s="1553" t="s">
        <v>17</v>
      </c>
      <c r="AB5" s="3147" t="s">
        <v>18</v>
      </c>
      <c r="AC5" s="3148"/>
      <c r="AD5" s="962"/>
      <c r="AE5" s="951"/>
      <c r="AF5" s="963"/>
      <c r="AG5" s="963"/>
      <c r="AH5" s="964"/>
      <c r="AI5" s="964"/>
      <c r="AJ5" s="953"/>
      <c r="AK5" s="951"/>
      <c r="AM5" s="542"/>
      <c r="AN5" s="542"/>
      <c r="AO5" s="3140"/>
      <c r="AQ5"/>
      <c r="AR5"/>
      <c r="AS5"/>
      <c r="AT5"/>
      <c r="AU5"/>
      <c r="AV5"/>
      <c r="AW5" s="67"/>
      <c r="AX5" s="67"/>
    </row>
    <row r="6" spans="1:55" s="537" customFormat="1" ht="15" customHeight="1" x14ac:dyDescent="0.35">
      <c r="A6" s="953"/>
      <c r="B6" s="3030"/>
      <c r="C6" s="3031"/>
      <c r="D6" s="959"/>
      <c r="E6" s="960"/>
      <c r="F6" s="1542"/>
      <c r="G6" s="1542"/>
      <c r="H6" s="1542"/>
      <c r="I6" s="1542"/>
      <c r="J6" s="948"/>
      <c r="K6" s="3144"/>
      <c r="L6" s="3145"/>
      <c r="M6" s="3145"/>
      <c r="N6" s="3146"/>
      <c r="O6" s="953"/>
      <c r="P6" s="953"/>
      <c r="Q6" s="953"/>
      <c r="R6" s="3163"/>
      <c r="S6" s="3163"/>
      <c r="T6" s="3163"/>
      <c r="U6" s="3163"/>
      <c r="V6" s="3163"/>
      <c r="W6" s="1547"/>
      <c r="X6" s="1542"/>
      <c r="Y6" s="1542"/>
      <c r="Z6" s="1542"/>
      <c r="AA6" s="1553" t="str">
        <f>"Estimated "&amp;AB5&amp;" Gross Rent"</f>
        <v>Estimated Monthly Gross Rent</v>
      </c>
      <c r="AB6" s="3149">
        <v>2200</v>
      </c>
      <c r="AC6" s="3150"/>
      <c r="AD6" s="968" t="s">
        <v>19</v>
      </c>
      <c r="AE6" s="951"/>
      <c r="AF6" s="963"/>
      <c r="AG6" s="963"/>
      <c r="AH6" s="964"/>
      <c r="AI6" s="964"/>
      <c r="AJ6" s="953"/>
      <c r="AK6" s="951"/>
      <c r="AM6" s="542"/>
      <c r="AN6" s="542"/>
      <c r="AO6" s="3140"/>
      <c r="AQ6"/>
      <c r="AR6"/>
      <c r="AS6"/>
      <c r="AT6"/>
      <c r="AU6"/>
      <c r="AV6"/>
      <c r="AW6" s="67"/>
      <c r="AX6" s="67"/>
    </row>
    <row r="7" spans="1:55" s="537" customFormat="1" ht="15" customHeight="1" x14ac:dyDescent="0.35">
      <c r="A7" s="953"/>
      <c r="B7" s="3030"/>
      <c r="C7" s="3031"/>
      <c r="D7" s="959"/>
      <c r="E7" s="960"/>
      <c r="G7" s="1542"/>
      <c r="H7" s="1542"/>
      <c r="I7" s="1542" t="s">
        <v>20</v>
      </c>
      <c r="J7" s="948"/>
      <c r="K7" s="3141" t="s">
        <v>21</v>
      </c>
      <c r="L7" s="3142"/>
      <c r="M7" s="3142"/>
      <c r="N7" s="3143"/>
      <c r="O7" s="953"/>
      <c r="P7" s="953"/>
      <c r="Q7" s="953"/>
      <c r="R7" s="3163"/>
      <c r="S7" s="3163"/>
      <c r="T7" s="3163"/>
      <c r="U7" s="3163"/>
      <c r="V7" s="3163"/>
      <c r="W7" s="1547"/>
      <c r="X7" s="1543"/>
      <c r="Y7" s="1543"/>
      <c r="Z7" s="1543"/>
      <c r="AA7" s="1554"/>
      <c r="AB7" s="3151">
        <f>Monthly_Rent</f>
        <v>0</v>
      </c>
      <c r="AC7" s="3152"/>
      <c r="AD7" s="953"/>
      <c r="AE7" s="951"/>
      <c r="AF7" s="963"/>
      <c r="AG7" s="963"/>
      <c r="AH7" s="964"/>
      <c r="AI7" s="964"/>
      <c r="AJ7" s="953"/>
      <c r="AK7" s="951"/>
      <c r="AM7" s="542"/>
      <c r="AN7" s="542"/>
      <c r="AO7" s="3140"/>
      <c r="AQ7"/>
      <c r="AR7"/>
      <c r="AS7"/>
      <c r="AT7"/>
      <c r="AU7"/>
      <c r="AV7"/>
      <c r="AW7" s="67"/>
      <c r="AX7" s="67"/>
    </row>
    <row r="8" spans="1:55" s="537" customFormat="1" ht="15.75" customHeight="1" thickBot="1" x14ac:dyDescent="0.4">
      <c r="A8" s="953"/>
      <c r="B8" s="3030"/>
      <c r="C8" s="3031"/>
      <c r="D8" s="965"/>
      <c r="E8" s="966"/>
      <c r="F8" s="1572"/>
      <c r="G8" s="1572"/>
      <c r="H8" s="1572"/>
      <c r="I8" s="1572"/>
      <c r="J8" s="967"/>
      <c r="K8" s="3144"/>
      <c r="L8" s="3145"/>
      <c r="M8" s="3145"/>
      <c r="N8" s="3146"/>
      <c r="O8" s="953"/>
      <c r="P8" s="953"/>
      <c r="Q8" s="953"/>
      <c r="R8" s="3163"/>
      <c r="S8" s="3163"/>
      <c r="T8" s="3163"/>
      <c r="U8" s="3163"/>
      <c r="V8" s="3163"/>
      <c r="W8" s="1547"/>
      <c r="X8" s="1542"/>
      <c r="Y8" s="1542"/>
      <c r="Z8" s="1542"/>
      <c r="AA8" s="1553" t="s">
        <v>22</v>
      </c>
      <c r="AB8" s="3153" t="s">
        <v>23</v>
      </c>
      <c r="AC8" s="3154"/>
      <c r="AD8" s="968" t="e">
        <f>"HPI Adjusted in 2022 "&amp;TEXT(HPIAdjusted2022/1000000,"£ #0.##0")&amp;"m, 2023 "&amp;TEXT(HPIAdjusted2023/1000000,"£ #0.##0")&amp;"m, 2024 "&amp;TEXT(HPIAdjusted2024/1000000,"£ #0.##0")&amp;"m, 2025 "&amp;TEXT(HPIAdjusted2025/1000000,"£ #0.##0")&amp;"m"</f>
        <v>#N/A</v>
      </c>
      <c r="AE8" s="953"/>
      <c r="AF8" s="953"/>
      <c r="AG8" s="953"/>
      <c r="AH8" s="958"/>
      <c r="AI8" s="958"/>
      <c r="AJ8" s="953"/>
      <c r="AK8" s="951"/>
      <c r="AM8" s="543"/>
      <c r="AN8" s="543"/>
      <c r="AO8" s="3140"/>
      <c r="AQ8"/>
      <c r="AR8"/>
      <c r="AS8"/>
      <c r="AT8"/>
      <c r="AU8"/>
      <c r="AV8"/>
      <c r="AW8" s="67"/>
      <c r="AX8" s="67"/>
    </row>
    <row r="9" spans="1:55" s="541" customFormat="1" ht="15.75" customHeight="1" x14ac:dyDescent="0.35">
      <c r="A9" s="953"/>
      <c r="B9" s="3030"/>
      <c r="C9" s="3031"/>
      <c r="D9" s="969"/>
      <c r="E9" s="970"/>
      <c r="F9" s="1537"/>
      <c r="G9" s="1537"/>
      <c r="H9" s="1537"/>
      <c r="I9" s="1540"/>
      <c r="J9" s="1338"/>
      <c r="K9" s="3159"/>
      <c r="L9" s="3160"/>
      <c r="M9" s="3160"/>
      <c r="N9" s="3161"/>
      <c r="O9" s="953"/>
      <c r="P9" s="953"/>
      <c r="Q9" s="953"/>
      <c r="R9" s="3163"/>
      <c r="S9" s="3163"/>
      <c r="T9" s="3163"/>
      <c r="U9" s="3163"/>
      <c r="V9" s="3163"/>
      <c r="W9" s="1547"/>
      <c r="X9" s="1542"/>
      <c r="Y9" s="1542"/>
      <c r="Z9" s="1542"/>
      <c r="AA9" s="1553" t="s">
        <v>24</v>
      </c>
      <c r="AB9" s="3114" t="s">
        <v>25</v>
      </c>
      <c r="AC9" s="3115"/>
      <c r="AD9" s="968" t="str">
        <f>IFERROR("Recommended from postcode - "&amp;'KB_CRITERIA AND CALCULATION '!F21,"")</f>
        <v/>
      </c>
      <c r="AE9" s="953"/>
      <c r="AF9" s="953"/>
      <c r="AG9" s="953"/>
      <c r="AH9" s="971"/>
      <c r="AI9" s="971"/>
      <c r="AJ9" s="951"/>
      <c r="AK9" s="953"/>
      <c r="AM9" s="544"/>
      <c r="AN9" s="544"/>
      <c r="AO9" s="3140"/>
      <c r="AQ9"/>
      <c r="AR9"/>
      <c r="AS9"/>
      <c r="AT9"/>
      <c r="AU9"/>
      <c r="AV9"/>
      <c r="AW9" s="67"/>
      <c r="AX9" s="67"/>
    </row>
    <row r="10" spans="1:55" s="541" customFormat="1" ht="18.75" customHeight="1" x14ac:dyDescent="0.35">
      <c r="A10" s="953"/>
      <c r="B10" s="3030"/>
      <c r="C10" s="3031"/>
      <c r="D10" s="972"/>
      <c r="E10" s="973"/>
      <c r="F10" s="1538"/>
      <c r="G10" s="1538"/>
      <c r="H10" s="1538"/>
      <c r="I10" s="18" t="s">
        <v>26</v>
      </c>
      <c r="J10" s="974"/>
      <c r="K10" s="3106" t="s">
        <v>27</v>
      </c>
      <c r="L10" s="3107"/>
      <c r="M10" s="3107"/>
      <c r="N10" s="3108"/>
      <c r="O10" s="3116"/>
      <c r="P10" s="3117"/>
      <c r="Q10" s="3117"/>
      <c r="R10" s="3163"/>
      <c r="S10" s="3163"/>
      <c r="T10" s="3163"/>
      <c r="U10" s="3163"/>
      <c r="V10" s="3163"/>
      <c r="W10" s="1548"/>
      <c r="X10" s="1544"/>
      <c r="Y10" s="1544"/>
      <c r="Z10" s="1544"/>
      <c r="AA10" s="1555" t="s">
        <v>28</v>
      </c>
      <c r="AB10" s="3118" t="s">
        <v>27</v>
      </c>
      <c r="AC10" s="3119"/>
      <c r="AD10" s="3120" t="s">
        <v>29</v>
      </c>
      <c r="AE10" s="3120"/>
      <c r="AF10" s="3120"/>
      <c r="AG10" s="3120"/>
      <c r="AH10" s="975"/>
      <c r="AI10" s="975"/>
      <c r="AJ10" s="953"/>
      <c r="AK10" s="953"/>
      <c r="AO10" s="3140"/>
      <c r="AP10" s="545"/>
      <c r="AQ10"/>
      <c r="AR10"/>
      <c r="AS10"/>
      <c r="AT10"/>
      <c r="AU10"/>
      <c r="AV10"/>
      <c r="AW10" s="67"/>
      <c r="AX10" s="67"/>
    </row>
    <row r="11" spans="1:55" s="541" customFormat="1" ht="15" customHeight="1" x14ac:dyDescent="0.35">
      <c r="A11" s="953"/>
      <c r="B11" s="3030"/>
      <c r="C11" s="3031"/>
      <c r="D11" s="972"/>
      <c r="E11" s="973"/>
      <c r="F11" s="1538"/>
      <c r="G11" s="1538"/>
      <c r="H11" s="1538"/>
      <c r="I11" s="18" t="s">
        <v>30</v>
      </c>
      <c r="J11" s="974"/>
      <c r="K11" s="3106" t="s">
        <v>27</v>
      </c>
      <c r="L11" s="3107"/>
      <c r="M11" s="3107"/>
      <c r="N11" s="3108"/>
      <c r="O11" s="3116"/>
      <c r="P11" s="3117"/>
      <c r="Q11" s="3117"/>
      <c r="R11" s="3163"/>
      <c r="S11" s="3163"/>
      <c r="T11" s="3163"/>
      <c r="U11" s="3163"/>
      <c r="V11" s="3163"/>
      <c r="W11" s="1547"/>
      <c r="X11" s="1542"/>
      <c r="Y11" s="1542"/>
      <c r="Z11" s="1542"/>
      <c r="AA11" s="1553" t="s">
        <v>31</v>
      </c>
      <c r="AB11" s="3109" t="s">
        <v>27</v>
      </c>
      <c r="AC11" s="3110"/>
      <c r="AD11" s="3120"/>
      <c r="AE11" s="3120"/>
      <c r="AF11" s="3120"/>
      <c r="AG11" s="3120"/>
      <c r="AH11" s="976"/>
      <c r="AI11" s="976"/>
      <c r="AJ11" s="953"/>
      <c r="AK11" s="953"/>
      <c r="AO11" s="545"/>
      <c r="AP11" s="545"/>
      <c r="AQ11"/>
      <c r="AR11"/>
      <c r="AS11"/>
      <c r="AT11"/>
      <c r="AU11"/>
      <c r="AV11"/>
      <c r="AW11" s="67"/>
      <c r="AX11" s="67"/>
    </row>
    <row r="12" spans="1:55" s="541" customFormat="1" ht="15" customHeight="1" x14ac:dyDescent="0.35">
      <c r="A12" s="953"/>
      <c r="B12" s="3030"/>
      <c r="C12" s="3031"/>
      <c r="D12" s="977"/>
      <c r="E12" s="978"/>
      <c r="F12" s="1538"/>
      <c r="G12" s="1538"/>
      <c r="H12" s="1538"/>
      <c r="I12" s="1541" t="s">
        <v>32</v>
      </c>
      <c r="J12" s="979"/>
      <c r="K12" s="3121" t="s">
        <v>33</v>
      </c>
      <c r="L12" s="3121"/>
      <c r="M12" s="3121"/>
      <c r="N12" s="3122"/>
      <c r="O12" s="3116"/>
      <c r="P12" s="3117"/>
      <c r="Q12" s="3117"/>
      <c r="R12" s="3163"/>
      <c r="S12" s="3163"/>
      <c r="T12" s="3163"/>
      <c r="U12" s="3163"/>
      <c r="V12" s="3163"/>
      <c r="W12" s="1547"/>
      <c r="X12" s="1542"/>
      <c r="Y12" s="1542"/>
      <c r="Z12" s="1542"/>
      <c r="AA12" s="1553" t="s">
        <v>34</v>
      </c>
      <c r="AB12" s="3109" t="s">
        <v>27</v>
      </c>
      <c r="AC12" s="3110"/>
      <c r="AD12" s="3120"/>
      <c r="AE12" s="3120"/>
      <c r="AF12" s="3120"/>
      <c r="AG12" s="3120"/>
      <c r="AH12" s="976"/>
      <c r="AI12" s="976"/>
      <c r="AJ12" s="953"/>
      <c r="AK12" s="953"/>
      <c r="AM12" s="544"/>
      <c r="AN12" s="544"/>
      <c r="AO12" s="545"/>
      <c r="AP12" s="545"/>
      <c r="AQ12"/>
      <c r="AR12"/>
      <c r="AS12"/>
      <c r="AT12"/>
      <c r="AU12"/>
      <c r="AV12"/>
      <c r="AW12" s="67"/>
      <c r="AX12" s="67"/>
    </row>
    <row r="13" spans="1:55" s="541" customFormat="1" ht="15" customHeight="1" x14ac:dyDescent="0.35">
      <c r="A13" s="953"/>
      <c r="B13" s="3030"/>
      <c r="C13" s="3031"/>
      <c r="D13" s="972"/>
      <c r="E13" s="973"/>
      <c r="F13" s="1538"/>
      <c r="G13" s="1538"/>
      <c r="H13" s="1538"/>
      <c r="I13" s="18" t="s">
        <v>35</v>
      </c>
      <c r="J13" s="974"/>
      <c r="K13" s="3106" t="s">
        <v>27</v>
      </c>
      <c r="L13" s="3107"/>
      <c r="M13" s="3107"/>
      <c r="N13" s="3108"/>
      <c r="O13" s="3116"/>
      <c r="P13" s="3117"/>
      <c r="Q13" s="3117"/>
      <c r="R13" s="3163"/>
      <c r="S13" s="3163"/>
      <c r="T13" s="3163"/>
      <c r="U13" s="3163"/>
      <c r="V13" s="3163"/>
      <c r="W13" s="1547"/>
      <c r="X13" s="1542"/>
      <c r="Y13" s="1542"/>
      <c r="Z13" s="1542"/>
      <c r="AA13" s="1553" t="s">
        <v>36</v>
      </c>
      <c r="AB13" s="3109" t="s">
        <v>27</v>
      </c>
      <c r="AC13" s="3110"/>
      <c r="AD13" s="3120"/>
      <c r="AE13" s="3120"/>
      <c r="AF13" s="3120"/>
      <c r="AG13" s="3120"/>
      <c r="AH13" s="3104" t="str">
        <f>'KB_CRITERIA AND CALCULATION '!$L$2</f>
        <v>Available Funding lines are: Zircon or Pearl</v>
      </c>
      <c r="AI13" s="3105"/>
      <c r="AJ13" s="3105"/>
      <c r="AK13" s="3105"/>
      <c r="AO13" s="208"/>
      <c r="AP13" s="208"/>
      <c r="AQ13"/>
      <c r="AR13"/>
      <c r="AS13"/>
      <c r="AT13"/>
      <c r="AU13"/>
      <c r="AV13"/>
    </row>
    <row r="14" spans="1:55" s="541" customFormat="1" ht="15" customHeight="1" x14ac:dyDescent="0.35">
      <c r="A14" s="953"/>
      <c r="B14" s="3030"/>
      <c r="C14" s="3031"/>
      <c r="D14" s="977"/>
      <c r="E14" s="978"/>
      <c r="F14" s="1538"/>
      <c r="G14" s="1538"/>
      <c r="H14" s="1538"/>
      <c r="I14" s="1147" t="s">
        <v>37</v>
      </c>
      <c r="J14" s="979"/>
      <c r="K14" s="3106" t="s">
        <v>27</v>
      </c>
      <c r="L14" s="3107"/>
      <c r="M14" s="3107"/>
      <c r="N14" s="3108"/>
      <c r="O14" s="3116"/>
      <c r="P14" s="3117"/>
      <c r="Q14" s="3117"/>
      <c r="R14" s="3163"/>
      <c r="S14" s="3163"/>
      <c r="T14" s="3163"/>
      <c r="U14" s="3163"/>
      <c r="V14" s="3163"/>
      <c r="W14" s="1547"/>
      <c r="X14" s="1542"/>
      <c r="Y14" s="1542"/>
      <c r="Z14" s="1542"/>
      <c r="AA14" s="1553" t="s">
        <v>38</v>
      </c>
      <c r="AB14" s="3109" t="s">
        <v>27</v>
      </c>
      <c r="AC14" s="3110"/>
      <c r="AD14" s="3120"/>
      <c r="AE14" s="3120"/>
      <c r="AF14" s="3120"/>
      <c r="AG14" s="3120"/>
      <c r="AH14" s="1341" t="e">
        <f>TRIM('KB_CRITERIA AND CALCULATION '!$L$3)</f>
        <v>#N/A</v>
      </c>
      <c r="AI14" s="1341"/>
      <c r="AJ14" s="1341"/>
      <c r="AK14" s="1341"/>
      <c r="AO14" s="547">
        <v>1</v>
      </c>
      <c r="AQ14" s="208"/>
      <c r="AR14" s="208"/>
      <c r="AS14" s="208"/>
      <c r="AT14" s="208"/>
      <c r="AU14" s="208"/>
    </row>
    <row r="15" spans="1:55" s="541" customFormat="1" ht="15" customHeight="1" x14ac:dyDescent="0.35">
      <c r="A15" s="953"/>
      <c r="B15" s="3030"/>
      <c r="C15" s="3031"/>
      <c r="D15" s="1559"/>
      <c r="E15" s="1559"/>
      <c r="F15" s="1538"/>
      <c r="G15" s="1538"/>
      <c r="H15" s="1538"/>
      <c r="I15" s="1565" t="s">
        <v>39</v>
      </c>
      <c r="J15" s="1033"/>
      <c r="K15" s="3111" t="s">
        <v>40</v>
      </c>
      <c r="L15" s="3112"/>
      <c r="M15" s="3112"/>
      <c r="N15" s="3113"/>
      <c r="O15" s="3116"/>
      <c r="P15" s="3117"/>
      <c r="Q15" s="3117"/>
      <c r="R15" s="3163"/>
      <c r="S15" s="3163"/>
      <c r="T15" s="3163"/>
      <c r="U15" s="3163"/>
      <c r="V15" s="3163"/>
      <c r="W15" s="1549"/>
      <c r="X15" s="1542"/>
      <c r="Y15" s="1542"/>
      <c r="Z15" s="1542"/>
      <c r="AA15" s="1553" t="s">
        <v>41</v>
      </c>
      <c r="AB15" s="3109" t="s">
        <v>27</v>
      </c>
      <c r="AC15" s="3110"/>
      <c r="AD15" s="3120"/>
      <c r="AE15" s="3120"/>
      <c r="AF15" s="3120"/>
      <c r="AG15" s="3120"/>
      <c r="AH15" s="1343"/>
      <c r="AI15" s="1343"/>
      <c r="AJ15" s="1343"/>
      <c r="AK15" s="1343"/>
      <c r="AO15" s="547">
        <v>2</v>
      </c>
      <c r="AR15" s="537"/>
      <c r="AS15" s="537"/>
      <c r="AT15" s="537"/>
      <c r="AU15" s="537"/>
      <c r="AX15" s="130"/>
      <c r="AY15" s="130"/>
      <c r="AZ15" s="130"/>
      <c r="BA15" s="130"/>
    </row>
    <row r="16" spans="1:55" s="541" customFormat="1" ht="15" customHeight="1" thickBot="1" x14ac:dyDescent="0.4">
      <c r="A16" s="953"/>
      <c r="B16" s="3030"/>
      <c r="C16" s="3031"/>
      <c r="D16" s="1559"/>
      <c r="E16" s="1559"/>
      <c r="F16" s="1538"/>
      <c r="G16" s="1538"/>
      <c r="H16" s="1538"/>
      <c r="I16" s="1565" t="s">
        <v>42</v>
      </c>
      <c r="J16" s="1033"/>
      <c r="K16" s="3123" t="s">
        <v>40</v>
      </c>
      <c r="L16" s="3124"/>
      <c r="M16" s="3124"/>
      <c r="N16" s="3125"/>
      <c r="O16" s="981" t="s">
        <v>43</v>
      </c>
      <c r="P16" s="980"/>
      <c r="Q16" s="980"/>
      <c r="R16" s="3163"/>
      <c r="S16" s="3163"/>
      <c r="T16" s="3163"/>
      <c r="U16" s="3163"/>
      <c r="V16" s="3163"/>
      <c r="W16" s="1550"/>
      <c r="X16" s="1551"/>
      <c r="Y16" s="1551"/>
      <c r="Z16" s="1551"/>
      <c r="AA16" s="1556" t="s">
        <v>44</v>
      </c>
      <c r="AB16" s="3109" t="s">
        <v>27</v>
      </c>
      <c r="AC16" s="3110"/>
      <c r="AD16" s="3120"/>
      <c r="AE16" s="3120"/>
      <c r="AF16" s="3120"/>
      <c r="AG16" s="3120"/>
      <c r="AH16" s="208"/>
      <c r="AI16" s="1342" t="s">
        <v>45</v>
      </c>
      <c r="AJ16" s="440"/>
      <c r="AK16" s="440"/>
      <c r="AO16" s="547">
        <v>3</v>
      </c>
      <c r="AR16" s="537"/>
      <c r="AS16" s="537"/>
      <c r="AT16" s="537"/>
      <c r="AU16" s="537"/>
      <c r="AV16" s="67"/>
      <c r="AW16" s="67"/>
      <c r="AX16" s="67"/>
      <c r="AY16" s="67"/>
      <c r="AZ16" s="67"/>
      <c r="BA16" s="67"/>
      <c r="BB16" s="67"/>
    </row>
    <row r="17" spans="1:66" s="541" customFormat="1" ht="15.75" customHeight="1" x14ac:dyDescent="0.35">
      <c r="A17" s="953"/>
      <c r="B17" s="3030"/>
      <c r="C17" s="3031"/>
      <c r="D17" s="1559"/>
      <c r="E17" s="1559"/>
      <c r="F17" s="1538"/>
      <c r="G17" s="1538"/>
      <c r="H17" s="1538"/>
      <c r="I17" s="1565" t="s">
        <v>46</v>
      </c>
      <c r="J17" s="1033"/>
      <c r="K17" s="3123" t="s">
        <v>47</v>
      </c>
      <c r="L17" s="3124"/>
      <c r="M17" s="3124"/>
      <c r="N17" s="3125"/>
      <c r="O17" s="981" t="s">
        <v>48</v>
      </c>
      <c r="P17" s="982"/>
      <c r="Q17" s="980"/>
      <c r="R17" s="961"/>
      <c r="S17" s="961"/>
      <c r="AD17" s="3120"/>
      <c r="AE17" s="3120"/>
      <c r="AF17" s="3120"/>
      <c r="AG17" s="3120"/>
      <c r="AH17" s="208"/>
      <c r="AI17" s="3126" t="s">
        <v>49</v>
      </c>
      <c r="AJ17" s="440"/>
      <c r="AK17" s="440"/>
      <c r="AO17" s="547">
        <v>4</v>
      </c>
      <c r="AR17" s="537"/>
      <c r="AS17" s="537"/>
      <c r="AT17" s="537"/>
      <c r="AU17" s="537"/>
    </row>
    <row r="18" spans="1:66" s="541" customFormat="1" ht="15.75" customHeight="1" x14ac:dyDescent="0.35">
      <c r="A18" s="953"/>
      <c r="B18" s="3030"/>
      <c r="C18" s="3031"/>
      <c r="D18" s="1559"/>
      <c r="E18" s="1559"/>
      <c r="F18" s="1538"/>
      <c r="G18" s="1538"/>
      <c r="H18" s="1538"/>
      <c r="I18" s="1565" t="s">
        <v>50</v>
      </c>
      <c r="J18" s="1033"/>
      <c r="K18" s="3123" t="s">
        <v>51</v>
      </c>
      <c r="L18" s="3124"/>
      <c r="M18" s="3124"/>
      <c r="N18" s="3125"/>
      <c r="O18" s="1355"/>
      <c r="P18" s="1356"/>
      <c r="Q18" s="980"/>
      <c r="R18" s="961"/>
      <c r="S18" s="961"/>
      <c r="T18" s="3129" t="s">
        <v>52</v>
      </c>
      <c r="U18" s="3129"/>
      <c r="V18" s="3129"/>
      <c r="W18" s="3129"/>
      <c r="X18" s="3129"/>
      <c r="Y18" s="3129"/>
      <c r="Z18" s="3129"/>
      <c r="AA18" s="3129"/>
      <c r="AB18" s="3129"/>
      <c r="AC18" s="3129"/>
      <c r="AD18" s="1354"/>
      <c r="AE18" s="1354"/>
      <c r="AF18" s="1354"/>
      <c r="AG18" s="1354"/>
      <c r="AH18" s="208"/>
      <c r="AI18" s="3127"/>
      <c r="AJ18" s="1444" t="s">
        <v>53</v>
      </c>
      <c r="AK18" s="1448"/>
      <c r="AL18" s="1449"/>
      <c r="AM18" s="1449"/>
      <c r="AO18" s="547"/>
      <c r="AR18" s="537"/>
      <c r="AS18" s="537"/>
      <c r="AT18" s="537"/>
      <c r="AU18" s="537"/>
    </row>
    <row r="19" spans="1:66" s="541" customFormat="1" ht="15.75" customHeight="1" thickBot="1" x14ac:dyDescent="0.4">
      <c r="A19" s="953"/>
      <c r="B19" s="3032"/>
      <c r="C19" s="3033"/>
      <c r="D19" s="1560"/>
      <c r="E19" s="1561"/>
      <c r="F19" s="1562"/>
      <c r="G19" s="1562"/>
      <c r="H19" s="1562"/>
      <c r="I19" s="1563"/>
      <c r="J19" s="1564"/>
      <c r="K19" s="3130"/>
      <c r="L19" s="3130"/>
      <c r="M19" s="3130"/>
      <c r="N19" s="3131"/>
      <c r="O19" s="983"/>
      <c r="P19" s="984"/>
      <c r="Q19" s="984"/>
      <c r="R19" s="914"/>
      <c r="S19" s="914"/>
      <c r="T19" s="3132" t="s">
        <v>54</v>
      </c>
      <c r="U19" s="3133"/>
      <c r="V19" s="3134"/>
      <c r="W19" s="3138" t="s">
        <v>55</v>
      </c>
      <c r="X19" s="3133"/>
      <c r="Y19" s="3134"/>
      <c r="Z19" s="3138" t="s">
        <v>56</v>
      </c>
      <c r="AA19" s="3134"/>
      <c r="AB19" s="3133" t="s">
        <v>57</v>
      </c>
      <c r="AC19" s="3166"/>
      <c r="AD19" s="985"/>
      <c r="AE19" s="953"/>
      <c r="AF19"/>
      <c r="AG19" s="986"/>
      <c r="AH19" s="208"/>
      <c r="AI19" s="3128"/>
      <c r="AJ19" s="440"/>
      <c r="AK19" s="440"/>
      <c r="AO19" s="208"/>
      <c r="AP19" s="208"/>
      <c r="AQ19" s="208"/>
      <c r="AR19" s="208"/>
      <c r="AS19" s="208"/>
      <c r="AT19" s="208"/>
      <c r="AU19" s="208"/>
      <c r="AV19" s="208"/>
      <c r="AW19" s="208"/>
      <c r="AX19" s="208"/>
      <c r="AY19" s="208"/>
      <c r="AZ19" s="208"/>
      <c r="BA19" s="208"/>
      <c r="BB19" s="208"/>
      <c r="BC19" s="546"/>
      <c r="BD19" s="546"/>
      <c r="BE19" s="208"/>
      <c r="BF19" s="208"/>
      <c r="BG19" s="208"/>
      <c r="BH19" s="208"/>
      <c r="BI19" s="208"/>
      <c r="BJ19" s="208"/>
      <c r="BK19" s="208"/>
      <c r="BL19" s="208"/>
      <c r="BM19" s="208"/>
      <c r="BN19" s="208"/>
    </row>
    <row r="20" spans="1:66" s="548" customFormat="1" ht="12" customHeight="1" thickBot="1" x14ac:dyDescent="0.4">
      <c r="A20" s="953"/>
      <c r="B20" s="987"/>
      <c r="C20" s="987"/>
      <c r="D20" s="988"/>
      <c r="E20" s="989"/>
      <c r="F20" s="989"/>
      <c r="G20" s="989"/>
      <c r="H20" s="989"/>
      <c r="I20" s="989"/>
      <c r="J20" s="988"/>
      <c r="K20" s="988"/>
      <c r="L20" s="988"/>
      <c r="M20" s="988"/>
      <c r="N20" s="988"/>
      <c r="O20" s="990"/>
      <c r="P20" s="991"/>
      <c r="Q20" s="991"/>
      <c r="R20" s="914"/>
      <c r="S20" s="914"/>
      <c r="T20" s="3135"/>
      <c r="U20" s="3136"/>
      <c r="V20" s="3137"/>
      <c r="W20" s="3139"/>
      <c r="X20" s="3136"/>
      <c r="Y20" s="3137"/>
      <c r="Z20" s="3139"/>
      <c r="AA20" s="3137"/>
      <c r="AB20" s="3136"/>
      <c r="AC20" s="3167"/>
      <c r="AD20" s="992"/>
      <c r="AE20" s="993"/>
      <c r="AF20" s="953"/>
      <c r="AG20" s="953"/>
      <c r="AH20" s="953"/>
      <c r="AI20" s="953"/>
      <c r="AJ20" s="953"/>
      <c r="AK20" s="953"/>
      <c r="AL20" s="541"/>
      <c r="AM20" s="541"/>
      <c r="AN20" s="541"/>
      <c r="AO20" s="541"/>
      <c r="AP20" s="541"/>
      <c r="AQ20" s="541"/>
      <c r="AR20" s="541"/>
      <c r="AS20" s="541"/>
      <c r="AT20" s="541"/>
      <c r="AU20" s="541"/>
      <c r="AV20" s="541"/>
      <c r="AW20" s="541"/>
      <c r="AX20" s="541"/>
    </row>
    <row r="21" spans="1:66" s="537" customFormat="1" ht="26.25" customHeight="1" x14ac:dyDescent="0.25">
      <c r="A21" s="951"/>
      <c r="B21" s="3028" t="s">
        <v>58</v>
      </c>
      <c r="C21" s="3029"/>
      <c r="D21" s="1530"/>
      <c r="F21" s="1530"/>
      <c r="G21" s="1530"/>
      <c r="H21" s="1530"/>
      <c r="I21" s="1530" t="s">
        <v>59</v>
      </c>
      <c r="J21" s="994"/>
      <c r="K21" s="3092">
        <f>IF(AQ2=2,36,24)</f>
        <v>24</v>
      </c>
      <c r="L21" s="3093"/>
      <c r="M21" s="3093"/>
      <c r="N21" s="3094"/>
      <c r="O21" s="995"/>
      <c r="P21" s="996"/>
      <c r="Q21" s="951"/>
      <c r="R21" s="3095" t="s">
        <v>60</v>
      </c>
      <c r="S21" s="997" t="s">
        <v>61</v>
      </c>
      <c r="T21" s="3035">
        <f>IFERROR(IF(RoundDown,'KB_CRITERIA AND CALCULATION '!R76,'KB_CRITERIA AND CALCULATION '!Q76),"-")</f>
        <v>0</v>
      </c>
      <c r="U21" s="3046"/>
      <c r="V21" s="3046"/>
      <c r="W21" s="3035">
        <f>IFERROR(IF(RoundDown,'KB_CRITERIA AND CALCULATION '!R79,'KB_CRITERIA AND CALCULATION '!Q79),"-")</f>
        <v>0</v>
      </c>
      <c r="X21" s="3046"/>
      <c r="Y21" s="3046"/>
      <c r="Z21" s="3035">
        <f>IFERROR(IF(RoundDown,'KB_CRITERIA AND CALCULATION '!R82,'KB_CRITERIA AND CALCULATION '!Q82),"-")</f>
        <v>0</v>
      </c>
      <c r="AA21" s="3036"/>
      <c r="AB21" s="3035">
        <f>IFERROR(IF(RoundDown,'KB_CRITERIA AND CALCULATION '!R85,'KB_CRITERIA AND CALCULATION '!Q85),"-")</f>
        <v>0</v>
      </c>
      <c r="AC21" s="3036"/>
      <c r="AD21" s="998" t="str">
        <f>IF(Tier1_Eligible,"","Ineligible for Tier 1")</f>
        <v/>
      </c>
      <c r="AE21" s="951"/>
      <c r="AF21" s="951"/>
      <c r="AG21" s="951"/>
      <c r="AH21" s="951"/>
      <c r="AI21" s="951"/>
      <c r="AJ21" s="951"/>
      <c r="AK21" s="951"/>
      <c r="AO21" s="844" t="e">
        <f>"ERC - "&amp;'Product Data'!AO9&amp;'Product Data'!AO10&amp;'Product Data'!AO11&amp;'Product Data'!AO12&amp;" Final month is ERC free"</f>
        <v>#N/A</v>
      </c>
    </row>
    <row r="22" spans="1:66" s="537" customFormat="1" ht="19.5" customHeight="1" x14ac:dyDescent="0.25">
      <c r="A22" s="951"/>
      <c r="B22" s="3030"/>
      <c r="C22" s="3031"/>
      <c r="D22" s="1532"/>
      <c r="E22" s="1533"/>
      <c r="F22" s="1533"/>
      <c r="H22" s="1542"/>
      <c r="I22" s="1542" t="s">
        <v>62</v>
      </c>
      <c r="J22" s="950"/>
      <c r="K22" s="3089" t="s">
        <v>63</v>
      </c>
      <c r="L22" s="3090"/>
      <c r="M22" s="3090"/>
      <c r="N22" s="3091"/>
      <c r="O22" s="1432"/>
      <c r="P22" s="1433"/>
      <c r="Q22" s="1434"/>
      <c r="R22" s="3096"/>
      <c r="S22" s="1001" t="s">
        <v>64</v>
      </c>
      <c r="T22" s="3037">
        <f>IF(RoundDown,'KB_CRITERIA AND CALCULATION '!R77,'KB_CRITERIA AND CALCULATION '!Q77)</f>
        <v>0</v>
      </c>
      <c r="U22" s="3039"/>
      <c r="V22" s="3038"/>
      <c r="W22" s="3037">
        <f>IF(RoundDown,'KB_CRITERIA AND CALCULATION '!R80,'KB_CRITERIA AND CALCULATION '!Q80)</f>
        <v>0</v>
      </c>
      <c r="X22" s="3039"/>
      <c r="Y22" s="3038"/>
      <c r="Z22" s="3037">
        <f>IF(RoundDown,'KB_CRITERIA AND CALCULATION '!R83,'KB_CRITERIA AND CALCULATION '!Q83)</f>
        <v>0</v>
      </c>
      <c r="AA22" s="3038"/>
      <c r="AB22" s="3037">
        <f>IF(RoundDown,'KB_CRITERIA AND CALCULATION '!R86,'KB_CRITERIA AND CALCULATION '!Q86)</f>
        <v>0</v>
      </c>
      <c r="AC22" s="3038"/>
      <c r="AD22" s="998" t="str">
        <f>IF(Tier2_Eligible,"","Ineligible for Tier 2")</f>
        <v/>
      </c>
      <c r="AE22" s="951"/>
      <c r="AF22" s="951"/>
      <c r="AG22" s="951"/>
      <c r="AH22" s="951"/>
      <c r="AI22" s="951"/>
      <c r="AJ22" s="951"/>
      <c r="AK22" s="951"/>
      <c r="AO22" s="844"/>
    </row>
    <row r="23" spans="1:66" s="537" customFormat="1" ht="18" customHeight="1" x14ac:dyDescent="0.25">
      <c r="A23" s="951"/>
      <c r="B23" s="3030"/>
      <c r="C23" s="3031"/>
      <c r="D23" s="1532"/>
      <c r="E23" s="1533"/>
      <c r="F23" s="1533"/>
      <c r="G23" s="1533"/>
      <c r="H23" s="1533"/>
      <c r="I23" s="1534" t="s">
        <v>65</v>
      </c>
      <c r="J23" s="1300"/>
      <c r="K23" s="3098" t="s">
        <v>66</v>
      </c>
      <c r="L23" s="3099"/>
      <c r="M23" s="3099"/>
      <c r="N23" s="3100"/>
      <c r="O23" s="1432"/>
      <c r="P23" s="1433"/>
      <c r="Q23" s="1434"/>
      <c r="R23" s="3096"/>
      <c r="S23" s="1001" t="s">
        <v>67</v>
      </c>
      <c r="T23" s="3037" t="str">
        <f>IF(RoundDown,'KB_CRITERIA AND CALCULATION '!R78,'KB_CRITERIA AND CALCULATION '!Q78)</f>
        <v/>
      </c>
      <c r="U23" s="3039"/>
      <c r="V23" s="3038"/>
      <c r="W23" s="3037" t="str">
        <f>IF(RoundDown,'KB_CRITERIA AND CALCULATION '!R81,'KB_CRITERIA AND CALCULATION '!Q81)</f>
        <v/>
      </c>
      <c r="X23" s="3039"/>
      <c r="Y23" s="3038"/>
      <c r="Z23" s="3037" t="str">
        <f>IF(RoundDown,'KB_CRITERIA AND CALCULATION '!R84,'KB_CRITERIA AND CALCULATION '!Q84)</f>
        <v/>
      </c>
      <c r="AA23" s="3038"/>
      <c r="AB23" s="3037" t="str">
        <f>IF(RoundDown,'KB_CRITERIA AND CALCULATION '!R87,'KB_CRITERIA AND CALCULATION '!Q87)</f>
        <v/>
      </c>
      <c r="AC23" s="3038"/>
      <c r="AD23" s="998" t="str">
        <f>IF(Tier3_Eligible,"","Ineligible for Tier 3")</f>
        <v/>
      </c>
      <c r="AE23" s="1450" t="s">
        <v>68</v>
      </c>
      <c r="AF23" s="1451"/>
      <c r="AG23" s="1451"/>
      <c r="AI23" s="951"/>
      <c r="AJ23" s="951"/>
      <c r="AK23" s="951"/>
      <c r="AO23" s="844"/>
    </row>
    <row r="24" spans="1:66" s="208" customFormat="1" ht="18.75" hidden="1" x14ac:dyDescent="0.3">
      <c r="A24" s="914"/>
      <c r="B24" s="3030"/>
      <c r="C24" s="3031"/>
      <c r="D24" s="1532"/>
      <c r="E24" s="1532"/>
      <c r="F24" s="1533"/>
      <c r="G24" s="1533"/>
      <c r="H24" s="1533"/>
      <c r="I24" s="1533" t="s">
        <v>69</v>
      </c>
      <c r="J24" s="999"/>
      <c r="K24" s="3101" t="str">
        <f>'KB_CRITERIA AND CALCULATION '!D36</f>
        <v>1) Standard BTL</v>
      </c>
      <c r="L24" s="3102"/>
      <c r="M24" s="3102"/>
      <c r="N24" s="3103"/>
      <c r="O24" s="1435" t="s">
        <v>70</v>
      </c>
      <c r="P24" s="1436"/>
      <c r="Q24" s="1437"/>
      <c r="R24" s="3097"/>
      <c r="S24" s="1004" t="s">
        <v>71</v>
      </c>
      <c r="T24" s="3020" t="e">
        <f>IF(RoundDown,'KB_CRITERIA AND CALCULATION '!#REF!,'KB_CRITERIA AND CALCULATION '!#REF!)</f>
        <v>#REF!</v>
      </c>
      <c r="U24" s="3021"/>
      <c r="V24" s="3021"/>
      <c r="W24" s="3020" t="e">
        <f>IF(RoundDown,'KB_CRITERIA AND CALCULATION '!#REF!,'KB_CRITERIA AND CALCULATION '!#REF!)</f>
        <v>#REF!</v>
      </c>
      <c r="X24" s="3021"/>
      <c r="Y24" s="3021"/>
      <c r="Z24" s="3020" t="e">
        <f>IF(RoundDown,'KB_CRITERIA AND CALCULATION '!#REF!,'KB_CRITERIA AND CALCULATION '!#REF!)</f>
        <v>#REF!</v>
      </c>
      <c r="AA24" s="3022"/>
      <c r="AB24" s="3020" t="e">
        <f>IF(RoundDown,'KB_CRITERIA AND CALCULATION '!#REF!,'KB_CRITERIA AND CALCULATION '!#REF!)</f>
        <v>#REF!</v>
      </c>
      <c r="AC24" s="3022"/>
      <c r="AD24" s="998" t="str">
        <f>IF(Tier4_Eligible,"","Ineligible for Tier 4")</f>
        <v/>
      </c>
      <c r="AE24" s="914"/>
      <c r="AF24" s="914"/>
      <c r="AK24" s="914"/>
      <c r="AL24" s="946" t="s">
        <v>72</v>
      </c>
      <c r="AN24"/>
      <c r="AO24"/>
      <c r="AR24"/>
      <c r="AS24"/>
      <c r="AT24"/>
    </row>
    <row r="25" spans="1:66" s="208" customFormat="1" ht="18" hidden="1" x14ac:dyDescent="0.25">
      <c r="A25" s="914"/>
      <c r="B25" s="3030"/>
      <c r="C25" s="3031"/>
      <c r="D25" s="1532"/>
      <c r="E25" s="1532"/>
      <c r="F25" s="3034" t="s">
        <v>73</v>
      </c>
      <c r="G25" s="3034"/>
      <c r="H25" s="3034"/>
      <c r="I25" s="3034"/>
      <c r="J25" s="999"/>
      <c r="K25" s="3086">
        <f>INDEX('Product Data'!$C$9:$C$16,MATCH($K$24,'Product Data'!$B$9:$B$16,0))</f>
        <v>7.6399999999999996E-2</v>
      </c>
      <c r="L25" s="3087"/>
      <c r="M25" s="3087"/>
      <c r="N25" s="3088"/>
      <c r="O25" s="1441" t="s">
        <v>74</v>
      </c>
      <c r="P25" s="1442"/>
      <c r="Q25" s="1442"/>
      <c r="R25" s="1443"/>
      <c r="AD25" s="1312"/>
      <c r="AE25" s="914"/>
      <c r="AF25" s="914"/>
      <c r="AK25" s="914"/>
      <c r="AL25" s="914"/>
      <c r="AM25" s="914"/>
      <c r="AN25"/>
      <c r="AO25"/>
      <c r="AR25"/>
      <c r="AS25"/>
      <c r="AT25"/>
    </row>
    <row r="26" spans="1:66" s="208" customFormat="1" ht="16.5" customHeight="1" x14ac:dyDescent="0.25">
      <c r="A26" s="914"/>
      <c r="B26" s="3030"/>
      <c r="C26" s="3031"/>
      <c r="E26" s="1532"/>
      <c r="F26" s="1532"/>
      <c r="G26" s="1532"/>
      <c r="H26" s="1532"/>
      <c r="I26" s="1532" t="s">
        <v>75</v>
      </c>
      <c r="J26" s="999"/>
      <c r="K26" s="3086">
        <f>INDEX('Product Data'!I:I,MATCH('BTL Calculator WIP'!K24,'Product Data'!B:B,0))+'Product Data'!$E$3</f>
        <v>0.13289999999999999</v>
      </c>
      <c r="L26" s="3087"/>
      <c r="M26" s="3087"/>
      <c r="N26" s="3088"/>
      <c r="O26" s="1441" t="s">
        <v>76</v>
      </c>
      <c r="P26" s="1506"/>
      <c r="Q26" s="1506"/>
      <c r="AD26" s="1309"/>
      <c r="AE26" s="914"/>
      <c r="AF26" s="914"/>
      <c r="AK26" s="3065" t="str">
        <f>"(Tracker Override) Deferred at full term? ("&amp;Term&amp;" months)"</f>
        <v>(Tracker Override) Deferred at full term? (24 months)</v>
      </c>
      <c r="AL26" s="3066"/>
      <c r="AM26" s="3067"/>
      <c r="AN26" s="1026" t="s">
        <v>77</v>
      </c>
      <c r="AR26"/>
      <c r="AS26"/>
      <c r="AT26"/>
    </row>
    <row r="27" spans="1:66" s="208" customFormat="1" ht="18" customHeight="1" x14ac:dyDescent="0.25">
      <c r="A27" s="914"/>
      <c r="B27" s="3030"/>
      <c r="C27" s="3031"/>
      <c r="D27" s="1532"/>
      <c r="E27" s="1532"/>
      <c r="F27" s="1532"/>
      <c r="G27" s="1532"/>
      <c r="H27" s="1532"/>
      <c r="I27" s="1147" t="s">
        <v>78</v>
      </c>
      <c r="J27" s="1002"/>
      <c r="K27" s="3068"/>
      <c r="L27" s="3069"/>
      <c r="M27" s="3069"/>
      <c r="N27" s="3070"/>
      <c r="O27" s="1438"/>
      <c r="P27" s="1439"/>
      <c r="Q27" s="1439"/>
      <c r="X27" s="1444" t="s">
        <v>79</v>
      </c>
      <c r="Y27" s="1440"/>
      <c r="Z27" s="1440"/>
      <c r="AA27" s="1440"/>
      <c r="AB27" s="1440"/>
      <c r="AC27" s="1440"/>
      <c r="AD27" s="1440"/>
      <c r="AE27" s="1445"/>
      <c r="AF27" s="914"/>
      <c r="AK27" s="3065" t="s">
        <v>80</v>
      </c>
      <c r="AL27" s="3066"/>
      <c r="AM27" s="3067"/>
      <c r="AN27" s="1026" t="s">
        <v>81</v>
      </c>
      <c r="AO27" s="1349"/>
      <c r="AR27"/>
      <c r="AS27"/>
      <c r="AT27"/>
    </row>
    <row r="28" spans="1:66" s="208" customFormat="1" ht="18" customHeight="1" x14ac:dyDescent="0.25">
      <c r="A28" s="914"/>
      <c r="B28" s="3030"/>
      <c r="C28" s="3031"/>
      <c r="D28" s="1532"/>
      <c r="E28" s="1532"/>
      <c r="F28" s="1532"/>
      <c r="G28" s="1532"/>
      <c r="H28" s="1532"/>
      <c r="I28" s="1147" t="s">
        <v>82</v>
      </c>
      <c r="J28" s="1002"/>
      <c r="K28" s="3068"/>
      <c r="L28" s="3069"/>
      <c r="M28" s="3069"/>
      <c r="N28" s="3070"/>
      <c r="O28" s="1005"/>
      <c r="P28" s="1006"/>
      <c r="Q28" s="1006"/>
      <c r="X28" s="1444" t="s">
        <v>83</v>
      </c>
      <c r="Y28" s="1440"/>
      <c r="Z28" s="1440"/>
      <c r="AA28" s="1440"/>
      <c r="AB28" s="1440"/>
      <c r="AC28" s="1440"/>
      <c r="AD28" s="1440"/>
      <c r="AE28" s="1445"/>
      <c r="AF28" s="914"/>
      <c r="AK28" s="3065" t="s">
        <v>84</v>
      </c>
      <c r="AL28" s="3066"/>
      <c r="AM28" s="3067"/>
      <c r="AN28" s="1026" t="s">
        <v>85</v>
      </c>
      <c r="AO28" s="1350" t="e">
        <f>"Note: To use setting 'I want a specific amount (Net)', set the preference to be "&amp;'KB_CRITERIA AND CALCULATION '!#REF!</f>
        <v>#REF!</v>
      </c>
      <c r="AP28" s="1351" t="b">
        <f>IF('KB_CRITERIA AND CALCULATION '!$F$36&lt;=$AO15,TRUE,FALSE)</f>
        <v>1</v>
      </c>
      <c r="AQ28" s="1351"/>
      <c r="AR28" s="1351" t="b">
        <f>INDEX(AQ32:AQ35,MATCH($AS$32,AP32:AP35,0))</f>
        <v>1</v>
      </c>
      <c r="AS28" s="1351"/>
      <c r="AT28"/>
    </row>
    <row r="29" spans="1:66" s="208" customFormat="1" ht="18" customHeight="1" x14ac:dyDescent="0.25">
      <c r="A29" s="914"/>
      <c r="B29" s="3030"/>
      <c r="C29" s="3031"/>
      <c r="D29" s="1532"/>
      <c r="E29" s="1532"/>
      <c r="F29" s="1532"/>
      <c r="G29" s="1532"/>
      <c r="H29" s="1532"/>
      <c r="I29" s="1532" t="s">
        <v>86</v>
      </c>
      <c r="J29" s="1002"/>
      <c r="K29" s="3071" t="str">
        <f>INDEX('Product Data'!F:F,MATCH('BTL Calculator WIP'!K24,'Product Data'!B:B,0))</f>
        <v xml:space="preserve">Withdrawn </v>
      </c>
      <c r="L29" s="3072"/>
      <c r="M29" s="3072"/>
      <c r="N29" s="3073"/>
      <c r="O29" s="1441" t="s">
        <v>87</v>
      </c>
      <c r="P29" s="1442"/>
      <c r="Q29" s="1442"/>
      <c r="R29" s="1443"/>
      <c r="S29" s="1008"/>
      <c r="T29" s="1009"/>
      <c r="U29" s="1009"/>
      <c r="V29" s="1009"/>
      <c r="W29" s="1009"/>
      <c r="X29" s="1444" t="s">
        <v>88</v>
      </c>
      <c r="Y29" s="1446"/>
      <c r="Z29" s="1446"/>
      <c r="AA29" s="1446"/>
      <c r="AB29" s="1446"/>
      <c r="AC29" s="1446"/>
      <c r="AD29" s="1447"/>
      <c r="AE29" s="1445"/>
      <c r="AK29" s="3065" t="s">
        <v>89</v>
      </c>
      <c r="AL29" s="3066"/>
      <c r="AM29" s="3067"/>
      <c r="AN29" s="1026" t="s">
        <v>27</v>
      </c>
      <c r="AO29" s="1350" t="s">
        <v>90</v>
      </c>
      <c r="AP29" s="1351" t="b">
        <f>IF('KB_CRITERIA AND CALCULATION '!$F$36&lt;=$AO16,TRUE,FALSE)</f>
        <v>1</v>
      </c>
      <c r="AQ29" s="1351"/>
      <c r="AR29" s="1351"/>
      <c r="AS29" s="1351"/>
      <c r="AT29"/>
    </row>
    <row r="30" spans="1:66" s="208" customFormat="1" ht="7.5" customHeight="1" x14ac:dyDescent="0.25">
      <c r="A30" s="914"/>
      <c r="B30" s="3030"/>
      <c r="C30" s="3031"/>
      <c r="E30" s="1542"/>
      <c r="F30" s="1542"/>
      <c r="G30" s="1542"/>
      <c r="H30" s="1542"/>
      <c r="I30" s="1542"/>
      <c r="J30" s="1002"/>
      <c r="K30" s="3074"/>
      <c r="L30" s="3075"/>
      <c r="M30" s="3075"/>
      <c r="N30" s="3076"/>
      <c r="O30" s="1005"/>
      <c r="P30" s="1006"/>
      <c r="Q30" s="1006"/>
      <c r="R30" s="1007"/>
      <c r="S30" s="1008"/>
      <c r="T30" s="1009"/>
      <c r="U30" s="1009"/>
      <c r="V30" s="1009"/>
      <c r="W30" s="1009"/>
      <c r="X30" s="1009"/>
      <c r="Y30" s="1009"/>
      <c r="Z30" s="1009"/>
      <c r="AA30" s="1009"/>
      <c r="AB30" s="1009"/>
      <c r="AC30" s="1009"/>
      <c r="AD30" s="998"/>
      <c r="AE30" s="914"/>
      <c r="AF30" s="914"/>
      <c r="AK30" s="3080" t="s">
        <v>91</v>
      </c>
      <c r="AL30" s="3081"/>
      <c r="AM30" s="3082"/>
      <c r="AN30" s="3050"/>
      <c r="AO30" s="914"/>
      <c r="AR30"/>
      <c r="AS30"/>
      <c r="AT30"/>
    </row>
    <row r="31" spans="1:66" s="208" customFormat="1" ht="10.5" customHeight="1" x14ac:dyDescent="0.25">
      <c r="A31" s="914"/>
      <c r="B31" s="3030"/>
      <c r="C31" s="3031"/>
      <c r="D31" s="1542"/>
      <c r="E31" s="1542"/>
      <c r="F31" s="1542"/>
      <c r="G31" s="1542"/>
      <c r="H31" s="1542"/>
      <c r="I31" s="1542" t="s">
        <v>92</v>
      </c>
      <c r="J31" s="1002"/>
      <c r="K31" s="3077"/>
      <c r="L31" s="3078"/>
      <c r="M31" s="3078"/>
      <c r="N31" s="3079"/>
      <c r="O31"/>
      <c r="P31" s="1010"/>
      <c r="Q31" s="914"/>
      <c r="R31" s="914"/>
      <c r="S31" s="1011"/>
      <c r="T31" s="3052" t="s">
        <v>54</v>
      </c>
      <c r="U31" s="3053"/>
      <c r="V31" s="3054"/>
      <c r="W31" s="3058" t="s">
        <v>55</v>
      </c>
      <c r="X31" s="3053"/>
      <c r="Y31" s="3054"/>
      <c r="Z31" s="3058" t="s">
        <v>56</v>
      </c>
      <c r="AA31" s="3054"/>
      <c r="AB31" s="3053" t="s">
        <v>57</v>
      </c>
      <c r="AC31" s="3060"/>
      <c r="AD31" s="914"/>
      <c r="AE31" s="914"/>
      <c r="AF31" s="914"/>
      <c r="AK31" s="3083"/>
      <c r="AL31" s="3084"/>
      <c r="AM31" s="3085"/>
      <c r="AN31" s="3051"/>
      <c r="AO31" s="914"/>
      <c r="AR31"/>
      <c r="AS31" s="208" t="s">
        <v>93</v>
      </c>
      <c r="AT31"/>
    </row>
    <row r="32" spans="1:66" s="208" customFormat="1" ht="17.25" customHeight="1" thickBot="1" x14ac:dyDescent="0.3">
      <c r="A32" s="914"/>
      <c r="B32" s="3030"/>
      <c r="C32" s="3031"/>
      <c r="D32" s="1535"/>
      <c r="E32" s="1535"/>
      <c r="F32" s="1536"/>
      <c r="G32" s="1536"/>
      <c r="H32" s="1536"/>
      <c r="I32" s="1536" t="s">
        <v>94</v>
      </c>
      <c r="J32" s="1012"/>
      <c r="K32" s="3062">
        <f>'KB_CRITERIA AND CALCULATION '!S36</f>
        <v>0.75</v>
      </c>
      <c r="L32" s="3063"/>
      <c r="M32" s="3063"/>
      <c r="N32" s="3064"/>
      <c r="O32" s="1013"/>
      <c r="P32" s="1014"/>
      <c r="Q32" s="914"/>
      <c r="R32" s="914"/>
      <c r="S32" s="1011"/>
      <c r="T32" s="3055"/>
      <c r="U32" s="3056"/>
      <c r="V32" s="3057"/>
      <c r="W32" s="3059"/>
      <c r="X32" s="3056"/>
      <c r="Y32" s="3057"/>
      <c r="Z32" s="3059"/>
      <c r="AA32" s="3057"/>
      <c r="AB32" s="3056"/>
      <c r="AC32" s="3061"/>
      <c r="AD32" s="914"/>
      <c r="AE32" s="208" t="s">
        <v>95</v>
      </c>
      <c r="AF32" s="914"/>
      <c r="AG32" s="914"/>
      <c r="AH32" s="914"/>
      <c r="AI32" s="914"/>
      <c r="AJ32" s="914"/>
      <c r="AK32" s="3065" t="s">
        <v>96</v>
      </c>
      <c r="AL32" s="3066"/>
      <c r="AM32" s="3067"/>
      <c r="AN32" s="1353"/>
      <c r="AP32" s="849" t="str">
        <f>'Product Data'!B9</f>
        <v>1) Standard BTL</v>
      </c>
      <c r="AQ32" s="547" t="b">
        <f>IF('KB_CRITERIA AND CALCULATION '!$F$36&lt;=$AO14,TRUE,FALSE)</f>
        <v>1</v>
      </c>
      <c r="AR32"/>
      <c r="AS32" s="456" t="str">
        <f>Product_Selected</f>
        <v>1) Standard BTL</v>
      </c>
      <c r="AT32"/>
    </row>
    <row r="33" spans="1:50" s="537" customFormat="1" ht="15.95" customHeight="1" x14ac:dyDescent="0.25">
      <c r="A33" s="951"/>
      <c r="B33" s="3030"/>
      <c r="C33" s="3031"/>
      <c r="D33" s="994"/>
      <c r="E33" s="1015"/>
      <c r="F33" s="1530"/>
      <c r="G33" s="1530"/>
      <c r="H33" s="1530"/>
      <c r="I33" s="1531" t="s">
        <v>97</v>
      </c>
      <c r="J33" s="994"/>
      <c r="K33" s="3040" t="s">
        <v>98</v>
      </c>
      <c r="L33" s="3041"/>
      <c r="M33" s="3041"/>
      <c r="N33" s="3042"/>
      <c r="O33" s="1016"/>
      <c r="P33" s="1017"/>
      <c r="Q33" s="1017"/>
      <c r="R33" s="3043" t="s">
        <v>99</v>
      </c>
      <c r="S33" s="1018" t="s">
        <v>61</v>
      </c>
      <c r="T33" s="3035">
        <f>IFERROR('KB_CRITERIA AND CALCULATION '!AL76,"-")</f>
        <v>0</v>
      </c>
      <c r="U33" s="3046"/>
      <c r="V33" s="3036"/>
      <c r="W33" s="3035">
        <f>IFERROR('KB_CRITERIA AND CALCULATION '!AL79,"-")</f>
        <v>0</v>
      </c>
      <c r="X33" s="3046"/>
      <c r="Y33" s="3036"/>
      <c r="Z33" s="3035">
        <f>IFERROR('KB_CRITERIA AND CALCULATION '!AL82,"-")</f>
        <v>0</v>
      </c>
      <c r="AA33" s="3036"/>
      <c r="AB33" s="3035">
        <f>IFERROR('KB_CRITERIA AND CALCULATION '!AL85,"-")</f>
        <v>0</v>
      </c>
      <c r="AC33" s="3036"/>
      <c r="AD33" s="1305"/>
      <c r="AE33" s="1452" t="s">
        <v>100</v>
      </c>
      <c r="AF33" s="1251"/>
      <c r="AG33" s="1251"/>
      <c r="AH33" s="1451"/>
      <c r="AI33" s="1451"/>
      <c r="AJ33" s="1453"/>
      <c r="AK33" s="1453"/>
      <c r="AL33" s="1453"/>
    </row>
    <row r="34" spans="1:50" s="537" customFormat="1" ht="15.95" customHeight="1" x14ac:dyDescent="0.25">
      <c r="A34" s="951"/>
      <c r="B34" s="3030"/>
      <c r="C34" s="3031"/>
      <c r="D34" s="951"/>
      <c r="E34" s="1019"/>
      <c r="F34" s="1148"/>
      <c r="G34" s="1148"/>
      <c r="H34" s="1148"/>
      <c r="I34" s="1147" t="str">
        <f>"Gross "&amp;'Product Data'!$AF$4&amp;" Proc Fee:"</f>
        <v>Gross Broker Proc Fee:</v>
      </c>
      <c r="J34" s="951"/>
      <c r="K34" s="3047">
        <f>IFERROR(INDEX('Product Data'!$AE$9:$AE$16,MATCH(K33,'Product Data'!$AD$9:$AD$16,0)),1%)</f>
        <v>0.01</v>
      </c>
      <c r="L34" s="3048"/>
      <c r="M34" s="3048"/>
      <c r="N34" s="3049"/>
      <c r="O34"/>
      <c r="P34" s="951"/>
      <c r="Q34" s="951"/>
      <c r="R34" s="3044"/>
      <c r="S34" s="1020" t="s">
        <v>64</v>
      </c>
      <c r="T34" s="3037">
        <f>'KB_CRITERIA AND CALCULATION '!AL77</f>
        <v>0</v>
      </c>
      <c r="U34" s="3039"/>
      <c r="V34" s="3038"/>
      <c r="W34" s="3037">
        <f>'KB_CRITERIA AND CALCULATION '!AL80</f>
        <v>0</v>
      </c>
      <c r="X34" s="3039"/>
      <c r="Y34" s="3038"/>
      <c r="Z34" s="3037">
        <f>'KB_CRITERIA AND CALCULATION '!AL83</f>
        <v>0</v>
      </c>
      <c r="AA34" s="3038"/>
      <c r="AB34" s="3037">
        <f>'KB_CRITERIA AND CALCULATION '!AL86</f>
        <v>0</v>
      </c>
      <c r="AC34" s="3038"/>
      <c r="AD34" s="951"/>
      <c r="AE34" s="1459" t="s">
        <v>101</v>
      </c>
      <c r="AF34" s="1451"/>
      <c r="AG34" s="1453"/>
    </row>
    <row r="35" spans="1:50" s="537" customFormat="1" ht="15.95" customHeight="1" x14ac:dyDescent="0.25">
      <c r="A35" s="951"/>
      <c r="B35" s="3030"/>
      <c r="C35" s="3031"/>
      <c r="D35" s="1303"/>
      <c r="E35" s="1295"/>
      <c r="F35" s="1533"/>
      <c r="G35" s="1533"/>
      <c r="H35" s="1147"/>
      <c r="I35" s="1147" t="str">
        <f>"Gross "&amp;'Product Data'!$AF$4&amp;" Proc Fee override:"&amp;" %"</f>
        <v>Gross Broker Proc Fee override: %</v>
      </c>
      <c r="J35" s="1002"/>
      <c r="K35" s="3023">
        <v>0.01</v>
      </c>
      <c r="L35" s="3024"/>
      <c r="M35" s="3024"/>
      <c r="N35" s="3025"/>
      <c r="O35"/>
      <c r="P35" s="1021"/>
      <c r="Q35" s="1021"/>
      <c r="R35" s="3044"/>
      <c r="S35" s="1020" t="s">
        <v>67</v>
      </c>
      <c r="T35" s="3037" t="str">
        <f>'KB_CRITERIA AND CALCULATION '!AL78</f>
        <v/>
      </c>
      <c r="U35" s="3039"/>
      <c r="V35" s="3038"/>
      <c r="W35" s="3037" t="str">
        <f>'KB_CRITERIA AND CALCULATION '!AL81</f>
        <v/>
      </c>
      <c r="X35" s="3039"/>
      <c r="Y35" s="3038"/>
      <c r="Z35" s="3037" t="str">
        <f>'KB_CRITERIA AND CALCULATION '!AL84</f>
        <v/>
      </c>
      <c r="AA35" s="3038"/>
      <c r="AB35" s="3037" t="str">
        <f>'KB_CRITERIA AND CALCULATION '!AL87</f>
        <v/>
      </c>
      <c r="AC35" s="3038"/>
      <c r="AD35" s="951"/>
      <c r="AE35" s="951"/>
      <c r="AF35" s="951"/>
      <c r="AG35" s="951"/>
      <c r="AH35" s="951"/>
      <c r="AI35" s="951"/>
      <c r="AP35" s="849">
        <f>'Product Data'!B12</f>
        <v>0</v>
      </c>
      <c r="AQ35" s="547" t="b">
        <f>IF('KB_CRITERIA AND CALCULATION '!$F$36&lt;=$AO17,TRUE,FALSE)</f>
        <v>1</v>
      </c>
      <c r="AR35"/>
      <c r="AS35"/>
      <c r="AT35"/>
    </row>
    <row r="36" spans="1:50" s="537" customFormat="1" ht="15.95" customHeight="1" x14ac:dyDescent="0.25">
      <c r="A36" s="951"/>
      <c r="B36" s="3030"/>
      <c r="C36" s="3031"/>
      <c r="D36" s="1002"/>
      <c r="E36" s="1003"/>
      <c r="F36" s="1532"/>
      <c r="G36" s="1532"/>
      <c r="H36" s="1532"/>
      <c r="I36" s="1147" t="s">
        <v>102</v>
      </c>
      <c r="J36" s="1002"/>
      <c r="K36" s="3017"/>
      <c r="L36" s="3018"/>
      <c r="M36" s="3018"/>
      <c r="N36" s="3019"/>
      <c r="O36"/>
      <c r="P36" s="1021"/>
      <c r="Q36" s="1021"/>
      <c r="R36" s="3045"/>
      <c r="S36" s="1022" t="s">
        <v>71</v>
      </c>
      <c r="T36" s="3020" t="e">
        <f>'KB_CRITERIA AND CALCULATION '!#REF!</f>
        <v>#REF!</v>
      </c>
      <c r="U36" s="3021"/>
      <c r="V36" s="3022"/>
      <c r="W36" s="3020" t="e">
        <f>'KB_CRITERIA AND CALCULATION '!#REF!</f>
        <v>#REF!</v>
      </c>
      <c r="X36" s="3021"/>
      <c r="Y36" s="3022"/>
      <c r="Z36" s="3020" t="e">
        <f>'KB_CRITERIA AND CALCULATION '!#REF!</f>
        <v>#REF!</v>
      </c>
      <c r="AA36" s="3022"/>
      <c r="AB36" s="3020" t="e">
        <f>'KB_CRITERIA AND CALCULATION '!#REF!</f>
        <v>#REF!</v>
      </c>
      <c r="AC36" s="3022"/>
      <c r="AD36" s="951"/>
      <c r="AE36" s="951"/>
      <c r="AF36" s="951"/>
      <c r="AG36" s="951"/>
      <c r="AH36" s="1352"/>
      <c r="AI36" s="951"/>
      <c r="AJ36" s="951"/>
      <c r="AK36" s="951"/>
      <c r="AP36" s="849"/>
      <c r="AQ36" s="547"/>
      <c r="AR36"/>
      <c r="AS36"/>
      <c r="AT36"/>
    </row>
    <row r="37" spans="1:50" s="537" customFormat="1" ht="15.95" customHeight="1" x14ac:dyDescent="0.35">
      <c r="A37" s="951"/>
      <c r="B37" s="3030"/>
      <c r="C37" s="3031"/>
      <c r="D37" s="999"/>
      <c r="E37" s="1000"/>
      <c r="F37" s="1532"/>
      <c r="G37" s="1532"/>
      <c r="H37" s="1147"/>
      <c r="I37" s="1533" t="str">
        <f>"Optional Broker fee?"&amp;" %"</f>
        <v>Optional Broker fee? %</v>
      </c>
      <c r="J37" s="999"/>
      <c r="K37" s="3023"/>
      <c r="L37" s="3024"/>
      <c r="M37" s="3024"/>
      <c r="N37" s="3025"/>
      <c r="O37" s="3026" t="str">
        <f>IF(K37&gt;0.01,"Warning: High broker fee","")</f>
        <v/>
      </c>
      <c r="P37" s="3027"/>
      <c r="Q37" s="3027"/>
      <c r="R37" s="3027"/>
      <c r="S37" s="3027"/>
      <c r="T37" s="3027"/>
      <c r="AD37" s="951"/>
      <c r="AE37" s="951"/>
      <c r="AF37" s="951"/>
      <c r="AG37" s="951"/>
      <c r="AH37" s="1352"/>
      <c r="AI37" s="951"/>
      <c r="AJ37" s="951"/>
      <c r="AK37" s="951"/>
      <c r="AO37" s="549" t="e">
        <f>IF(K38+K37*AJ52&lt;0,"Invalid",IF(K38+K37*AJ52&gt;'BTL Calculator WIP'!M150,"Broker Fee Should be less than the "&amp;TEXT('BTL Calculator WIP'!M150,"£0,0")&amp;" product fee",""))</f>
        <v>#N/A</v>
      </c>
      <c r="AR37"/>
      <c r="AS37"/>
      <c r="AT37"/>
    </row>
    <row r="38" spans="1:50" s="537" customFormat="1" ht="15.95" customHeight="1" x14ac:dyDescent="0.35">
      <c r="A38" s="951"/>
      <c r="B38" s="3030"/>
      <c r="C38" s="3031"/>
      <c r="D38" s="999"/>
      <c r="E38" s="1000"/>
      <c r="F38" s="1532"/>
      <c r="G38" s="1532"/>
      <c r="H38" s="1532"/>
      <c r="I38" s="1533" t="s">
        <v>102</v>
      </c>
      <c r="J38" s="999"/>
      <c r="K38" s="3000"/>
      <c r="L38" s="3001"/>
      <c r="M38" s="3001"/>
      <c r="N38" s="3002"/>
      <c r="O38" s="1150" t="s">
        <v>103</v>
      </c>
      <c r="P38" s="1021"/>
      <c r="Q38" s="1021"/>
      <c r="R38" s="1267"/>
      <c r="S38" s="1274"/>
      <c r="T38" s="1009"/>
      <c r="U38" s="1009"/>
      <c r="V38" s="1009"/>
      <c r="W38" s="1009"/>
      <c r="X38" s="1009"/>
      <c r="Y38" s="1009"/>
      <c r="Z38" s="1009"/>
      <c r="AA38" s="1009"/>
      <c r="AB38" s="1009"/>
      <c r="AC38" s="1009"/>
      <c r="AD38" s="951"/>
      <c r="AE38" s="951"/>
      <c r="AF38" s="951"/>
      <c r="AG38" s="951"/>
      <c r="AH38" s="951"/>
      <c r="AI38" s="1352"/>
      <c r="AJ38" s="951"/>
      <c r="AK38" s="951"/>
      <c r="AO38" s="549"/>
      <c r="AR38"/>
      <c r="AS38"/>
      <c r="AT38"/>
    </row>
    <row r="39" spans="1:50" s="550" customFormat="1" ht="13.5" customHeight="1" x14ac:dyDescent="0.25">
      <c r="A39" s="951"/>
      <c r="B39" s="3030"/>
      <c r="C39" s="3031"/>
      <c r="D39" s="1570"/>
      <c r="F39" s="934"/>
      <c r="G39" s="934"/>
      <c r="H39" s="934"/>
      <c r="I39" s="1569" t="s">
        <v>104</v>
      </c>
      <c r="J39" s="934"/>
      <c r="K39" s="932" t="e">
        <f>'Product Data'!AO9&amp;'Product Data'!AO10&amp;'Product Data'!AO11&amp;'Product Data'!AO12&amp;"      Final month is ERC free"</f>
        <v>#N/A</v>
      </c>
      <c r="L39" s="934"/>
      <c r="M39" s="934"/>
      <c r="N39" s="1566"/>
      <c r="O39" s="1021"/>
      <c r="P39" s="1021"/>
      <c r="Q39" s="1021"/>
      <c r="R39" s="1021"/>
      <c r="S39" s="987"/>
      <c r="T39" s="987"/>
      <c r="U39" s="987"/>
      <c r="V39" s="987"/>
      <c r="W39" s="987"/>
      <c r="X39" s="987"/>
      <c r="Y39" s="987"/>
      <c r="Z39" s="987"/>
      <c r="AA39" s="987"/>
      <c r="AB39" s="987"/>
      <c r="AC39" s="987"/>
      <c r="AD39" s="951"/>
      <c r="AE39" s="951"/>
      <c r="AF39" s="951"/>
      <c r="AG39" s="951"/>
      <c r="AH39" s="951"/>
      <c r="AI39" s="951"/>
      <c r="AJ39" s="951"/>
      <c r="AK39" s="951"/>
      <c r="AL39" s="537"/>
      <c r="AM39" s="537"/>
      <c r="AN39" s="537"/>
      <c r="AO39" s="537"/>
      <c r="AP39" s="537"/>
      <c r="AQ39" s="537"/>
      <c r="AR39" s="537"/>
      <c r="AS39" s="537"/>
      <c r="AT39" s="537"/>
      <c r="AU39" s="537"/>
      <c r="AV39" s="537"/>
      <c r="AW39" s="537"/>
      <c r="AX39" s="537"/>
    </row>
    <row r="40" spans="1:50" ht="21" customHeight="1" thickBot="1" x14ac:dyDescent="0.4">
      <c r="A40"/>
      <c r="B40" s="3032"/>
      <c r="C40" s="3033"/>
      <c r="D40" s="1571"/>
      <c r="E40" s="1567"/>
      <c r="F40" s="1567"/>
      <c r="G40" s="1567"/>
      <c r="H40" s="1567"/>
      <c r="I40" s="1567"/>
      <c r="J40" s="1567"/>
      <c r="K40" s="1567"/>
      <c r="L40" s="1567"/>
      <c r="M40" s="1567"/>
      <c r="N40" s="1568"/>
      <c r="O40" s="914"/>
      <c r="P40" s="933"/>
      <c r="Q40" s="933"/>
      <c r="R40" s="3003" t="str">
        <f>"Max Gross Loan is "&amp;TEXT(MaxGrossLoan,"£ 0,0")</f>
        <v>Max Gross Loan is £ 00</v>
      </c>
      <c r="S40" s="3004"/>
      <c r="T40" s="3004"/>
      <c r="U40" s="3004"/>
      <c r="V40" s="3004"/>
      <c r="W40" s="3004"/>
      <c r="X40" s="3004"/>
      <c r="Y40" s="3004"/>
      <c r="Z40" s="3004"/>
      <c r="AA40" s="3004"/>
      <c r="AB40" s="3005" t="str">
        <f>"@ "&amp;TEXT(MaxGrossLoan/$AB$4,"0%")&amp;" LTV"</f>
        <v>@ 0% LTV</v>
      </c>
      <c r="AC40" s="3006"/>
      <c r="AD40" s="1023" t="str">
        <f>"On Tier "&amp;'KB_CRITERIA AND CALCULATION '!D36</f>
        <v>On Tier 1) Standard BTL</v>
      </c>
      <c r="AE40"/>
      <c r="AF40"/>
      <c r="AG40"/>
      <c r="AH40"/>
      <c r="AI40"/>
      <c r="AJ40"/>
      <c r="AK40"/>
    </row>
    <row r="41" spans="1:50" ht="8.25" customHeight="1" x14ac:dyDescent="0.35">
      <c r="A41"/>
      <c r="B41" s="3007" t="str">
        <f>IF(OR('Product Data'!AF4="Broker",'Product Data'!AF4="Client"),"","Please note for this case you do not pay the broker directly, you will be paying the "&amp;'Product Data'!$AF$4)</f>
        <v/>
      </c>
      <c r="C41" s="3007"/>
      <c r="D41" s="3007"/>
      <c r="E41" s="3007"/>
      <c r="F41" s="3007"/>
      <c r="G41" s="3007"/>
      <c r="H41" s="3007"/>
      <c r="I41" s="3007"/>
      <c r="J41" s="3007"/>
      <c r="K41" s="3007"/>
      <c r="L41" s="3007"/>
      <c r="M41" s="3007"/>
      <c r="N41" s="3007"/>
      <c r="O41" s="3007"/>
      <c r="P41" s="914"/>
      <c r="Q41" s="933"/>
      <c r="R41" s="933"/>
      <c r="S41" s="1024"/>
      <c r="T41" s="1024"/>
      <c r="U41" s="1024"/>
      <c r="V41" s="1024"/>
      <c r="W41" s="1024"/>
      <c r="X41" s="1024"/>
      <c r="Y41" s="1024"/>
      <c r="Z41" s="1024"/>
      <c r="AA41" s="1024"/>
      <c r="AB41" s="1024"/>
      <c r="AC41" s="1025"/>
      <c r="AD41" s="1025"/>
      <c r="AE41" s="951"/>
      <c r="AF41"/>
      <c r="AG41"/>
      <c r="AH41"/>
      <c r="AI41"/>
      <c r="AJ41"/>
      <c r="AK41"/>
      <c r="AL41"/>
    </row>
    <row r="42" spans="1:50" ht="10.5" customHeight="1" x14ac:dyDescent="0.35">
      <c r="A42"/>
      <c r="B42" s="3008"/>
      <c r="C42" s="3008"/>
      <c r="D42" s="3008"/>
      <c r="E42" s="3008"/>
      <c r="F42" s="3008"/>
      <c r="G42" s="3008"/>
      <c r="H42" s="3008"/>
      <c r="I42" s="3008"/>
      <c r="J42" s="3008"/>
      <c r="K42" s="3008"/>
      <c r="L42" s="3008"/>
      <c r="M42" s="3008"/>
      <c r="N42" s="3008"/>
      <c r="O42" s="3008"/>
      <c r="P42" s="914"/>
      <c r="Q42" s="933"/>
      <c r="R42" s="933"/>
      <c r="S42" s="3009">
        <f>IFERROR("Max Net Loan is "&amp;TEXT(IF(COUNTIF(K24,"*1*")=1,MAX(T33:AC36),IF(COUNTIF(K24,"*2*")=1,MAX(T34:AC36),IF(COUNTIF(K24,"*3*")=1,MAX(T35:AC36),IF(COUNTIF(K24,"*4*")=1,MAX(T36:AC36),"")))),"£ 0,0"),0)</f>
        <v>0</v>
      </c>
      <c r="T42" s="3010"/>
      <c r="U42" s="3010"/>
      <c r="V42" s="3010"/>
      <c r="W42" s="3010"/>
      <c r="X42" s="3010"/>
      <c r="Y42" s="3010"/>
      <c r="Z42" s="3010"/>
      <c r="AA42" s="3010"/>
      <c r="AB42" s="3010"/>
      <c r="AC42" s="3013">
        <f>IFERROR("@ "&amp;TEXT(IF(COUNTIF(K24,"*1*")=1,MAX(T33:AC36),IF(COUNTIF(K24,"*2*")=1,MAX(T34:AC36),IF(COUNTIF(K24,"*3*")=1,MAX(T35:AC36),IF(COUNTIF(K24,"*4*")=1,MAX(T36:AC36),""))))/$AB$4,"0%")&amp;" LTV",0)</f>
        <v>0</v>
      </c>
      <c r="AD42" s="3014"/>
      <c r="AE42" s="951"/>
      <c r="AF42"/>
      <c r="AG42"/>
      <c r="AH42"/>
      <c r="AI42"/>
      <c r="AJ42"/>
      <c r="AK42"/>
      <c r="AL42"/>
    </row>
    <row r="43" spans="1:50" ht="10.5" customHeight="1" x14ac:dyDescent="0.35">
      <c r="A43"/>
      <c r="B43" s="914"/>
      <c r="C43" s="914"/>
      <c r="D43" s="914"/>
      <c r="E43" s="914"/>
      <c r="F43" s="930"/>
      <c r="G43" s="914"/>
      <c r="H43" s="914"/>
      <c r="I43" s="914"/>
      <c r="J43" s="914"/>
      <c r="K43" s="914"/>
      <c r="L43" s="914"/>
      <c r="M43" s="914"/>
      <c r="N43" s="914"/>
      <c r="O43" s="914"/>
      <c r="P43" s="914"/>
      <c r="Q43" s="933"/>
      <c r="R43" s="933"/>
      <c r="S43" s="3011"/>
      <c r="T43" s="3012"/>
      <c r="U43" s="3012"/>
      <c r="V43" s="3012"/>
      <c r="W43" s="3012"/>
      <c r="X43" s="3012"/>
      <c r="Y43" s="3012"/>
      <c r="Z43" s="3012"/>
      <c r="AA43" s="3012"/>
      <c r="AB43" s="3012"/>
      <c r="AC43" s="3015"/>
      <c r="AD43" s="3016"/>
      <c r="AE43" s="951"/>
      <c r="AF43"/>
      <c r="AG43"/>
    </row>
    <row r="44" spans="1:50" customFormat="1" ht="18" hidden="1" x14ac:dyDescent="0.35">
      <c r="C44" s="947"/>
      <c r="D44" s="949"/>
      <c r="E44" s="949"/>
      <c r="F44" s="949"/>
      <c r="G44" s="947"/>
      <c r="H44" s="950"/>
      <c r="I44" s="950"/>
      <c r="J44" s="1346"/>
      <c r="K44" s="1346"/>
      <c r="L44" s="1346"/>
      <c r="M44" s="1346"/>
      <c r="N44" s="1346"/>
      <c r="O44" s="1346"/>
      <c r="P44" s="1346"/>
      <c r="Q44" s="1346"/>
      <c r="R44" s="1346"/>
      <c r="S44" s="1346"/>
      <c r="T44" s="1346"/>
      <c r="U44" s="1346"/>
      <c r="V44" s="1346"/>
      <c r="W44" s="1346"/>
      <c r="X44" s="1346"/>
      <c r="Y44" s="1346"/>
      <c r="Z44" s="1346"/>
      <c r="AA44" s="1346"/>
      <c r="AB44" s="1346"/>
      <c r="AC44" s="1346"/>
      <c r="AD44" s="1346"/>
      <c r="AE44" s="947"/>
      <c r="AF44" s="2970" t="str">
        <f>IF(Rate_Type="Tracker","BBR: "&amp;TEXT('Product Data'!E3,"0.00%")&amp;"  &amp; Stressed BBR: "&amp;TEXT('Product Data'!K3,"0.00%"),"")</f>
        <v>BBR: 4.00%  &amp; Stressed BBR: 4.25%</v>
      </c>
      <c r="AG44" s="2970"/>
      <c r="AH44" s="2970"/>
      <c r="AI44" s="2970"/>
      <c r="AJ44" s="2970"/>
      <c r="AK44" s="67"/>
      <c r="AL44" s="67"/>
      <c r="AM44" s="67"/>
      <c r="AN44" s="67"/>
      <c r="AO44" s="67"/>
      <c r="AP44" s="67"/>
    </row>
    <row r="45" spans="1:50" customFormat="1" ht="4.5" customHeight="1" x14ac:dyDescent="0.35">
      <c r="C45" s="208"/>
      <c r="D45" s="440"/>
      <c r="E45" s="440"/>
      <c r="F45" s="440"/>
      <c r="G45" s="208"/>
      <c r="H45" s="208"/>
      <c r="I45" s="208"/>
      <c r="J45" s="208"/>
      <c r="K45" s="208"/>
      <c r="L45" s="208"/>
      <c r="M45" s="208"/>
      <c r="N45" s="208"/>
      <c r="O45" s="208"/>
      <c r="P45" s="208"/>
      <c r="Q45" s="208"/>
      <c r="R45" s="208"/>
      <c r="S45" s="208"/>
      <c r="T45" s="208"/>
      <c r="U45" s="208"/>
      <c r="V45" s="208"/>
      <c r="W45" s="208"/>
      <c r="X45" s="208"/>
      <c r="Y45" s="208"/>
      <c r="Z45" s="208"/>
      <c r="AA45" s="208"/>
      <c r="AB45" s="208"/>
      <c r="AC45" s="208"/>
      <c r="AD45" s="208"/>
      <c r="AE45" s="208"/>
      <c r="AF45" s="456"/>
      <c r="AG45" s="456"/>
      <c r="AH45" s="456"/>
      <c r="AI45" s="208"/>
      <c r="AJ45" s="208"/>
      <c r="AK45" s="67"/>
      <c r="AL45" s="67"/>
      <c r="AM45" s="67"/>
      <c r="AN45" s="67"/>
      <c r="AO45" s="67"/>
      <c r="AP45" s="67"/>
    </row>
    <row r="46" spans="1:50" ht="5.25" customHeight="1" x14ac:dyDescent="0.35">
      <c r="A46" s="2971"/>
      <c r="B46" s="2971"/>
      <c r="C46" s="2971"/>
      <c r="D46" s="2971"/>
      <c r="E46" s="2971"/>
      <c r="F46" s="2971"/>
      <c r="G46" s="2971"/>
      <c r="H46" s="2971"/>
      <c r="I46" s="2971"/>
      <c r="J46" s="2971"/>
      <c r="K46" s="2971"/>
      <c r="L46" s="2971"/>
      <c r="M46" s="2971"/>
      <c r="N46" s="2971"/>
      <c r="O46" s="2971"/>
      <c r="P46" s="2971"/>
      <c r="Q46" s="2971"/>
      <c r="R46" s="2971"/>
      <c r="S46" s="2971"/>
      <c r="T46" s="2971"/>
      <c r="U46" s="2971"/>
      <c r="V46" s="2971"/>
      <c r="W46" s="2971"/>
      <c r="X46" s="2971"/>
      <c r="Y46" s="2971"/>
      <c r="Z46" s="2971"/>
      <c r="AA46" s="2971"/>
      <c r="AB46" s="2971"/>
      <c r="AC46" s="2971"/>
      <c r="AD46" s="2971"/>
      <c r="AE46" s="2971"/>
      <c r="AF46" s="2971"/>
      <c r="AG46" s="2971"/>
      <c r="AH46" s="2971"/>
      <c r="AI46" s="2971"/>
      <c r="AJ46" s="2971"/>
      <c r="AK46" s="2971"/>
      <c r="AL46" s="2971"/>
    </row>
    <row r="47" spans="1:50" customFormat="1" ht="2.25" customHeight="1" x14ac:dyDescent="0.35">
      <c r="C47" s="208"/>
      <c r="D47" s="440"/>
      <c r="E47" s="440"/>
      <c r="F47" s="440"/>
      <c r="G47" s="208"/>
      <c r="H47" s="208"/>
      <c r="I47" s="208"/>
      <c r="J47" s="208"/>
      <c r="K47" s="208"/>
      <c r="L47" s="208"/>
      <c r="P47" s="208"/>
      <c r="X47" s="208"/>
      <c r="Y47" s="208"/>
      <c r="Z47" s="208"/>
      <c r="AA47" s="208"/>
      <c r="AB47" s="208"/>
      <c r="AC47" s="456"/>
      <c r="AD47" s="456"/>
      <c r="AE47" s="456"/>
      <c r="AF47" s="208"/>
      <c r="AG47" s="208"/>
      <c r="AH47" s="208"/>
      <c r="AI47" s="208"/>
      <c r="AJ47" s="208"/>
      <c r="AK47" s="67"/>
      <c r="AL47" s="67"/>
      <c r="AM47" s="67"/>
      <c r="AN47" s="67"/>
      <c r="AO47" s="67"/>
      <c r="AP47" s="67"/>
    </row>
    <row r="48" spans="1:50" customFormat="1" ht="30" customHeight="1" x14ac:dyDescent="0.35">
      <c r="C48" s="929" t="s">
        <v>105</v>
      </c>
      <c r="D48" s="930"/>
      <c r="E48" s="930"/>
      <c r="F48" s="930"/>
      <c r="G48" s="914"/>
      <c r="H48" s="914"/>
      <c r="I48" s="914"/>
      <c r="J48" s="914"/>
      <c r="K48" s="914"/>
      <c r="L48" s="914"/>
      <c r="P48" s="914"/>
      <c r="X48" s="914"/>
      <c r="Y48" s="914"/>
      <c r="Z48" s="914"/>
      <c r="AA48" s="914"/>
      <c r="AB48" s="914"/>
      <c r="AC48" s="865"/>
      <c r="AD48" s="865"/>
      <c r="AE48" s="865"/>
      <c r="AF48" s="2972" t="str">
        <f>IF($K$23="Tracker",IF('KB_CRITERIA AND CALCULATION '!X90&lt;120%,"FAIL: BBR Stress test ICR below 120% (@"&amp;TEXT('KB_CRITERIA AND CALCULATION '!X90,"000%")&amp;"). Reduce Loan Size or Roll/Defer more",IF(('KB_CRITERIA AND CALCULATION '!X90&gt;=120%)*('KB_CRITERIA AND CALCULATION '!X90&lt;130%),"WARNING: BBR Stress test ICR below 130% (@"&amp;TEXT('KB_CRITERIA AND CALCULATION '!X90,"000%")&amp;"). UW Mgr Exception, Reduce Loan Size, Roll/Defer more, &amp; review non-BTL income/assets.",IF('KB_CRITERIA AND CALCULATION '!X90&gt;=130%,"This tracker loan passes BBR stress test! ("&amp;TEXT('KB_CRITERIA AND CALCULATION '!X90,"000%")&amp;")",0))),"")</f>
        <v>This tracker loan passes BBR stress test! ()</v>
      </c>
      <c r="AG48" s="2972"/>
      <c r="AH48" s="2972"/>
      <c r="AI48" s="2972"/>
      <c r="AJ48" s="2972"/>
      <c r="AK48" s="358"/>
      <c r="AL48" s="67"/>
      <c r="AM48" s="67"/>
      <c r="AN48" s="67"/>
      <c r="AO48" s="67"/>
      <c r="AP48" s="67"/>
    </row>
    <row r="49" spans="1:45" customFormat="1" ht="31.5" customHeight="1" x14ac:dyDescent="0.35">
      <c r="C49" s="2974" t="e">
        <f>'KB_CRITERIA AND CALCULATION '!#REF!</f>
        <v>#REF!</v>
      </c>
      <c r="D49" s="2975"/>
      <c r="E49" s="2975"/>
      <c r="F49" s="2975"/>
      <c r="G49" s="2975"/>
      <c r="H49" s="2975"/>
      <c r="I49" s="2975"/>
      <c r="J49" s="2975"/>
      <c r="K49" s="2975"/>
      <c r="L49" s="2975"/>
      <c r="M49" s="2975"/>
      <c r="N49" s="2975"/>
      <c r="O49" s="2975"/>
      <c r="P49" s="2975"/>
      <c r="Q49" s="2975"/>
      <c r="R49" s="2975"/>
      <c r="S49" s="2975"/>
      <c r="T49" s="2975"/>
      <c r="U49" s="2975"/>
      <c r="V49" s="2975"/>
      <c r="W49" s="2975"/>
      <c r="X49" s="2975"/>
      <c r="Y49" s="2975"/>
      <c r="Z49" s="2975"/>
      <c r="AA49" s="2975"/>
      <c r="AB49" s="2975"/>
      <c r="AC49" s="2975"/>
      <c r="AD49" s="2976"/>
      <c r="AE49" s="865"/>
      <c r="AF49" s="2973"/>
      <c r="AG49" s="2973"/>
      <c r="AH49" s="2973"/>
      <c r="AI49" s="2973"/>
      <c r="AJ49" s="2973"/>
      <c r="AK49" s="358"/>
      <c r="AL49" s="67"/>
      <c r="AM49" s="67"/>
      <c r="AN49" s="67"/>
      <c r="AO49" s="67"/>
      <c r="AP49" s="67"/>
    </row>
    <row r="50" spans="1:45" ht="19.5" customHeight="1" x14ac:dyDescent="0.35">
      <c r="A50" s="67"/>
      <c r="B50" s="67"/>
      <c r="C50"/>
      <c r="D50" s="931"/>
      <c r="E50" s="931"/>
      <c r="F50" s="931"/>
      <c r="G50" s="931"/>
      <c r="H50" s="931"/>
      <c r="I50" s="931"/>
      <c r="J50" s="931"/>
      <c r="K50" s="932"/>
      <c r="L50" s="932"/>
      <c r="M50" s="932"/>
      <c r="N50" s="932"/>
      <c r="O50" s="932"/>
      <c r="P50" s="914"/>
      <c r="Q50" s="933"/>
      <c r="R50" s="933"/>
      <c r="S50" s="933"/>
      <c r="T50" s="933"/>
      <c r="U50" s="933"/>
      <c r="V50" s="2977" t="str">
        <f>IF(AB16="Yes","Please ensure LTV is below 70% due to New Build","")</f>
        <v/>
      </c>
      <c r="W50" s="2977"/>
      <c r="X50" s="2977"/>
      <c r="Y50" s="2977"/>
      <c r="Z50" s="2977"/>
      <c r="AA50" s="2977"/>
      <c r="AB50" s="2977"/>
      <c r="AC50" s="2977"/>
      <c r="AD50" s="2977"/>
      <c r="AE50"/>
      <c r="AF50" s="2978" t="s">
        <v>106</v>
      </c>
      <c r="AG50" s="2979"/>
      <c r="AH50" s="2979"/>
      <c r="AI50" s="2979"/>
      <c r="AJ50" s="2980"/>
      <c r="AN50" s="1337"/>
    </row>
    <row r="51" spans="1:45" ht="7.5" customHeight="1" x14ac:dyDescent="0.35">
      <c r="A51" s="67"/>
      <c r="B51" s="67"/>
      <c r="C51"/>
      <c r="D51" s="930"/>
      <c r="E51" s="930"/>
      <c r="F51" s="934"/>
      <c r="G51" s="934"/>
      <c r="H51" s="934"/>
      <c r="I51" s="934"/>
      <c r="J51" s="934"/>
      <c r="K51" s="934"/>
      <c r="L51" s="934"/>
      <c r="M51" s="934"/>
      <c r="N51" s="934"/>
      <c r="O51" s="934"/>
      <c r="P51" s="914"/>
      <c r="Q51" s="933"/>
      <c r="R51" s="933"/>
      <c r="S51" s="933"/>
      <c r="T51" s="933"/>
      <c r="U51" s="933"/>
      <c r="V51" s="933"/>
      <c r="W51"/>
      <c r="X51"/>
      <c r="Y51"/>
      <c r="Z51"/>
      <c r="AA51"/>
      <c r="AB51"/>
      <c r="AC51"/>
      <c r="AD51"/>
      <c r="AE51"/>
      <c r="AF51" s="2981"/>
      <c r="AG51" s="2982"/>
      <c r="AH51" s="2982"/>
      <c r="AI51" s="2982"/>
      <c r="AJ51" s="2983"/>
    </row>
    <row r="52" spans="1:45" ht="18" x14ac:dyDescent="0.35">
      <c r="A52" s="67"/>
      <c r="B52" s="67"/>
      <c r="C52" s="2962" t="s">
        <v>107</v>
      </c>
      <c r="D52" s="2962"/>
      <c r="E52" s="2962"/>
      <c r="F52" s="2962"/>
      <c r="G52" s="2989" t="s">
        <v>108</v>
      </c>
      <c r="H52" s="2990"/>
      <c r="I52" s="2990"/>
      <c r="J52" s="2990"/>
      <c r="K52" s="2990"/>
      <c r="L52" s="2990"/>
      <c r="M52" s="2991"/>
      <c r="N52" s="2992" t="s">
        <v>109</v>
      </c>
      <c r="O52" s="2962"/>
      <c r="P52" s="2962"/>
      <c r="Q52" s="2993"/>
      <c r="R52" s="2994">
        <v>700000</v>
      </c>
      <c r="S52" s="2995"/>
      <c r="T52" s="2996"/>
      <c r="U52"/>
      <c r="V52" s="2997" t="e">
        <f>IF(Specific_Loan=FALSE,"",IF(Loan_Required&lt;'Product Data'!P15,"Loan size too small, please use a higher amount",IF(OR(Loan_Required&gt;'Product Data'!P16,Loan_Required&gt;'Product Data'!P16),"Loan size above max, please consider a lower amount",IF(Loan_Required&gt;Property_Value,"Loan Size bigger than property value, please reduce",IF(Loan_Required&gt;'KB_CRITERIA AND CALCULATION '!N90,"Loan size above max LTV for property, please reduce","")))))&amp;IF(G52='KB_CRITERIA AND CALCULATION '!#REF!,IF(Loan_Required&gt;MaxNetLoan," Loan size (NET), above Max Net loan of "&amp;TEXT(MaxNetLoan,"£#,###"),IF(Loan_Required&gt;AJ59,W59,"")),"")&amp;IF(G52='KB_CRITERIA AND CALCULATION '!#REF!,IF(Loan_Required&gt;MaxGrossLoan," Loan size (Gross), above Max Gross Loan of "&amp;TEXT(MaxGrossLoan,"£#,###"),""),"")</f>
        <v>#REF!</v>
      </c>
      <c r="W52" s="2997"/>
      <c r="X52" s="2997"/>
      <c r="Y52" s="2997"/>
      <c r="Z52" s="2997"/>
      <c r="AA52" s="2997"/>
      <c r="AB52" s="2997"/>
      <c r="AC52" s="2997"/>
      <c r="AD52" s="2997"/>
      <c r="AE52"/>
      <c r="AF52" s="908" t="s">
        <v>110</v>
      </c>
      <c r="AG52" s="909" t="str">
        <f>AD78</f>
        <v>1) Standard BTL</v>
      </c>
      <c r="AH52" s="910"/>
      <c r="AI52" s="911" t="s">
        <v>111</v>
      </c>
      <c r="AJ52" s="912" t="e">
        <f>M136</f>
        <v>#N/A</v>
      </c>
      <c r="AK52" s="2960" t="e">
        <f>IF(Rate_Type="Tracker",IF(('KB_CRITERIA AND CALCULATION '!$AV$90="Y")*($O$59&gt;'Product Data'!$P$20),"ICR above "&amp;TEXT('Product Data'!$P$19,"000%")&amp;", Please reduce Rolled Months",""),"")</f>
        <v>#N/A</v>
      </c>
      <c r="AL52" s="2961"/>
      <c r="AM52" s="850"/>
      <c r="AN52" s="1357"/>
      <c r="AO52" s="850"/>
      <c r="AP52" s="850"/>
      <c r="AQ52" s="850"/>
      <c r="AR52" s="850"/>
      <c r="AS52" s="850"/>
    </row>
    <row r="53" spans="1:45" ht="7.5" customHeight="1" x14ac:dyDescent="0.35">
      <c r="A53" s="67"/>
      <c r="B53" s="67"/>
      <c r="C53"/>
      <c r="D53" s="930"/>
      <c r="E53" s="930"/>
      <c r="F53" s="934"/>
      <c r="G53" s="935"/>
      <c r="H53" s="935"/>
      <c r="I53" s="935"/>
      <c r="J53" s="935"/>
      <c r="K53" s="935"/>
      <c r="L53" s="935"/>
      <c r="M53" s="935"/>
      <c r="N53" s="934"/>
      <c r="O53" s="934"/>
      <c r="P53" s="914"/>
      <c r="Q53" s="933"/>
      <c r="R53" s="933"/>
      <c r="S53" s="933"/>
      <c r="T53" s="933"/>
      <c r="U53" s="933"/>
      <c r="V53" s="2997"/>
      <c r="W53" s="2997"/>
      <c r="X53" s="2997"/>
      <c r="Y53" s="2997"/>
      <c r="Z53" s="2997"/>
      <c r="AA53" s="2997"/>
      <c r="AB53" s="2997"/>
      <c r="AC53" s="2997"/>
      <c r="AD53" s="2997"/>
      <c r="AE53"/>
      <c r="AF53" s="913"/>
      <c r="AG53" s="914"/>
      <c r="AH53" s="915"/>
      <c r="AI53" s="916"/>
      <c r="AJ53" s="917"/>
      <c r="AK53" s="2960"/>
      <c r="AL53" s="2961"/>
    </row>
    <row r="54" spans="1:45" ht="18" customHeight="1" x14ac:dyDescent="0.35">
      <c r="A54" s="67"/>
      <c r="B54" s="67"/>
      <c r="C54" s="2962" t="s">
        <v>112</v>
      </c>
      <c r="D54" s="2962"/>
      <c r="E54" s="2962"/>
      <c r="F54" s="2962"/>
      <c r="G54" s="2963" t="str">
        <f>K24</f>
        <v>1) Standard BTL</v>
      </c>
      <c r="H54" s="2964"/>
      <c r="I54" s="2964"/>
      <c r="J54" s="2964"/>
      <c r="K54" s="2965"/>
      <c r="L54" s="2966"/>
      <c r="M54" s="2967"/>
      <c r="N54" s="2967"/>
      <c r="O54" s="2967"/>
      <c r="P54" s="2967"/>
      <c r="Q54" s="2967"/>
      <c r="R54" s="2967"/>
      <c r="S54" s="2967"/>
      <c r="T54" s="2967"/>
      <c r="U54" s="2967"/>
      <c r="V54" s="2997"/>
      <c r="W54" s="2997"/>
      <c r="X54" s="2997"/>
      <c r="Y54" s="2997"/>
      <c r="Z54" s="2997"/>
      <c r="AA54" s="2997"/>
      <c r="AB54" s="2997"/>
      <c r="AC54" s="2997"/>
      <c r="AD54" s="2997"/>
      <c r="AE54"/>
      <c r="AF54" s="918" t="s">
        <v>113</v>
      </c>
      <c r="AG54" s="2968" t="e">
        <f>TEXT(M134,"#.##%")&amp;IF(K23="Yes"," - Tracker","")</f>
        <v>#N/A</v>
      </c>
      <c r="AH54" s="2969"/>
      <c r="AI54" s="919" t="s">
        <v>114</v>
      </c>
      <c r="AJ54" s="920" t="e">
        <f>TEXT(M135,"0.00%")&amp;" ("&amp;TEXT(Product_Fee_GBP,"£#0,0")&amp;")"</f>
        <v>#N/A</v>
      </c>
      <c r="AK54" s="2960"/>
      <c r="AL54" s="2961"/>
      <c r="AM54"/>
      <c r="AN54" s="622"/>
    </row>
    <row r="55" spans="1:45" ht="9.75" customHeight="1" x14ac:dyDescent="0.35">
      <c r="A55" s="67"/>
      <c r="B55" s="67"/>
      <c r="C55"/>
      <c r="D55" s="930"/>
      <c r="E55" s="930"/>
      <c r="F55" s="934"/>
      <c r="G55" s="934"/>
      <c r="H55" s="934"/>
      <c r="I55" s="934"/>
      <c r="J55" s="934"/>
      <c r="K55" s="934"/>
      <c r="L55" s="934"/>
      <c r="M55" s="934"/>
      <c r="N55" s="934"/>
      <c r="O55" s="934"/>
      <c r="P55" s="914"/>
      <c r="Q55" s="933"/>
      <c r="R55" s="933"/>
      <c r="S55" s="933"/>
      <c r="T55" s="933"/>
      <c r="U55" s="933"/>
      <c r="V55" s="933"/>
      <c r="W55"/>
      <c r="X55"/>
      <c r="Y55"/>
      <c r="Z55"/>
      <c r="AA55"/>
      <c r="AB55"/>
      <c r="AC55"/>
      <c r="AD55"/>
      <c r="AE55"/>
      <c r="AF55" s="918"/>
      <c r="AG55"/>
      <c r="AH55" s="921"/>
      <c r="AI55" s="2984" t="s">
        <v>115</v>
      </c>
      <c r="AJ55" s="2985">
        <f>IFERROR(IF(RollupMonths=0,"None",TEXT(RollupMonths,"#")&amp;"m ("&amp;TEXT('BTL Calculator WIP'!$M$141,"£#,#")&amp;")"),0)</f>
        <v>0</v>
      </c>
      <c r="AK55" s="2960"/>
      <c r="AL55" s="2961"/>
    </row>
    <row r="56" spans="1:45" ht="18" x14ac:dyDescent="0.35">
      <c r="A56" s="67"/>
      <c r="B56" s="67"/>
      <c r="E56" s="1348"/>
      <c r="F56" s="1348"/>
      <c r="G56" s="1348"/>
      <c r="H56" s="2986"/>
      <c r="I56" s="2986"/>
      <c r="J56" s="2986"/>
      <c r="K56" s="2986"/>
      <c r="L56" s="2986"/>
      <c r="M56" s="2986"/>
      <c r="N56" s="2986"/>
      <c r="O56" s="2986"/>
      <c r="P56" s="2986"/>
      <c r="Q56" s="1348"/>
      <c r="R56" s="914"/>
      <c r="S56" s="914"/>
      <c r="T56" s="914"/>
      <c r="U56" s="914"/>
      <c r="V56" s="914"/>
      <c r="W56" s="914"/>
      <c r="X56"/>
      <c r="Y56" s="914"/>
      <c r="Z56" s="914"/>
      <c r="AA56" s="914"/>
      <c r="AB56" s="914"/>
      <c r="AC56" s="865"/>
      <c r="AD56" s="865"/>
      <c r="AE56" s="865"/>
      <c r="AF56" s="918" t="s">
        <v>116</v>
      </c>
      <c r="AG56" s="2968" t="e">
        <f>Pay_Rate</f>
        <v>#N/A</v>
      </c>
      <c r="AH56" s="2969"/>
      <c r="AI56" s="2984"/>
      <c r="AJ56" s="2985"/>
      <c r="AK56" s="2960"/>
      <c r="AL56" s="2961"/>
      <c r="AM56"/>
      <c r="AN56" s="618"/>
      <c r="AO56"/>
    </row>
    <row r="57" spans="1:45" ht="10.5" customHeight="1" x14ac:dyDescent="0.35">
      <c r="A57" s="67"/>
      <c r="B57" s="67"/>
      <c r="C57"/>
      <c r="D57" s="930"/>
      <c r="E57" s="930"/>
      <c r="F57" s="934"/>
      <c r="G57" s="934"/>
      <c r="H57" s="934"/>
      <c r="I57" s="934"/>
      <c r="J57" s="934"/>
      <c r="K57" s="934"/>
      <c r="L57" s="934"/>
      <c r="M57" s="934"/>
      <c r="N57" s="934"/>
      <c r="O57" s="934"/>
      <c r="P57" s="914"/>
      <c r="Q57" s="933"/>
      <c r="R57" s="933"/>
      <c r="S57" s="933"/>
      <c r="T57" s="933"/>
      <c r="U57" s="933"/>
      <c r="V57" s="933"/>
      <c r="W57"/>
      <c r="X57"/>
      <c r="Y57"/>
      <c r="Z57"/>
      <c r="AA57"/>
      <c r="AB57" s="936"/>
      <c r="AC57" s="936"/>
      <c r="AD57" s="936"/>
      <c r="AE57" s="936"/>
      <c r="AF57" s="918"/>
      <c r="AG57" s="2987" t="e">
        <f>TEXT('KB_CRITERIA AND CALCULATION '!J90,"0.00%")&amp;" deferred"</f>
        <v>#N/A</v>
      </c>
      <c r="AH57" s="2988"/>
      <c r="AI57" s="2984" t="s">
        <v>117</v>
      </c>
      <c r="AJ57" s="2985" t="e">
        <f>IF(DeferedIntPercent=0%,"None",TEXT(DeferedIntPercent,"0.#0%")&amp;" ("&amp;TEXT('BTL Calculator WIP'!$M$140,"£#,#0")&amp;")")</f>
        <v>#N/A</v>
      </c>
      <c r="AK57" s="2960"/>
      <c r="AL57" s="2961"/>
      <c r="AM57"/>
      <c r="AN57"/>
      <c r="AO57"/>
    </row>
    <row r="58" spans="1:45" ht="4.5" customHeight="1" x14ac:dyDescent="0.35">
      <c r="A58" s="67"/>
      <c r="B58" s="67"/>
      <c r="C58" s="2943" t="s">
        <v>118</v>
      </c>
      <c r="D58" s="2944"/>
      <c r="E58" s="2944"/>
      <c r="F58" s="2944"/>
      <c r="G58" s="2949" t="s">
        <v>119</v>
      </c>
      <c r="H58" s="2949"/>
      <c r="I58" s="937"/>
      <c r="J58" s="937"/>
      <c r="K58" s="937"/>
      <c r="L58" s="937"/>
      <c r="M58" s="2952" t="s">
        <v>120</v>
      </c>
      <c r="N58" s="2952"/>
      <c r="O58" s="937"/>
      <c r="P58" s="2949" t="s">
        <v>121</v>
      </c>
      <c r="Q58" s="2949"/>
      <c r="R58" s="2949"/>
      <c r="S58" s="937"/>
      <c r="T58" s="937"/>
      <c r="U58" s="937"/>
      <c r="V58" s="938"/>
      <c r="W58" s="936"/>
      <c r="X58" s="936"/>
      <c r="Y58" s="936"/>
      <c r="Z58" s="936"/>
      <c r="AA58" s="936"/>
      <c r="AB58" s="936"/>
      <c r="AC58" s="936"/>
      <c r="AD58" s="936"/>
      <c r="AE58"/>
      <c r="AF58" s="922"/>
      <c r="AG58" s="2987"/>
      <c r="AH58" s="2988"/>
      <c r="AI58" s="2984"/>
      <c r="AJ58" s="2985"/>
      <c r="AK58" s="2960"/>
      <c r="AL58" s="2961"/>
      <c r="AM58"/>
      <c r="AN58"/>
      <c r="AO58"/>
    </row>
    <row r="59" spans="1:45" ht="20.25" customHeight="1" x14ac:dyDescent="0.35">
      <c r="A59" s="67"/>
      <c r="B59" s="67"/>
      <c r="C59" s="2945"/>
      <c r="D59" s="2946"/>
      <c r="E59" s="2946"/>
      <c r="F59" s="2946"/>
      <c r="G59" s="2950"/>
      <c r="H59" s="2950"/>
      <c r="I59" s="2955">
        <v>0.02</v>
      </c>
      <c r="J59" s="2956"/>
      <c r="K59" s="2957"/>
      <c r="L59" s="939"/>
      <c r="M59" s="2953"/>
      <c r="N59" s="2953"/>
      <c r="O59" s="1027">
        <f>Custom_Rolled</f>
        <v>4</v>
      </c>
      <c r="P59" s="2950"/>
      <c r="Q59" s="2950"/>
      <c r="R59" s="2950"/>
      <c r="S59" s="2958"/>
      <c r="T59" s="2959"/>
      <c r="U59" s="939"/>
      <c r="V59" s="940"/>
      <c r="W59" s="2998" t="e">
        <f>'KB_CRITERIA AND CALCULATION '!#REF!</f>
        <v>#REF!</v>
      </c>
      <c r="X59" s="2998"/>
      <c r="Y59" s="2998"/>
      <c r="Z59" s="2998"/>
      <c r="AA59" s="2998"/>
      <c r="AB59" s="2998"/>
      <c r="AC59" s="2998"/>
      <c r="AD59" s="2998"/>
      <c r="AE59" s="2999"/>
      <c r="AF59" s="913" t="s">
        <v>122</v>
      </c>
      <c r="AG59" s="914" t="str">
        <f>Term&amp;"m"</f>
        <v>24m</v>
      </c>
      <c r="AH59" s="915"/>
      <c r="AI59" s="923" t="s">
        <v>123</v>
      </c>
      <c r="AJ59" s="924">
        <f>IFERROR(AD98,0)</f>
        <v>0</v>
      </c>
      <c r="AK59" s="2960"/>
      <c r="AL59" s="2961"/>
      <c r="AM59"/>
      <c r="AN59"/>
    </row>
    <row r="60" spans="1:45" ht="5.25" customHeight="1" x14ac:dyDescent="0.35">
      <c r="A60" s="67"/>
      <c r="B60" s="67"/>
      <c r="C60" s="2947"/>
      <c r="D60" s="2948"/>
      <c r="E60" s="2948"/>
      <c r="F60" s="2948"/>
      <c r="G60" s="2951"/>
      <c r="H60" s="2951"/>
      <c r="I60" s="941"/>
      <c r="J60" s="941"/>
      <c r="K60" s="941"/>
      <c r="L60" s="941"/>
      <c r="M60" s="2954"/>
      <c r="N60" s="2954"/>
      <c r="O60" s="941"/>
      <c r="P60" s="2951"/>
      <c r="Q60" s="2951"/>
      <c r="R60" s="2951"/>
      <c r="S60" s="941"/>
      <c r="T60" s="941"/>
      <c r="U60" s="941"/>
      <c r="V60" s="942"/>
      <c r="W60" s="2998"/>
      <c r="X60" s="2998"/>
      <c r="Y60" s="2998"/>
      <c r="Z60" s="2998"/>
      <c r="AA60" s="2998"/>
      <c r="AB60" s="2998"/>
      <c r="AC60" s="2998"/>
      <c r="AD60" s="2998"/>
      <c r="AE60" s="2999"/>
      <c r="AF60" s="2935" t="s">
        <v>124</v>
      </c>
      <c r="AG60" s="2936" t="str">
        <f>AD95</f>
        <v>-</v>
      </c>
      <c r="AH60" s="2937"/>
      <c r="AI60" s="916"/>
      <c r="AJ60" s="878"/>
      <c r="AK60" s="2960"/>
      <c r="AL60" s="2961"/>
    </row>
    <row r="61" spans="1:45" ht="18" x14ac:dyDescent="0.35">
      <c r="A61" s="67"/>
      <c r="C61" s="2938"/>
      <c r="D61" s="2938"/>
      <c r="E61" s="2938"/>
      <c r="F61" s="2938"/>
      <c r="G61" s="2938"/>
      <c r="H61" s="2938"/>
      <c r="I61" s="2938"/>
      <c r="J61" s="2938"/>
      <c r="K61" s="943"/>
      <c r="L61" s="943"/>
      <c r="M61" s="2939"/>
      <c r="N61" s="2939"/>
      <c r="O61" s="2939"/>
      <c r="P61" s="2939"/>
      <c r="Q61" s="2939"/>
      <c r="R61" s="2939"/>
      <c r="S61" s="2939"/>
      <c r="T61" s="2939"/>
      <c r="U61" s="2939"/>
      <c r="V61" s="2939"/>
      <c r="W61" s="2998"/>
      <c r="X61" s="2998"/>
      <c r="Y61" s="2998"/>
      <c r="Z61" s="2998"/>
      <c r="AA61" s="2998"/>
      <c r="AB61" s="2998"/>
      <c r="AC61" s="2998"/>
      <c r="AD61" s="2998"/>
      <c r="AE61" s="2999"/>
      <c r="AF61" s="2935"/>
      <c r="AG61" s="2936"/>
      <c r="AH61" s="2937"/>
      <c r="AI61" s="18" t="s">
        <v>125</v>
      </c>
      <c r="AJ61" s="925">
        <f>IFERROR(TEXT('KB_CRITERIA AND CALCULATION '!AN90,"#%")&amp;" / "&amp;TEXT('KB_CRITERIA AND CALCULATION '!AM90,"#%"),0)</f>
        <v>0</v>
      </c>
      <c r="AK61" s="2960"/>
      <c r="AL61" s="2961"/>
    </row>
    <row r="62" spans="1:45" ht="18" x14ac:dyDescent="0.35">
      <c r="A62" s="67"/>
      <c r="C62" s="2940"/>
      <c r="D62" s="2940"/>
      <c r="E62" s="2940"/>
      <c r="F62" s="2940"/>
      <c r="G62" s="2940"/>
      <c r="H62" s="2940"/>
      <c r="I62" s="2940"/>
      <c r="J62" s="2940"/>
      <c r="K62" s="2940"/>
      <c r="L62" s="2940"/>
      <c r="M62" s="2940"/>
      <c r="N62" s="2940"/>
      <c r="O62" s="2940"/>
      <c r="P62" s="2940"/>
      <c r="Q62" s="2940"/>
      <c r="R62" s="2940"/>
      <c r="S62" s="2940"/>
      <c r="T62" s="2940"/>
      <c r="U62" s="2940"/>
      <c r="V62" s="2940"/>
      <c r="W62" s="2998"/>
      <c r="X62" s="2998"/>
      <c r="Y62" s="2998"/>
      <c r="Z62" s="2998"/>
      <c r="AA62" s="2998"/>
      <c r="AB62" s="2998"/>
      <c r="AC62" s="2998"/>
      <c r="AD62" s="2998"/>
      <c r="AE62" s="2999"/>
      <c r="AF62" s="926" t="s">
        <v>126</v>
      </c>
      <c r="AG62" s="2941" t="str">
        <f>Monthly_DD</f>
        <v>-</v>
      </c>
      <c r="AH62" s="2942"/>
      <c r="AI62" s="927" t="str">
        <f>G52</f>
        <v>Basic Loan</v>
      </c>
      <c r="AJ62" s="928"/>
      <c r="AK62" s="2960"/>
      <c r="AL62" s="2961"/>
      <c r="AN62" s="618"/>
    </row>
    <row r="63" spans="1:45" ht="18" x14ac:dyDescent="0.35">
      <c r="A63" s="67"/>
      <c r="C63" s="2926"/>
      <c r="D63" s="2926"/>
      <c r="E63" s="2926"/>
      <c r="F63" s="2926"/>
      <c r="G63" s="2926"/>
      <c r="H63" s="2926"/>
      <c r="I63" s="2926"/>
      <c r="J63" s="2926"/>
      <c r="K63" s="2926"/>
      <c r="L63" s="2926"/>
      <c r="M63" s="2926"/>
      <c r="N63" s="2926"/>
      <c r="O63" s="2926"/>
      <c r="P63" s="2926"/>
      <c r="Q63" s="2926"/>
      <c r="R63" s="2926"/>
      <c r="S63" s="2926"/>
      <c r="T63" s="2926"/>
      <c r="U63" s="2926"/>
      <c r="V63" s="2926"/>
      <c r="W63"/>
      <c r="X63" s="2927" t="e">
        <f>IF('KB_CRITERIA AND CALCULATION '!AN90='KB_CRITERIA AND CALCULATION '!M90,"ALREADY AT MAX LTV - ANY EXTRA ROLL/DEFER/TOP SLICE NOT REQUIRED","")</f>
        <v>#N/A</v>
      </c>
      <c r="Y63" s="2927"/>
      <c r="Z63" s="2927"/>
      <c r="AA63" s="2927"/>
      <c r="AB63" s="2927"/>
      <c r="AC63" s="2927"/>
      <c r="AD63" s="2927"/>
      <c r="AE63" s="865"/>
      <c r="AF63" s="2928" t="e">
        <f>IF('KB_CRITERIA AND CALCULATION '!AN90='KB_CRITERIA AND CALCULATION '!M90,"Note: Gross Loan capped at max LTV of "&amp;TEXT('KB_CRITERIA AND CALCULATION '!M90,"0%"),"")</f>
        <v>#N/A</v>
      </c>
      <c r="AG63" s="2928"/>
      <c r="AH63" s="2928"/>
      <c r="AI63" s="2928"/>
      <c r="AJ63" s="2928"/>
    </row>
    <row r="64" spans="1:45" ht="18" x14ac:dyDescent="0.35">
      <c r="A64" s="67"/>
      <c r="C64" s="914"/>
      <c r="D64" s="914"/>
      <c r="E64"/>
      <c r="F64"/>
      <c r="G64"/>
      <c r="H64"/>
      <c r="I64" s="930" t="s">
        <v>127</v>
      </c>
      <c r="K64" s="1234">
        <f>K32</f>
        <v>0.75</v>
      </c>
      <c r="L64" t="str">
        <f>"= Set gross loan wanted to "&amp;TEXT(K64*Property_Value,"£0,0")</f>
        <v>= Set gross loan wanted to £337,500</v>
      </c>
      <c r="M64"/>
      <c r="N64"/>
      <c r="O64"/>
      <c r="P64"/>
      <c r="Q64"/>
      <c r="R64"/>
      <c r="S64" s="944"/>
      <c r="T64" s="944"/>
      <c r="U64" s="944"/>
      <c r="V64"/>
      <c r="W64" s="945"/>
      <c r="X64" s="2927"/>
      <c r="Y64" s="2927"/>
      <c r="Z64" s="2927"/>
      <c r="AA64" s="2927"/>
      <c r="AB64" s="2927"/>
      <c r="AC64" s="2927"/>
      <c r="AD64" s="2927"/>
      <c r="AE64" s="914"/>
      <c r="AF64" s="1312"/>
      <c r="AJ64" s="67"/>
    </row>
    <row r="65" spans="1:39" ht="5.25" customHeight="1" x14ac:dyDescent="0.3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c r="AA65" s="67"/>
      <c r="AB65" s="67"/>
      <c r="AC65" s="67"/>
      <c r="AD65" s="67"/>
    </row>
    <row r="66" spans="1:39" s="1528" customFormat="1" ht="5.25" customHeight="1" x14ac:dyDescent="0.35">
      <c r="A66" s="2929"/>
      <c r="B66" s="2929"/>
      <c r="C66" s="2929"/>
      <c r="D66" s="2929"/>
      <c r="E66" s="2929"/>
      <c r="F66" s="2929"/>
      <c r="G66" s="2929"/>
      <c r="H66" s="2929"/>
      <c r="I66" s="2929"/>
      <c r="J66" s="2929"/>
      <c r="K66" s="2929"/>
      <c r="L66" s="2929"/>
      <c r="M66" s="2929"/>
      <c r="N66" s="2929"/>
      <c r="O66" s="2929"/>
      <c r="P66" s="2929"/>
      <c r="Q66" s="2929"/>
      <c r="R66" s="2929"/>
      <c r="S66" s="2929"/>
      <c r="T66" s="2929"/>
      <c r="U66" s="2929"/>
      <c r="V66" s="2929"/>
      <c r="W66" s="2929"/>
      <c r="X66" s="2929"/>
      <c r="Y66" s="2929"/>
      <c r="Z66" s="2929"/>
      <c r="AA66" s="2929"/>
      <c r="AB66" s="2929"/>
      <c r="AC66" s="2929"/>
      <c r="AD66" s="2929"/>
      <c r="AE66" s="2929"/>
      <c r="AF66" s="2929"/>
      <c r="AG66" s="2929"/>
      <c r="AH66" s="2929"/>
      <c r="AI66" s="2929"/>
      <c r="AJ66" s="2929"/>
      <c r="AK66" s="2929"/>
      <c r="AL66" s="2929"/>
    </row>
    <row r="67" spans="1:39" ht="20.25" customHeight="1" x14ac:dyDescent="0.35">
      <c r="A67" s="66"/>
      <c r="B67" s="66"/>
      <c r="C67" s="1030" t="s">
        <v>128</v>
      </c>
      <c r="D67" s="1029"/>
      <c r="E67" s="1029"/>
      <c r="F67" s="1029"/>
      <c r="G67" s="1031"/>
      <c r="H67" s="1031"/>
      <c r="I67" s="1031"/>
      <c r="J67" s="1517" t="s">
        <v>129</v>
      </c>
      <c r="K67" s="1626"/>
      <c r="L67" s="66" t="str">
        <f>'KB_CRITERIA AND CALCULATION '!D36</f>
        <v>1) Standard BTL</v>
      </c>
      <c r="M67" s="66"/>
      <c r="N67" s="66"/>
      <c r="O67" s="66"/>
      <c r="P67" s="66"/>
      <c r="Q67" s="66"/>
      <c r="R67" s="66"/>
      <c r="S67" s="66"/>
      <c r="T67" s="66"/>
      <c r="U67" s="66"/>
      <c r="V67" s="66"/>
      <c r="W67" s="66"/>
      <c r="X67" s="66"/>
      <c r="Y67" s="66"/>
      <c r="Z67" s="66"/>
      <c r="AA67" s="66"/>
      <c r="AB67" s="66"/>
      <c r="AC67" s="66"/>
      <c r="AD67" s="66"/>
      <c r="AE67" s="66"/>
      <c r="AF67" s="66"/>
      <c r="AG67" s="66"/>
      <c r="AH67" s="66"/>
      <c r="AI67" s="66"/>
      <c r="AJ67" s="67"/>
    </row>
    <row r="68" spans="1:39" s="541" customFormat="1" ht="22.5" customHeight="1" thickBot="1" x14ac:dyDescent="0.5">
      <c r="A68" s="1581"/>
      <c r="B68" s="1529"/>
      <c r="C68" s="1529"/>
      <c r="D68" s="1529"/>
      <c r="E68" s="1529"/>
      <c r="F68" s="1529"/>
      <c r="G68" s="1529"/>
      <c r="H68" s="1529"/>
      <c r="I68" s="1529"/>
      <c r="J68" s="1529"/>
      <c r="K68" s="1529"/>
      <c r="L68" s="1529"/>
      <c r="M68" s="1529"/>
      <c r="N68" s="1529"/>
      <c r="O68" s="1529"/>
      <c r="P68" s="1529"/>
      <c r="Q68" s="1529"/>
      <c r="R68" s="1518" t="s">
        <v>130</v>
      </c>
      <c r="W68" s="1106"/>
      <c r="X68" s="1525"/>
      <c r="Y68" s="1525"/>
      <c r="Z68" s="1526"/>
      <c r="AA68" s="1527"/>
      <c r="AB68" s="1032"/>
      <c r="AC68" s="1032"/>
      <c r="AD68" s="1032"/>
      <c r="AE68" s="1032"/>
      <c r="AF68" s="1032"/>
      <c r="AG68" s="1032"/>
      <c r="AH68" s="1032"/>
      <c r="AI68" s="1032"/>
      <c r="AJ68" s="1032"/>
      <c r="AK68" s="1032"/>
      <c r="AL68" s="1032"/>
      <c r="AM68" s="953"/>
    </row>
    <row r="69" spans="1:39" ht="20.100000000000001" customHeight="1" x14ac:dyDescent="0.45">
      <c r="A69" s="1"/>
      <c r="B69" s="1582"/>
      <c r="C69" s="1573"/>
      <c r="D69" s="1573"/>
      <c r="E69" s="1603"/>
      <c r="F69" s="1603"/>
      <c r="G69" s="1604"/>
      <c r="H69" s="1573"/>
      <c r="I69" s="1573"/>
      <c r="J69" s="1573"/>
      <c r="K69" s="1573"/>
      <c r="L69" s="1573"/>
      <c r="M69" s="1573"/>
      <c r="N69" s="1573"/>
      <c r="O69" s="1573"/>
      <c r="P69" s="1583"/>
      <c r="Q69" s="1529"/>
      <c r="R69" s="1684"/>
      <c r="S69" s="1251"/>
      <c r="T69" s="1251"/>
      <c r="U69" s="1251"/>
      <c r="V69" s="1251"/>
      <c r="W69" s="1251"/>
      <c r="X69" s="1685"/>
      <c r="Y69" s="1449"/>
      <c r="Z69" s="1454"/>
      <c r="AA69" s="1527"/>
      <c r="AB69" s="1032"/>
      <c r="AC69" s="1032"/>
      <c r="AD69" s="1032"/>
      <c r="AE69" s="1032"/>
      <c r="AF69" s="1032"/>
      <c r="AG69" s="1032"/>
      <c r="AH69" s="1032"/>
      <c r="AI69" s="1032"/>
      <c r="AJ69" s="1032"/>
      <c r="AK69" s="1032"/>
      <c r="AL69"/>
      <c r="AM69"/>
    </row>
    <row r="70" spans="1:39" ht="20.100000000000001" customHeight="1" x14ac:dyDescent="0.35">
      <c r="A70" s="1"/>
      <c r="B70" s="1584"/>
      <c r="C70" s="1611" t="s">
        <v>131</v>
      </c>
      <c r="D70" s="1605"/>
      <c r="E70" s="1606"/>
      <c r="F70" s="1606"/>
      <c r="G70" s="1607"/>
      <c r="H70" s="1627">
        <v>9</v>
      </c>
      <c r="I70" s="1575">
        <v>0.02</v>
      </c>
      <c r="J70" s="1608"/>
      <c r="K70" s="1574">
        <v>9</v>
      </c>
      <c r="L70" s="1575">
        <v>0.02</v>
      </c>
      <c r="M70" s="1608"/>
      <c r="N70" s="1574">
        <v>9</v>
      </c>
      <c r="O70" s="1576">
        <v>0.02</v>
      </c>
      <c r="P70" s="1585"/>
      <c r="Q70" s="1529"/>
      <c r="R70" s="1440"/>
      <c r="S70" s="1686"/>
      <c r="T70" s="1686"/>
      <c r="U70" s="1686"/>
      <c r="V70" s="1686"/>
      <c r="W70" s="1687"/>
      <c r="X70" s="1251"/>
      <c r="Y70" s="1516"/>
      <c r="Z70" s="1516"/>
      <c r="AA70" s="1035"/>
      <c r="AB70" s="1457" t="s">
        <v>132</v>
      </c>
      <c r="AC70" s="1458"/>
      <c r="AD70" s="1036"/>
      <c r="AE70" s="1037"/>
      <c r="AF70" s="1038"/>
      <c r="AG70" s="1038"/>
      <c r="AH70" s="1038"/>
      <c r="AI70" s="1039"/>
      <c r="AJ70" s="1040"/>
      <c r="AK70" s="1041"/>
      <c r="AL70"/>
      <c r="AM70"/>
    </row>
    <row r="71" spans="1:39" ht="20.100000000000001" customHeight="1" thickBot="1" x14ac:dyDescent="0.4">
      <c r="A71" s="1"/>
      <c r="B71" s="1586"/>
      <c r="C71" s="1579" t="s">
        <v>133</v>
      </c>
      <c r="D71" s="1579"/>
      <c r="E71" s="1609"/>
      <c r="F71" s="1609"/>
      <c r="G71" s="1610"/>
      <c r="H71" s="2932" t="s">
        <v>134</v>
      </c>
      <c r="I71" s="2932"/>
      <c r="J71" s="1578"/>
      <c r="K71" s="1577" t="s">
        <v>134</v>
      </c>
      <c r="L71" s="1577"/>
      <c r="M71" s="1578"/>
      <c r="N71" s="1577" t="s">
        <v>134</v>
      </c>
      <c r="O71" s="1577"/>
      <c r="P71" s="1587"/>
      <c r="Q71" s="1529"/>
      <c r="R71" s="1624"/>
      <c r="S71" s="1519" t="s">
        <v>135</v>
      </c>
      <c r="T71" s="1519"/>
      <c r="U71" s="1519"/>
      <c r="V71" s="1519"/>
      <c r="W71" s="1519"/>
      <c r="X71" s="1520"/>
      <c r="Y71" s="1516"/>
      <c r="Z71" s="1516"/>
      <c r="AA71" s="1042"/>
      <c r="AB71" s="2924" t="str">
        <f>"Product Selected from the '"&amp;G52&amp;"' section, tier "&amp;$G$54</f>
        <v>Product Selected from the 'Basic Loan' section, tier 1) Standard BTL</v>
      </c>
      <c r="AC71" s="2924"/>
      <c r="AD71" s="2924"/>
      <c r="AE71" s="2924"/>
      <c r="AF71" s="2924"/>
      <c r="AG71" s="2924"/>
      <c r="AH71" s="2924"/>
      <c r="AI71" s="2924"/>
      <c r="AJ71" s="1043"/>
      <c r="AK71" s="1044"/>
      <c r="AL71"/>
      <c r="AM71"/>
    </row>
    <row r="72" spans="1:39" ht="20.100000000000001" customHeight="1" x14ac:dyDescent="0.35">
      <c r="A72" s="1"/>
      <c r="B72" s="1"/>
      <c r="C72" s="1557"/>
      <c r="D72" s="1588"/>
      <c r="H72" s="1588"/>
      <c r="I72" s="1588"/>
      <c r="J72" s="1588"/>
      <c r="K72" s="1588"/>
      <c r="L72" s="1588"/>
      <c r="M72" s="1589"/>
      <c r="N72" s="1590"/>
      <c r="O72" s="1591"/>
      <c r="P72" s="1"/>
      <c r="Q72" s="1529"/>
      <c r="R72" s="1624"/>
      <c r="S72" s="1519"/>
      <c r="T72" s="1519"/>
      <c r="U72" s="1519"/>
      <c r="V72" s="1519"/>
      <c r="W72" s="1520"/>
      <c r="X72" s="1520"/>
      <c r="Y72" s="1251"/>
      <c r="Z72" s="1251"/>
      <c r="AA72" s="1045"/>
      <c r="AB72" s="2925" t="s">
        <v>136</v>
      </c>
      <c r="AC72" s="2925"/>
      <c r="AD72" s="2925"/>
      <c r="AE72" s="2925"/>
      <c r="AF72" s="2925"/>
      <c r="AG72" s="2925"/>
      <c r="AH72" s="2925"/>
      <c r="AI72" s="2925"/>
      <c r="AJ72" s="1043"/>
      <c r="AK72" s="1044"/>
      <c r="AL72"/>
      <c r="AM72"/>
    </row>
    <row r="73" spans="1:39" ht="20.100000000000001" customHeight="1" x14ac:dyDescent="0.35">
      <c r="A73" s="1"/>
      <c r="B73" s="1"/>
      <c r="C73" s="1592"/>
      <c r="D73" s="1593"/>
      <c r="H73" s="2759" t="s">
        <v>137</v>
      </c>
      <c r="I73" s="2760"/>
      <c r="J73" s="1593"/>
      <c r="K73" s="2761" t="s">
        <v>138</v>
      </c>
      <c r="L73" s="2762"/>
      <c r="M73" s="1588"/>
      <c r="N73" s="2933" t="s">
        <v>139</v>
      </c>
      <c r="O73" s="2934"/>
      <c r="P73" s="1"/>
      <c r="Q73" s="1529"/>
      <c r="R73" s="1625"/>
      <c r="S73" s="1521"/>
      <c r="T73" s="1521"/>
      <c r="U73" s="1521"/>
      <c r="V73" s="1521"/>
      <c r="W73" s="1521"/>
      <c r="X73" s="1521"/>
      <c r="Y73" s="1251"/>
      <c r="Z73" s="1251"/>
      <c r="AA73" s="1046"/>
      <c r="AB73" s="1047"/>
      <c r="AC73" s="1047"/>
      <c r="AD73" s="1047"/>
      <c r="AE73" s="1047"/>
      <c r="AF73" s="1047"/>
      <c r="AG73" s="1047"/>
      <c r="AH73" s="1047"/>
      <c r="AI73" s="1047"/>
      <c r="AJ73" s="1048"/>
      <c r="AK73" s="1049"/>
      <c r="AL73" s="1048"/>
      <c r="AM73"/>
    </row>
    <row r="74" spans="1:39" ht="20.100000000000001" customHeight="1" x14ac:dyDescent="0.35">
      <c r="A74" s="1"/>
      <c r="B74" s="1"/>
      <c r="C74" s="1612" t="s">
        <v>140</v>
      </c>
      <c r="D74" s="1594"/>
      <c r="H74" s="1618" t="e">
        <f>[0]!Tier_Standard_rate</f>
        <v>#N/A</v>
      </c>
      <c r="I74" s="1619" t="e">
        <f>TEXT([0]!Tier_Standard_rate-'Product Data'!E3,"0.00%")&amp;"+ BBR"</f>
        <v>#N/A</v>
      </c>
      <c r="J74" s="1630"/>
      <c r="K74" s="1628">
        <v>8.4999999999999992E-2</v>
      </c>
      <c r="L74" s="1629" t="s">
        <v>141</v>
      </c>
      <c r="M74" s="1630"/>
      <c r="N74" s="1628">
        <v>9.6000000000000002E-2</v>
      </c>
      <c r="O74" s="1629" t="s">
        <v>142</v>
      </c>
      <c r="P74" s="1"/>
      <c r="Q74" s="1529"/>
      <c r="R74" s="1625"/>
      <c r="S74" s="1521"/>
      <c r="T74" s="1521"/>
      <c r="U74" s="1521"/>
      <c r="V74" s="1521"/>
      <c r="W74" s="1521"/>
      <c r="X74" s="1521"/>
      <c r="Y74" s="1251"/>
      <c r="Z74" s="1251"/>
      <c r="AA74" s="1046"/>
      <c r="AB74" s="893"/>
      <c r="AC74" s="894" t="s">
        <v>143</v>
      </c>
      <c r="AD74" s="2930" t="e">
        <f>'BTL Calculator WIP'!M136</f>
        <v>#N/A</v>
      </c>
      <c r="AE74" s="2931"/>
      <c r="AF74" s="2931"/>
      <c r="AG74" s="895" t="s">
        <v>144</v>
      </c>
      <c r="AH74" s="896"/>
      <c r="AI74" s="897"/>
      <c r="AJ74" s="1050"/>
      <c r="AK74" s="1051"/>
      <c r="AL74" s="1050"/>
      <c r="AM74"/>
    </row>
    <row r="75" spans="1:39" ht="20.100000000000001" customHeight="1" x14ac:dyDescent="0.35">
      <c r="A75" s="1"/>
      <c r="B75" s="1"/>
      <c r="C75" s="1612" t="s">
        <v>145</v>
      </c>
      <c r="D75" s="1"/>
      <c r="H75" s="1618" t="e">
        <f>#REF!</f>
        <v>#REF!</v>
      </c>
      <c r="I75" s="1620" t="e">
        <f>TEXT(#REF!-'Product Data'!E3,"0.00%")&amp;"+ BBR"</f>
        <v>#REF!</v>
      </c>
      <c r="J75" s="1632"/>
      <c r="K75" s="1628">
        <f>K74-L70</f>
        <v>6.4999999999999988E-2</v>
      </c>
      <c r="L75" s="1631" t="s">
        <v>146</v>
      </c>
      <c r="M75" s="1632"/>
      <c r="N75" s="1628">
        <f>N74-O70</f>
        <v>7.5999999999999998E-2</v>
      </c>
      <c r="O75" s="1631" t="s">
        <v>146</v>
      </c>
      <c r="P75" s="1"/>
      <c r="Q75" s="1529"/>
      <c r="R75" s="1625"/>
      <c r="S75" s="1521"/>
      <c r="T75" s="1521"/>
      <c r="U75" s="1521"/>
      <c r="V75" s="1521"/>
      <c r="W75" s="1521"/>
      <c r="X75" s="1521"/>
      <c r="Y75" s="1251"/>
      <c r="Z75" s="1251"/>
      <c r="AA75" s="1046"/>
      <c r="AB75" s="2892" t="s">
        <v>147</v>
      </c>
      <c r="AC75" s="2858"/>
      <c r="AD75" s="2912" t="e">
        <f>TEXT('KB_CRITERIA AND CALCULATION '!AN90,"#%")&amp;" LTV (on estimated valuation of "&amp;TEXT(Property_Value,"£#,#")&amp;")"</f>
        <v>#N/A</v>
      </c>
      <c r="AE75" s="2913"/>
      <c r="AF75" s="2913"/>
      <c r="AG75" s="2913"/>
      <c r="AH75" s="2913"/>
      <c r="AI75" s="2914"/>
      <c r="AJ75" s="1048"/>
      <c r="AK75" s="1049"/>
      <c r="AL75" s="1048"/>
      <c r="AM75"/>
    </row>
    <row r="76" spans="1:39" ht="20.100000000000001" customHeight="1" x14ac:dyDescent="0.35">
      <c r="A76" s="1"/>
      <c r="B76" s="1"/>
      <c r="C76" s="1623"/>
      <c r="D76" s="1"/>
      <c r="E76" s="1580"/>
      <c r="F76" s="1580"/>
      <c r="G76" s="293"/>
      <c r="H76" s="1633"/>
      <c r="I76" s="1634"/>
      <c r="J76" s="1632"/>
      <c r="K76" s="1633"/>
      <c r="L76" s="1634"/>
      <c r="M76" s="1632"/>
      <c r="N76" s="1633"/>
      <c r="O76" s="1634"/>
      <c r="P76" s="1"/>
      <c r="Q76" s="1529"/>
      <c r="R76" s="1625"/>
      <c r="S76" s="1521"/>
      <c r="T76" s="1521"/>
      <c r="U76" s="1521"/>
      <c r="V76" s="1521"/>
      <c r="W76" s="1521"/>
      <c r="X76" s="1521"/>
      <c r="Y76" s="1251"/>
      <c r="Z76" s="1251"/>
      <c r="AA76" s="1046"/>
      <c r="AB76" s="2875" t="s">
        <v>148</v>
      </c>
      <c r="AC76" s="2876"/>
      <c r="AD76" s="2918" t="str">
        <f>Funders!L2</f>
        <v>3 years, made up of an initial fixed rate for 2 years, then followed by a variable tracker rate for the remaining term (also known as a 'revert' or 'reversion rate')</v>
      </c>
      <c r="AE76" s="2919"/>
      <c r="AF76" s="2919"/>
      <c r="AG76" s="2919"/>
      <c r="AH76" s="2919"/>
      <c r="AI76" s="2920"/>
      <c r="AJ76" s="1048"/>
      <c r="AK76" s="1049"/>
      <c r="AL76" s="1048"/>
      <c r="AM76"/>
    </row>
    <row r="77" spans="1:39" ht="23.25" customHeight="1" x14ac:dyDescent="0.35">
      <c r="A77" s="898"/>
      <c r="B77" s="1"/>
      <c r="C77" s="1613" t="s">
        <v>149</v>
      </c>
      <c r="D77" s="1595"/>
      <c r="H77" s="1621">
        <f>[0]!MaxGrossLoan</f>
        <v>0</v>
      </c>
      <c r="I77" s="1636"/>
      <c r="J77" s="1632"/>
      <c r="K77" s="1635">
        <v>865782.49336870026</v>
      </c>
      <c r="L77" s="1636" t="s">
        <v>150</v>
      </c>
      <c r="M77" s="1637"/>
      <c r="N77" s="1635">
        <v>751727.31460156606</v>
      </c>
      <c r="O77" s="1636" t="s">
        <v>151</v>
      </c>
      <c r="P77" s="1"/>
      <c r="Q77" s="1529"/>
      <c r="R77" s="1625"/>
      <c r="S77" s="1521"/>
      <c r="T77" s="1521"/>
      <c r="U77" s="1521"/>
      <c r="V77" s="1521"/>
      <c r="W77" s="1521"/>
      <c r="X77" s="1521"/>
      <c r="Y77" s="1522"/>
      <c r="Z77" s="1522"/>
      <c r="AA77" s="1045"/>
      <c r="AB77" s="2910"/>
      <c r="AC77" s="2911"/>
      <c r="AD77" s="2921"/>
      <c r="AE77" s="2922"/>
      <c r="AF77" s="2922"/>
      <c r="AG77" s="2922"/>
      <c r="AH77" s="2922"/>
      <c r="AI77" s="2923"/>
      <c r="AJ77" s="1237"/>
      <c r="AK77" s="1238"/>
      <c r="AL77" s="1052"/>
      <c r="AM77"/>
    </row>
    <row r="78" spans="1:39" ht="18" customHeight="1" x14ac:dyDescent="0.35">
      <c r="A78" s="898"/>
      <c r="B78" s="1"/>
      <c r="C78" s="1622" t="s">
        <v>152</v>
      </c>
      <c r="D78" s="1596"/>
      <c r="H78" s="1621" t="e">
        <f>[0]!MaxNetLoan</f>
        <v>#N/A</v>
      </c>
      <c r="I78" s="1639" t="s">
        <v>153</v>
      </c>
      <c r="J78" s="1640"/>
      <c r="K78" s="1638">
        <v>754312.99734748015</v>
      </c>
      <c r="L78" s="1639" t="s">
        <v>154</v>
      </c>
      <c r="M78" s="1641"/>
      <c r="N78" s="1638">
        <v>663775.21879318287</v>
      </c>
      <c r="O78" s="1639" t="s">
        <v>155</v>
      </c>
      <c r="P78" s="1"/>
      <c r="Q78" s="1529"/>
      <c r="R78" s="1625"/>
      <c r="S78" s="1521"/>
      <c r="T78" s="1521"/>
      <c r="U78" s="1521"/>
      <c r="V78" s="1521"/>
      <c r="W78" s="1521"/>
      <c r="X78" s="1521"/>
      <c r="Y78" s="1522"/>
      <c r="Z78" s="1522"/>
      <c r="AA78" s="1053"/>
      <c r="AB78" s="2892" t="s">
        <v>156</v>
      </c>
      <c r="AC78" s="2858"/>
      <c r="AD78" s="2915" t="str">
        <f>G54</f>
        <v>1) Standard BTL</v>
      </c>
      <c r="AE78" s="2916"/>
      <c r="AF78" s="2916"/>
      <c r="AG78" s="2916"/>
      <c r="AH78" s="2916"/>
      <c r="AI78" s="2917"/>
      <c r="AJ78" s="1054"/>
      <c r="AK78" s="1055"/>
      <c r="AL78" s="1054"/>
      <c r="AM78"/>
    </row>
    <row r="79" spans="1:39" ht="18" customHeight="1" x14ac:dyDescent="0.35">
      <c r="A79" s="898"/>
      <c r="B79" s="1"/>
      <c r="C79" s="67"/>
      <c r="D79" s="67"/>
      <c r="E79" s="67"/>
      <c r="F79" s="67"/>
      <c r="G79" s="67"/>
      <c r="H79" s="1642"/>
      <c r="I79" s="1642"/>
      <c r="J79" s="1642"/>
      <c r="K79" s="1642"/>
      <c r="L79" s="1642"/>
      <c r="M79" s="1642"/>
      <c r="N79" s="1642"/>
      <c r="O79" s="1642"/>
      <c r="P79" s="1"/>
      <c r="Q79" s="1529"/>
      <c r="R79" s="1625"/>
      <c r="S79" s="1521"/>
      <c r="T79" s="1521"/>
      <c r="U79" s="1521"/>
      <c r="V79" s="1521"/>
      <c r="W79" s="1521"/>
      <c r="X79" s="1521"/>
      <c r="Y79" s="1522"/>
      <c r="Z79" s="1522"/>
      <c r="AA79" s="1053"/>
      <c r="AB79" s="2875" t="s">
        <v>157</v>
      </c>
      <c r="AC79" s="2876"/>
      <c r="AD79" s="2899" t="e">
        <f>"For the first "&amp;('KB_CRITERIA AND CALCULATION '!D24/12)&amp;" years, a "&amp;IF(Rate_Type="tracker","variable rate made up of the Bank of England Base rate (BBR) as that rate varies, currently "&amp;TEXT('Product Data'!E3,"0.00%")&amp;", plus a set margin of "&amp;TEXT(INDEX('KB_CRITERIA AND CALCULATION '!H76:H78,MATCH('BTL Calculator WIP'!G54,'KB_CRITERIA AND CALCULATION '!F76:F78,0))-'Product Data'!E3,"#.00%")&amp;", giving a current rate payable of "&amp;TEXT(AG54, "#.00%")&amp;". Following any change to BBR, your mortgage rate and monthly payment will be adjusted on the 1st day of the next calendar month.
"&amp;(Term/12)&amp;" years from the date of completion the set margin will change to "&amp;TEXT(INDEX('Product Data'!I:I,MATCH('BTL Calculator WIP'!G54,'Product Data'!B:B,0)),"#.00%")&amp;" above BBR for the remaining 1 year.",
"fixed rate of "&amp;TEXT('BTL Calculator WIP'!M134, "#.00%")&amp;", followed by "&amp;(3-('KB_CRITERIA AND CALCULATION '!D24/12))&amp;" year at a variable rate made up of the Bank of England Base Rate (BBR) as that rate varies, currently "&amp;TEXT('Product Data'!E3, "#.00%")&amp;", plus a set margin of "&amp;TEXT(INDEX('Product Data'!I:I,MATCH('BTL Calculator WIP'!G54,'Product Data'!B:B,0)),"#.00%")&amp;", giving a current rate payable of "&amp;TEXT((INDEX('Product Data'!I:I,MATCH('BTL Calculator WIP'!G54,'Product Data'!B:B,0)))+'Product Data'!E3, "#.00%")&amp;". Following any change to BBR whilst on the variable revert rate, your mortgage rate and monthly payment will be adjusted on the 1st day of the next calendar month.")</f>
        <v>#N/A</v>
      </c>
      <c r="AE79" s="2900"/>
      <c r="AF79" s="2900"/>
      <c r="AG79" s="2900"/>
      <c r="AH79" s="2900"/>
      <c r="AI79" s="2901"/>
      <c r="AJ79" s="1054"/>
      <c r="AK79" s="1055"/>
      <c r="AL79" s="1054"/>
      <c r="AM79"/>
    </row>
    <row r="80" spans="1:39" ht="18" customHeight="1" x14ac:dyDescent="0.35">
      <c r="A80" s="898"/>
      <c r="B80" s="1"/>
      <c r="C80" s="1614" t="s">
        <v>158</v>
      </c>
      <c r="D80" s="1597"/>
      <c r="E80" s="532"/>
      <c r="F80" s="532"/>
      <c r="G80" s="532"/>
      <c r="H80" s="1643">
        <v>41427.692307692298</v>
      </c>
      <c r="I80" s="1644">
        <v>-1538.9057043073335</v>
      </c>
      <c r="J80" s="1645"/>
      <c r="K80" s="1643">
        <v>42206.89655172413</v>
      </c>
      <c r="L80" s="1644">
        <v>-759.701460275508</v>
      </c>
      <c r="M80" s="1646"/>
      <c r="N80" s="1643">
        <v>42848.456932289264</v>
      </c>
      <c r="O80" s="1644"/>
      <c r="P80" s="1"/>
      <c r="Q80" s="1529"/>
      <c r="R80" s="1625"/>
      <c r="S80" s="1521"/>
      <c r="T80" s="1521"/>
      <c r="U80" s="1521"/>
      <c r="V80" s="1521"/>
      <c r="W80" s="1521"/>
      <c r="X80" s="1521"/>
      <c r="Y80" s="1522"/>
      <c r="Z80" s="1522"/>
      <c r="AA80" s="1053"/>
      <c r="AB80" s="2908"/>
      <c r="AC80" s="2909"/>
      <c r="AD80" s="2902"/>
      <c r="AE80" s="2903"/>
      <c r="AF80" s="2903"/>
      <c r="AG80" s="2903"/>
      <c r="AH80" s="2903"/>
      <c r="AI80" s="2904"/>
      <c r="AJ80" s="1054"/>
      <c r="AK80" s="1055"/>
      <c r="AL80" s="1054"/>
      <c r="AM80"/>
    </row>
    <row r="81" spans="1:48" ht="18" customHeight="1" x14ac:dyDescent="0.35">
      <c r="A81" s="898"/>
      <c r="B81" s="1"/>
      <c r="C81" s="1614" t="s">
        <v>159</v>
      </c>
      <c r="D81" s="1597"/>
      <c r="E81" s="137"/>
      <c r="F81" s="137"/>
      <c r="G81" s="137"/>
      <c r="H81" s="1643">
        <v>40172.307692307702</v>
      </c>
      <c r="I81" s="1644">
        <v>10943.329452852162</v>
      </c>
      <c r="J81" s="1645"/>
      <c r="K81" s="1643">
        <v>34631.299734748012</v>
      </c>
      <c r="L81" s="1644">
        <v>5402.3214952924718</v>
      </c>
      <c r="M81" s="1646"/>
      <c r="N81" s="1643">
        <v>30069.092584062644</v>
      </c>
      <c r="O81" s="1644"/>
      <c r="P81" s="1"/>
      <c r="Q81" s="1529"/>
      <c r="R81" s="1625"/>
      <c r="S81" s="1521"/>
      <c r="T81" s="1521"/>
      <c r="U81" s="1521"/>
      <c r="V81" s="1521"/>
      <c r="W81" s="1521"/>
      <c r="X81" s="1521"/>
      <c r="Y81" s="1522"/>
      <c r="Z81" s="1522"/>
      <c r="AA81" s="1053"/>
      <c r="AB81" s="2908"/>
      <c r="AC81" s="2909"/>
      <c r="AD81" s="2902"/>
      <c r="AE81" s="2903"/>
      <c r="AF81" s="2903"/>
      <c r="AG81" s="2903"/>
      <c r="AH81" s="2903"/>
      <c r="AI81" s="2904"/>
      <c r="AJ81" s="1054"/>
      <c r="AK81" s="1055"/>
      <c r="AL81" s="1054"/>
      <c r="AM81"/>
    </row>
    <row r="82" spans="1:48" ht="18" customHeight="1" x14ac:dyDescent="0.35">
      <c r="A82" s="898"/>
      <c r="B82" s="1"/>
      <c r="C82" s="1532"/>
      <c r="D82" s="898"/>
      <c r="E82" s="137"/>
      <c r="F82" s="137"/>
      <c r="G82" s="137"/>
      <c r="H82" s="1647"/>
      <c r="I82" s="1640"/>
      <c r="J82" s="1648"/>
      <c r="K82" s="1647"/>
      <c r="L82" s="1640"/>
      <c r="M82" s="1649"/>
      <c r="N82" s="1647"/>
      <c r="O82" s="1649"/>
      <c r="P82" s="1"/>
      <c r="Q82" s="1529"/>
      <c r="R82" s="1625"/>
      <c r="S82" s="1521"/>
      <c r="T82" s="1521"/>
      <c r="U82" s="1521"/>
      <c r="V82" s="1521"/>
      <c r="W82" s="1521"/>
      <c r="X82" s="1521"/>
      <c r="Y82" s="1522"/>
      <c r="Z82" s="1522"/>
      <c r="AA82" s="1053"/>
      <c r="AB82" s="2908"/>
      <c r="AC82" s="2909"/>
      <c r="AD82" s="2902"/>
      <c r="AE82" s="2903"/>
      <c r="AF82" s="2903"/>
      <c r="AG82" s="2903"/>
      <c r="AH82" s="2903"/>
      <c r="AI82" s="2904"/>
      <c r="AJ82" s="1054"/>
      <c r="AK82" s="1055"/>
      <c r="AL82" s="1054"/>
      <c r="AM82"/>
    </row>
    <row r="83" spans="1:48" ht="12.75" customHeight="1" x14ac:dyDescent="0.35">
      <c r="A83" s="898"/>
      <c r="B83" s="1"/>
      <c r="C83" s="1614" t="s">
        <v>160</v>
      </c>
      <c r="D83" s="1598"/>
      <c r="E83" s="532"/>
      <c r="F83" s="532"/>
      <c r="G83" s="532"/>
      <c r="H83" s="1650">
        <v>1.4772727272727271</v>
      </c>
      <c r="I83" s="1651">
        <v>5.2910482374768364E-2</v>
      </c>
      <c r="J83" s="1645"/>
      <c r="K83" s="1650">
        <v>1.45</v>
      </c>
      <c r="L83" s="1651">
        <v>2.5637755102041249E-2</v>
      </c>
      <c r="M83" s="1652"/>
      <c r="N83" s="1650">
        <v>1.4282894736842104</v>
      </c>
      <c r="O83" s="1651">
        <v>3.9272287862517352E-3</v>
      </c>
      <c r="P83" s="1"/>
      <c r="Q83" s="1529"/>
      <c r="R83" s="1625"/>
      <c r="S83" s="1521"/>
      <c r="T83" s="1521"/>
      <c r="U83" s="1521"/>
      <c r="V83" s="1521"/>
      <c r="W83" s="1521"/>
      <c r="X83" s="1521"/>
      <c r="Y83" s="1522"/>
      <c r="Z83" s="1522"/>
      <c r="AA83" s="1053"/>
      <c r="AB83" s="2910"/>
      <c r="AC83" s="2911"/>
      <c r="AD83" s="2905"/>
      <c r="AE83" s="2906"/>
      <c r="AF83" s="2906"/>
      <c r="AG83" s="2906"/>
      <c r="AH83" s="2906"/>
      <c r="AI83" s="2907"/>
      <c r="AJ83" s="1054"/>
      <c r="AK83" s="1055"/>
      <c r="AL83" s="1056"/>
      <c r="AM83"/>
    </row>
    <row r="84" spans="1:48" ht="18" customHeight="1" x14ac:dyDescent="0.35">
      <c r="A84" s="898"/>
      <c r="B84" s="1"/>
      <c r="C84" s="1201"/>
      <c r="D84" s="1"/>
      <c r="E84" s="532"/>
      <c r="F84" s="532"/>
      <c r="G84" s="532"/>
      <c r="H84" s="1632"/>
      <c r="I84" s="1632"/>
      <c r="J84" s="1632"/>
      <c r="K84" s="1632"/>
      <c r="L84" s="1632"/>
      <c r="M84" s="1632"/>
      <c r="N84" s="1632"/>
      <c r="O84" s="1632"/>
      <c r="P84" s="1"/>
      <c r="Q84" s="1529"/>
      <c r="R84" s="1625"/>
      <c r="S84" s="1521"/>
      <c r="T84" s="1521"/>
      <c r="U84" s="1521"/>
      <c r="V84" s="1521"/>
      <c r="W84" s="1521"/>
      <c r="X84" s="1521"/>
      <c r="Y84" s="1251"/>
      <c r="Z84" s="1251"/>
      <c r="AA84" s="1053"/>
      <c r="AB84" s="2892" t="s">
        <v>161</v>
      </c>
      <c r="AC84" s="2858"/>
      <c r="AD84" s="2896" t="str">
        <f>APR</f>
        <v>-</v>
      </c>
      <c r="AE84" s="2897"/>
      <c r="AF84" s="2897"/>
      <c r="AG84" s="2897"/>
      <c r="AH84" s="2897"/>
      <c r="AI84" s="2898"/>
      <c r="AJ84" s="1054"/>
      <c r="AK84" s="1055"/>
      <c r="AL84" s="1056"/>
      <c r="AM84"/>
    </row>
    <row r="85" spans="1:48" s="532" customFormat="1" ht="18" customHeight="1" x14ac:dyDescent="0.25">
      <c r="A85" s="898"/>
      <c r="B85" s="1"/>
      <c r="C85" s="1615" t="s">
        <v>162</v>
      </c>
      <c r="D85" s="1599"/>
      <c r="E85" s="137"/>
      <c r="F85" s="137"/>
      <c r="G85" s="137"/>
      <c r="H85" s="1653">
        <v>0.06</v>
      </c>
      <c r="I85" s="1654"/>
      <c r="J85" s="1655"/>
      <c r="K85" s="1653">
        <v>0.04</v>
      </c>
      <c r="L85" s="1654"/>
      <c r="M85" s="1632"/>
      <c r="N85" s="1653">
        <v>0.02</v>
      </c>
      <c r="O85" s="1654"/>
      <c r="P85" s="1"/>
      <c r="Q85" s="1529"/>
      <c r="R85" s="1625"/>
      <c r="S85" s="1521"/>
      <c r="T85" s="1521"/>
      <c r="U85" s="1521"/>
      <c r="V85" s="1521"/>
      <c r="W85" s="1521"/>
      <c r="X85" s="1521"/>
      <c r="Y85" s="1523"/>
      <c r="Z85" s="1523"/>
      <c r="AA85" s="1053"/>
      <c r="AB85" s="2892" t="s">
        <v>163</v>
      </c>
      <c r="AC85" s="2858"/>
      <c r="AD85" s="1292" t="s">
        <v>164</v>
      </c>
      <c r="AE85" s="1293"/>
      <c r="AF85" s="1239"/>
      <c r="AG85" s="895" t="s">
        <v>165</v>
      </c>
      <c r="AH85" s="895"/>
      <c r="AI85" s="899"/>
      <c r="AJ85" s="1054"/>
      <c r="AK85" s="1055"/>
      <c r="AL85" s="1056"/>
      <c r="AM85" s="862"/>
      <c r="AN85" s="137"/>
      <c r="AO85" s="137"/>
      <c r="AP85" s="137"/>
      <c r="AQ85" s="137"/>
      <c r="AR85" s="137"/>
      <c r="AS85" s="137"/>
      <c r="AT85" s="137"/>
      <c r="AU85" s="137"/>
      <c r="AV85" s="137"/>
    </row>
    <row r="86" spans="1:48" s="137" customFormat="1" ht="18" customHeight="1" x14ac:dyDescent="0.25">
      <c r="A86" s="898"/>
      <c r="B86" s="1"/>
      <c r="C86" s="1615" t="s">
        <v>166</v>
      </c>
      <c r="D86" s="1596"/>
      <c r="H86" s="1656">
        <v>20086.153846153851</v>
      </c>
      <c r="I86" s="1657">
        <v>6202.3891824124676</v>
      </c>
      <c r="J86" s="1640"/>
      <c r="K86" s="1656">
        <v>17315.649867374006</v>
      </c>
      <c r="L86" s="1657">
        <v>3431.8852036326225</v>
      </c>
      <c r="M86" s="1640"/>
      <c r="N86" s="1656">
        <v>15034.546292031322</v>
      </c>
      <c r="O86" s="1657">
        <v>1150.7816282899385</v>
      </c>
      <c r="P86" s="1"/>
      <c r="Q86" s="1529"/>
      <c r="R86" s="1625"/>
      <c r="S86" s="1521"/>
      <c r="T86" s="1521"/>
      <c r="U86" s="1521"/>
      <c r="V86" s="1521"/>
      <c r="W86" s="1521"/>
      <c r="X86" s="1521"/>
      <c r="Y86" s="1523"/>
      <c r="Z86" s="1523"/>
      <c r="AA86" s="1053"/>
      <c r="AB86" s="2892" t="s">
        <v>167</v>
      </c>
      <c r="AC86" s="2858"/>
      <c r="AD86" s="900" t="s">
        <v>168</v>
      </c>
      <c r="AE86" s="901"/>
      <c r="AF86" s="901"/>
      <c r="AG86" s="895" t="s">
        <v>165</v>
      </c>
      <c r="AH86" s="901"/>
      <c r="AI86" s="902"/>
      <c r="AJ86" s="1056"/>
      <c r="AK86" s="1057"/>
      <c r="AL86" s="1056"/>
      <c r="AM86" s="862"/>
    </row>
    <row r="87" spans="1:48" s="137" customFormat="1" ht="18" customHeight="1" thickBot="1" x14ac:dyDescent="0.3">
      <c r="A87" s="898"/>
      <c r="B87" s="1"/>
      <c r="C87" s="1615" t="s">
        <v>169</v>
      </c>
      <c r="D87" s="1596"/>
      <c r="H87" s="1658">
        <v>40172.307692307695</v>
      </c>
      <c r="I87" s="1659">
        <v>26288.54302856631</v>
      </c>
      <c r="J87" s="1640"/>
      <c r="K87" s="1658">
        <v>17315.649867374006</v>
      </c>
      <c r="L87" s="1659">
        <v>3431.8852036326225</v>
      </c>
      <c r="M87" s="1640"/>
      <c r="N87" s="1660" t="s">
        <v>170</v>
      </c>
      <c r="O87" s="1659"/>
      <c r="P87" s="1"/>
      <c r="Q87" s="1529"/>
      <c r="R87" s="1625"/>
      <c r="S87" s="1521"/>
      <c r="T87" s="1521"/>
      <c r="U87" s="1521"/>
      <c r="V87" s="1521"/>
      <c r="W87" s="1521"/>
      <c r="X87" s="1521"/>
      <c r="Y87" s="1523"/>
      <c r="Z87" s="1523"/>
      <c r="AA87" s="1053"/>
      <c r="AB87" s="2892" t="s">
        <v>171</v>
      </c>
      <c r="AC87" s="2858"/>
      <c r="AD87" s="2888" t="s">
        <v>168</v>
      </c>
      <c r="AE87" s="2889"/>
      <c r="AF87" s="2889"/>
      <c r="AG87" s="2890" t="s">
        <v>172</v>
      </c>
      <c r="AH87" s="2890"/>
      <c r="AI87" s="2891"/>
      <c r="AJ87" s="1054"/>
      <c r="AK87" s="1055"/>
      <c r="AL87" s="1058"/>
      <c r="AM87" s="862"/>
    </row>
    <row r="88" spans="1:48" s="532" customFormat="1" ht="19.5" customHeight="1" x14ac:dyDescent="0.25">
      <c r="A88" s="898"/>
      <c r="B88" s="1"/>
      <c r="C88" s="1614" t="s">
        <v>173</v>
      </c>
      <c r="D88" s="1600"/>
      <c r="H88" s="1661">
        <v>60258.461538461546</v>
      </c>
      <c r="I88" s="1662">
        <v>46374.696874720161</v>
      </c>
      <c r="J88" s="1663"/>
      <c r="K88" s="1661">
        <v>60258.461538461546</v>
      </c>
      <c r="L88" s="1662">
        <v>46374.696874720161</v>
      </c>
      <c r="M88" s="1664"/>
      <c r="N88" s="1661">
        <v>60258.461538461546</v>
      </c>
      <c r="O88" s="1662">
        <v>46374.696874720161</v>
      </c>
      <c r="P88" s="1"/>
      <c r="Q88" s="1529"/>
      <c r="R88" s="1625"/>
      <c r="S88" s="1521"/>
      <c r="T88" s="1521"/>
      <c r="U88" s="1521"/>
      <c r="V88" s="1521"/>
      <c r="W88" s="1521"/>
      <c r="X88" s="1521"/>
      <c r="Y88" s="1523"/>
      <c r="Z88" s="1523"/>
      <c r="AA88" s="1053"/>
      <c r="AB88" s="2892" t="s">
        <v>162</v>
      </c>
      <c r="AC88" s="2858"/>
      <c r="AD88" s="2893" t="e">
        <f>'KB_CRITERIA AND CALCULATION '!AK90&amp;IF(Existing_Customer="Yes",".  0.15% existing customer discount applied.","")&amp;"."</f>
        <v>#N/A</v>
      </c>
      <c r="AE88" s="2894"/>
      <c r="AF88" s="2894"/>
      <c r="AG88" s="2894"/>
      <c r="AH88" s="2894"/>
      <c r="AI88" s="2895"/>
      <c r="AJ88" s="1059"/>
      <c r="AK88" s="1060"/>
      <c r="AL88" s="1061"/>
      <c r="AM88" s="862"/>
      <c r="AN88" s="137"/>
      <c r="AO88" s="137"/>
      <c r="AP88" s="137"/>
      <c r="AQ88" s="137"/>
      <c r="AR88" s="137"/>
      <c r="AS88" s="137"/>
      <c r="AT88" s="137"/>
      <c r="AU88" s="137"/>
      <c r="AV88" s="137"/>
    </row>
    <row r="89" spans="1:48" s="532" customFormat="1" ht="18" customHeight="1" x14ac:dyDescent="0.25">
      <c r="A89" s="898"/>
      <c r="B89" s="1"/>
      <c r="C89" s="1201"/>
      <c r="D89" s="1"/>
      <c r="H89" s="1632"/>
      <c r="I89" s="1632"/>
      <c r="J89" s="1632"/>
      <c r="K89" s="1632"/>
      <c r="L89" s="1632"/>
      <c r="M89" s="1632"/>
      <c r="N89" s="1632"/>
      <c r="O89" s="1632"/>
      <c r="P89" s="1"/>
      <c r="Q89" s="1529"/>
      <c r="R89" s="1625"/>
      <c r="S89" s="1521"/>
      <c r="T89" s="1521"/>
      <c r="U89" s="1521"/>
      <c r="V89" s="1521"/>
      <c r="W89" s="1521"/>
      <c r="X89" s="1521"/>
      <c r="Y89" s="1251"/>
      <c r="Z89" s="1251"/>
      <c r="AA89" s="1053"/>
      <c r="AB89" s="2875" t="s">
        <v>174</v>
      </c>
      <c r="AC89" s="2876"/>
      <c r="AD89" s="2877" t="e">
        <f>TEXT(K38+K37*AJ52,"£#,##0")</f>
        <v>#N/A</v>
      </c>
      <c r="AE89" s="2878"/>
      <c r="AF89" s="2879" t="e">
        <f>IF(AD89="£0","","Deducted from advance by solicitor at completion")</f>
        <v>#N/A</v>
      </c>
      <c r="AG89" s="2879"/>
      <c r="AH89" s="2879"/>
      <c r="AI89" s="2880"/>
      <c r="AJ89" s="1061"/>
      <c r="AK89" s="1062"/>
      <c r="AL89" s="1063"/>
      <c r="AM89" s="862"/>
      <c r="AN89" s="137"/>
      <c r="AO89" s="137"/>
      <c r="AP89" s="137"/>
      <c r="AQ89" s="137"/>
      <c r="AR89" s="137"/>
      <c r="AS89" s="137"/>
      <c r="AT89" s="137"/>
      <c r="AU89" s="137"/>
      <c r="AV89" s="137"/>
    </row>
    <row r="90" spans="1:48" s="137" customFormat="1" ht="31.5" customHeight="1" x14ac:dyDescent="0.25">
      <c r="A90" s="898"/>
      <c r="B90" s="1"/>
      <c r="C90" s="1614" t="s">
        <v>175</v>
      </c>
      <c r="D90" s="1601"/>
      <c r="H90" s="1665">
        <v>150646.15384615387</v>
      </c>
      <c r="I90" s="1666">
        <v>6839.5809080325998</v>
      </c>
      <c r="J90" s="1645"/>
      <c r="K90" s="1665">
        <v>147183.02387267904</v>
      </c>
      <c r="L90" s="1666">
        <v>3376.4509345577681</v>
      </c>
      <c r="M90" s="1667"/>
      <c r="N90" s="1665">
        <v>144331.64440350069</v>
      </c>
      <c r="O90" s="1657">
        <v>525.07146537941298</v>
      </c>
      <c r="P90" s="1"/>
      <c r="Q90" s="1529"/>
      <c r="R90" s="1625"/>
      <c r="S90" s="1521"/>
      <c r="T90" s="1521"/>
      <c r="U90" s="1521"/>
      <c r="V90" s="1521"/>
      <c r="W90" s="1521"/>
      <c r="X90" s="1521"/>
      <c r="Y90" s="1524"/>
      <c r="Z90" s="1524"/>
      <c r="AA90" s="1053"/>
      <c r="AB90" s="2881" t="s">
        <v>176</v>
      </c>
      <c r="AC90" s="2882"/>
      <c r="AD90" s="2883" t="e">
        <f>'Product Data'!AO9&amp;'Product Data'!AO10&amp;" "&amp;'Product Data'!AO11&amp;'Product Data'!AO12&amp;"  Final month is ERC free            "</f>
        <v>#N/A</v>
      </c>
      <c r="AE90" s="2884"/>
      <c r="AF90" s="2884"/>
      <c r="AG90" s="2884"/>
      <c r="AH90" s="2884"/>
      <c r="AI90" s="2885"/>
      <c r="AJ90" s="1063"/>
      <c r="AK90" s="1064"/>
      <c r="AL90" s="1063"/>
      <c r="AM90" s="862"/>
    </row>
    <row r="91" spans="1:48" s="137" customFormat="1" ht="18" x14ac:dyDescent="0.25">
      <c r="A91" s="898"/>
      <c r="B91" s="1"/>
      <c r="C91" s="1614" t="s">
        <v>177</v>
      </c>
      <c r="D91" s="1601"/>
      <c r="H91" s="1668">
        <v>69046.153846153858</v>
      </c>
      <c r="I91" s="1669">
        <v>-2564.8428405122395</v>
      </c>
      <c r="J91" s="1670"/>
      <c r="K91" s="1668">
        <v>70344.827586206899</v>
      </c>
      <c r="L91" s="1669">
        <v>-1266.1691004591994</v>
      </c>
      <c r="M91" s="1671"/>
      <c r="N91" s="1668">
        <v>71414.094887148778</v>
      </c>
      <c r="O91" s="1669">
        <v>-196.90179951731989</v>
      </c>
      <c r="P91" s="1"/>
      <c r="Q91" s="1529"/>
      <c r="R91" s="1625"/>
      <c r="S91" s="1521"/>
      <c r="T91" s="1521"/>
      <c r="U91" s="1521"/>
      <c r="V91" s="1521"/>
      <c r="W91" s="1521"/>
      <c r="X91" s="1521"/>
      <c r="Y91" s="1524"/>
      <c r="Z91" s="1524"/>
      <c r="AA91" s="1053"/>
      <c r="AB91" s="2857" t="s">
        <v>178</v>
      </c>
      <c r="AC91" s="2858"/>
      <c r="AD91" s="2886" t="str">
        <f>IF('KB_CRITERIA AND CALCULATION '!D28=0,"n/a",TEXT('KB_CRITERIA AND CALCULATION '!D28,"0.00%")&amp;" ("&amp;TEXT('KB_CRITERIA AND CALCULATION '!F28,"£#,#")&amp;")")</f>
        <v>n/a</v>
      </c>
      <c r="AE91" s="2887"/>
      <c r="AF91" s="903"/>
      <c r="AG91" s="903"/>
      <c r="AH91" s="903"/>
      <c r="AI91" s="904"/>
      <c r="AJ91" s="1065"/>
      <c r="AK91" s="1066"/>
      <c r="AL91" s="1067"/>
      <c r="AM91" s="862"/>
    </row>
    <row r="92" spans="1:48" s="137" customFormat="1" ht="18" customHeight="1" x14ac:dyDescent="0.25">
      <c r="A92" s="898"/>
      <c r="B92" s="1"/>
      <c r="C92" s="1616"/>
      <c r="D92" s="1602"/>
      <c r="E92" s="532"/>
      <c r="F92" s="532"/>
      <c r="G92" s="532"/>
      <c r="H92" s="1672"/>
      <c r="I92" s="1673"/>
      <c r="J92" s="1645"/>
      <c r="K92" s="1672"/>
      <c r="L92" s="1673"/>
      <c r="M92" s="1673"/>
      <c r="N92" s="1672"/>
      <c r="O92" s="1673"/>
      <c r="P92" s="1"/>
      <c r="Q92" s="1529"/>
      <c r="R92" s="1625"/>
      <c r="S92" s="1521"/>
      <c r="T92" s="1521"/>
      <c r="U92" s="1521"/>
      <c r="V92" s="1521"/>
      <c r="W92" s="1521"/>
      <c r="X92" s="1521"/>
      <c r="Y92" s="1524"/>
      <c r="Z92" s="1524"/>
      <c r="AA92" s="1053"/>
      <c r="AB92" s="2857" t="s">
        <v>179</v>
      </c>
      <c r="AC92" s="2858"/>
      <c r="AD92" s="905" t="e">
        <f>IF(DeferedIntPercent=0%,"No","Yes, "&amp;TEXT(DeferedIntPercent,"0.#0%")&amp;".  ICR based on "&amp;TEXT('BTL Calculator WIP'!$M$138,"0.#0%")&amp;".  "&amp;TEXT('BTL Calculator WIP'!$M$140,"£#,#0")&amp;" payable at redemption")</f>
        <v>#N/A</v>
      </c>
      <c r="AE92" s="906"/>
      <c r="AF92" s="906"/>
      <c r="AG92" s="906"/>
      <c r="AH92" s="906"/>
      <c r="AI92" s="907"/>
      <c r="AJ92" s="1065"/>
      <c r="AK92" s="1066"/>
      <c r="AL92" s="1063"/>
      <c r="AM92" s="862"/>
    </row>
    <row r="93" spans="1:48" s="532" customFormat="1" ht="25.5" x14ac:dyDescent="0.25">
      <c r="A93" s="898"/>
      <c r="B93" s="1"/>
      <c r="C93" s="1614" t="s">
        <v>180</v>
      </c>
      <c r="D93" s="1596"/>
      <c r="E93" s="137"/>
      <c r="F93" s="137"/>
      <c r="G93" s="137"/>
      <c r="H93" s="1665">
        <v>882535.38461538486</v>
      </c>
      <c r="I93" s="1674" t="s">
        <v>181</v>
      </c>
      <c r="J93" s="1648"/>
      <c r="K93" s="1665">
        <v>771628.64721485414</v>
      </c>
      <c r="L93" s="1674" t="s">
        <v>182</v>
      </c>
      <c r="M93" s="1641"/>
      <c r="N93" s="1665">
        <v>678809.76508521417</v>
      </c>
      <c r="O93" s="1674" t="s">
        <v>183</v>
      </c>
      <c r="P93" s="1"/>
      <c r="Q93" s="1529"/>
      <c r="R93" s="1625"/>
      <c r="S93" s="1521"/>
      <c r="T93" s="1521"/>
      <c r="U93" s="1521"/>
      <c r="V93" s="1521"/>
      <c r="W93" s="1521"/>
      <c r="X93" s="1521"/>
      <c r="Y93" s="1524"/>
      <c r="Z93" s="1524"/>
      <c r="AA93" s="1053"/>
      <c r="AB93" s="2857" t="s">
        <v>184</v>
      </c>
      <c r="AC93" s="2858"/>
      <c r="AD93" s="905" t="e">
        <f>IF(RollupMonths=0,"No - interest paid by monthly DD","Yes, "&amp;TEXT(RollupMonths,"#")&amp;" month(s).  "&amp;TEXT('BTL Calculator WIP'!$M$141,"£#,#")&amp;" equivalent payable at redemption")</f>
        <v>#N/A</v>
      </c>
      <c r="AE93" s="906"/>
      <c r="AF93" s="906"/>
      <c r="AG93" s="906"/>
      <c r="AH93" s="906"/>
      <c r="AI93" s="907"/>
      <c r="AJ93" s="1067"/>
      <c r="AK93" s="1068"/>
      <c r="AL93" s="1069"/>
      <c r="AM93" s="862"/>
      <c r="AN93" s="137"/>
      <c r="AO93" s="137"/>
      <c r="AP93" s="137"/>
      <c r="AQ93" s="137"/>
      <c r="AR93" s="137"/>
      <c r="AS93" s="137"/>
      <c r="AT93" s="137"/>
      <c r="AU93" s="137"/>
      <c r="AV93" s="137"/>
    </row>
    <row r="94" spans="1:48" s="532" customFormat="1" ht="18.75" customHeight="1" x14ac:dyDescent="0.25">
      <c r="A94" s="1"/>
      <c r="B94" s="1"/>
      <c r="C94" s="1616"/>
      <c r="D94" s="1596"/>
      <c r="H94" s="1675">
        <v>224006.50488045136</v>
      </c>
      <c r="I94" s="1676" t="s">
        <v>185</v>
      </c>
      <c r="J94" s="1648"/>
      <c r="K94" s="1675">
        <v>113099.76747992064</v>
      </c>
      <c r="L94" s="1676" t="s">
        <v>185</v>
      </c>
      <c r="M94" s="1649"/>
      <c r="N94" s="1647">
        <v>20280.885350280674</v>
      </c>
      <c r="O94" s="1649"/>
      <c r="P94" s="1"/>
      <c r="Q94" s="1529"/>
      <c r="R94" s="1034"/>
      <c r="S94"/>
      <c r="T94"/>
      <c r="U94"/>
      <c r="V94"/>
      <c r="W94"/>
      <c r="X94"/>
      <c r="Y94"/>
      <c r="Z94"/>
      <c r="AA94" s="1053"/>
      <c r="AB94" s="2857" t="s">
        <v>186</v>
      </c>
      <c r="AC94" s="2858"/>
      <c r="AD94" s="2859" t="str">
        <f>IF(Top_Slice_PCM_GBP&lt;&gt;0,"Yes, "&amp;TEXT(Top_Slice_PCM_GBP,"£#,#0")&amp;" pcm of surplus income/wealth/rent","No")</f>
        <v>No</v>
      </c>
      <c r="AE94" s="2860"/>
      <c r="AF94" s="2860"/>
      <c r="AG94" s="2860"/>
      <c r="AH94" s="2860"/>
      <c r="AI94" s="2861"/>
      <c r="AJ94" s="1063"/>
      <c r="AK94" s="1064"/>
      <c r="AM94" s="862"/>
      <c r="AN94" s="137"/>
      <c r="AO94" s="137"/>
      <c r="AP94" s="137"/>
      <c r="AQ94" s="137"/>
      <c r="AR94" s="137"/>
      <c r="AS94" s="137"/>
      <c r="AT94" s="137"/>
      <c r="AU94" s="137"/>
      <c r="AV94" s="137"/>
    </row>
    <row r="95" spans="1:48" s="137" customFormat="1" ht="18" x14ac:dyDescent="0.25">
      <c r="A95" s="1"/>
      <c r="B95" s="1"/>
      <c r="C95" s="1617"/>
      <c r="D95" s="1602"/>
      <c r="H95" s="1672"/>
      <c r="I95" s="1673"/>
      <c r="J95" s="1645"/>
      <c r="K95" s="1672"/>
      <c r="L95" s="1673"/>
      <c r="M95" s="1673"/>
      <c r="N95" s="1672"/>
      <c r="O95" s="1673"/>
      <c r="P95" s="1"/>
      <c r="Q95" s="1529"/>
      <c r="R95"/>
      <c r="S95"/>
      <c r="T95"/>
      <c r="U95"/>
      <c r="V95"/>
      <c r="W95"/>
      <c r="X95"/>
      <c r="Y95"/>
      <c r="Z95"/>
      <c r="AA95" s="1053"/>
      <c r="AB95" s="2857" t="s">
        <v>187</v>
      </c>
      <c r="AC95" s="2858"/>
      <c r="AD95" s="2862" t="str">
        <f>'KB_CRITERIA AND CALCULATION '!$W$90</f>
        <v>-</v>
      </c>
      <c r="AE95" s="2863"/>
      <c r="AF95" s="2863"/>
      <c r="AG95" s="2863"/>
      <c r="AH95" s="2863"/>
      <c r="AI95" s="2864"/>
      <c r="AJ95" s="1069"/>
      <c r="AK95" s="1071"/>
      <c r="AL95" s="1069"/>
      <c r="AM95" s="862"/>
    </row>
    <row r="96" spans="1:48" s="137" customFormat="1" ht="15.75" customHeight="1" x14ac:dyDescent="0.25">
      <c r="A96" s="1"/>
      <c r="B96" s="1"/>
      <c r="C96" s="1614" t="s">
        <v>188</v>
      </c>
      <c r="D96" s="1601"/>
      <c r="H96" s="2840" t="s">
        <v>189</v>
      </c>
      <c r="I96" s="2841">
        <v>-170.98952270081645</v>
      </c>
      <c r="J96" s="1645"/>
      <c r="K96" s="2840" t="s">
        <v>189</v>
      </c>
      <c r="L96" s="2841"/>
      <c r="M96" s="1677"/>
      <c r="N96" s="2840" t="s">
        <v>189</v>
      </c>
      <c r="O96" s="2841"/>
      <c r="P96" s="1"/>
      <c r="Q96" s="1529"/>
      <c r="R96" s="1"/>
      <c r="S96" s="1"/>
      <c r="T96" s="1"/>
      <c r="U96" s="1"/>
      <c r="V96" s="1"/>
      <c r="W96" s="1"/>
      <c r="X96" s="1"/>
      <c r="Y96" s="1"/>
      <c r="Z96"/>
      <c r="AA96" s="1053"/>
      <c r="AB96" s="2865" t="s">
        <v>190</v>
      </c>
      <c r="AC96" s="2866"/>
      <c r="AD96" s="2869" t="e">
        <f>"Direct Debit of "&amp;TEXT(Monthly_DD,"£#,#.00")&amp;" will start in month "&amp;TEXT((RollupMonths-IF(AN29="Yes",RollupMonths,0))+1,"#")</f>
        <v>#N/A</v>
      </c>
      <c r="AE96" s="2870"/>
      <c r="AF96" s="2870"/>
      <c r="AG96" s="2870"/>
      <c r="AH96" s="2870"/>
      <c r="AI96" s="2871"/>
      <c r="AJ96" s="1069"/>
      <c r="AK96" s="1071"/>
      <c r="AL96" s="1069"/>
      <c r="AM96" s="862"/>
    </row>
    <row r="97" spans="1:48" s="532" customFormat="1" ht="15.75" customHeight="1" x14ac:dyDescent="0.35">
      <c r="A97" s="1"/>
      <c r="B97" s="1"/>
      <c r="C97" s="1614" t="s">
        <v>191</v>
      </c>
      <c r="D97" s="1601"/>
      <c r="E97" s="287"/>
      <c r="F97" s="287"/>
      <c r="G97" s="287"/>
      <c r="H97" s="1678" t="s">
        <v>192</v>
      </c>
      <c r="I97" s="1679"/>
      <c r="J97" s="1645"/>
      <c r="K97" s="1678" t="s">
        <v>192</v>
      </c>
      <c r="L97" s="1678"/>
      <c r="M97" s="1677"/>
      <c r="N97" s="1678" t="s">
        <v>192</v>
      </c>
      <c r="O97" s="1678"/>
      <c r="P97" s="1"/>
      <c r="Q97" s="1529"/>
      <c r="R97" s="1190"/>
      <c r="S97" s="1"/>
      <c r="T97" s="1"/>
      <c r="U97" s="1"/>
      <c r="V97" s="1"/>
      <c r="W97" s="1"/>
      <c r="X97" s="1"/>
      <c r="Y97" s="1"/>
      <c r="Z97"/>
      <c r="AA97" s="1053"/>
      <c r="AB97" s="2867"/>
      <c r="AC97" s="2868"/>
      <c r="AD97" s="2872" t="str">
        <f>IF($K$23="Tracker"," (If BBR were to increase by "&amp;TEXT('KB_CRITERIA AND CALCULATION '!$U$73,"#0.#0%")&amp;" monthly payments would increase to "&amp;TEXT('KB_CRITERIA AND CALCULATION '!$U$90,"£#,#.00")&amp;")","")</f>
        <v xml:space="preserve"> (If BBR were to increase by 0.50% monthly payments would increase to )</v>
      </c>
      <c r="AE97" s="2873"/>
      <c r="AF97" s="2873"/>
      <c r="AG97" s="2873"/>
      <c r="AH97" s="2873"/>
      <c r="AI97" s="2874"/>
      <c r="AJ97" s="1297"/>
      <c r="AK97" s="1064"/>
      <c r="AL97" s="1069"/>
      <c r="AM97" s="862"/>
      <c r="AN97" s="137"/>
      <c r="AO97" s="137"/>
      <c r="AP97" s="137"/>
      <c r="AQ97" s="137"/>
      <c r="AR97" s="137"/>
      <c r="AS97" s="137"/>
      <c r="AT97" s="137"/>
      <c r="AU97" s="137"/>
      <c r="AV97" s="137"/>
    </row>
    <row r="98" spans="1:48" s="137" customFormat="1" ht="27" customHeight="1" x14ac:dyDescent="0.35">
      <c r="A98" s="1"/>
      <c r="B98" s="1"/>
      <c r="C98" s="1201"/>
      <c r="D98" s="1"/>
      <c r="E98" s="287"/>
      <c r="F98" s="287"/>
      <c r="G98" s="287"/>
      <c r="H98" s="1632"/>
      <c r="I98" s="1632"/>
      <c r="J98" s="1632"/>
      <c r="K98" s="1632"/>
      <c r="L98" s="1632"/>
      <c r="M98" s="1632"/>
      <c r="N98" s="1632"/>
      <c r="O98" s="1632"/>
      <c r="P98" s="1"/>
      <c r="Q98" s="1529"/>
      <c r="R98" s="2853"/>
      <c r="S98" s="2853"/>
      <c r="T98" s="2854"/>
      <c r="U98" s="2854"/>
      <c r="V98" s="2854"/>
      <c r="W98" s="2854"/>
      <c r="X98" s="1"/>
      <c r="Y98" s="1"/>
      <c r="Z98"/>
      <c r="AA98" s="1046"/>
      <c r="AB98" s="2855" t="s">
        <v>193</v>
      </c>
      <c r="AC98" s="2856"/>
      <c r="AD98" s="2842" t="e">
        <f>NetLoanUsed</f>
        <v>#N/A</v>
      </c>
      <c r="AE98" s="2843"/>
      <c r="AF98" s="2843"/>
      <c r="AG98" s="2843"/>
      <c r="AH98" s="2843"/>
      <c r="AI98" s="2844"/>
      <c r="AJ98" s="2845" t="e">
        <f>IF(OR('KB_CRITERIA AND CALCULATION '!AD90&gt;0,'KB_CRITERIA AND CALCULATION '!AE90&gt;0),"&lt;-- Net Loan Advance reduced by deferred/ rolled interest £total. Ensures equity remains in the property to protect borrower &amp; lender","")</f>
        <v>#N/A</v>
      </c>
      <c r="AK98" s="2846"/>
      <c r="AL98" s="1069"/>
      <c r="AM98" s="862"/>
    </row>
    <row r="99" spans="1:48" s="532" customFormat="1" ht="21" customHeight="1" x14ac:dyDescent="0.25">
      <c r="A99" s="1"/>
      <c r="B99" s="1"/>
      <c r="C99" s="1612" t="s">
        <v>194</v>
      </c>
      <c r="D99" s="1594"/>
      <c r="E99" s="440"/>
      <c r="F99" s="440"/>
      <c r="G99" s="208"/>
      <c r="H99" s="1680">
        <v>8.9899999999999994E-2</v>
      </c>
      <c r="I99" s="1681" t="s">
        <v>195</v>
      </c>
      <c r="J99" s="1682"/>
      <c r="K99" s="1680">
        <v>8.9899999999999994E-2</v>
      </c>
      <c r="L99" s="1681" t="s">
        <v>195</v>
      </c>
      <c r="M99" s="1682"/>
      <c r="N99" s="1680">
        <v>9.240000000000001E-2</v>
      </c>
      <c r="O99" s="1683" t="s">
        <v>196</v>
      </c>
      <c r="P99" s="1"/>
      <c r="Q99" s="1529"/>
      <c r="R99" s="2847"/>
      <c r="S99" s="2847"/>
      <c r="T99" s="2847"/>
      <c r="U99" s="2847"/>
      <c r="V99" s="2847"/>
      <c r="W99" s="2847"/>
      <c r="X99" s="1"/>
      <c r="Y99" s="1"/>
      <c r="Z99"/>
      <c r="AA99" s="1073"/>
      <c r="AB99" s="2848" t="s">
        <v>197</v>
      </c>
      <c r="AC99" s="2849"/>
      <c r="AD99" s="2850">
        <f>IFERROR(Gross_Loan+'BTL Calculator WIP'!M145,0)</f>
        <v>0</v>
      </c>
      <c r="AE99" s="2851"/>
      <c r="AF99" s="2851"/>
      <c r="AG99" s="2851"/>
      <c r="AH99" s="2851"/>
      <c r="AI99" s="2852"/>
      <c r="AJ99" s="2845"/>
      <c r="AK99" s="2846"/>
      <c r="AL99" s="1074"/>
      <c r="AM99" s="1074" t="e">
        <f>"Max Loan "&amp;TEXT(MaxGrossLoan/1000000,"£0.00")&amp;"m minus deferred interest of "&amp;TEXT(Deferred_Int_Owed,"£0,0")</f>
        <v>#N/A</v>
      </c>
      <c r="AN99" s="137"/>
      <c r="AO99" s="137"/>
      <c r="AP99" s="137"/>
      <c r="AQ99" s="137"/>
      <c r="AR99" s="137"/>
      <c r="AS99" s="137"/>
      <c r="AT99" s="137"/>
      <c r="AU99" s="137"/>
      <c r="AV99" s="137"/>
    </row>
    <row r="100" spans="1:48" s="137" customFormat="1" ht="21" customHeight="1" x14ac:dyDescent="0.25">
      <c r="A100" s="1"/>
      <c r="B100" s="1"/>
      <c r="P100" s="1"/>
      <c r="Q100" s="1529"/>
      <c r="R100" s="2839"/>
      <c r="S100" s="2839"/>
      <c r="T100" s="2839"/>
      <c r="U100" s="2839"/>
      <c r="V100" s="2839"/>
      <c r="W100" s="2839"/>
      <c r="X100" s="1"/>
      <c r="Y100" s="1"/>
      <c r="Z100"/>
      <c r="AA100" s="1075"/>
      <c r="AB100" s="2824" t="str">
        <f>"Tier Adverse limit: "&amp;INDEX(('Product Data'!L9:L12),MATCH(AD78,'Product Data'!B9:B12,0))</f>
        <v>Tier Adverse limit: Clean - Missed Mortgage Payments - 0 missed in last 48 months
Unsecured Card/Loan Payments (ignore when balance &lt; £500) - 0 missed in last 48m 
CCJs &amp; Defaults (ignore &lt;= £350, telecom, utility) - 0 in last 48m. No unsatisfied
Bankruptcy/IVA - Never</v>
      </c>
      <c r="AC100" s="2825"/>
      <c r="AD100" s="2825"/>
      <c r="AE100" s="2825"/>
      <c r="AF100" s="2825"/>
      <c r="AG100" s="2825"/>
      <c r="AH100" s="2825"/>
      <c r="AI100" s="2826"/>
      <c r="AJ100" s="1298"/>
      <c r="AK100" s="1299"/>
      <c r="AL100" s="1069"/>
      <c r="AM100" s="862"/>
    </row>
    <row r="101" spans="1:48" s="137" customFormat="1" ht="32.25" customHeight="1" x14ac:dyDescent="0.25">
      <c r="A101" s="1"/>
      <c r="B101" s="1"/>
      <c r="P101" s="1"/>
      <c r="Q101" s="898"/>
      <c r="R101" s="898"/>
      <c r="S101" s="898"/>
      <c r="T101" s="898"/>
      <c r="U101" s="1558"/>
      <c r="V101" s="1558"/>
      <c r="W101" s="1558"/>
      <c r="X101" s="1558"/>
      <c r="Y101" s="1"/>
      <c r="Z101"/>
      <c r="AA101" s="1073"/>
      <c r="AB101" s="2827"/>
      <c r="AC101" s="2828"/>
      <c r="AD101" s="2828"/>
      <c r="AE101" s="2828"/>
      <c r="AF101" s="2828"/>
      <c r="AG101" s="2828"/>
      <c r="AH101" s="2828"/>
      <c r="AI101" s="2829"/>
      <c r="AJ101" s="1063"/>
      <c r="AK101" s="1064"/>
      <c r="AL101" s="1076"/>
      <c r="AM101" s="1076" t="str">
        <f>IF(AND(K27&gt;0,K27&lt;&gt;"",ISERROR(SEARCH("Bespoke",G54))),"Caution: rate override normally only on Bespoke tier","")</f>
        <v/>
      </c>
    </row>
    <row r="102" spans="1:48" s="287" customFormat="1" ht="18" hidden="1" customHeight="1" x14ac:dyDescent="0.35">
      <c r="A102"/>
      <c r="B102" s="1"/>
      <c r="P102" s="1"/>
      <c r="Q102"/>
      <c r="R102"/>
      <c r="S102"/>
      <c r="T102"/>
      <c r="U102" s="914"/>
      <c r="V102" s="914"/>
      <c r="W102" s="914"/>
      <c r="X102" s="914"/>
      <c r="Y102"/>
      <c r="Z102"/>
      <c r="AA102" s="1073"/>
      <c r="AB102" s="2830" t="s">
        <v>198</v>
      </c>
      <c r="AC102" s="2831"/>
      <c r="AD102" s="2831"/>
      <c r="AE102" s="2831"/>
      <c r="AF102" s="2831"/>
      <c r="AG102" s="2831"/>
      <c r="AH102" s="2831"/>
      <c r="AI102" s="2832"/>
      <c r="AJ102" s="1069"/>
      <c r="AK102" s="1071"/>
      <c r="AL102" s="1069"/>
      <c r="AM102"/>
      <c r="AN102" s="67"/>
      <c r="AO102" s="67"/>
      <c r="AP102" s="67"/>
      <c r="AQ102" s="67"/>
      <c r="AR102" s="67"/>
      <c r="AS102" s="67"/>
      <c r="AT102" s="67"/>
      <c r="AU102" s="67"/>
      <c r="AV102" s="67"/>
    </row>
    <row r="103" spans="1:48" s="287" customFormat="1" ht="12.75" customHeight="1" x14ac:dyDescent="0.35">
      <c r="A103"/>
      <c r="B103" s="1"/>
      <c r="P103" s="1"/>
      <c r="Q103"/>
      <c r="R103"/>
      <c r="S103"/>
      <c r="T103"/>
      <c r="U103" s="914"/>
      <c r="V103" s="914"/>
      <c r="W103" s="914"/>
      <c r="X103" s="914"/>
      <c r="Y103"/>
      <c r="Z103"/>
      <c r="AA103" s="1073"/>
      <c r="AB103" s="2833" t="s">
        <v>199</v>
      </c>
      <c r="AC103" s="2833"/>
      <c r="AD103" s="2833"/>
      <c r="AE103" s="2833"/>
      <c r="AF103" s="2833"/>
      <c r="AG103" s="2833"/>
      <c r="AH103" s="2833"/>
      <c r="AI103" s="2833"/>
      <c r="AJ103" s="1069"/>
      <c r="AK103" s="1071"/>
      <c r="AL103" s="1069"/>
      <c r="AM103"/>
      <c r="AN103" s="67"/>
      <c r="AO103" s="67"/>
      <c r="AP103" s="67"/>
      <c r="AQ103" s="67"/>
      <c r="AR103" s="67"/>
      <c r="AS103" s="67"/>
      <c r="AT103" s="67"/>
      <c r="AU103" s="67"/>
      <c r="AV103" s="67"/>
    </row>
    <row r="104" spans="1:48" ht="30" customHeight="1" x14ac:dyDescent="0.35">
      <c r="A104"/>
      <c r="B104" s="1"/>
      <c r="C104" s="67"/>
      <c r="D104" s="67"/>
      <c r="E104" s="67"/>
      <c r="F104" s="67"/>
      <c r="G104" s="67"/>
      <c r="H104" s="67"/>
      <c r="I104" s="67"/>
      <c r="J104" s="67"/>
      <c r="K104" s="67"/>
      <c r="L104" s="67"/>
      <c r="M104" s="67"/>
      <c r="N104" s="67"/>
      <c r="O104" s="67"/>
      <c r="P104" s="1"/>
      <c r="Q104"/>
      <c r="R104" s="1078"/>
      <c r="S104" s="1078"/>
      <c r="T104" s="1078"/>
      <c r="U104" s="1078"/>
      <c r="V104" s="1078"/>
      <c r="W104" s="1078"/>
      <c r="X104" s="1078"/>
      <c r="Y104"/>
      <c r="Z104"/>
      <c r="AA104" s="1073"/>
      <c r="AB104" s="2834"/>
      <c r="AC104" s="2834"/>
      <c r="AD104" s="2834"/>
      <c r="AE104" s="2834"/>
      <c r="AF104" s="2834"/>
      <c r="AG104" s="2834"/>
      <c r="AH104" s="2834"/>
      <c r="AI104" s="2834"/>
      <c r="AJ104" s="1069"/>
      <c r="AK104" s="1071"/>
      <c r="AL104" s="1069"/>
      <c r="AM104"/>
    </row>
    <row r="105" spans="1:48" ht="18" customHeight="1" x14ac:dyDescent="0.35">
      <c r="A105"/>
      <c r="B105" s="914"/>
      <c r="C105"/>
      <c r="D105"/>
      <c r="E105"/>
      <c r="F105"/>
      <c r="G105"/>
      <c r="H105"/>
      <c r="I105"/>
      <c r="J105"/>
      <c r="K105"/>
      <c r="L105"/>
      <c r="M105"/>
      <c r="N105"/>
      <c r="O105"/>
      <c r="P105"/>
      <c r="Q105"/>
      <c r="R105" s="1078"/>
      <c r="S105" s="1078"/>
      <c r="T105" s="1078"/>
      <c r="U105" s="1078"/>
      <c r="V105" s="1078"/>
      <c r="W105" s="1078"/>
      <c r="X105" s="1078"/>
      <c r="Y105"/>
      <c r="Z105"/>
      <c r="AA105" s="1073"/>
      <c r="AB105" s="2834"/>
      <c r="AC105" s="2834"/>
      <c r="AD105" s="2834"/>
      <c r="AE105" s="2834"/>
      <c r="AF105" s="2834"/>
      <c r="AG105" s="2834"/>
      <c r="AH105" s="2834"/>
      <c r="AI105" s="2834"/>
      <c r="AJ105" s="1069"/>
      <c r="AK105" s="1071"/>
      <c r="AL105" s="1069"/>
      <c r="AM105"/>
    </row>
    <row r="106" spans="1:48" ht="18" hidden="1" x14ac:dyDescent="0.35">
      <c r="A106"/>
      <c r="B106" s="914"/>
      <c r="C106"/>
      <c r="D106"/>
      <c r="E106"/>
      <c r="F106"/>
      <c r="G106"/>
      <c r="H106"/>
      <c r="I106"/>
      <c r="J106"/>
      <c r="K106"/>
      <c r="L106"/>
      <c r="M106"/>
      <c r="N106"/>
      <c r="O106"/>
      <c r="P106"/>
      <c r="Q106"/>
      <c r="R106" s="1078"/>
      <c r="S106" s="1078"/>
      <c r="T106" s="1078"/>
      <c r="U106" s="1078"/>
      <c r="V106" s="1078"/>
      <c r="W106" s="1078"/>
      <c r="X106" s="1078"/>
      <c r="Y106"/>
      <c r="Z106"/>
      <c r="AA106" s="1079"/>
      <c r="AB106" s="2835"/>
      <c r="AC106" s="2835"/>
      <c r="AD106" s="2835"/>
      <c r="AE106" s="2835"/>
      <c r="AF106" s="2835"/>
      <c r="AG106" s="2835"/>
      <c r="AH106" s="2835"/>
      <c r="AI106" s="2835"/>
      <c r="AJ106" s="1080"/>
      <c r="AK106" s="1081"/>
      <c r="AL106" s="1069"/>
      <c r="AM106"/>
    </row>
    <row r="107" spans="1:48" ht="5.25" customHeight="1" x14ac:dyDescent="0.35">
      <c r="A107"/>
      <c r="B107" s="914"/>
      <c r="C107"/>
      <c r="D107"/>
      <c r="E107"/>
      <c r="F107"/>
      <c r="G107"/>
      <c r="H107"/>
      <c r="I107"/>
      <c r="J107"/>
      <c r="K107"/>
      <c r="L107"/>
      <c r="M107"/>
      <c r="N107"/>
      <c r="O107"/>
      <c r="P107"/>
      <c r="Q107"/>
      <c r="R107"/>
      <c r="S107"/>
      <c r="T107"/>
      <c r="U107" s="1082"/>
      <c r="V107" s="1082"/>
      <c r="W107" s="914"/>
      <c r="X107" s="914"/>
      <c r="Y107"/>
      <c r="Z107"/>
      <c r="AA107" s="1083"/>
      <c r="AB107" s="1084"/>
      <c r="AC107" s="1084"/>
      <c r="AD107" s="1084"/>
      <c r="AE107" s="1084"/>
      <c r="AF107" s="1084"/>
      <c r="AG107" s="1084"/>
      <c r="AH107" s="1084"/>
      <c r="AI107" s="1084"/>
      <c r="AJ107" s="1069"/>
      <c r="AK107" s="1069"/>
      <c r="AL107" s="1069"/>
      <c r="AM107"/>
    </row>
    <row r="108" spans="1:48" ht="18" hidden="1" x14ac:dyDescent="0.35">
      <c r="A108"/>
      <c r="B108" s="914"/>
      <c r="C108"/>
      <c r="D108"/>
      <c r="E108"/>
      <c r="F108"/>
      <c r="G108"/>
      <c r="H108"/>
      <c r="I108"/>
      <c r="J108"/>
      <c r="K108"/>
      <c r="L108"/>
      <c r="M108"/>
      <c r="N108"/>
      <c r="O108"/>
      <c r="P108"/>
      <c r="Q108"/>
      <c r="R108"/>
      <c r="S108"/>
      <c r="T108"/>
      <c r="U108" s="914"/>
      <c r="V108"/>
      <c r="W108"/>
      <c r="X108"/>
      <c r="Y108"/>
      <c r="Z108"/>
      <c r="AA108" s="1085"/>
      <c r="AB108" s="1455"/>
      <c r="AC108" s="1456" t="s">
        <v>200</v>
      </c>
      <c r="AD108" s="1086"/>
      <c r="AE108" s="2836" t="e">
        <f>'BTL Calculator WIP'!M149</f>
        <v>#N/A</v>
      </c>
      <c r="AF108" s="2836"/>
      <c r="AG108" s="1236" t="e">
        <f>"Investor Funds LTV "&amp;TEXT(AE108/Property_Value,"00%")</f>
        <v>#N/A</v>
      </c>
      <c r="AH108" s="1087"/>
      <c r="AI108" s="1088"/>
      <c r="AJ108" s="914"/>
      <c r="AK108" s="914"/>
      <c r="AL108" s="914"/>
      <c r="AM108"/>
    </row>
    <row r="109" spans="1:48" ht="20.25" customHeight="1" x14ac:dyDescent="0.35">
      <c r="A109" s="914"/>
      <c r="B109" s="914"/>
      <c r="C109"/>
      <c r="D109"/>
      <c r="E109"/>
      <c r="F109"/>
      <c r="G109"/>
      <c r="H109"/>
      <c r="I109"/>
      <c r="J109"/>
      <c r="K109"/>
      <c r="L109"/>
      <c r="M109"/>
      <c r="N109"/>
      <c r="O109"/>
      <c r="P109"/>
      <c r="Q109"/>
      <c r="R109"/>
      <c r="S109"/>
      <c r="T109"/>
      <c r="U109" s="862"/>
      <c r="V109" s="914"/>
      <c r="W109" s="914"/>
      <c r="X109" s="914"/>
      <c r="Y109" s="914"/>
      <c r="Z109" s="914"/>
      <c r="AA109" s="1089"/>
      <c r="AB109" s="1090"/>
      <c r="AC109" s="1091" t="s">
        <v>114</v>
      </c>
      <c r="AD109" s="1092"/>
      <c r="AE109" s="2837" t="e">
        <f>'BTL Calculator WIP'!M150</f>
        <v>#N/A</v>
      </c>
      <c r="AF109" s="2837"/>
      <c r="AG109" s="1093"/>
      <c r="AH109" s="1093"/>
      <c r="AI109" s="1094"/>
      <c r="AJ109" s="914"/>
      <c r="AK109" s="914"/>
      <c r="AL109" s="914"/>
      <c r="AM109"/>
    </row>
    <row r="110" spans="1:48" ht="18" customHeight="1" x14ac:dyDescent="0.35">
      <c r="A110" s="914"/>
      <c r="B110" s="914"/>
      <c r="C110"/>
      <c r="D110"/>
      <c r="E110"/>
      <c r="F110"/>
      <c r="G110"/>
      <c r="H110"/>
      <c r="I110"/>
      <c r="J110"/>
      <c r="K110"/>
      <c r="L110"/>
      <c r="M110"/>
      <c r="N110"/>
      <c r="O110"/>
      <c r="P110"/>
      <c r="Q110"/>
      <c r="R110"/>
      <c r="S110"/>
      <c r="T110"/>
      <c r="U110" s="914"/>
      <c r="V110" s="914"/>
      <c r="W110" s="914"/>
      <c r="X110" s="914"/>
      <c r="Y110" s="914"/>
      <c r="Z110" s="914"/>
      <c r="AA110" s="1095"/>
      <c r="AB110" s="1096"/>
      <c r="AC110" s="1097" t="s">
        <v>123</v>
      </c>
      <c r="AD110" s="1098"/>
      <c r="AE110" s="2838" t="e">
        <f>'BTL Calculator WIP'!M151</f>
        <v>#N/A</v>
      </c>
      <c r="AF110" s="2838"/>
      <c r="AG110" s="1099" t="e">
        <f>"=Investor Funds "&amp;TEXT(AE108,"£0,0")&amp;" less Product Fee "&amp;TEXT(AE109,"£0,0")</f>
        <v>#N/A</v>
      </c>
      <c r="AH110" s="1100"/>
      <c r="AI110" s="1101"/>
      <c r="AJ110" s="914"/>
      <c r="AK110" s="914"/>
      <c r="AL110" s="914"/>
      <c r="AM110"/>
    </row>
    <row r="111" spans="1:48" ht="18" customHeight="1" x14ac:dyDescent="0.35">
      <c r="A111" s="914"/>
      <c r="B111" s="914"/>
      <c r="C111"/>
      <c r="D111"/>
      <c r="E111"/>
      <c r="F111"/>
      <c r="G111"/>
      <c r="H111"/>
      <c r="I111"/>
      <c r="J111"/>
      <c r="K111"/>
      <c r="L111"/>
      <c r="M111"/>
      <c r="N111"/>
      <c r="O111"/>
      <c r="P111"/>
      <c r="Q111"/>
      <c r="R111"/>
      <c r="S111"/>
      <c r="T111"/>
      <c r="U111" s="914"/>
      <c r="V111" s="914"/>
      <c r="W111" s="914"/>
      <c r="X111" s="914"/>
      <c r="Y111" s="914"/>
      <c r="Z111" s="914"/>
      <c r="AA111" s="2817" t="str">
        <f>'KB_CRITERIA AND CALCULATION '!$L$2</f>
        <v>Available Funding lines are: Zircon or Pearl</v>
      </c>
      <c r="AB111" s="2818"/>
      <c r="AC111" s="2818"/>
      <c r="AD111" s="2818"/>
      <c r="AE111" s="2818"/>
      <c r="AF111" s="2818"/>
      <c r="AG111" s="2818"/>
      <c r="AH111" s="2818"/>
      <c r="AI111" s="2819"/>
      <c r="AJ111" s="1102"/>
      <c r="AK111" s="1102"/>
      <c r="AL111" s="1102"/>
      <c r="AM111" s="1102"/>
      <c r="AN111" s="891"/>
      <c r="AO111" s="891"/>
      <c r="AP111" s="891"/>
      <c r="AQ111" s="891"/>
    </row>
    <row r="112" spans="1:48" ht="18" customHeight="1" x14ac:dyDescent="0.35">
      <c r="A112" s="914"/>
      <c r="B112" s="914"/>
      <c r="C112"/>
      <c r="D112"/>
      <c r="E112"/>
      <c r="F112"/>
      <c r="G112"/>
      <c r="H112"/>
      <c r="I112"/>
      <c r="J112"/>
      <c r="K112"/>
      <c r="L112"/>
      <c r="M112"/>
      <c r="N112"/>
      <c r="O112"/>
      <c r="P112"/>
      <c r="Q112"/>
      <c r="R112"/>
      <c r="S112"/>
      <c r="T112"/>
      <c r="U112" s="914"/>
      <c r="V112" s="914"/>
      <c r="W112" s="914"/>
      <c r="X112" s="914"/>
      <c r="Y112" s="914"/>
      <c r="Z112" s="914"/>
      <c r="AA112" s="2820" t="e">
        <f>'KB_CRITERIA AND CALCULATION '!$L$3</f>
        <v>#N/A</v>
      </c>
      <c r="AB112" s="2820"/>
      <c r="AC112" s="2820"/>
      <c r="AD112" s="2820"/>
      <c r="AE112" s="2820"/>
      <c r="AF112" s="2820"/>
      <c r="AG112" s="2820"/>
      <c r="AH112" s="2820"/>
      <c r="AI112" s="2820"/>
      <c r="AJ112" s="1078"/>
      <c r="AK112" s="1078"/>
      <c r="AL112" s="1078"/>
      <c r="AM112" s="1078"/>
      <c r="AN112" s="869"/>
      <c r="AO112" s="869"/>
      <c r="AP112" s="869"/>
      <c r="AQ112" s="869"/>
    </row>
    <row r="113" spans="1:67" ht="18" customHeight="1" x14ac:dyDescent="0.35">
      <c r="A113" s="914"/>
      <c r="B113" s="914"/>
      <c r="C113" s="914"/>
      <c r="D113" s="914"/>
      <c r="E113" s="914"/>
      <c r="F113" s="914"/>
      <c r="G113" s="914"/>
      <c r="H113" s="914"/>
      <c r="I113" s="914"/>
      <c r="J113" s="914"/>
      <c r="K113" s="914"/>
      <c r="L113" s="914"/>
      <c r="M113" s="914"/>
      <c r="N113" s="914"/>
      <c r="O113" s="914"/>
      <c r="P113" s="914"/>
      <c r="Q113" s="914"/>
      <c r="R113" s="914"/>
      <c r="S113" s="914"/>
      <c r="T113" s="914"/>
      <c r="U113" s="914"/>
      <c r="V113" s="914"/>
      <c r="W113" s="914"/>
      <c r="X113" s="914"/>
      <c r="Y113" s="1103"/>
      <c r="Z113" s="1103"/>
      <c r="AA113" s="2821"/>
      <c r="AB113" s="2821"/>
      <c r="AC113" s="2821"/>
      <c r="AD113" s="2821"/>
      <c r="AE113" s="2821"/>
      <c r="AF113" s="2821"/>
      <c r="AG113" s="2821"/>
      <c r="AH113" s="2821"/>
      <c r="AI113" s="2821"/>
      <c r="AJ113" s="1078"/>
      <c r="AK113" s="1078"/>
      <c r="AL113" s="1078"/>
      <c r="AM113" s="1078"/>
      <c r="AN113" s="869"/>
      <c r="AO113" s="869"/>
      <c r="AP113" s="869"/>
      <c r="AQ113" s="869"/>
    </row>
    <row r="114" spans="1:67" s="541" customFormat="1" ht="22.5" customHeight="1" x14ac:dyDescent="0.45">
      <c r="A114" s="2822" t="s">
        <v>201</v>
      </c>
      <c r="B114" s="2822"/>
      <c r="C114" s="2822"/>
      <c r="D114" s="2822"/>
      <c r="E114" s="2822"/>
      <c r="F114" s="2822"/>
      <c r="G114" s="1104"/>
      <c r="H114" s="1104"/>
      <c r="I114" s="1104"/>
      <c r="J114" s="1104"/>
      <c r="K114" s="1104"/>
      <c r="L114" s="1104"/>
      <c r="M114" s="1104"/>
      <c r="N114" s="1104"/>
      <c r="O114" s="1104"/>
      <c r="P114" s="1104"/>
      <c r="Q114" s="1104"/>
      <c r="R114" s="1104"/>
      <c r="S114" s="1104"/>
      <c r="T114" s="1104"/>
      <c r="U114" s="1104"/>
      <c r="V114" s="1104"/>
      <c r="W114" s="1104"/>
      <c r="X114" s="1104"/>
      <c r="Y114" s="1104"/>
      <c r="Z114" s="1104"/>
      <c r="AA114" s="1104"/>
      <c r="AB114" s="1104"/>
      <c r="AC114" s="1104"/>
      <c r="AD114" s="1104"/>
      <c r="AE114" s="1104"/>
      <c r="AF114" s="1104"/>
      <c r="AG114" s="1104"/>
      <c r="AH114" s="1104"/>
      <c r="AI114" s="1104"/>
      <c r="AJ114" s="1104"/>
      <c r="AK114" s="1104"/>
      <c r="AL114" s="1104"/>
      <c r="AM114" s="1104"/>
      <c r="AN114" s="1104"/>
      <c r="AO114" s="1104"/>
      <c r="AP114" s="953"/>
    </row>
    <row r="115" spans="1:67" s="541" customFormat="1" ht="22.5" customHeight="1" x14ac:dyDescent="0.45">
      <c r="A115" s="1105"/>
      <c r="D115" s="2823" t="s">
        <v>202</v>
      </c>
      <c r="E115" s="2823"/>
      <c r="F115" s="2823"/>
      <c r="G115" s="2823"/>
      <c r="H115" s="2823"/>
      <c r="I115" s="2823"/>
      <c r="J115" s="2823"/>
      <c r="K115" s="2823"/>
      <c r="L115" s="2823"/>
      <c r="M115" s="2823"/>
      <c r="N115" s="2823"/>
      <c r="O115" s="2823"/>
      <c r="P115" s="2823"/>
      <c r="Q115" s="2823"/>
      <c r="R115" s="2823"/>
      <c r="S115" s="2823"/>
      <c r="T115" s="2823"/>
      <c r="U115" s="2823"/>
      <c r="AC115" s="1106"/>
      <c r="AD115" s="1106"/>
      <c r="AE115" s="1106"/>
      <c r="AF115" s="1106"/>
      <c r="AG115" s="1106"/>
      <c r="AH115" s="1106"/>
      <c r="AI115" s="1106"/>
      <c r="AJ115" s="1106"/>
      <c r="AK115" s="1106"/>
      <c r="AL115" s="1106"/>
      <c r="AM115" s="1106"/>
      <c r="AN115" s="1106"/>
      <c r="AO115" s="1106"/>
      <c r="AP115" s="953"/>
    </row>
    <row r="116" spans="1:67" s="208" customFormat="1" ht="18" hidden="1" x14ac:dyDescent="0.25">
      <c r="A116" s="914"/>
      <c r="AC116" s="1108"/>
      <c r="AD116" s="914"/>
      <c r="AL116" s="914"/>
      <c r="AM116" s="914"/>
      <c r="AN116" s="914"/>
      <c r="AO116" s="914"/>
      <c r="AP116" s="914"/>
    </row>
    <row r="117" spans="1:67" s="208" customFormat="1" ht="21.75" customHeight="1" x14ac:dyDescent="0.25">
      <c r="A117" s="914"/>
      <c r="AC117" s="914"/>
      <c r="AD117" s="914"/>
      <c r="AI117" s="914"/>
      <c r="AJ117" s="914"/>
      <c r="AK117" s="914"/>
      <c r="AL117" s="914"/>
      <c r="AM117" s="914"/>
      <c r="AN117" s="914"/>
      <c r="AO117" s="914"/>
      <c r="AP117" s="914"/>
    </row>
    <row r="118" spans="1:67" s="208" customFormat="1" ht="22.5" customHeight="1" x14ac:dyDescent="0.25">
      <c r="A118" s="914"/>
      <c r="W118" s="1322"/>
      <c r="X118" s="1311"/>
      <c r="Y118" s="1311"/>
      <c r="Z118" s="1311"/>
      <c r="AA118" s="1311"/>
      <c r="AB118" s="1323" t="s">
        <v>203</v>
      </c>
      <c r="AC118" s="2815" t="e">
        <f>Gross_Loan</f>
        <v>#N/A</v>
      </c>
      <c r="AD118" s="2815"/>
      <c r="AE118" s="1311"/>
      <c r="AF118" s="1311"/>
      <c r="AG118" s="1311"/>
      <c r="AH118" s="1311"/>
      <c r="AI118" s="1324"/>
      <c r="AJ118" s="1325"/>
      <c r="AK118"/>
      <c r="AL118"/>
      <c r="AM118"/>
      <c r="AN118"/>
      <c r="AO118"/>
      <c r="AP118" s="914"/>
    </row>
    <row r="119" spans="1:67" s="208" customFormat="1" ht="15" customHeight="1" x14ac:dyDescent="0.25">
      <c r="A119" s="914"/>
      <c r="W119" s="1326"/>
      <c r="AB119" s="18" t="s">
        <v>204</v>
      </c>
      <c r="AC119" s="2814" t="e">
        <f>-'KB_CRITERIA AND CALCULATION '!$AH$90</f>
        <v>#N/A</v>
      </c>
      <c r="AD119" s="2814"/>
      <c r="AI119" s="914"/>
      <c r="AJ119" s="1327"/>
      <c r="AK119"/>
      <c r="AL119"/>
      <c r="AM119"/>
      <c r="AN119"/>
      <c r="AO119"/>
      <c r="AP119" s="914"/>
    </row>
    <row r="120" spans="1:67" s="208" customFormat="1" ht="18" hidden="1" x14ac:dyDescent="0.25">
      <c r="A120" s="914"/>
      <c r="W120" s="1326"/>
      <c r="AB120" s="18" t="s">
        <v>205</v>
      </c>
      <c r="AC120" s="2814" t="e">
        <f>-Deferred_Int_Owed</f>
        <v>#N/A</v>
      </c>
      <c r="AD120" s="2814"/>
      <c r="AI120" s="914"/>
      <c r="AJ120" s="1327"/>
      <c r="AK120"/>
      <c r="AL120"/>
      <c r="AM120"/>
      <c r="AN120"/>
      <c r="AO120"/>
      <c r="AP120" s="914"/>
    </row>
    <row r="121" spans="1:67" s="208" customFormat="1" ht="18" hidden="1" x14ac:dyDescent="0.25">
      <c r="A121" s="914"/>
      <c r="W121" s="1326"/>
      <c r="AB121" s="18" t="s">
        <v>206</v>
      </c>
      <c r="AC121" s="2814" t="e">
        <f>-M141</f>
        <v>#N/A</v>
      </c>
      <c r="AD121" s="2814"/>
      <c r="AI121" s="914"/>
      <c r="AJ121" s="1327"/>
      <c r="AK121"/>
      <c r="AL121"/>
      <c r="AM121"/>
      <c r="AN121"/>
      <c r="AO121"/>
      <c r="AP121" s="914"/>
    </row>
    <row r="122" spans="1:67" s="208" customFormat="1" ht="15" customHeight="1" x14ac:dyDescent="0.25">
      <c r="A122" s="914"/>
      <c r="W122" s="1326"/>
      <c r="AB122" s="13" t="s">
        <v>207</v>
      </c>
      <c r="AC122" s="2815" t="e">
        <f>SUM(AC118:AC121)</f>
        <v>#N/A</v>
      </c>
      <c r="AD122" s="2815"/>
      <c r="AI122" s="914"/>
      <c r="AJ122" s="1327"/>
      <c r="AK122"/>
      <c r="AL122"/>
      <c r="AM122"/>
      <c r="AN122"/>
      <c r="AO122"/>
      <c r="AP122" s="914"/>
    </row>
    <row r="123" spans="1:67" s="293" customFormat="1" ht="15" customHeight="1" x14ac:dyDescent="0.35">
      <c r="A123" s="914"/>
      <c r="W123" s="1328"/>
      <c r="AB123" s="18" t="s">
        <v>208</v>
      </c>
      <c r="AC123" s="2814" t="e">
        <f>AC118</f>
        <v>#N/A</v>
      </c>
      <c r="AD123" s="2814"/>
      <c r="AI123" s="914"/>
      <c r="AJ123" s="1327"/>
      <c r="AK123"/>
      <c r="AL123"/>
      <c r="AM123"/>
      <c r="AN123"/>
      <c r="AO123"/>
      <c r="AP123"/>
      <c r="AQ123" s="67"/>
      <c r="AR123" s="67"/>
      <c r="AS123" s="67"/>
      <c r="AT123" s="67"/>
      <c r="AU123" s="67"/>
      <c r="AV123" s="67"/>
      <c r="AW123" s="67"/>
      <c r="AX123" s="67"/>
      <c r="AY123" s="67"/>
      <c r="AZ123" s="67"/>
      <c r="BA123" s="67"/>
      <c r="BB123" s="67"/>
      <c r="BC123" s="67"/>
      <c r="BD123" s="67"/>
      <c r="BE123" s="67"/>
      <c r="BF123" s="67"/>
      <c r="BG123" s="67"/>
      <c r="BH123" s="67"/>
      <c r="BI123" s="67"/>
      <c r="BJ123" s="67"/>
      <c r="BK123" s="67"/>
      <c r="BL123" s="67"/>
      <c r="BM123" s="67"/>
      <c r="BN123" s="67"/>
      <c r="BO123" s="67"/>
    </row>
    <row r="124" spans="1:67" s="293" customFormat="1" ht="15" customHeight="1" x14ac:dyDescent="0.35">
      <c r="A124" s="914"/>
      <c r="W124" s="1328"/>
      <c r="AC124"/>
      <c r="AD124" s="287"/>
      <c r="AE124" s="287"/>
      <c r="AF124" s="1"/>
      <c r="AI124" s="914"/>
      <c r="AJ124" s="1327"/>
      <c r="AK124"/>
      <c r="AL124"/>
      <c r="AM124"/>
      <c r="AN124"/>
      <c r="AO124"/>
      <c r="AP124"/>
      <c r="AQ124" s="67"/>
      <c r="AR124" s="67"/>
      <c r="AS124" s="67"/>
      <c r="AT124" s="67"/>
      <c r="AU124" s="67"/>
      <c r="AV124" s="67"/>
      <c r="AW124" s="67"/>
      <c r="AX124" s="67"/>
      <c r="AY124" s="67"/>
      <c r="AZ124" s="67"/>
      <c r="BA124" s="67"/>
      <c r="BB124" s="67"/>
      <c r="BC124" s="67"/>
      <c r="BD124" s="67"/>
      <c r="BE124" s="67"/>
      <c r="BF124" s="67"/>
      <c r="BG124" s="67"/>
      <c r="BH124" s="67"/>
      <c r="BI124" s="67"/>
      <c r="BJ124" s="67"/>
      <c r="BK124" s="67"/>
      <c r="BL124" s="67"/>
      <c r="BM124" s="67"/>
      <c r="BN124" s="67"/>
      <c r="BO124" s="67"/>
    </row>
    <row r="125" spans="1:67" s="293" customFormat="1" ht="14.25" customHeight="1" x14ac:dyDescent="0.35">
      <c r="A125" s="914"/>
      <c r="W125" s="1328"/>
      <c r="AB125" s="1329" t="e">
        <f>O137</f>
        <v>#N/A</v>
      </c>
      <c r="AC125" s="2816" t="str">
        <f>M137</f>
        <v>-</v>
      </c>
      <c r="AD125" s="2816"/>
      <c r="AI125" s="914"/>
      <c r="AJ125" s="1327"/>
      <c r="AK125"/>
      <c r="AL125"/>
      <c r="AM125"/>
      <c r="AN125"/>
      <c r="AO125"/>
      <c r="AP125"/>
      <c r="AQ125" s="67"/>
      <c r="AR125" s="67"/>
      <c r="AS125" s="67"/>
      <c r="AT125" s="67"/>
      <c r="AU125" s="67"/>
      <c r="AV125" s="67"/>
      <c r="AW125" s="67"/>
      <c r="AX125" s="67"/>
      <c r="AY125" s="67"/>
      <c r="AZ125" s="67"/>
      <c r="BA125" s="67"/>
      <c r="BB125" s="67"/>
      <c r="BC125" s="67"/>
      <c r="BD125" s="67"/>
      <c r="BE125" s="67"/>
      <c r="BF125" s="67"/>
      <c r="BG125" s="67"/>
      <c r="BH125" s="67"/>
      <c r="BI125" s="67"/>
      <c r="BJ125" s="67"/>
      <c r="BK125" s="67"/>
      <c r="BL125" s="67"/>
      <c r="BM125" s="67"/>
      <c r="BN125" s="67"/>
      <c r="BO125" s="67"/>
    </row>
    <row r="126" spans="1:67" s="293" customFormat="1" ht="18" hidden="1" x14ac:dyDescent="0.35">
      <c r="A126" s="914"/>
      <c r="W126" s="1328"/>
      <c r="AB126" s="1329" t="e">
        <f>AB120&amp;" @"&amp;TEXT(DeferedIntPercent,"0.00%")&amp;" paid at redemption"</f>
        <v>#N/A</v>
      </c>
      <c r="AC126" s="2809" t="e">
        <f>-AC120</f>
        <v>#N/A</v>
      </c>
      <c r="AD126" s="2809"/>
      <c r="AI126" s="914"/>
      <c r="AJ126" s="1327"/>
      <c r="AK126"/>
      <c r="AL126"/>
      <c r="AM126"/>
      <c r="AN126"/>
      <c r="AO126"/>
      <c r="AP126"/>
      <c r="AQ126" s="67"/>
      <c r="AR126" s="67"/>
      <c r="AS126" s="67"/>
      <c r="AT126" s="67"/>
      <c r="AU126" s="67"/>
      <c r="AV126" s="67"/>
      <c r="AW126" s="67"/>
      <c r="AX126" s="67"/>
      <c r="AY126" s="67"/>
      <c r="AZ126" s="67"/>
      <c r="BA126" s="67"/>
      <c r="BB126" s="67"/>
      <c r="BC126" s="67"/>
      <c r="BD126" s="67"/>
      <c r="BE126" s="67"/>
      <c r="BF126" s="67"/>
      <c r="BG126" s="67"/>
      <c r="BH126" s="67"/>
      <c r="BI126" s="67"/>
      <c r="BJ126" s="67"/>
      <c r="BK126" s="67"/>
      <c r="BL126" s="67"/>
      <c r="BM126" s="67"/>
      <c r="BN126" s="67"/>
      <c r="BO126" s="67"/>
    </row>
    <row r="127" spans="1:67" s="293" customFormat="1" ht="18" hidden="1" x14ac:dyDescent="0.35">
      <c r="A127" s="914"/>
      <c r="W127" s="1328"/>
      <c r="AB127" s="1329" t="e">
        <f>TEXT(RollupMonths,"0")&amp;" "&amp;AB121&amp;" paid at redemption"</f>
        <v>#N/A</v>
      </c>
      <c r="AC127" s="2809" t="e">
        <f>-AC121</f>
        <v>#N/A</v>
      </c>
      <c r="AD127" s="2809"/>
      <c r="AI127" s="914"/>
      <c r="AJ127" s="1327"/>
      <c r="AK127"/>
      <c r="AL127"/>
      <c r="AM127"/>
      <c r="AN127"/>
      <c r="AO127"/>
      <c r="AP127"/>
      <c r="AQ127" s="67"/>
      <c r="AR127" s="67"/>
      <c r="AS127" s="67"/>
      <c r="AT127" s="67"/>
      <c r="AU127" s="67"/>
      <c r="AV127" s="67"/>
      <c r="AW127" s="67"/>
      <c r="AX127" s="67"/>
      <c r="AY127" s="67"/>
      <c r="AZ127" s="67"/>
      <c r="BA127" s="67"/>
      <c r="BB127" s="67"/>
      <c r="BC127" s="67"/>
      <c r="BD127" s="67"/>
      <c r="BE127" s="67"/>
      <c r="BF127" s="67"/>
      <c r="BG127" s="67"/>
      <c r="BH127" s="67"/>
      <c r="BI127" s="67"/>
      <c r="BJ127" s="67"/>
      <c r="BK127" s="67"/>
      <c r="BL127" s="67"/>
      <c r="BM127" s="67"/>
      <c r="BN127" s="67"/>
      <c r="BO127" s="67"/>
    </row>
    <row r="128" spans="1:67" s="293" customFormat="1" ht="18" hidden="1" x14ac:dyDescent="0.25">
      <c r="A128" s="914"/>
      <c r="W128" s="1328"/>
      <c r="AB128" s="1329" t="s">
        <v>209</v>
      </c>
      <c r="AC128" s="2809" t="e">
        <f>M145</f>
        <v>#N/A</v>
      </c>
      <c r="AD128" s="2809"/>
      <c r="AE128" s="1330" t="e">
        <f>"-&gt; "&amp;'BTL Calculator WIP'!AD96</f>
        <v>#N/A</v>
      </c>
      <c r="AG128" s="914"/>
      <c r="AH128" s="914"/>
      <c r="AI128" s="914"/>
      <c r="AJ128" s="1327"/>
      <c r="AK128"/>
      <c r="AL128"/>
      <c r="AM128"/>
      <c r="AN128"/>
      <c r="AO128"/>
      <c r="AP128" s="1112"/>
      <c r="AQ128" s="208"/>
      <c r="AR128" s="208"/>
      <c r="AS128" s="208"/>
      <c r="AT128" s="208"/>
      <c r="AU128" s="208"/>
      <c r="AV128" s="208"/>
      <c r="AW128" s="208"/>
      <c r="AX128" s="208"/>
      <c r="AY128" s="208"/>
    </row>
    <row r="129" spans="1:67" s="293" customFormat="1" ht="18" hidden="1" x14ac:dyDescent="0.35">
      <c r="A129" s="914"/>
      <c r="W129" s="1331"/>
      <c r="X129" s="1332"/>
      <c r="Y129" s="1332"/>
      <c r="Z129" s="1332"/>
      <c r="AA129" s="1332"/>
      <c r="AB129" s="1333" t="s">
        <v>210</v>
      </c>
      <c r="AC129" s="2810" t="e">
        <f>SUM(AC126:AC128)</f>
        <v>#N/A</v>
      </c>
      <c r="AD129" s="2810"/>
      <c r="AE129" s="1142" t="s">
        <v>211</v>
      </c>
      <c r="AF129" s="1332"/>
      <c r="AG129" s="1334"/>
      <c r="AH129" s="1334"/>
      <c r="AI129" s="1334"/>
      <c r="AJ129" s="1335"/>
      <c r="AK129"/>
      <c r="AL129"/>
      <c r="AM129"/>
      <c r="AN129"/>
      <c r="AO129"/>
      <c r="AP129" s="1112"/>
      <c r="AQ129" s="67"/>
      <c r="AR129" s="67"/>
      <c r="AS129" s="67"/>
      <c r="AT129" s="67"/>
      <c r="AU129" s="67"/>
      <c r="AV129" s="67"/>
      <c r="AW129" s="67"/>
      <c r="AX129" s="67"/>
      <c r="AY129" s="67"/>
      <c r="AZ129" s="67"/>
      <c r="BA129" s="67"/>
      <c r="BB129" s="67"/>
      <c r="BC129" s="67"/>
      <c r="BD129" s="67"/>
      <c r="BE129" s="67"/>
      <c r="BF129" s="67"/>
      <c r="BG129" s="67"/>
      <c r="BH129" s="67"/>
      <c r="BI129" s="67"/>
      <c r="BJ129" s="67"/>
      <c r="BK129" s="67"/>
      <c r="BL129" s="67"/>
      <c r="BM129" s="67"/>
      <c r="BN129" s="67"/>
      <c r="BO129" s="67"/>
    </row>
    <row r="130" spans="1:67" ht="18" hidden="1" x14ac:dyDescent="0.35">
      <c r="A130" s="914"/>
      <c r="C130" s="67"/>
      <c r="D130" s="2811" t="s">
        <v>212</v>
      </c>
      <c r="E130" s="2811"/>
      <c r="F130" s="2811"/>
      <c r="G130" s="2811"/>
      <c r="H130" s="2811"/>
      <c r="I130" s="2811"/>
      <c r="J130" s="2811"/>
      <c r="K130" s="2811"/>
      <c r="L130" s="2811"/>
      <c r="M130" s="2811"/>
      <c r="N130" s="2811"/>
      <c r="O130" s="2811"/>
      <c r="P130" s="2811"/>
      <c r="Q130" s="2811"/>
      <c r="R130" s="2811"/>
      <c r="S130" s="2811"/>
      <c r="T130" s="2811"/>
      <c r="U130" s="2811"/>
      <c r="AF130"/>
      <c r="AG130" s="914"/>
      <c r="AH130" s="914"/>
      <c r="AI130" s="914"/>
      <c r="AJ130" s="914"/>
      <c r="AK130"/>
      <c r="AL130"/>
      <c r="AM130"/>
      <c r="AN130"/>
      <c r="AO130"/>
      <c r="AP130"/>
    </row>
    <row r="131" spans="1:67" s="287" customFormat="1" ht="18" hidden="1" outlineLevel="1" x14ac:dyDescent="0.35">
      <c r="A131" s="914"/>
      <c r="B131" s="930"/>
      <c r="C131" s="914"/>
      <c r="D131" s="914"/>
      <c r="E131" s="914"/>
      <c r="F131" s="1"/>
      <c r="G131" s="1"/>
      <c r="H131" s="1"/>
      <c r="I131" s="1"/>
      <c r="J131" s="1"/>
      <c r="K131" s="1"/>
      <c r="L131" s="1"/>
      <c r="M131" s="1"/>
      <c r="N131"/>
      <c r="O131" s="914"/>
      <c r="P131" s="914"/>
      <c r="Q131" s="914"/>
      <c r="R131" s="914"/>
      <c r="S131" s="1112"/>
      <c r="AC131" s="456"/>
      <c r="AL131"/>
      <c r="AM131"/>
      <c r="AN131"/>
      <c r="AO131"/>
      <c r="AP131"/>
      <c r="AQ131" s="67"/>
      <c r="AR131" s="67"/>
    </row>
    <row r="132" spans="1:67" s="287" customFormat="1" ht="21.75" hidden="1" outlineLevel="1" thickBot="1" x14ac:dyDescent="0.4">
      <c r="A132"/>
      <c r="B132" s="930"/>
      <c r="C132" s="914"/>
      <c r="D132" s="1277" t="s">
        <v>213</v>
      </c>
      <c r="E132" s="1278"/>
      <c r="F132" s="1278"/>
      <c r="G132" s="1278"/>
      <c r="H132" s="1278"/>
      <c r="I132" s="1278"/>
      <c r="J132" s="1278"/>
      <c r="K132" s="1278"/>
      <c r="L132" s="1278"/>
      <c r="M132" s="1278"/>
      <c r="N132" s="1278"/>
      <c r="O132" s="1278"/>
      <c r="P132" s="1278"/>
      <c r="Q132" s="1278"/>
      <c r="R132" s="1278"/>
      <c r="S132" s="1278"/>
      <c r="T132" s="1278"/>
      <c r="U132" s="1279"/>
      <c r="V132"/>
      <c r="W132"/>
      <c r="X132"/>
      <c r="Y132"/>
      <c r="Z132"/>
      <c r="AC132" s="456"/>
      <c r="AH132"/>
      <c r="AM132"/>
      <c r="AQ132" s="67"/>
      <c r="AR132" s="67"/>
    </row>
    <row r="133" spans="1:67" s="287" customFormat="1" ht="20.25" customHeight="1" outlineLevel="1" x14ac:dyDescent="0.35">
      <c r="A133"/>
      <c r="B133" s="930"/>
      <c r="C133" s="914"/>
      <c r="D133" s="1113"/>
      <c r="E133" s="1114" t="str">
        <f>"Product Selected from the '"&amp;'BTL Calculator WIP'!G52&amp;"' section, tier "&amp;'BTL Calculator WIP'!$G$54</f>
        <v>Product Selected from the 'Basic Loan' section, tier 1) Standard BTL</v>
      </c>
      <c r="F133" s="914"/>
      <c r="G133" s="914"/>
      <c r="H133" s="1114"/>
      <c r="I133" s="914"/>
      <c r="K133" s="914"/>
      <c r="L133" s="914"/>
      <c r="M133" s="914"/>
      <c r="O133" s="914"/>
      <c r="P133" s="914"/>
      <c r="Q133" s="914"/>
      <c r="R133" s="914"/>
      <c r="S133" s="914"/>
      <c r="T133"/>
      <c r="U133" s="1115"/>
      <c r="V133"/>
      <c r="W133"/>
      <c r="X133"/>
      <c r="Y133"/>
      <c r="Z133"/>
      <c r="AC133"/>
      <c r="AH133"/>
      <c r="AM133"/>
      <c r="AQ133" s="67"/>
      <c r="AR133" s="67"/>
    </row>
    <row r="134" spans="1:67" s="287" customFormat="1" ht="20.25" customHeight="1" outlineLevel="1" x14ac:dyDescent="0.35">
      <c r="A134"/>
      <c r="B134" s="930"/>
      <c r="C134" s="914"/>
      <c r="D134" s="1113"/>
      <c r="E134" s="862"/>
      <c r="F134" s="865"/>
      <c r="G134" s="1116"/>
      <c r="H134" s="862"/>
      <c r="I134" s="865"/>
      <c r="J134" s="862"/>
      <c r="K134" s="865"/>
      <c r="L134" s="1116" t="s">
        <v>214</v>
      </c>
      <c r="M134" s="2812" t="e">
        <f>'KB_CRITERIA AND CALCULATION '!H90</f>
        <v>#N/A</v>
      </c>
      <c r="N134" s="2812"/>
      <c r="O134" s="1296" t="str">
        <f>IF(K23="Yes","Tracker rate","")</f>
        <v/>
      </c>
      <c r="P134" s="1117"/>
      <c r="Q134" s="1117"/>
      <c r="R134" s="1117"/>
      <c r="S134" s="1117"/>
      <c r="T134"/>
      <c r="U134" s="1115"/>
      <c r="V134"/>
      <c r="W134"/>
      <c r="X134"/>
      <c r="Y134"/>
      <c r="Z134"/>
      <c r="AC134" s="865"/>
      <c r="AD134" s="456"/>
      <c r="AE134" s="456"/>
      <c r="AF134" s="208"/>
      <c r="AH134"/>
      <c r="AM134"/>
      <c r="AQ134" s="67"/>
      <c r="AR134" s="67"/>
    </row>
    <row r="135" spans="1:67" s="287" customFormat="1" ht="20.25" customHeight="1" outlineLevel="1" x14ac:dyDescent="0.35">
      <c r="A135"/>
      <c r="B135"/>
      <c r="C135"/>
      <c r="D135" s="1118"/>
      <c r="E135" s="1119"/>
      <c r="F135" s="1120"/>
      <c r="G135" s="1121"/>
      <c r="H135" s="1119"/>
      <c r="I135" s="1120"/>
      <c r="J135" s="1119"/>
      <c r="K135" s="1120"/>
      <c r="L135" s="1121" t="s">
        <v>114</v>
      </c>
      <c r="M135" s="2813" t="e">
        <f>'KB_CRITERIA AND CALCULATION '!I90</f>
        <v>#N/A</v>
      </c>
      <c r="N135" s="2813"/>
      <c r="O135" s="1284" t="e">
        <f>'KB_CRITERIA AND CALCULATION '!AH90</f>
        <v>#N/A</v>
      </c>
      <c r="P135" s="1284"/>
      <c r="Q135" s="1284"/>
      <c r="R135" s="1284"/>
      <c r="S135" s="1284"/>
      <c r="T135" s="1284"/>
      <c r="U135" s="1285"/>
      <c r="V135"/>
      <c r="W135"/>
      <c r="X135"/>
      <c r="Y135"/>
      <c r="Z135"/>
      <c r="AA135"/>
      <c r="AB135"/>
      <c r="AC135"/>
      <c r="AH135"/>
      <c r="AM135"/>
      <c r="AQ135" s="67"/>
      <c r="AR135" s="67"/>
    </row>
    <row r="136" spans="1:67" s="287" customFormat="1" ht="20.25" customHeight="1" outlineLevel="1" x14ac:dyDescent="0.35">
      <c r="A136"/>
      <c r="B136"/>
      <c r="C136"/>
      <c r="D136" s="1113"/>
      <c r="E136" s="1280"/>
      <c r="F136" s="1281"/>
      <c r="G136" s="1281"/>
      <c r="H136" s="930"/>
      <c r="I136" s="1116"/>
      <c r="J136" s="930"/>
      <c r="K136" s="1116"/>
      <c r="L136" s="1122" t="s">
        <v>215</v>
      </c>
      <c r="M136" s="2804" t="e">
        <f>IF(IF(RoundDown,'KB_CRITERIA AND CALCULATION '!$R$90,'KB_CRITERIA AND CALCULATION '!$Q$90)&lt;0,0,IF(RoundDown,'KB_CRITERIA AND CALCULATION '!$R$90,'KB_CRITERIA AND CALCULATION '!$Q$90))</f>
        <v>#N/A</v>
      </c>
      <c r="N136" s="2804"/>
      <c r="O136" s="1123" t="e">
        <f>TEXT(Gross_Loan/Property_Value,"0%")&amp;" LTV"</f>
        <v>#N/A</v>
      </c>
      <c r="P136" s="1124"/>
      <c r="Q136" s="1124"/>
      <c r="R136" s="1124"/>
      <c r="S136" s="1124"/>
      <c r="T136" s="1124"/>
      <c r="U136" s="1125"/>
      <c r="V136"/>
      <c r="W136"/>
      <c r="X136"/>
      <c r="Y136"/>
      <c r="Z136"/>
      <c r="AA136"/>
      <c r="AB136"/>
      <c r="AC136"/>
      <c r="AH136"/>
      <c r="AM136"/>
      <c r="AQ136" s="67"/>
      <c r="AR136" s="67"/>
    </row>
    <row r="137" spans="1:67" s="287" customFormat="1" ht="20.25" customHeight="1" outlineLevel="1" x14ac:dyDescent="0.35">
      <c r="A137"/>
      <c r="B137"/>
      <c r="C137"/>
      <c r="D137" s="1118"/>
      <c r="E137" s="1126"/>
      <c r="F137" s="1121"/>
      <c r="G137" s="1121"/>
      <c r="H137" s="1126"/>
      <c r="I137" s="1121"/>
      <c r="J137" s="1126"/>
      <c r="K137" s="1121"/>
      <c r="L137" s="1121" t="s">
        <v>216</v>
      </c>
      <c r="M137" s="2805" t="str">
        <f>'KB_CRITERIA AND CALCULATION '!S90</f>
        <v>-</v>
      </c>
      <c r="N137" s="2805"/>
      <c r="O137" s="1127" t="e">
        <f>"MFS required interest: ("&amp;TEXT(M134,"0.00%")&amp;" x "&amp;TEXT(Gross_Loan/1000,"£0,0")&amp;"k)  x  "&amp;TEXT(M143/12,"0")&amp;" yrs"</f>
        <v>#N/A</v>
      </c>
      <c r="P137" s="1128"/>
      <c r="Q137" s="1128"/>
      <c r="R137" s="1128"/>
      <c r="S137" s="1128"/>
      <c r="T137" s="1128"/>
      <c r="U137" s="1228" t="e">
        <f>M137/Term</f>
        <v>#VALUE!</v>
      </c>
      <c r="V137"/>
      <c r="W137"/>
      <c r="X137"/>
      <c r="Y137"/>
      <c r="Z137"/>
      <c r="AA137"/>
      <c r="AB137"/>
      <c r="AC137"/>
      <c r="AH137"/>
      <c r="AM137"/>
      <c r="AQ137" s="67"/>
      <c r="AR137" s="67"/>
    </row>
    <row r="138" spans="1:67" s="287" customFormat="1" ht="20.25" customHeight="1" outlineLevel="1" x14ac:dyDescent="0.35">
      <c r="A138"/>
      <c r="B138"/>
      <c r="C138"/>
      <c r="D138" s="1118"/>
      <c r="E138" s="1129"/>
      <c r="F138" s="1130"/>
      <c r="G138" s="1131"/>
      <c r="H138" s="1129"/>
      <c r="I138" s="1130"/>
      <c r="J138" s="1129"/>
      <c r="K138" s="1130"/>
      <c r="L138" s="1131" t="s">
        <v>217</v>
      </c>
      <c r="M138" s="2806" t="e">
        <f>IF('KB_CRITERIA AND CALCULATION '!L90&lt;0,0,'KB_CRITERIA AND CALCULATION '!L90)</f>
        <v>#N/A</v>
      </c>
      <c r="N138" s="2806"/>
      <c r="O138" s="2807" t="e">
        <f>"Rate "&amp;TEXT(M134,"0.00%")&amp;" less "&amp;TEXT('KB_CRITERIA AND CALCULATION '!J90,"0.00%")&amp;" deferred"</f>
        <v>#N/A</v>
      </c>
      <c r="P138" s="2807"/>
      <c r="Q138" s="2807"/>
      <c r="R138" s="2807"/>
      <c r="S138" s="1282"/>
      <c r="T138" s="1282"/>
      <c r="U138" s="1283"/>
      <c r="V138"/>
      <c r="W138"/>
      <c r="X138"/>
      <c r="Y138"/>
      <c r="Z138"/>
      <c r="AA138"/>
      <c r="AB138"/>
      <c r="AC138"/>
      <c r="AF138"/>
      <c r="AG138"/>
      <c r="AH138"/>
      <c r="AM138"/>
      <c r="AQ138" s="67"/>
      <c r="AR138" s="67"/>
    </row>
    <row r="139" spans="1:67" s="287" customFormat="1" ht="20.25" customHeight="1" outlineLevel="1" x14ac:dyDescent="0.35">
      <c r="A139"/>
      <c r="B139"/>
      <c r="C139"/>
      <c r="D139" s="1113"/>
      <c r="E139" s="1306"/>
      <c r="F139" s="1307"/>
      <c r="G139" s="1307"/>
      <c r="H139" s="1132"/>
      <c r="I139" s="1133"/>
      <c r="J139" s="1132"/>
      <c r="K139" s="1133"/>
      <c r="L139" s="1134" t="s">
        <v>218</v>
      </c>
      <c r="M139" s="862"/>
      <c r="N139" s="862"/>
      <c r="O139" s="1135"/>
      <c r="P139" s="1135"/>
      <c r="Q139" s="1135"/>
      <c r="R139" s="1135"/>
      <c r="S139" s="1135"/>
      <c r="T139" s="1135"/>
      <c r="U139" s="1115"/>
      <c r="V139"/>
      <c r="W139"/>
      <c r="X139"/>
      <c r="Y139"/>
      <c r="Z139"/>
      <c r="AA139"/>
      <c r="AB139"/>
      <c r="AC139"/>
      <c r="AF139"/>
      <c r="AG139"/>
      <c r="AH139"/>
      <c r="AM139"/>
      <c r="AQ139" s="67"/>
      <c r="AR139" s="67"/>
    </row>
    <row r="140" spans="1:67" s="287" customFormat="1" ht="20.25" customHeight="1" outlineLevel="1" x14ac:dyDescent="0.35">
      <c r="A140"/>
      <c r="B140"/>
      <c r="C140"/>
      <c r="D140" s="1113"/>
      <c r="E140" s="1132"/>
      <c r="F140" s="1136"/>
      <c r="G140" s="1136"/>
      <c r="H140" s="1132"/>
      <c r="I140" s="1136"/>
      <c r="J140" s="1132"/>
      <c r="K140" s="1136"/>
      <c r="L140" s="1137" t="s">
        <v>219</v>
      </c>
      <c r="M140" s="2808" t="e">
        <f>IF('KB_CRITERIA AND CALCULATION '!AD90&lt;0,0,'KB_CRITERIA AND CALCULATION '!AD90)</f>
        <v>#N/A</v>
      </c>
      <c r="N140" s="2808"/>
      <c r="O140" s="1138" t="e">
        <f>TEXT('KB_CRITERIA AND CALCULATION '!J90,"0.00%")&amp;" deferred  X "&amp;TEXT(Gross_Loan/1000,"£0,0")&amp;"k loan = "&amp;TEXT((M134-M138)*M136,"£0,0")&amp;" pa"</f>
        <v>#N/A</v>
      </c>
      <c r="P140" s="1138"/>
      <c r="Q140" s="1138"/>
      <c r="R140" s="1138"/>
      <c r="S140" s="1138"/>
      <c r="T140"/>
      <c r="U140" s="1115"/>
      <c r="V140"/>
      <c r="W140"/>
      <c r="X140"/>
      <c r="Y140"/>
      <c r="Z140"/>
      <c r="AA140"/>
      <c r="AB140"/>
      <c r="AC140"/>
      <c r="AF140"/>
      <c r="AG140"/>
      <c r="AH140"/>
      <c r="AM140"/>
      <c r="AQ140" s="67"/>
      <c r="AR140" s="67"/>
    </row>
    <row r="141" spans="1:67" s="287" customFormat="1" ht="20.25" customHeight="1" outlineLevel="1" x14ac:dyDescent="0.35">
      <c r="A141"/>
      <c r="B141"/>
      <c r="C141"/>
      <c r="D141" s="1113"/>
      <c r="E141" s="865"/>
      <c r="F141" s="1136"/>
      <c r="G141" s="1136"/>
      <c r="H141" s="865"/>
      <c r="I141" s="1136"/>
      <c r="J141" s="865"/>
      <c r="K141" s="1136"/>
      <c r="L141" s="1137" t="s">
        <v>220</v>
      </c>
      <c r="M141" s="2808" t="e">
        <f>'KB_CRITERIA AND CALCULATION '!AE90</f>
        <v>#N/A</v>
      </c>
      <c r="N141" s="2808"/>
      <c r="O141" s="1138" t="e">
        <f>TEXT('KB_CRITERIA AND CALCULATION '!K90,"0")&amp;"m rolled x "&amp;TEXT(M144,"£0,0")</f>
        <v>#N/A</v>
      </c>
      <c r="P141" s="1138"/>
      <c r="Q141" s="1138"/>
      <c r="R141" s="1138"/>
      <c r="S141" s="1138"/>
      <c r="T141" s="862"/>
      <c r="U141" s="1139"/>
      <c r="V141"/>
      <c r="W141"/>
      <c r="X141"/>
      <c r="Y141"/>
      <c r="Z141"/>
      <c r="AA141"/>
      <c r="AB141"/>
      <c r="AC141"/>
      <c r="AF141" s="1"/>
      <c r="AG141" s="1"/>
      <c r="AH141" s="1"/>
      <c r="AM141" s="1"/>
      <c r="AR141" s="67"/>
    </row>
    <row r="142" spans="1:67" s="287" customFormat="1" ht="20.25" customHeight="1" outlineLevel="1" x14ac:dyDescent="0.35">
      <c r="A142"/>
      <c r="B142"/>
      <c r="C142"/>
      <c r="D142" s="1118"/>
      <c r="E142" s="1120"/>
      <c r="F142" s="1140"/>
      <c r="G142" s="1140"/>
      <c r="H142" s="1120"/>
      <c r="I142" s="1140"/>
      <c r="J142" s="1120"/>
      <c r="K142" s="1140"/>
      <c r="L142" s="1140" t="s">
        <v>221</v>
      </c>
      <c r="M142" s="2796" t="e">
        <f>IF('KB_CRITERIA AND CALCULATION '!AF90&lt;0,0,'KB_CRITERIA AND CALCULATION '!AF90)</f>
        <v>#N/A</v>
      </c>
      <c r="N142" s="2796"/>
      <c r="O142" s="1141"/>
      <c r="P142" s="1141"/>
      <c r="Q142" s="1141"/>
      <c r="R142" s="1141"/>
      <c r="S142" s="1141"/>
      <c r="T142" s="1142"/>
      <c r="U142" s="1143"/>
      <c r="V142"/>
      <c r="W142"/>
      <c r="X142"/>
      <c r="Y142"/>
      <c r="Z142"/>
      <c r="AA142"/>
      <c r="AB142"/>
      <c r="AC142"/>
      <c r="AF142" s="1"/>
      <c r="AG142" s="1"/>
      <c r="AH142" s="1"/>
      <c r="AM142" s="1"/>
      <c r="AR142" s="67"/>
    </row>
    <row r="143" spans="1:67" s="287" customFormat="1" ht="20.25" customHeight="1" outlineLevel="1" x14ac:dyDescent="0.35">
      <c r="A143"/>
      <c r="B143"/>
      <c r="C143"/>
      <c r="D143" s="1113"/>
      <c r="E143" s="1144"/>
      <c r="F143" s="862"/>
      <c r="G143" s="1116"/>
      <c r="H143" s="1144"/>
      <c r="I143" s="862"/>
      <c r="J143" s="1144"/>
      <c r="K143" s="862"/>
      <c r="L143" s="1116" t="s">
        <v>222</v>
      </c>
      <c r="M143" s="2797" t="e">
        <f>Term-IF('BTL Calculator WIP'!AN29='Product Data'!$AG$9,0,'KB_CRITERIA AND CALCULATION '!K90)</f>
        <v>#N/A</v>
      </c>
      <c r="N143" s="2797"/>
      <c r="O143" s="1138" t="e">
        <f>TEXT(Term,"0")&amp;"m "&amp;IF(OR('BTL Calculator WIP'!AN29='Product Data'!$AG$9,'KB_CRITERIA AND CALCULATION '!K90=0),IF('BTL Calculator WIP'!AN29='Product Data'!$AG$9,"(Rolled months Spread into the term)",""),"less "&amp;TEXT('KB_CRITERIA AND CALCULATION '!K90,"0")&amp;"m rolled")</f>
        <v>#N/A</v>
      </c>
      <c r="P143" s="1138"/>
      <c r="Q143" s="1138"/>
      <c r="R143" s="1138"/>
      <c r="S143" s="1138"/>
      <c r="T143"/>
      <c r="U143" s="1115"/>
      <c r="V143"/>
      <c r="W143"/>
      <c r="X143"/>
      <c r="Y143"/>
      <c r="Z143"/>
      <c r="AA143"/>
      <c r="AB143"/>
      <c r="AG143" s="1"/>
      <c r="AH143" s="1"/>
      <c r="AM143" s="1"/>
      <c r="AR143" s="67"/>
    </row>
    <row r="144" spans="1:67" s="287" customFormat="1" ht="18" hidden="1" customHeight="1" outlineLevel="1" x14ac:dyDescent="0.35">
      <c r="A144"/>
      <c r="B144"/>
      <c r="C144"/>
      <c r="D144" s="1113"/>
      <c r="E144" s="1144"/>
      <c r="F144" s="1116"/>
      <c r="G144" s="1122"/>
      <c r="H144" s="1144"/>
      <c r="I144" s="1116"/>
      <c r="J144" s="1144"/>
      <c r="K144" s="1116"/>
      <c r="L144" s="1122" t="s">
        <v>223</v>
      </c>
      <c r="M144" s="1145" t="str">
        <f>'KB_CRITERIA AND CALCULATION '!V90</f>
        <v>-</v>
      </c>
      <c r="N144" s="1145"/>
      <c r="O144" s="1146" t="s">
        <v>224</v>
      </c>
      <c r="P144" s="1146"/>
      <c r="Q144" s="1146"/>
      <c r="R144" s="1146"/>
      <c r="S144" s="1146"/>
      <c r="T144"/>
      <c r="U144" s="1115"/>
      <c r="V144"/>
      <c r="W144"/>
      <c r="X144"/>
      <c r="Y144"/>
      <c r="Z144"/>
      <c r="AA144"/>
      <c r="AB144"/>
      <c r="AG144" s="1"/>
      <c r="AH144" s="1"/>
      <c r="AM144" s="1"/>
      <c r="AR144" s="67"/>
    </row>
    <row r="145" spans="1:42" ht="18" hidden="1" customHeight="1" outlineLevel="1" x14ac:dyDescent="0.35">
      <c r="A145" s="865"/>
      <c r="B145" s="930"/>
      <c r="C145" s="914"/>
      <c r="D145" s="1113"/>
      <c r="E145" s="2798" t="s">
        <v>225</v>
      </c>
      <c r="F145" s="2798"/>
      <c r="G145" s="2798"/>
      <c r="H145" s="2798"/>
      <c r="I145" s="2798"/>
      <c r="J145" s="2798"/>
      <c r="K145" s="2798"/>
      <c r="L145" s="2798"/>
      <c r="M145" s="2800" t="e">
        <f>'KB_CRITERIA AND CALCULATION '!Z90</f>
        <v>#N/A</v>
      </c>
      <c r="N145" s="2800"/>
      <c r="O145" s="1286" t="e">
        <f>"Used for ICR"&amp;IF(M145&lt;M137,". Reduced interest paid in term. Still owe "&amp;TEXT(M142,"£0,0")&amp;" at redemption ("&amp;TEXT(M137,"£0,0")&amp;" owed - "&amp;TEXT(M145,"£0,0")&amp;"paid)","")</f>
        <v>#N/A</v>
      </c>
      <c r="P145" s="1286"/>
      <c r="Q145" s="1286"/>
      <c r="R145" s="1286"/>
      <c r="S145" s="1286"/>
      <c r="T145" s="1286"/>
      <c r="U145" s="1287"/>
      <c r="V145"/>
      <c r="W145"/>
      <c r="X145"/>
      <c r="Y145"/>
      <c r="Z145"/>
      <c r="AA145"/>
      <c r="AB145" s="951"/>
      <c r="AG145"/>
      <c r="AH145"/>
      <c r="AM145"/>
    </row>
    <row r="146" spans="1:42" ht="21" customHeight="1" outlineLevel="1" x14ac:dyDescent="0.35">
      <c r="A146" s="865"/>
      <c r="B146" s="930"/>
      <c r="C146" s="914"/>
      <c r="D146" s="1118"/>
      <c r="E146" s="2799"/>
      <c r="F146" s="2799"/>
      <c r="G146" s="2799"/>
      <c r="H146" s="2799"/>
      <c r="I146" s="2799"/>
      <c r="J146" s="2799"/>
      <c r="K146" s="2799"/>
      <c r="L146" s="2799"/>
      <c r="M146" s="2801"/>
      <c r="N146" s="2801"/>
      <c r="O146" s="1288"/>
      <c r="P146" s="1288"/>
      <c r="Q146" s="1288"/>
      <c r="R146" s="1288"/>
      <c r="S146" s="1288"/>
      <c r="T146" s="1288"/>
      <c r="U146" s="1289"/>
      <c r="V146"/>
      <c r="W146"/>
      <c r="X146"/>
      <c r="Y146"/>
      <c r="Z146" s="1347"/>
      <c r="AA146"/>
      <c r="AB146" s="914"/>
      <c r="AG146"/>
      <c r="AH146"/>
      <c r="AM146"/>
    </row>
    <row r="147" spans="1:42" ht="21" customHeight="1" outlineLevel="1" x14ac:dyDescent="0.35">
      <c r="A147" s="865"/>
      <c r="B147" s="1147"/>
      <c r="C147" s="1148"/>
      <c r="D147" s="1113"/>
      <c r="E147" s="865"/>
      <c r="F147" s="862"/>
      <c r="G147" s="1116"/>
      <c r="H147" s="865"/>
      <c r="I147" s="862"/>
      <c r="J147" s="865"/>
      <c r="K147" s="862"/>
      <c r="L147" s="1116" t="s">
        <v>226</v>
      </c>
      <c r="M147" s="2802">
        <f>'KB_CRITERIA AND CALCULATION '!U24</f>
        <v>0</v>
      </c>
      <c r="N147" s="2802"/>
      <c r="O147" s="1138" t="str">
        <f>TEXT('BTL Calculator WIP'!AB7,"(£0,0")&amp;IF(Top_Slice_PCM_GBP&gt;0,"+"&amp;TEXT(Top_Slice_PCM_GBP,"£0,0")&amp;" top slice","")&amp;") x Term of "&amp;TEXT(Term,"0")&amp;"m"</f>
        <v>(£00) x Term of 24m</v>
      </c>
      <c r="P147" s="1138"/>
      <c r="Q147" s="1138"/>
      <c r="R147" s="1138"/>
      <c r="S147" s="1138"/>
      <c r="T147"/>
      <c r="U147" s="1115"/>
      <c r="V147"/>
      <c r="W147"/>
      <c r="X147"/>
      <c r="Y147"/>
      <c r="Z147"/>
      <c r="AA147"/>
      <c r="AM147"/>
    </row>
    <row r="148" spans="1:42" ht="21" customHeight="1" outlineLevel="1" x14ac:dyDescent="0.35">
      <c r="A148" s="865"/>
      <c r="B148" s="914"/>
      <c r="C148" s="914"/>
      <c r="D148" s="1113"/>
      <c r="E148" s="865"/>
      <c r="F148" s="862"/>
      <c r="G148" s="1116"/>
      <c r="H148" s="865"/>
      <c r="I148" s="862"/>
      <c r="J148" s="865"/>
      <c r="K148" s="862"/>
      <c r="L148" s="1116" t="s">
        <v>227</v>
      </c>
      <c r="M148" s="2803" t="str">
        <f>'KB_CRITERIA AND CALCULATION '!$W$90</f>
        <v>-</v>
      </c>
      <c r="N148" s="2803"/>
      <c r="O148" s="1146" t="e">
        <f>"Gross rent "&amp;TEXT(M147/1000,"£0,0")&amp;"k / Interest over term "&amp;TEXT(M145/1000,"£0,0")&amp;"k @ pay rate"</f>
        <v>#N/A</v>
      </c>
      <c r="P148" s="1146"/>
      <c r="Q148" s="1146"/>
      <c r="R148" s="1146"/>
      <c r="S148" s="1146"/>
      <c r="T148"/>
      <c r="U148" s="1115"/>
      <c r="V148"/>
      <c r="W148"/>
      <c r="X148"/>
      <c r="Y148"/>
      <c r="Z148"/>
      <c r="AA148"/>
      <c r="AM148"/>
    </row>
    <row r="149" spans="1:42" ht="25.5" customHeight="1" outlineLevel="1" x14ac:dyDescent="0.35">
      <c r="A149" s="865"/>
      <c r="B149" s="914"/>
      <c r="C149" s="914"/>
      <c r="D149" s="1113"/>
      <c r="E149" s="865"/>
      <c r="F149" s="914"/>
      <c r="G149" s="1116"/>
      <c r="H149" s="865"/>
      <c r="I149" s="914"/>
      <c r="J149" s="865"/>
      <c r="K149" s="914"/>
      <c r="L149" s="1116" t="s">
        <v>200</v>
      </c>
      <c r="M149" s="2786" t="e">
        <f>IF('KB_CRITERIA AND CALCULATION '!$AG$90&lt;0,0,'KB_CRITERIA AND CALCULATION '!$AG$90)</f>
        <v>#N/A</v>
      </c>
      <c r="N149" s="2786"/>
      <c r="O149" s="1310" t="e">
        <f>"INVESTOR FUNDS LTV "&amp;TEXT(M149/Property_Value,"00%")</f>
        <v>#N/A</v>
      </c>
      <c r="P149" s="1149"/>
      <c r="Q149" s="1149"/>
      <c r="R149" s="1149"/>
      <c r="S149" s="1149"/>
      <c r="T149" s="1150"/>
      <c r="U149" s="1235" t="e">
        <f>" Gross Loan "&amp;TEXT(M136/1000000,"£0.00")&amp;"m less defer interest of "&amp;TEXT(M142,"£0,0")</f>
        <v>#N/A</v>
      </c>
      <c r="V149"/>
      <c r="W149"/>
      <c r="X149"/>
      <c r="Y149"/>
      <c r="Z149"/>
      <c r="AA149"/>
      <c r="AM149"/>
    </row>
    <row r="150" spans="1:42" ht="21" customHeight="1" outlineLevel="1" x14ac:dyDescent="0.35">
      <c r="A150" s="865"/>
      <c r="B150" s="1151"/>
      <c r="C150" s="1151"/>
      <c r="D150" s="1113"/>
      <c r="E150" s="865"/>
      <c r="F150"/>
      <c r="G150" s="1116"/>
      <c r="H150" s="865"/>
      <c r="I150"/>
      <c r="J150" s="865"/>
      <c r="K150"/>
      <c r="L150" s="1116" t="s">
        <v>114</v>
      </c>
      <c r="M150" s="2787" t="e">
        <f>$O$135</f>
        <v>#N/A</v>
      </c>
      <c r="N150" s="2787"/>
      <c r="O150"/>
      <c r="P150"/>
      <c r="Q150"/>
      <c r="R150"/>
      <c r="S150"/>
      <c r="T150"/>
      <c r="U150" s="1115"/>
      <c r="V150"/>
      <c r="W150"/>
      <c r="X150"/>
      <c r="Y150"/>
      <c r="Z150"/>
      <c r="AA150"/>
      <c r="AB150" s="610"/>
      <c r="AM150"/>
    </row>
    <row r="151" spans="1:42" ht="18" hidden="1" outlineLevel="1" x14ac:dyDescent="0.35">
      <c r="A151" s="865"/>
      <c r="B151" s="1151"/>
      <c r="C151" s="1151"/>
      <c r="D151" s="1113"/>
      <c r="E151" s="865"/>
      <c r="F151"/>
      <c r="G151" s="1152"/>
      <c r="H151" s="865"/>
      <c r="I151"/>
      <c r="J151" s="865"/>
      <c r="K151"/>
      <c r="L151" s="1152" t="s">
        <v>123</v>
      </c>
      <c r="M151" s="2788" t="e">
        <f>M149-M150</f>
        <v>#N/A</v>
      </c>
      <c r="N151" s="2788"/>
      <c r="O151" s="1146" t="e">
        <f>"Investor Funds "&amp;TEXT(M149,"£0,0")&amp;" less Product Fee "&amp;TEXT(M150,"£0,0")</f>
        <v>#N/A</v>
      </c>
      <c r="P151" s="1146"/>
      <c r="Q151" s="1146"/>
      <c r="R151" s="1146"/>
      <c r="S151" s="1146"/>
      <c r="T151"/>
      <c r="U151" s="1115"/>
      <c r="V151"/>
      <c r="W151"/>
      <c r="X151"/>
      <c r="Y151"/>
      <c r="Z151"/>
      <c r="AA151"/>
      <c r="AM151"/>
    </row>
    <row r="152" spans="1:42" ht="18.75" hidden="1" outlineLevel="1" thickBot="1" x14ac:dyDescent="0.4">
      <c r="A152" s="914"/>
      <c r="B152" s="930"/>
      <c r="C152" s="914"/>
      <c r="D152" s="1153"/>
      <c r="E152" s="1154"/>
      <c r="F152" s="1155"/>
      <c r="G152" s="1155"/>
      <c r="H152" s="1154"/>
      <c r="I152" s="1155"/>
      <c r="J152" s="1154"/>
      <c r="K152" s="1155"/>
      <c r="L152" s="1155"/>
      <c r="M152" s="2789" t="e">
        <f>M151/Property_Value</f>
        <v>#N/A</v>
      </c>
      <c r="N152" s="2789"/>
      <c r="O152" s="1156"/>
      <c r="P152" s="1156"/>
      <c r="Q152" s="1156"/>
      <c r="R152" s="1156"/>
      <c r="S152" s="1156"/>
      <c r="T152" s="1156"/>
      <c r="U152" s="1157"/>
      <c r="V152"/>
      <c r="W152"/>
      <c r="X152"/>
      <c r="Y152"/>
      <c r="Z152"/>
      <c r="AA152"/>
      <c r="AB152"/>
      <c r="AG152"/>
      <c r="AH152"/>
      <c r="AM152"/>
    </row>
    <row r="153" spans="1:42" ht="18" hidden="1" x14ac:dyDescent="0.35">
      <c r="A153" s="914"/>
      <c r="B153" s="914"/>
      <c r="C153" s="914"/>
      <c r="D153" s="930"/>
      <c r="E153" s="930"/>
      <c r="F153" s="930"/>
      <c r="G153" s="914"/>
      <c r="H153" s="914"/>
      <c r="I153" s="1077" t="s">
        <v>228</v>
      </c>
      <c r="J153" s="865"/>
      <c r="K153" s="914"/>
      <c r="L153" s="914"/>
      <c r="M153" s="914"/>
      <c r="N153" s="914"/>
      <c r="O153" s="914"/>
      <c r="P153"/>
      <c r="Q153"/>
      <c r="R153" s="914"/>
      <c r="S153" s="914"/>
      <c r="T153" s="914"/>
      <c r="U153" s="914"/>
      <c r="V153" s="914"/>
      <c r="W153" s="914"/>
      <c r="X153" s="914"/>
      <c r="Y153" s="914"/>
      <c r="Z153" s="914"/>
      <c r="AA153" s="914"/>
      <c r="AB153" s="914"/>
      <c r="AM153"/>
      <c r="AN153"/>
      <c r="AO153"/>
      <c r="AP153"/>
    </row>
    <row r="154" spans="1:42" ht="18" hidden="1" x14ac:dyDescent="0.35">
      <c r="A154" s="914"/>
      <c r="B154" s="914"/>
      <c r="C154" s="914"/>
      <c r="D154" s="930"/>
      <c r="E154" s="930"/>
      <c r="F154" s="930"/>
      <c r="G154" s="914"/>
      <c r="H154" s="914"/>
      <c r="I154" s="914"/>
      <c r="J154" s="914"/>
      <c r="K154" s="914"/>
      <c r="L154" s="914"/>
      <c r="M154" s="914"/>
      <c r="N154" s="914"/>
      <c r="O154" s="914"/>
      <c r="P154" s="914"/>
      <c r="Q154" s="914"/>
      <c r="R154" s="914"/>
      <c r="S154" s="914"/>
      <c r="T154" s="914"/>
      <c r="U154" s="914"/>
      <c r="V154" s="914"/>
      <c r="W154" s="914"/>
      <c r="X154" s="914"/>
      <c r="Y154" s="914"/>
      <c r="Z154" s="914"/>
      <c r="AA154" s="914"/>
      <c r="AB154" s="914"/>
      <c r="AC154" s="865"/>
      <c r="AD154" s="865"/>
      <c r="AE154" s="865"/>
      <c r="AF154" s="914"/>
      <c r="AG154" s="914"/>
      <c r="AH154" s="914"/>
      <c r="AI154" s="914"/>
      <c r="AJ154" s="914"/>
      <c r="AK154"/>
      <c r="AL154"/>
      <c r="AM154"/>
      <c r="AN154"/>
      <c r="AO154"/>
      <c r="AP154"/>
    </row>
    <row r="155" spans="1:42" ht="18" hidden="1" x14ac:dyDescent="0.35">
      <c r="A155" s="914"/>
      <c r="B155" s="914"/>
      <c r="C155" s="914"/>
      <c r="D155" s="930"/>
      <c r="E155" s="930"/>
      <c r="F155" s="930"/>
      <c r="G155" s="914"/>
      <c r="H155" s="914"/>
      <c r="I155" s="914"/>
      <c r="J155" s="914"/>
      <c r="K155" s="914"/>
      <c r="L155" s="914"/>
      <c r="M155" s="914"/>
      <c r="N155" s="914"/>
      <c r="O155" s="914"/>
      <c r="P155" s="914"/>
      <c r="Q155" s="914"/>
      <c r="R155" s="914"/>
      <c r="S155" s="914"/>
      <c r="T155" s="914"/>
      <c r="U155" s="914"/>
      <c r="V155" s="914"/>
      <c r="W155" s="914"/>
      <c r="X155" s="914"/>
      <c r="Y155" s="914"/>
      <c r="Z155" s="914"/>
      <c r="AA155" s="914"/>
      <c r="AB155" s="914"/>
      <c r="AC155" s="865"/>
      <c r="AD155" s="865"/>
      <c r="AE155" s="865"/>
      <c r="AF155" s="914"/>
      <c r="AG155" s="914"/>
      <c r="AH155" s="914"/>
      <c r="AI155" s="914"/>
      <c r="AJ155" s="914"/>
      <c r="AK155"/>
      <c r="AL155"/>
      <c r="AM155"/>
      <c r="AN155"/>
      <c r="AO155"/>
      <c r="AP155"/>
    </row>
    <row r="156" spans="1:42" ht="18" hidden="1" x14ac:dyDescent="0.35">
      <c r="A156" s="914"/>
      <c r="B156" s="914"/>
      <c r="C156" s="914"/>
      <c r="D156" s="930"/>
      <c r="E156" s="930"/>
      <c r="F156" s="930"/>
      <c r="G156" s="914"/>
      <c r="H156" s="914"/>
      <c r="I156" s="914"/>
      <c r="J156" s="914"/>
      <c r="K156" s="914"/>
      <c r="L156" s="914"/>
      <c r="M156" s="914"/>
      <c r="N156" s="914"/>
      <c r="O156" s="914"/>
      <c r="P156" s="914"/>
      <c r="Q156" s="914"/>
      <c r="R156" s="914"/>
      <c r="S156" s="914"/>
      <c r="T156" s="914"/>
      <c r="U156" s="914"/>
      <c r="V156" s="914"/>
      <c r="W156" s="914"/>
      <c r="X156" s="914"/>
      <c r="Y156" s="914"/>
      <c r="Z156" s="914"/>
      <c r="AA156" s="914"/>
      <c r="AB156" s="914"/>
      <c r="AC156" s="865"/>
      <c r="AD156" s="865"/>
      <c r="AE156" s="865"/>
      <c r="AF156" s="914"/>
      <c r="AG156" s="914"/>
      <c r="AH156" s="914"/>
      <c r="AI156" s="914"/>
      <c r="AJ156" s="914"/>
      <c r="AK156"/>
      <c r="AL156"/>
      <c r="AM156"/>
      <c r="AN156"/>
      <c r="AO156"/>
      <c r="AP156"/>
    </row>
    <row r="157" spans="1:42" ht="28.5" hidden="1" x14ac:dyDescent="0.45">
      <c r="A157" s="914"/>
      <c r="B157" s="1105"/>
      <c r="C157" s="1105"/>
      <c r="D157" s="1105"/>
      <c r="E157" s="1105"/>
      <c r="F157" s="1105"/>
      <c r="G157" s="1106"/>
      <c r="H157" s="1106"/>
      <c r="I157" s="1106"/>
      <c r="J157" s="1106"/>
      <c r="K157" s="1106"/>
      <c r="L157" s="1106"/>
      <c r="M157" s="1106"/>
      <c r="N157" s="1106"/>
      <c r="O157" s="1106"/>
      <c r="P157" s="1106"/>
      <c r="Q157" s="1106"/>
      <c r="R157" s="1106"/>
      <c r="S157" s="1106"/>
      <c r="T157" s="1106"/>
      <c r="U157" s="1106"/>
      <c r="V157" s="1106"/>
      <c r="W157" s="1106"/>
      <c r="X157" s="1106"/>
      <c r="Y157" s="1106"/>
      <c r="Z157" s="1106"/>
      <c r="AA157" s="1106"/>
      <c r="AB157" s="1106"/>
      <c r="AC157" s="865"/>
      <c r="AD157" s="865"/>
      <c r="AE157" s="865"/>
      <c r="AF157" s="914"/>
      <c r="AG157" s="914"/>
      <c r="AH157" s="914"/>
      <c r="AI157" s="914"/>
      <c r="AJ157" s="914"/>
      <c r="AK157"/>
      <c r="AL157"/>
      <c r="AM157"/>
      <c r="AN157"/>
      <c r="AO157"/>
      <c r="AP157"/>
    </row>
    <row r="158" spans="1:42" ht="19.5" hidden="1" x14ac:dyDescent="0.35">
      <c r="A158" s="914"/>
      <c r="B158" s="914"/>
      <c r="C158"/>
      <c r="D158" s="930"/>
      <c r="E158" s="1107" t="s">
        <v>229</v>
      </c>
      <c r="F158" s="930"/>
      <c r="G158" s="1108"/>
      <c r="H158" s="1108"/>
      <c r="I158" s="1108"/>
      <c r="J158" s="1108"/>
      <c r="K158" s="1108"/>
      <c r="L158" s="1108"/>
      <c r="M158" s="1108"/>
      <c r="N158" s="1108"/>
      <c r="O158" s="1108"/>
      <c r="P158" s="1108"/>
      <c r="Q158" s="1108"/>
      <c r="R158" s="1108"/>
      <c r="S158" s="914"/>
      <c r="T158" s="914"/>
      <c r="U158" s="914"/>
      <c r="V158" s="914"/>
      <c r="W158" s="914"/>
      <c r="X158" s="914"/>
      <c r="Y158" s="914"/>
      <c r="Z158" s="914"/>
      <c r="AA158" s="914"/>
      <c r="AB158" s="1108"/>
      <c r="AC158" s="865"/>
      <c r="AD158" s="865"/>
      <c r="AE158" s="865"/>
      <c r="AF158" s="914"/>
      <c r="AG158" s="914"/>
      <c r="AH158" s="914"/>
      <c r="AI158" s="914"/>
      <c r="AJ158" s="914"/>
      <c r="AK158"/>
      <c r="AL158"/>
      <c r="AM158"/>
      <c r="AN158"/>
      <c r="AO158"/>
      <c r="AP158"/>
    </row>
    <row r="159" spans="1:42" ht="18" hidden="1" x14ac:dyDescent="0.35">
      <c r="A159" s="914"/>
      <c r="B159" s="914"/>
      <c r="C159" s="1077"/>
      <c r="D159" s="2781">
        <v>2021</v>
      </c>
      <c r="E159" s="2782"/>
      <c r="F159" s="2783"/>
      <c r="G159" s="2790">
        <v>2022</v>
      </c>
      <c r="H159" s="2791"/>
      <c r="I159" s="2792"/>
      <c r="J159" s="2793">
        <v>2023</v>
      </c>
      <c r="K159" s="2794"/>
      <c r="L159" s="2795"/>
      <c r="M159" s="2781">
        <v>2024</v>
      </c>
      <c r="N159" s="2783"/>
      <c r="O159" s="2781">
        <v>2025</v>
      </c>
      <c r="P159" s="2782"/>
      <c r="Q159" s="2783"/>
      <c r="R159" s="2781" t="s">
        <v>230</v>
      </c>
      <c r="S159" s="2782"/>
      <c r="T159" s="2783"/>
      <c r="U159"/>
      <c r="V159" s="1109"/>
      <c r="W159" s="1109"/>
      <c r="X159" s="914"/>
      <c r="Y159" s="914"/>
      <c r="Z159" s="914"/>
      <c r="AA159" s="914"/>
      <c r="AB159" s="914"/>
      <c r="AC159" s="865"/>
      <c r="AD159" s="865"/>
      <c r="AE159" s="865"/>
      <c r="AF159" s="914"/>
      <c r="AG159" s="914"/>
      <c r="AH159" s="914"/>
      <c r="AI159" s="914"/>
      <c r="AJ159" s="914"/>
      <c r="AK159"/>
      <c r="AL159"/>
      <c r="AM159"/>
      <c r="AN159"/>
      <c r="AO159"/>
      <c r="AP159"/>
    </row>
    <row r="160" spans="1:42" ht="23.25" customHeight="1" x14ac:dyDescent="0.35">
      <c r="A160" s="914"/>
      <c r="B160" s="2784" t="s">
        <v>231</v>
      </c>
      <c r="C160" s="2785"/>
      <c r="D160" s="2769" t="e">
        <f>HPI!J3</f>
        <v>#N/A</v>
      </c>
      <c r="E160" s="2770"/>
      <c r="F160" s="2771"/>
      <c r="G160" s="2769" t="e">
        <f>HPI!K3</f>
        <v>#N/A</v>
      </c>
      <c r="H160" s="2770"/>
      <c r="I160" s="2771"/>
      <c r="J160" s="2769" t="e">
        <f>HPI!L3</f>
        <v>#N/A</v>
      </c>
      <c r="K160" s="2770"/>
      <c r="L160" s="2771"/>
      <c r="M160" s="2769" t="e">
        <f>HPI!M3</f>
        <v>#N/A</v>
      </c>
      <c r="N160" s="2771"/>
      <c r="O160" s="2769" t="e">
        <f>HPI!N3</f>
        <v>#N/A</v>
      </c>
      <c r="P160" s="2770"/>
      <c r="Q160" s="2771"/>
      <c r="R160" s="2769" t="e">
        <f>HPI!O3</f>
        <v>#N/A</v>
      </c>
      <c r="S160" s="2770"/>
      <c r="T160" s="2771"/>
      <c r="U160" s="1313" t="s">
        <v>232</v>
      </c>
      <c r="V160" s="1011"/>
      <c r="W160" s="1314"/>
      <c r="X160" s="914"/>
      <c r="Y160" s="914"/>
      <c r="Z160" s="914"/>
      <c r="AA160" s="914"/>
      <c r="AB160" s="914"/>
      <c r="AC160" s="865"/>
      <c r="AD160" s="865"/>
      <c r="AE160" s="865"/>
      <c r="AF160" s="914"/>
      <c r="AG160" s="914"/>
      <c r="AH160" s="914"/>
      <c r="AI160" s="914"/>
      <c r="AJ160" s="914"/>
      <c r="AK160"/>
      <c r="AL160"/>
      <c r="AM160"/>
      <c r="AN160"/>
      <c r="AO160"/>
      <c r="AP160"/>
    </row>
    <row r="161" spans="1:42" ht="18" hidden="1" x14ac:dyDescent="0.35">
      <c r="A161" s="914"/>
      <c r="B161" s="1011"/>
      <c r="C161" s="1318" t="s">
        <v>233</v>
      </c>
      <c r="D161" s="2766" t="e">
        <f>HPI!J4</f>
        <v>#N/A</v>
      </c>
      <c r="E161" s="2767"/>
      <c r="F161" s="2768"/>
      <c r="G161" s="2766" t="e">
        <f>HPI!K4</f>
        <v>#N/A</v>
      </c>
      <c r="H161" s="2767"/>
      <c r="I161" s="2768"/>
      <c r="J161" s="2766" t="e">
        <f>HPI!L4</f>
        <v>#N/A</v>
      </c>
      <c r="K161" s="2767"/>
      <c r="L161" s="2768"/>
      <c r="M161" s="2766" t="e">
        <f>HPI!M4</f>
        <v>#N/A</v>
      </c>
      <c r="N161" s="2768"/>
      <c r="O161" s="2766" t="e">
        <f>HPI!N4</f>
        <v>#N/A</v>
      </c>
      <c r="P161" s="2767"/>
      <c r="Q161" s="2768"/>
      <c r="R161" s="2766" t="e">
        <f>HPI!O4</f>
        <v>#N/A</v>
      </c>
      <c r="S161" s="2767"/>
      <c r="T161" s="2768"/>
      <c r="U161" s="1313" t="s">
        <v>234</v>
      </c>
      <c r="V161" s="1011"/>
      <c r="W161" s="1314"/>
      <c r="X161" s="914"/>
      <c r="Y161" s="914"/>
      <c r="Z161" s="914"/>
      <c r="AA161" s="914"/>
      <c r="AB161" s="914"/>
      <c r="AC161" s="865"/>
      <c r="AD161" s="865"/>
      <c r="AE161" s="865"/>
      <c r="AF161" s="914"/>
      <c r="AG161" s="914"/>
      <c r="AH161" s="914"/>
      <c r="AI161" s="914"/>
      <c r="AJ161" s="914"/>
      <c r="AK161"/>
      <c r="AL161"/>
      <c r="AM161"/>
      <c r="AN161"/>
      <c r="AO161"/>
      <c r="AP161"/>
    </row>
    <row r="162" spans="1:42" ht="18" hidden="1" x14ac:dyDescent="0.35">
      <c r="A162" s="914"/>
      <c r="B162" s="1011"/>
      <c r="C162" s="1319" t="s">
        <v>235</v>
      </c>
      <c r="D162" s="2778" t="e">
        <f>HPI!J5</f>
        <v>#N/A</v>
      </c>
      <c r="E162" s="2779"/>
      <c r="F162" s="2780"/>
      <c r="G162" s="2778" t="e">
        <f>HPI!K5</f>
        <v>#N/A</v>
      </c>
      <c r="H162" s="2779"/>
      <c r="I162" s="2780"/>
      <c r="J162" s="2778" t="e">
        <f>HPI!L5</f>
        <v>#N/A</v>
      </c>
      <c r="K162" s="2779"/>
      <c r="L162" s="2780"/>
      <c r="M162" s="2778" t="e">
        <f>HPI!M5</f>
        <v>#N/A</v>
      </c>
      <c r="N162" s="2780"/>
      <c r="O162" s="2778" t="e">
        <f>HPI!N5</f>
        <v>#N/A</v>
      </c>
      <c r="P162" s="2779"/>
      <c r="Q162" s="2780"/>
      <c r="R162" s="2778" t="e">
        <f>HPI!O5</f>
        <v>#N/A</v>
      </c>
      <c r="S162" s="2779"/>
      <c r="T162" s="2780"/>
      <c r="U162" s="1314" t="s">
        <v>236</v>
      </c>
      <c r="V162" s="1314"/>
      <c r="W162" s="1314"/>
      <c r="X162" s="914"/>
      <c r="Y162" s="914"/>
      <c r="Z162" s="914"/>
      <c r="AA162" s="914"/>
      <c r="AB162" s="914"/>
      <c r="AC162" s="865"/>
      <c r="AD162" s="865"/>
      <c r="AE162" s="865"/>
      <c r="AF162" s="914"/>
      <c r="AG162" s="914"/>
      <c r="AH162" s="914"/>
      <c r="AI162" s="914"/>
      <c r="AJ162" s="914"/>
      <c r="AK162"/>
      <c r="AL162"/>
      <c r="AM162"/>
      <c r="AN162"/>
      <c r="AO162"/>
      <c r="AP162"/>
    </row>
    <row r="163" spans="1:42" ht="18" hidden="1" x14ac:dyDescent="0.35">
      <c r="A163" s="914"/>
      <c r="B163" s="1011"/>
      <c r="C163" s="1319" t="s">
        <v>237</v>
      </c>
      <c r="D163" s="2775" t="e">
        <f>HPI!J6</f>
        <v>#N/A</v>
      </c>
      <c r="E163" s="2776"/>
      <c r="F163" s="2777"/>
      <c r="G163" s="2775" t="e">
        <f>HPI!K6</f>
        <v>#N/A</v>
      </c>
      <c r="H163" s="2776"/>
      <c r="I163" s="2777"/>
      <c r="J163" s="2775" t="e">
        <f>HPI!L6</f>
        <v>#N/A</v>
      </c>
      <c r="K163" s="2776"/>
      <c r="L163" s="2777"/>
      <c r="M163" s="2775" t="e">
        <f>HPI!M6</f>
        <v>#N/A</v>
      </c>
      <c r="N163" s="2777"/>
      <c r="O163" s="2775" t="e">
        <f>HPI!N6</f>
        <v>#N/A</v>
      </c>
      <c r="P163" s="2776"/>
      <c r="Q163" s="2777"/>
      <c r="R163" s="2775" t="e">
        <f>HPI!O6</f>
        <v>#N/A</v>
      </c>
      <c r="S163" s="2776"/>
      <c r="T163" s="2777"/>
      <c r="U163" s="1314" t="s">
        <v>238</v>
      </c>
      <c r="V163" s="1110"/>
      <c r="W163" s="1110"/>
      <c r="X163" s="914"/>
      <c r="Y163" s="914"/>
      <c r="Z163" s="914"/>
      <c r="AA163" s="914"/>
      <c r="AB163" s="914"/>
      <c r="AC163" s="865"/>
      <c r="AD163" s="865"/>
      <c r="AE163" s="865"/>
      <c r="AF163" s="914"/>
      <c r="AG163" s="914"/>
      <c r="AH163" s="914"/>
      <c r="AI163" s="914"/>
      <c r="AJ163" s="914"/>
      <c r="AK163"/>
      <c r="AL163"/>
      <c r="AM163"/>
      <c r="AN163"/>
      <c r="AO163"/>
      <c r="AP163"/>
    </row>
    <row r="164" spans="1:42" ht="18" hidden="1" x14ac:dyDescent="0.35">
      <c r="A164" s="914"/>
      <c r="B164" s="1011"/>
      <c r="C164" s="1320" t="s">
        <v>239</v>
      </c>
      <c r="D164" s="2772" t="e">
        <f>HPI!J7</f>
        <v>#N/A</v>
      </c>
      <c r="E164" s="2773"/>
      <c r="F164" s="2774"/>
      <c r="G164" s="2772" t="e">
        <f>HPI!K7</f>
        <v>#N/A</v>
      </c>
      <c r="H164" s="2773"/>
      <c r="I164" s="2774"/>
      <c r="J164" s="2772" t="e">
        <f>HPI!L7</f>
        <v>#N/A</v>
      </c>
      <c r="K164" s="2773"/>
      <c r="L164" s="2774"/>
      <c r="M164" s="2772" t="e">
        <f>HPI!M7</f>
        <v>#N/A</v>
      </c>
      <c r="N164" s="2774"/>
      <c r="O164" s="2772" t="e">
        <f>HPI!N7</f>
        <v>#N/A</v>
      </c>
      <c r="P164" s="2773"/>
      <c r="Q164" s="2774"/>
      <c r="R164" s="2772" t="e">
        <f>HPI!O7</f>
        <v>#N/A</v>
      </c>
      <c r="S164" s="2773"/>
      <c r="T164" s="2774"/>
      <c r="U164" s="1314" t="s">
        <v>240</v>
      </c>
      <c r="V164" s="1315"/>
      <c r="W164" s="1315"/>
      <c r="X164" s="914"/>
      <c r="Y164" s="914"/>
      <c r="Z164" s="914"/>
      <c r="AA164" s="914"/>
      <c r="AB164" s="914"/>
      <c r="AC164" s="865"/>
      <c r="AD164" s="865"/>
      <c r="AE164" s="865"/>
      <c r="AF164" s="914"/>
      <c r="AG164" s="914"/>
      <c r="AH164" s="914"/>
      <c r="AI164" s="914"/>
      <c r="AJ164" s="914"/>
      <c r="AK164"/>
      <c r="AL164"/>
      <c r="AM164"/>
      <c r="AN164"/>
      <c r="AO164"/>
      <c r="AP164"/>
    </row>
    <row r="165" spans="1:42" ht="18" hidden="1" x14ac:dyDescent="0.35">
      <c r="A165" s="914"/>
      <c r="B165" s="1011"/>
      <c r="C165" s="1321" t="s">
        <v>231</v>
      </c>
      <c r="D165" s="2769" t="e">
        <f>HPI!J8</f>
        <v>#N/A</v>
      </c>
      <c r="E165" s="2770"/>
      <c r="F165" s="2771"/>
      <c r="G165" s="2769" t="e">
        <f>HPI!K8</f>
        <v>#N/A</v>
      </c>
      <c r="H165" s="2770"/>
      <c r="I165" s="2771"/>
      <c r="J165" s="2769" t="e">
        <f>HPI!L8</f>
        <v>#N/A</v>
      </c>
      <c r="K165" s="2770"/>
      <c r="L165" s="2771"/>
      <c r="M165" s="2769" t="e">
        <f>HPI!M8</f>
        <v>#N/A</v>
      </c>
      <c r="N165" s="2771"/>
      <c r="O165" s="2769" t="e">
        <f>HPI!N8</f>
        <v>#N/A</v>
      </c>
      <c r="P165" s="2770"/>
      <c r="Q165" s="2771"/>
      <c r="R165" s="2769" t="e">
        <f>HPI!O8</f>
        <v>#N/A</v>
      </c>
      <c r="S165" s="2770"/>
      <c r="T165" s="2771"/>
      <c r="U165" s="1316" t="s">
        <v>232</v>
      </c>
      <c r="V165" s="1317"/>
      <c r="W165" s="1011"/>
      <c r="X165" s="914"/>
      <c r="Y165" s="914"/>
      <c r="Z165" s="914"/>
      <c r="AA165" s="914"/>
      <c r="AB165" s="914"/>
      <c r="AC165" s="865"/>
      <c r="AD165" s="865"/>
      <c r="AE165" s="865"/>
      <c r="AF165" s="914"/>
      <c r="AG165" s="914"/>
      <c r="AH165" s="914"/>
      <c r="AI165" s="914"/>
      <c r="AJ165" s="914"/>
      <c r="AK165"/>
      <c r="AL165"/>
      <c r="AM165"/>
      <c r="AN165"/>
      <c r="AO165"/>
      <c r="AP165"/>
    </row>
    <row r="166" spans="1:42" ht="18" hidden="1" x14ac:dyDescent="0.35">
      <c r="A166" s="914"/>
      <c r="B166" s="1011"/>
      <c r="C166" s="1318" t="s">
        <v>241</v>
      </c>
      <c r="D166" s="2766" t="e">
        <f>HPI!J9</f>
        <v>#N/A</v>
      </c>
      <c r="E166" s="2767"/>
      <c r="F166" s="2768"/>
      <c r="G166" s="2766" t="e">
        <f>HPI!K9</f>
        <v>#N/A</v>
      </c>
      <c r="H166" s="2767"/>
      <c r="I166" s="2768"/>
      <c r="J166" s="2766" t="e">
        <f>HPI!L9</f>
        <v>#N/A</v>
      </c>
      <c r="K166" s="2767"/>
      <c r="L166" s="2768"/>
      <c r="M166" s="2766" t="e">
        <f>HPI!M9</f>
        <v>#N/A</v>
      </c>
      <c r="N166" s="2768"/>
      <c r="O166" s="2766" t="e">
        <f>HPI!N9</f>
        <v>#N/A</v>
      </c>
      <c r="P166" s="2767"/>
      <c r="Q166" s="2768"/>
      <c r="R166" s="2766" t="e">
        <f>HPI!O9</f>
        <v>#N/A</v>
      </c>
      <c r="S166" s="2767"/>
      <c r="T166" s="2768"/>
      <c r="U166" s="1313" t="s">
        <v>242</v>
      </c>
      <c r="V166" s="1315"/>
      <c r="W166" s="1070"/>
      <c r="X166" s="914"/>
      <c r="Y166" s="914"/>
      <c r="Z166" s="914"/>
      <c r="AA166" s="914"/>
      <c r="AB166"/>
      <c r="AC166" s="865"/>
      <c r="AD166" s="865"/>
      <c r="AE166" s="865"/>
      <c r="AF166" s="914"/>
      <c r="AG166" s="914"/>
      <c r="AH166" s="914"/>
      <c r="AI166" s="914"/>
      <c r="AJ166" s="914"/>
      <c r="AK166"/>
      <c r="AL166"/>
      <c r="AM166"/>
      <c r="AN166"/>
      <c r="AO166"/>
      <c r="AP166"/>
    </row>
    <row r="167" spans="1:42" ht="18" hidden="1" x14ac:dyDescent="0.35">
      <c r="A167" s="914"/>
      <c r="B167" s="1011"/>
      <c r="C167" s="1319" t="s">
        <v>243</v>
      </c>
      <c r="D167" s="2763" t="str">
        <f>HPI!J10</f>
        <v>-</v>
      </c>
      <c r="E167" s="2764"/>
      <c r="F167" s="2765"/>
      <c r="G167" s="2763" t="e">
        <f>HPI!K10</f>
        <v>#VALUE!</v>
      </c>
      <c r="H167" s="2764"/>
      <c r="I167" s="2765"/>
      <c r="J167" s="2763" t="e">
        <f>HPI!L10</f>
        <v>#VALUE!</v>
      </c>
      <c r="K167" s="2764"/>
      <c r="L167" s="2765"/>
      <c r="M167" s="2763" t="e">
        <f>HPI!M10</f>
        <v>#VALUE!</v>
      </c>
      <c r="N167" s="2765"/>
      <c r="O167" s="2763" t="e">
        <f>HPI!N10</f>
        <v>#VALUE!</v>
      </c>
      <c r="P167" s="2764"/>
      <c r="Q167" s="2765"/>
      <c r="R167" s="2763" t="e">
        <f>HPI!O10</f>
        <v>#VALUE!</v>
      </c>
      <c r="S167" s="2764"/>
      <c r="T167" s="2765"/>
      <c r="U167" s="1314" t="s">
        <v>243</v>
      </c>
      <c r="V167" s="1315"/>
      <c r="W167" s="1314"/>
      <c r="X167" s="914"/>
      <c r="Y167" s="914"/>
      <c r="Z167" s="914"/>
      <c r="AA167" s="914"/>
      <c r="AB167"/>
      <c r="AC167" s="865"/>
      <c r="AD167" s="865"/>
      <c r="AE167" s="865"/>
      <c r="AF167" s="914"/>
      <c r="AG167" s="914"/>
      <c r="AH167" s="914"/>
      <c r="AI167" s="914"/>
      <c r="AJ167" s="914"/>
      <c r="AK167"/>
      <c r="AL167"/>
      <c r="AM167"/>
      <c r="AN167"/>
      <c r="AO167"/>
      <c r="AP167"/>
    </row>
    <row r="168" spans="1:42" ht="18" hidden="1" x14ac:dyDescent="0.35">
      <c r="A168" s="914"/>
      <c r="B168" s="914"/>
      <c r="C168" s="914"/>
      <c r="D168" s="930"/>
      <c r="E168" s="1111" t="s">
        <v>244</v>
      </c>
      <c r="F168" s="930"/>
      <c r="G168" s="914"/>
      <c r="H168" s="914"/>
      <c r="I168" s="914"/>
      <c r="J168" s="914"/>
      <c r="K168" s="914"/>
      <c r="L168" s="914"/>
      <c r="M168" s="914"/>
      <c r="N168" s="914"/>
      <c r="O168" s="914"/>
      <c r="P168" s="914"/>
      <c r="Q168" s="914"/>
      <c r="R168" s="914"/>
      <c r="S168" s="914"/>
      <c r="T168" s="914"/>
      <c r="U168" s="1011"/>
      <c r="V168" s="1011"/>
      <c r="W168" s="1011"/>
      <c r="X168" s="914"/>
      <c r="Y168" s="914"/>
      <c r="Z168" s="914"/>
      <c r="AA168" s="914"/>
      <c r="AB168" s="914"/>
      <c r="AC168" s="865"/>
      <c r="AD168" s="865"/>
      <c r="AE168" s="865"/>
      <c r="AF168" s="914"/>
      <c r="AG168" s="914"/>
      <c r="AH168" s="914"/>
      <c r="AI168" s="914"/>
      <c r="AJ168" s="914"/>
      <c r="AK168"/>
      <c r="AL168"/>
      <c r="AM168"/>
      <c r="AN168"/>
      <c r="AO168"/>
      <c r="AP168"/>
    </row>
    <row r="169" spans="1:42" ht="18" hidden="1" x14ac:dyDescent="0.35"/>
    <row r="170" spans="1:42" ht="18" hidden="1" x14ac:dyDescent="0.35"/>
    <row r="171" spans="1:42" ht="18" hidden="1" x14ac:dyDescent="0.35"/>
    <row r="172" spans="1:42" ht="18" hidden="1" x14ac:dyDescent="0.35"/>
    <row r="173" spans="1:42" ht="18" hidden="1" x14ac:dyDescent="0.35"/>
    <row r="174" spans="1:42" ht="18" hidden="1" x14ac:dyDescent="0.35"/>
    <row r="175" spans="1:42" ht="18" hidden="1" x14ac:dyDescent="0.35"/>
    <row r="176" spans="1:42" ht="18" hidden="1" x14ac:dyDescent="0.35"/>
    <row r="177" ht="18" hidden="1" x14ac:dyDescent="0.35"/>
  </sheetData>
  <sheetProtection selectLockedCells="1" pivotTables="0"/>
  <protectedRanges>
    <protectedRange sqref="K22:N23 AO27 AN26:AN27" name="Range1"/>
  </protectedRanges>
  <mergeCells count="304">
    <mergeCell ref="B2:C2"/>
    <mergeCell ref="B4:C19"/>
    <mergeCell ref="K4:N4"/>
    <mergeCell ref="R4:V16"/>
    <mergeCell ref="K9:N9"/>
    <mergeCell ref="K16:N16"/>
    <mergeCell ref="AB4:AC4"/>
    <mergeCell ref="AB13:AC13"/>
    <mergeCell ref="AB19:AC20"/>
    <mergeCell ref="AO4:AO10"/>
    <mergeCell ref="K5:N6"/>
    <mergeCell ref="AB5:AC5"/>
    <mergeCell ref="AB6:AC6"/>
    <mergeCell ref="K7:N8"/>
    <mergeCell ref="AB7:AC7"/>
    <mergeCell ref="AB8:AC8"/>
    <mergeCell ref="J1:V1"/>
    <mergeCell ref="W1:AA1"/>
    <mergeCell ref="AH13:AK13"/>
    <mergeCell ref="K14:N14"/>
    <mergeCell ref="AB14:AC14"/>
    <mergeCell ref="K15:N15"/>
    <mergeCell ref="AB15:AC15"/>
    <mergeCell ref="AB9:AC9"/>
    <mergeCell ref="K10:N10"/>
    <mergeCell ref="O10:Q15"/>
    <mergeCell ref="AB10:AC10"/>
    <mergeCell ref="AD10:AG17"/>
    <mergeCell ref="K11:N11"/>
    <mergeCell ref="AB11:AC11"/>
    <mergeCell ref="K12:N12"/>
    <mergeCell ref="AB12:AC12"/>
    <mergeCell ref="K13:N13"/>
    <mergeCell ref="AB16:AC16"/>
    <mergeCell ref="K17:N17"/>
    <mergeCell ref="AI17:AI19"/>
    <mergeCell ref="K18:N18"/>
    <mergeCell ref="T18:AC18"/>
    <mergeCell ref="K19:N19"/>
    <mergeCell ref="T19:V20"/>
    <mergeCell ref="W19:Y20"/>
    <mergeCell ref="Z19:AA20"/>
    <mergeCell ref="AB21:AC21"/>
    <mergeCell ref="K30:N31"/>
    <mergeCell ref="AK30:AM31"/>
    <mergeCell ref="K25:N25"/>
    <mergeCell ref="K26:N26"/>
    <mergeCell ref="AK26:AM26"/>
    <mergeCell ref="K27:N27"/>
    <mergeCell ref="AK27:AM27"/>
    <mergeCell ref="K22:N22"/>
    <mergeCell ref="T22:V22"/>
    <mergeCell ref="W22:Y22"/>
    <mergeCell ref="Z22:AA22"/>
    <mergeCell ref="AB22:AC22"/>
    <mergeCell ref="K21:N21"/>
    <mergeCell ref="R21:R24"/>
    <mergeCell ref="T21:V21"/>
    <mergeCell ref="W21:Y21"/>
    <mergeCell ref="K23:N23"/>
    <mergeCell ref="T23:V23"/>
    <mergeCell ref="W23:Y23"/>
    <mergeCell ref="Z23:AA23"/>
    <mergeCell ref="AB23:AC23"/>
    <mergeCell ref="K24:N24"/>
    <mergeCell ref="T24:V24"/>
    <mergeCell ref="AN30:AN31"/>
    <mergeCell ref="T31:V32"/>
    <mergeCell ref="W31:Y32"/>
    <mergeCell ref="Z31:AA32"/>
    <mergeCell ref="AB31:AC32"/>
    <mergeCell ref="K32:N32"/>
    <mergeCell ref="AK32:AM32"/>
    <mergeCell ref="K28:N28"/>
    <mergeCell ref="AK28:AM28"/>
    <mergeCell ref="K29:N29"/>
    <mergeCell ref="AK29:AM29"/>
    <mergeCell ref="AB35:AC35"/>
    <mergeCell ref="K33:N33"/>
    <mergeCell ref="R33:R36"/>
    <mergeCell ref="T33:V33"/>
    <mergeCell ref="W33:Y33"/>
    <mergeCell ref="Z33:AA33"/>
    <mergeCell ref="AB33:AC33"/>
    <mergeCell ref="K34:N34"/>
    <mergeCell ref="T34:V34"/>
    <mergeCell ref="W34:Y34"/>
    <mergeCell ref="Z34:AA34"/>
    <mergeCell ref="K38:N38"/>
    <mergeCell ref="R40:AA40"/>
    <mergeCell ref="AB40:AC40"/>
    <mergeCell ref="B41:O42"/>
    <mergeCell ref="S42:AB43"/>
    <mergeCell ref="AC42:AD43"/>
    <mergeCell ref="K36:N36"/>
    <mergeCell ref="T36:V36"/>
    <mergeCell ref="W36:Y36"/>
    <mergeCell ref="Z36:AA36"/>
    <mergeCell ref="AB36:AC36"/>
    <mergeCell ref="K37:N37"/>
    <mergeCell ref="O37:T37"/>
    <mergeCell ref="B21:C40"/>
    <mergeCell ref="F25:I25"/>
    <mergeCell ref="W24:Y24"/>
    <mergeCell ref="Z24:AA24"/>
    <mergeCell ref="AB24:AC24"/>
    <mergeCell ref="Z21:AA21"/>
    <mergeCell ref="AB34:AC34"/>
    <mergeCell ref="K35:N35"/>
    <mergeCell ref="T35:V35"/>
    <mergeCell ref="W35:Y35"/>
    <mergeCell ref="Z35:AA35"/>
    <mergeCell ref="AG57:AH58"/>
    <mergeCell ref="AI57:AI58"/>
    <mergeCell ref="AJ57:AJ58"/>
    <mergeCell ref="C52:F52"/>
    <mergeCell ref="G52:M52"/>
    <mergeCell ref="N52:Q52"/>
    <mergeCell ref="R52:T52"/>
    <mergeCell ref="V52:AD54"/>
    <mergeCell ref="W59:AE62"/>
    <mergeCell ref="AF44:AJ44"/>
    <mergeCell ref="A46:AL46"/>
    <mergeCell ref="AF48:AJ49"/>
    <mergeCell ref="C49:AD49"/>
    <mergeCell ref="V50:AD50"/>
    <mergeCell ref="AF50:AJ51"/>
    <mergeCell ref="AI55:AI56"/>
    <mergeCell ref="AJ55:AJ56"/>
    <mergeCell ref="H56:P56"/>
    <mergeCell ref="AG56:AH56"/>
    <mergeCell ref="C63:V63"/>
    <mergeCell ref="X63:AD64"/>
    <mergeCell ref="AF63:AJ63"/>
    <mergeCell ref="A66:AL66"/>
    <mergeCell ref="AD74:AF74"/>
    <mergeCell ref="H71:I71"/>
    <mergeCell ref="N73:O73"/>
    <mergeCell ref="AF60:AF61"/>
    <mergeCell ref="AG60:AH61"/>
    <mergeCell ref="C61:J61"/>
    <mergeCell ref="M61:V61"/>
    <mergeCell ref="C62:V62"/>
    <mergeCell ref="AG62:AH62"/>
    <mergeCell ref="C58:F60"/>
    <mergeCell ref="G58:H60"/>
    <mergeCell ref="M58:N60"/>
    <mergeCell ref="P58:R60"/>
    <mergeCell ref="I59:K59"/>
    <mergeCell ref="S59:T59"/>
    <mergeCell ref="AK52:AL62"/>
    <mergeCell ref="C54:F54"/>
    <mergeCell ref="G54:K54"/>
    <mergeCell ref="L54:U54"/>
    <mergeCell ref="AG54:AH54"/>
    <mergeCell ref="AD79:AI83"/>
    <mergeCell ref="AB79:AC83"/>
    <mergeCell ref="AB75:AC75"/>
    <mergeCell ref="AD75:AI75"/>
    <mergeCell ref="AB78:AC78"/>
    <mergeCell ref="AD78:AI78"/>
    <mergeCell ref="AD76:AI77"/>
    <mergeCell ref="AB76:AC77"/>
    <mergeCell ref="AB71:AI71"/>
    <mergeCell ref="AB72:AI72"/>
    <mergeCell ref="AD87:AF87"/>
    <mergeCell ref="AG87:AI87"/>
    <mergeCell ref="AB88:AC88"/>
    <mergeCell ref="AD88:AI88"/>
    <mergeCell ref="AB87:AC87"/>
    <mergeCell ref="AB86:AC86"/>
    <mergeCell ref="AB84:AC84"/>
    <mergeCell ref="AD84:AI84"/>
    <mergeCell ref="AB85:AC85"/>
    <mergeCell ref="AB94:AC94"/>
    <mergeCell ref="AD94:AI94"/>
    <mergeCell ref="AB95:AC95"/>
    <mergeCell ref="AD95:AI95"/>
    <mergeCell ref="AB96:AC97"/>
    <mergeCell ref="AD96:AI96"/>
    <mergeCell ref="AD97:AI97"/>
    <mergeCell ref="AB93:AC93"/>
    <mergeCell ref="AB89:AC89"/>
    <mergeCell ref="AD89:AE89"/>
    <mergeCell ref="AF89:AI89"/>
    <mergeCell ref="AB90:AC90"/>
    <mergeCell ref="AB92:AC92"/>
    <mergeCell ref="AD90:AI90"/>
    <mergeCell ref="AB91:AC91"/>
    <mergeCell ref="AD91:AE91"/>
    <mergeCell ref="H96:I96"/>
    <mergeCell ref="K96:L96"/>
    <mergeCell ref="N96:O96"/>
    <mergeCell ref="AD98:AI98"/>
    <mergeCell ref="AJ98:AK99"/>
    <mergeCell ref="R99:S99"/>
    <mergeCell ref="T99:U99"/>
    <mergeCell ref="V99:W99"/>
    <mergeCell ref="AB99:AC99"/>
    <mergeCell ref="AD99:AI99"/>
    <mergeCell ref="R98:S98"/>
    <mergeCell ref="T98:U98"/>
    <mergeCell ref="V98:W98"/>
    <mergeCell ref="AB98:AC98"/>
    <mergeCell ref="AB100:AI101"/>
    <mergeCell ref="AB102:AI102"/>
    <mergeCell ref="AB103:AI106"/>
    <mergeCell ref="AE108:AF108"/>
    <mergeCell ref="AE109:AF109"/>
    <mergeCell ref="AE110:AF110"/>
    <mergeCell ref="R100:S100"/>
    <mergeCell ref="T100:U100"/>
    <mergeCell ref="V100:W100"/>
    <mergeCell ref="AC120:AD120"/>
    <mergeCell ref="AC121:AD121"/>
    <mergeCell ref="AC122:AD122"/>
    <mergeCell ref="AC123:AD123"/>
    <mergeCell ref="AC125:AD125"/>
    <mergeCell ref="AC126:AD126"/>
    <mergeCell ref="AA111:AI111"/>
    <mergeCell ref="AA112:AI113"/>
    <mergeCell ref="A114:F114"/>
    <mergeCell ref="D115:U115"/>
    <mergeCell ref="AC118:AD118"/>
    <mergeCell ref="AC119:AD119"/>
    <mergeCell ref="M136:N136"/>
    <mergeCell ref="M137:N137"/>
    <mergeCell ref="M138:N138"/>
    <mergeCell ref="O138:R138"/>
    <mergeCell ref="M140:N140"/>
    <mergeCell ref="M141:N141"/>
    <mergeCell ref="AC127:AD127"/>
    <mergeCell ref="AC128:AD128"/>
    <mergeCell ref="AC129:AD129"/>
    <mergeCell ref="D130:U130"/>
    <mergeCell ref="M134:N134"/>
    <mergeCell ref="M135:N135"/>
    <mergeCell ref="M149:N149"/>
    <mergeCell ref="M150:N150"/>
    <mergeCell ref="M151:N151"/>
    <mergeCell ref="M152:N152"/>
    <mergeCell ref="D159:F159"/>
    <mergeCell ref="G159:I159"/>
    <mergeCell ref="J159:L159"/>
    <mergeCell ref="M159:N159"/>
    <mergeCell ref="M142:N142"/>
    <mergeCell ref="M143:N143"/>
    <mergeCell ref="E145:L146"/>
    <mergeCell ref="M145:N146"/>
    <mergeCell ref="M147:N147"/>
    <mergeCell ref="M148:N148"/>
    <mergeCell ref="D161:F161"/>
    <mergeCell ref="G161:I161"/>
    <mergeCell ref="J161:L161"/>
    <mergeCell ref="M161:N161"/>
    <mergeCell ref="O161:Q161"/>
    <mergeCell ref="R161:T161"/>
    <mergeCell ref="O159:Q159"/>
    <mergeCell ref="R159:T159"/>
    <mergeCell ref="B160:C160"/>
    <mergeCell ref="D160:F160"/>
    <mergeCell ref="G160:I160"/>
    <mergeCell ref="J160:L160"/>
    <mergeCell ref="M160:N160"/>
    <mergeCell ref="O160:Q160"/>
    <mergeCell ref="R160:T160"/>
    <mergeCell ref="O164:Q164"/>
    <mergeCell ref="R164:T164"/>
    <mergeCell ref="D163:F163"/>
    <mergeCell ref="G163:I163"/>
    <mergeCell ref="J163:L163"/>
    <mergeCell ref="M163:N163"/>
    <mergeCell ref="O163:Q163"/>
    <mergeCell ref="R163:T163"/>
    <mergeCell ref="D162:F162"/>
    <mergeCell ref="G162:I162"/>
    <mergeCell ref="J162:L162"/>
    <mergeCell ref="M162:N162"/>
    <mergeCell ref="O162:Q162"/>
    <mergeCell ref="R162:T162"/>
    <mergeCell ref="H73:I73"/>
    <mergeCell ref="K73:L73"/>
    <mergeCell ref="D167:F167"/>
    <mergeCell ref="G167:I167"/>
    <mergeCell ref="J167:L167"/>
    <mergeCell ref="M167:N167"/>
    <mergeCell ref="O167:Q167"/>
    <mergeCell ref="R167:T167"/>
    <mergeCell ref="D166:F166"/>
    <mergeCell ref="G166:I166"/>
    <mergeCell ref="J166:L166"/>
    <mergeCell ref="M166:N166"/>
    <mergeCell ref="O166:Q166"/>
    <mergeCell ref="R166:T166"/>
    <mergeCell ref="D165:F165"/>
    <mergeCell ref="G165:I165"/>
    <mergeCell ref="J165:L165"/>
    <mergeCell ref="M165:N165"/>
    <mergeCell ref="O165:Q165"/>
    <mergeCell ref="R165:T165"/>
    <mergeCell ref="D164:F164"/>
    <mergeCell ref="G164:I164"/>
    <mergeCell ref="J164:L164"/>
    <mergeCell ref="M164:N164"/>
  </mergeCells>
  <conditionalFormatting sqref="B41">
    <cfRule type="expression" dxfId="300" priority="52">
      <formula>IF($B$41="",FALSE,TRUE)</formula>
    </cfRule>
  </conditionalFormatting>
  <conditionalFormatting sqref="C63:V63 X63 D64 I64 K64:L64 S64:U64">
    <cfRule type="expression" dxfId="299" priority="15">
      <formula>IF(Show_Custom_Panel=TRUE,FALSE,TRUE)</formula>
    </cfRule>
  </conditionalFormatting>
  <conditionalFormatting sqref="H56 Q56:V56 C57:V57 W59 K64">
    <cfRule type="expression" dxfId="298" priority="17">
      <formula>IF(Show_Custom_Panel=TRUE,FALSE,TRUE)</formula>
    </cfRule>
  </conditionalFormatting>
  <conditionalFormatting sqref="H56">
    <cfRule type="expression" dxfId="297" priority="30">
      <formula>IF(Months_Rolled=0,TRUE,FALSE)</formula>
    </cfRule>
  </conditionalFormatting>
  <conditionalFormatting sqref="L54">
    <cfRule type="cellIs" dxfId="296" priority="24" operator="notEqual">
      <formula>""</formula>
    </cfRule>
  </conditionalFormatting>
  <conditionalFormatting sqref="O38">
    <cfRule type="expression" dxfId="295" priority="5">
      <formula>IF(AND($K$37&lt;&gt;"",$K$38&lt;&gt;""),TRUE,FALSE)</formula>
    </cfRule>
  </conditionalFormatting>
  <conditionalFormatting sqref="O22:Q24 K25">
    <cfRule type="expression" dxfId="294" priority="1">
      <formula>IF($O$22="", FALSE,TRUE)</formula>
    </cfRule>
  </conditionalFormatting>
  <conditionalFormatting sqref="O37:T37">
    <cfRule type="expression" dxfId="293" priority="3">
      <formula>IF(K37&gt;0.01,TRUE,FALSE)</formula>
    </cfRule>
  </conditionalFormatting>
  <conditionalFormatting sqref="R71:S71">
    <cfRule type="expression" dxfId="292" priority="43">
      <formula>Tier4_Eligible=FALSE</formula>
    </cfRule>
  </conditionalFormatting>
  <conditionalFormatting sqref="R52:T52">
    <cfRule type="expression" dxfId="291" priority="21">
      <formula>IF($V$52&lt;&gt;"",TRUE,FALSE)</formula>
    </cfRule>
  </conditionalFormatting>
  <conditionalFormatting sqref="R30:AC33 AH13:AK19 R17:S17 R18:AC21 S22:T23 W22:W23 Z22:Z23 AB22:AB23 S24:AC24 S29:W29 Y29:AC29 S34:AC36 R38:AC39">
    <cfRule type="expression" dxfId="290" priority="12">
      <formula>$AO$1="BDM"</formula>
    </cfRule>
  </conditionalFormatting>
  <conditionalFormatting sqref="T22:T23 T21:AC21 T24:AC24 T30:AC30 W22:W23 Z22:Z23 AB22:AB23 T29:W29 Y29:AC29">
    <cfRule type="top10" dxfId="289" priority="25" rank="1"/>
  </conditionalFormatting>
  <conditionalFormatting sqref="T34:AB34 T22 W22 Z22 AB22">
    <cfRule type="expression" dxfId="288" priority="37">
      <formula>Tier2_Eligible=FALSE</formula>
    </cfRule>
  </conditionalFormatting>
  <conditionalFormatting sqref="T35:AB36 T23:T24 W23:W24 Z23:Z24 AB23:AB24">
    <cfRule type="expression" dxfId="287" priority="38">
      <formula>Tier3_Eligible=FALSE</formula>
    </cfRule>
  </conditionalFormatting>
  <conditionalFormatting sqref="T36:AB36 T38:AB38 T24:AC24 T29:W29 Y29:AC29 T30:AC30">
    <cfRule type="expression" dxfId="286" priority="39">
      <formula>Tier4_Eligible=FALSE</formula>
    </cfRule>
  </conditionalFormatting>
  <conditionalFormatting sqref="T33:AC33 T21:AC21">
    <cfRule type="expression" dxfId="285" priority="36">
      <formula>Tier1_Eligible=FALSE</formula>
    </cfRule>
  </conditionalFormatting>
  <conditionalFormatting sqref="T33:AC33">
    <cfRule type="cellIs" dxfId="284" priority="9" operator="lessThanOrEqual">
      <formula>0</formula>
    </cfRule>
  </conditionalFormatting>
  <conditionalFormatting sqref="T33:AC36 T38:AC38">
    <cfRule type="top10" dxfId="283" priority="26" rank="1"/>
  </conditionalFormatting>
  <conditionalFormatting sqref="V52">
    <cfRule type="cellIs" dxfId="282" priority="47" operator="notEqual">
      <formula>""</formula>
    </cfRule>
  </conditionalFormatting>
  <conditionalFormatting sqref="W7:AC7">
    <cfRule type="expression" dxfId="281" priority="27">
      <formula>IF($AB$5="Monthly", TRUE, FALSE)</formula>
    </cfRule>
  </conditionalFormatting>
  <conditionalFormatting sqref="AA112:AI113">
    <cfRule type="expression" dxfId="280" priority="14">
      <formula>IF($AA$112="",TRUE,FALSE)</formula>
    </cfRule>
  </conditionalFormatting>
  <conditionalFormatting sqref="AF63:AJ63">
    <cfRule type="expression" dxfId="279" priority="20">
      <formula>IF($AF$63="",FALSE,TRUE)</formula>
    </cfRule>
  </conditionalFormatting>
  <conditionalFormatting sqref="AH14">
    <cfRule type="expression" dxfId="278" priority="13">
      <formula>IF($AA$112="",TRUE,FALSE)</formula>
    </cfRule>
  </conditionalFormatting>
  <conditionalFormatting sqref="AK52">
    <cfRule type="cellIs" dxfId="277" priority="23" operator="notEqual">
      <formula>""</formula>
    </cfRule>
  </conditionalFormatting>
  <dataValidations count="10">
    <dataValidation type="list" errorStyle="information" allowBlank="1" showInputMessage="1" showErrorMessage="1" error="Only 24 or 36 months" sqref="K23:N23" xr:uid="{D12DA921-E8D4-45B6-9210-F73E2AEE644E}">
      <formula1>"Tracker"</formula1>
    </dataValidation>
    <dataValidation type="list" allowBlank="1" showInputMessage="1" showErrorMessage="1" sqref="AB16:AC16" xr:uid="{1A60F10D-0D29-4742-A5C7-E9E679BDAA8C}">
      <formula1>"Yes,No"</formula1>
    </dataValidation>
    <dataValidation type="list" allowBlank="1" showInputMessage="1" showErrorMessage="1" sqref="AN27" xr:uid="{A8DDCDBE-7BF1-4DA1-A9F5-1B9271C0EECD}">
      <formula1>"Default (Pay Rate),Full Rate"</formula1>
    </dataValidation>
    <dataValidation type="list" allowBlank="1" showInputMessage="1" showErrorMessage="1" sqref="AN26" xr:uid="{DCDBD734-4D25-4BF2-8DC2-E63037F5E99E}">
      <formula1>"Default (Yes),No"</formula1>
    </dataValidation>
    <dataValidation type="list" errorStyle="information" allowBlank="1" showInputMessage="1" showErrorMessage="1" error="Only 24 or 36 months" sqref="K22:N22" xr:uid="{0D406BE8-00BB-4255-A820-A42852F58257}">
      <formula1>"New Customer,Pipeline Customer"</formula1>
    </dataValidation>
    <dataValidation type="list" allowBlank="1" showInputMessage="1" sqref="AN28" xr:uid="{2E480F5D-2626-46B8-8CF8-6565C2A04125}">
      <formula1>"Rolled, Deferred"</formula1>
    </dataValidation>
    <dataValidation type="decimal" errorStyle="warning" allowBlank="1" showInputMessage="1" showErrorMessage="1" errorTitle="Deferred interest range" error="Please enter a number between 0% and 3%" sqref="I59:K59" xr:uid="{F4FEA90A-9B0B-4543-8FFC-D5B3BB7289D3}">
      <formula1>0</formula1>
      <formula2>0.03</formula2>
    </dataValidation>
    <dataValidation allowBlank="1" showInputMessage="1" sqref="K24" xr:uid="{9FB3EC5F-A547-4D3B-89E6-FCDD8046845D}"/>
    <dataValidation errorStyle="information" allowBlank="1" showInputMessage="1" showErrorMessage="1" error="Only 24 or 36 months" sqref="O22 K21 O21:P21" xr:uid="{6E230F07-80CE-470E-A2FB-D7BDD7C69AAF}"/>
    <dataValidation showInputMessage="1" showErrorMessage="1" sqref="AB6:AB7 AM101 AA99:AA100 Y109:Z113" xr:uid="{A140B370-D03F-4C7E-A8BF-E6033C4EDD3A}"/>
  </dataValidations>
  <pageMargins left="0.19685039370078741" right="0.19685039370078741" top="0.19685039370078741" bottom="0.19685039370078741" header="0.19685039370078741" footer="0.19685039370078741"/>
  <pageSetup paperSize="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25953" r:id="rId4" name="Option24">
              <controlPr locked="0" defaultSize="0" autoFill="0" autoLine="0" autoPict="0">
                <anchor moveWithCells="1">
                  <from>
                    <xdr:col>10</xdr:col>
                    <xdr:colOff>114300</xdr:colOff>
                    <xdr:row>20</xdr:row>
                    <xdr:rowOff>114300</xdr:rowOff>
                  </from>
                  <to>
                    <xdr:col>11</xdr:col>
                    <xdr:colOff>19050</xdr:colOff>
                    <xdr:row>20</xdr:row>
                    <xdr:rowOff>266700</xdr:rowOff>
                  </to>
                </anchor>
              </controlPr>
            </control>
          </mc:Choice>
        </mc:AlternateContent>
        <mc:AlternateContent xmlns:mc="http://schemas.openxmlformats.org/markup-compatibility/2006">
          <mc:Choice Requires="x14">
            <control shapeId="125954" r:id="rId5" name="Check Box 2">
              <controlPr locked="0" defaultSize="0" autoFill="0" autoLine="0" autoPict="0">
                <anchor moveWithCells="1">
                  <from>
                    <xdr:col>39</xdr:col>
                    <xdr:colOff>114300</xdr:colOff>
                    <xdr:row>29</xdr:row>
                    <xdr:rowOff>28575</xdr:rowOff>
                  </from>
                  <to>
                    <xdr:col>39</xdr:col>
                    <xdr:colOff>295275</xdr:colOff>
                    <xdr:row>31</xdr:row>
                    <xdr:rowOff>0</xdr:rowOff>
                  </to>
                </anchor>
              </controlPr>
            </control>
          </mc:Choice>
        </mc:AlternateContent>
        <mc:AlternateContent xmlns:mc="http://schemas.openxmlformats.org/markup-compatibility/2006">
          <mc:Choice Requires="x14">
            <control shapeId="125955" r:id="rId6" name="Spinner 3">
              <controlPr locked="0" defaultSize="0" autoPict="0">
                <anchor moveWithCells="1">
                  <from>
                    <xdr:col>13</xdr:col>
                    <xdr:colOff>142875</xdr:colOff>
                    <xdr:row>57</xdr:row>
                    <xdr:rowOff>9525</xdr:rowOff>
                  </from>
                  <to>
                    <xdr:col>13</xdr:col>
                    <xdr:colOff>361950</xdr:colOff>
                    <xdr:row>59</xdr:row>
                    <xdr:rowOff>57150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8223" id="{57CF8824-10A3-406D-ADC8-4C28C09DAEC8}">
            <xm:f>$K$11='Product Data'!$AG$10</xm:f>
            <x14:dxf>
              <font>
                <color theme="0"/>
              </font>
              <fill>
                <patternFill>
                  <bgColor theme="0"/>
                </patternFill>
              </fill>
            </x14:dxf>
          </x14:cfRule>
          <xm:sqref>D12:N12</xm:sqref>
        </x14:conditionalFormatting>
        <x14:conditionalFormatting xmlns:xm="http://schemas.microsoft.com/office/excel/2006/main">
          <x14:cfRule type="expression" priority="29" id="{C0F1C653-DFB4-4186-8AF8-6D3083BD0241}">
            <xm:f>$K$14='Product Data'!$AG$10</xm:f>
            <x14:dxf>
              <font>
                <color theme="0"/>
              </font>
              <fill>
                <patternFill>
                  <bgColor theme="0"/>
                </patternFill>
              </fill>
            </x14:dxf>
          </x14:cfRule>
          <xm:sqref>D15:N19 O16:O18</xm:sqref>
        </x14:conditionalFormatting>
        <x14:conditionalFormatting xmlns:xm="http://schemas.microsoft.com/office/excel/2006/main">
          <x14:cfRule type="expression" priority="8239" id="{E1405B8D-CAE4-4C1B-A515-02BEACC78E96}">
            <xm:f>IF($K$23="Tracker",IF(('KB_CRITERIA AND CALCULATION '!$AV$90="Y")*($O$59&gt;'Product Data'!$P$20),TRUE,FALSE),FALSE)</xm:f>
            <x14:dxf>
              <font>
                <b/>
                <i val="0"/>
                <color theme="0"/>
              </font>
              <fill>
                <patternFill>
                  <bgColor rgb="FFFF0000"/>
                </patternFill>
              </fill>
            </x14:dxf>
          </x14:cfRule>
          <xm:sqref>AK52:AL62</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12E2FCEF-D1E0-49F0-94DE-FB32E5841CB4}">
          <x14:formula1>
            <xm:f>'Product Data'!$Y$9:$Y$16</xm:f>
          </x14:formula1>
          <xm:sqref>G52</xm:sqref>
        </x14:dataValidation>
        <x14:dataValidation type="list" allowBlank="1" showInputMessage="1" showErrorMessage="1" xr:uid="{9F3F49AD-7843-42A9-BA58-F01E297B9CD5}">
          <x14:formula1>
            <xm:f>'Product Data'!$AB$9:$AB$19</xm:f>
          </x14:formula1>
          <xm:sqref>AB9:AC9</xm:sqref>
        </x14:dataValidation>
        <x14:dataValidation type="list" allowBlank="1" showInputMessage="1" showErrorMessage="1" xr:uid="{BE53E5C6-A608-4FA5-941B-410A3D4CD89F}">
          <x14:formula1>
            <xm:f>'Product Data'!$S$9:$S$16</xm:f>
          </x14:formula1>
          <xm:sqref>AB11:AC11</xm:sqref>
        </x14:dataValidation>
        <x14:dataValidation type="list" allowBlank="1" showInputMessage="1" showErrorMessage="1" xr:uid="{BF81934F-66DD-4F07-966C-6017F8D2CC28}">
          <x14:formula1>
            <xm:f>'Product Data'!$AD$9:$AD$13</xm:f>
          </x14:formula1>
          <xm:sqref>K33:N33</xm:sqref>
        </x14:dataValidation>
        <x14:dataValidation type="list" allowBlank="1" showInputMessage="1" showErrorMessage="1" xr:uid="{256657B0-400B-415A-A68F-35243F4E115B}">
          <x14:formula1>
            <xm:f>Funders!$A$3:$A$7</xm:f>
          </x14:formula1>
          <xm:sqref>AI17:AI19</xm:sqref>
        </x14:dataValidation>
        <x14:dataValidation type="list" showInputMessage="1" showErrorMessage="1" xr:uid="{B29EF8A5-2E28-4326-94FB-3059EDF9C9DD}">
          <x14:formula1>
            <xm:f>'Product Data'!#REF!</xm:f>
          </x14:formula1>
          <xm:sqref>AW1</xm:sqref>
        </x14:dataValidation>
        <x14:dataValidation type="list" allowBlank="1" showInputMessage="1" showErrorMessage="1" xr:uid="{1A748453-8DBD-476B-A45F-544AE65365E4}">
          <x14:formula1>
            <xm:f>'Product Data'!$AC$9:$AC$11</xm:f>
          </x14:formula1>
          <xm:sqref>AB5:AC7</xm:sqref>
        </x14:dataValidation>
        <x14:dataValidation type="list" allowBlank="1" showInputMessage="1" showErrorMessage="1" xr:uid="{6818197D-06CD-48B8-905E-7E12D68374DB}">
          <x14:formula1>
            <xm:f>'Product Data'!$X$10:$X$12</xm:f>
          </x14:formula1>
          <xm:sqref>K18:N18</xm:sqref>
        </x14:dataValidation>
        <x14:dataValidation type="list" allowBlank="1" showInputMessage="1" showErrorMessage="1" xr:uid="{380D5D4A-C3D8-46E0-93E8-AA6BDF64AB26}">
          <x14:formula1>
            <xm:f>'Product Data'!$X$9:$X$12</xm:f>
          </x14:formula1>
          <xm:sqref>AB6:AB7 AW1</xm:sqref>
        </x14:dataValidation>
        <x14:dataValidation type="list" allowBlank="1" showInputMessage="1" xr:uid="{7D133FB9-D6A0-4153-9FCF-519B520A5183}">
          <x14:formula1>
            <xm:f>'Product Data'!$B$9:$B$16</xm:f>
          </x14:formula1>
          <xm:sqref>G54</xm:sqref>
        </x14:dataValidation>
        <x14:dataValidation type="list" allowBlank="1" showInputMessage="1" showErrorMessage="1" xr:uid="{1E9B298E-CF19-494A-9B97-98606F954676}">
          <x14:formula1>
            <xm:f>'Product Data'!$V$9:$V$12</xm:f>
          </x14:formula1>
          <xm:sqref>K16:N16</xm:sqref>
        </x14:dataValidation>
        <x14:dataValidation type="list" allowBlank="1" showInputMessage="1" showErrorMessage="1" xr:uid="{2F4BED44-4EE0-48CD-B0E5-40DFFEE216F8}">
          <x14:formula1>
            <xm:f>'Product Data'!$U$9:$U$12</xm:f>
          </x14:formula1>
          <xm:sqref>K15:N15</xm:sqref>
        </x14:dataValidation>
        <x14:dataValidation type="list" allowBlank="1" showInputMessage="1" showErrorMessage="1" xr:uid="{A86B000B-2A7E-471D-8FFB-89FCF5F38FB8}">
          <x14:formula1>
            <xm:f>'Product Data'!$W$9:$W$12</xm:f>
          </x14:formula1>
          <xm:sqref>K17:N18</xm:sqref>
        </x14:dataValidation>
        <x14:dataValidation type="list" allowBlank="1" showInputMessage="1" showErrorMessage="1" xr:uid="{FAEC83FA-AB5B-47DB-9331-6A60DC92A892}">
          <x14:formula1>
            <xm:f>'Product Data'!$AG$9:$AG$10</xm:f>
          </x14:formula1>
          <xm:sqref>AN29 AB13:AC15 K13:N14 AB10:AC10 K12 K9:N11</xm:sqref>
        </x14:dataValidation>
        <x14:dataValidation type="list" allowBlank="1" showInputMessage="1" showErrorMessage="1" xr:uid="{92C0721F-2E51-442C-95D0-84DF9B9C4FA9}">
          <x14:formula1>
            <xm:f>'Product Data'!$T$9:$T$16</xm:f>
          </x14:formula1>
          <xm:sqref>AB12:AC12 AW1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DE1B4-2F12-43FE-8D0D-E56DA3DCE141}">
  <sheetPr codeName="Sheet2">
    <tabColor theme="1"/>
  </sheetPr>
  <dimension ref="A1:H33"/>
  <sheetViews>
    <sheetView showGridLines="0" topLeftCell="A2" zoomScaleNormal="100" workbookViewId="0">
      <selection activeCell="H10" sqref="H10"/>
    </sheetView>
  </sheetViews>
  <sheetFormatPr defaultColWidth="27.7109375" defaultRowHeight="0" customHeight="1" zeroHeight="1" x14ac:dyDescent="0.35"/>
  <cols>
    <col min="1" max="2" width="32.42578125" style="67" customWidth="1"/>
    <col min="3" max="3" width="4.42578125" style="67" customWidth="1"/>
    <col min="4" max="5" width="32.42578125" style="67" customWidth="1"/>
    <col min="6" max="16384" width="27.7109375" style="67"/>
  </cols>
  <sheetData>
    <row r="1" spans="1:8" ht="18" hidden="1" x14ac:dyDescent="0.35">
      <c r="A1" s="3168" t="s">
        <v>245</v>
      </c>
      <c r="B1" s="3168"/>
      <c r="C1" s="3168"/>
      <c r="D1" s="3168"/>
      <c r="E1" s="3168"/>
      <c r="F1" s="604"/>
      <c r="G1" s="604"/>
      <c r="H1" s="604"/>
    </row>
    <row r="2" spans="1:8" ht="26.25" customHeight="1" x14ac:dyDescent="0.35">
      <c r="A2" s="3168"/>
      <c r="B2" s="3168"/>
      <c r="C2" s="3168"/>
      <c r="D2" s="3168"/>
      <c r="E2" s="3168"/>
    </row>
    <row r="3" spans="1:8" ht="18" x14ac:dyDescent="0.35">
      <c r="A3" s="3168"/>
      <c r="B3" s="3168"/>
      <c r="C3" s="3168"/>
      <c r="D3" s="3168"/>
      <c r="E3" s="3168"/>
    </row>
    <row r="4" spans="1:8" ht="18" hidden="1" x14ac:dyDescent="0.35">
      <c r="A4" s="3169"/>
      <c r="B4" s="3169"/>
      <c r="C4" s="2098"/>
      <c r="D4" s="2099"/>
      <c r="E4" s="2098"/>
    </row>
    <row r="5" spans="1:8" ht="18" hidden="1" x14ac:dyDescent="0.35">
      <c r="A5" s="3169"/>
      <c r="B5" s="3169"/>
      <c r="C5" s="2098"/>
      <c r="D5" s="2099"/>
      <c r="E5" s="2098"/>
    </row>
    <row r="6" spans="1:8" ht="18" x14ac:dyDescent="0.35">
      <c r="A6" s="2098"/>
      <c r="B6" s="2098"/>
      <c r="C6" s="2098"/>
      <c r="D6" s="2099"/>
      <c r="E6" s="2098"/>
    </row>
    <row r="7" spans="1:8" ht="18" x14ac:dyDescent="0.35">
      <c r="A7" s="2098"/>
      <c r="B7" s="2098"/>
      <c r="C7" s="679"/>
      <c r="D7" s="2099"/>
      <c r="E7" s="2098"/>
    </row>
    <row r="8" spans="1:8" ht="18" x14ac:dyDescent="0.35">
      <c r="A8" s="2098"/>
      <c r="B8" s="2098"/>
      <c r="C8" s="679"/>
      <c r="D8" s="2098"/>
      <c r="E8" s="2098"/>
    </row>
    <row r="9" spans="1:8" ht="18" x14ac:dyDescent="0.35">
      <c r="A9" s="2098"/>
      <c r="B9" s="2098"/>
      <c r="C9" s="679"/>
      <c r="D9" s="2098"/>
      <c r="E9" s="2098"/>
    </row>
    <row r="10" spans="1:8" ht="18" x14ac:dyDescent="0.35">
      <c r="A10" s="2098"/>
      <c r="B10" s="2098"/>
      <c r="C10" s="679"/>
      <c r="D10" s="2098"/>
      <c r="E10" s="2098"/>
    </row>
    <row r="11" spans="1:8" ht="18" x14ac:dyDescent="0.35">
      <c r="A11" s="2098"/>
      <c r="B11" s="2098"/>
      <c r="C11" s="679"/>
      <c r="D11" s="2098"/>
      <c r="E11" s="2098"/>
    </row>
    <row r="12" spans="1:8" ht="18" x14ac:dyDescent="0.35">
      <c r="A12" s="2098"/>
      <c r="B12" s="2098"/>
      <c r="C12" s="679"/>
      <c r="D12" s="2098"/>
      <c r="E12" s="2098"/>
    </row>
    <row r="13" spans="1:8" ht="18" x14ac:dyDescent="0.35">
      <c r="A13" s="2098"/>
      <c r="B13" s="2098"/>
      <c r="C13" s="679"/>
      <c r="D13" s="2098"/>
      <c r="E13" s="2098"/>
    </row>
    <row r="14" spans="1:8" ht="18" x14ac:dyDescent="0.35">
      <c r="A14" s="2098"/>
      <c r="B14" s="2098"/>
      <c r="C14" s="679"/>
      <c r="D14" s="2098"/>
      <c r="E14" s="2098"/>
      <c r="G14" s="682"/>
    </row>
    <row r="15" spans="1:8" ht="18" x14ac:dyDescent="0.35">
      <c r="A15" s="2098"/>
      <c r="B15" s="2098"/>
      <c r="C15" s="679"/>
      <c r="D15" s="2098"/>
      <c r="E15" s="2098"/>
      <c r="G15" s="682"/>
    </row>
    <row r="16" spans="1:8" ht="18" x14ac:dyDescent="0.35">
      <c r="A16" s="2098"/>
      <c r="B16" s="2098"/>
      <c r="C16" s="679"/>
      <c r="D16" s="2098"/>
      <c r="E16" s="2098"/>
      <c r="G16" s="682"/>
    </row>
    <row r="17" spans="1:5" ht="18" x14ac:dyDescent="0.35">
      <c r="A17" s="2098"/>
      <c r="B17" s="2098"/>
      <c r="C17" s="679"/>
      <c r="D17" s="2098"/>
      <c r="E17" s="2098"/>
    </row>
    <row r="18" spans="1:5" ht="18" customHeight="1" x14ac:dyDescent="0.35">
      <c r="A18" s="2098"/>
      <c r="B18" s="2098"/>
      <c r="C18" s="679"/>
      <c r="D18" s="2098"/>
      <c r="E18" s="2098"/>
    </row>
    <row r="19" spans="1:5" ht="18" customHeight="1" x14ac:dyDescent="0.35">
      <c r="A19" s="2098"/>
      <c r="B19" s="2098"/>
      <c r="C19" s="679"/>
      <c r="D19" s="2098"/>
      <c r="E19" s="2098"/>
    </row>
    <row r="20" spans="1:5" ht="18" customHeight="1" x14ac:dyDescent="0.35">
      <c r="A20" s="2098"/>
      <c r="B20" s="2098"/>
      <c r="C20" s="679"/>
      <c r="D20" s="2098"/>
      <c r="E20" s="2098"/>
    </row>
    <row r="21" spans="1:5" ht="18" customHeight="1" x14ac:dyDescent="0.35">
      <c r="A21" s="2098"/>
      <c r="B21" s="2098"/>
      <c r="C21" s="679"/>
      <c r="D21" s="2098"/>
      <c r="E21" s="2098"/>
    </row>
    <row r="22" spans="1:5" ht="18" customHeight="1" x14ac:dyDescent="0.35">
      <c r="A22" s="2098"/>
      <c r="B22" s="2098"/>
      <c r="C22" s="679"/>
      <c r="D22" s="2098"/>
      <c r="E22" s="2098"/>
    </row>
    <row r="23" spans="1:5" ht="18" customHeight="1" x14ac:dyDescent="0.35">
      <c r="A23" s="2098"/>
      <c r="B23" s="2098"/>
      <c r="C23" s="679"/>
      <c r="D23" s="2098"/>
      <c r="E23" s="2098"/>
    </row>
    <row r="24" spans="1:5" ht="18" customHeight="1" x14ac:dyDescent="0.35">
      <c r="A24" s="2098"/>
      <c r="B24" s="2098"/>
      <c r="C24" s="679"/>
      <c r="D24" s="2098"/>
      <c r="E24" s="2098"/>
    </row>
    <row r="25" spans="1:5" ht="18" customHeight="1" x14ac:dyDescent="0.35">
      <c r="A25" s="2098"/>
      <c r="B25" s="2098"/>
      <c r="C25" s="679"/>
      <c r="D25" s="2098"/>
      <c r="E25" s="2098"/>
    </row>
    <row r="26" spans="1:5" ht="18" customHeight="1" x14ac:dyDescent="0.35">
      <c r="A26" s="2098"/>
      <c r="B26" s="2098"/>
      <c r="C26" s="679"/>
      <c r="D26" s="2098"/>
      <c r="E26" s="2098"/>
    </row>
    <row r="27" spans="1:5" ht="18" customHeight="1" x14ac:dyDescent="0.35">
      <c r="A27" s="2098"/>
      <c r="B27" s="2098"/>
      <c r="C27" s="2098"/>
      <c r="D27" s="2098"/>
      <c r="E27" s="2098"/>
    </row>
    <row r="28" spans="1:5" ht="18" customHeight="1" x14ac:dyDescent="0.35"/>
    <row r="29" spans="1:5" ht="18" customHeight="1" x14ac:dyDescent="0.35"/>
    <row r="30" spans="1:5" ht="18" customHeight="1" x14ac:dyDescent="0.35"/>
    <row r="31" spans="1:5" ht="18" customHeight="1" x14ac:dyDescent="0.35"/>
    <row r="32" spans="1:5" ht="18" customHeight="1" x14ac:dyDescent="0.35"/>
    <row r="33" ht="18" customHeight="1" x14ac:dyDescent="0.35"/>
  </sheetData>
  <sheetProtection selectLockedCells="1"/>
  <mergeCells count="2">
    <mergeCell ref="A1:E3"/>
    <mergeCell ref="A4:B5"/>
  </mergeCells>
  <pageMargins left="0.70866141732283472" right="0.70866141732283472" top="0.74803149606299213" bottom="0.74803149606299213" header="0.31496062992125984" footer="0.31496062992125984"/>
  <pageSetup paperSize="9" scale="6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CC2CD-E3EE-4682-A552-AF3B1E3B542E}">
  <sheetPr codeName="Sheet3">
    <tabColor theme="1"/>
  </sheetPr>
  <dimension ref="A1:M33"/>
  <sheetViews>
    <sheetView showGridLines="0" zoomScaleNormal="100" workbookViewId="0">
      <selection activeCell="B2" sqref="B2:K2"/>
    </sheetView>
  </sheetViews>
  <sheetFormatPr defaultColWidth="0" defaultRowHeight="18" zeroHeight="1" x14ac:dyDescent="0.35"/>
  <cols>
    <col min="1" max="1" width="9.5703125" style="67" bestFit="1" customWidth="1"/>
    <col min="2" max="2" width="18.85546875" style="67" customWidth="1"/>
    <col min="3" max="3" width="3.85546875" style="67" customWidth="1"/>
    <col min="4" max="4" width="18" style="67" bestFit="1" customWidth="1"/>
    <col min="5" max="5" width="20" style="67" customWidth="1"/>
    <col min="6" max="6" width="4.7109375" style="67" customWidth="1"/>
    <col min="7" max="9" width="9.140625" style="67" customWidth="1"/>
    <col min="10" max="10" width="11.28515625" style="67" customWidth="1"/>
    <col min="11" max="13" width="9.140625" style="67" customWidth="1"/>
    <col min="14" max="16384" width="9.140625" style="67" hidden="1"/>
  </cols>
  <sheetData>
    <row r="1" spans="1:12" x14ac:dyDescent="0.35">
      <c r="D1" s="604"/>
      <c r="E1" s="604"/>
      <c r="F1" s="604"/>
      <c r="G1" s="604"/>
      <c r="H1" s="604"/>
    </row>
    <row r="2" spans="1:12" ht="26.25" customHeight="1" x14ac:dyDescent="0.35">
      <c r="B2" s="3168" t="s">
        <v>245</v>
      </c>
      <c r="C2" s="3168"/>
      <c r="D2" s="3168"/>
      <c r="E2" s="3168"/>
      <c r="F2" s="3168"/>
      <c r="G2" s="3168"/>
      <c r="H2" s="3168"/>
      <c r="I2" s="3168"/>
      <c r="J2" s="3168"/>
      <c r="K2" s="3168"/>
    </row>
    <row r="3" spans="1:12" x14ac:dyDescent="0.35"/>
    <row r="4" spans="1:12" x14ac:dyDescent="0.35">
      <c r="D4" s="678"/>
    </row>
    <row r="5" spans="1:12" x14ac:dyDescent="0.35">
      <c r="D5" s="678"/>
    </row>
    <row r="6" spans="1:12" x14ac:dyDescent="0.35">
      <c r="D6" s="678"/>
    </row>
    <row r="7" spans="1:12" x14ac:dyDescent="0.35">
      <c r="D7" s="678"/>
    </row>
    <row r="8" spans="1:12" x14ac:dyDescent="0.35"/>
    <row r="9" spans="1:12" x14ac:dyDescent="0.35"/>
    <row r="10" spans="1:12" x14ac:dyDescent="0.35"/>
    <row r="11" spans="1:12" x14ac:dyDescent="0.35"/>
    <row r="12" spans="1:12" x14ac:dyDescent="0.35"/>
    <row r="13" spans="1:12" x14ac:dyDescent="0.35"/>
    <row r="14" spans="1:12" x14ac:dyDescent="0.35"/>
    <row r="15" spans="1:12" ht="22.5" x14ac:dyDescent="0.45">
      <c r="A15" s="3178" t="s">
        <v>246</v>
      </c>
      <c r="B15" s="3178"/>
      <c r="C15" s="3178"/>
      <c r="D15" s="3178"/>
      <c r="E15" s="3178"/>
      <c r="F15" s="3178"/>
      <c r="G15" s="3178"/>
      <c r="H15" s="3178"/>
      <c r="I15" s="3178"/>
      <c r="J15" s="3178"/>
      <c r="K15" s="3178"/>
      <c r="L15" s="3178"/>
    </row>
    <row r="16" spans="1:12" x14ac:dyDescent="0.35"/>
    <row r="17" spans="1:10" ht="22.5" x14ac:dyDescent="0.45">
      <c r="A17" s="3180" t="s">
        <v>247</v>
      </c>
      <c r="B17" s="3180"/>
      <c r="D17" s="3180" t="s">
        <v>248</v>
      </c>
      <c r="E17" s="3180"/>
      <c r="G17" s="3180" t="s">
        <v>249</v>
      </c>
      <c r="H17" s="3180"/>
      <c r="I17" s="3180"/>
      <c r="J17" s="3180"/>
    </row>
    <row r="18" spans="1:10" x14ac:dyDescent="0.35">
      <c r="A18" s="679" t="s">
        <v>250</v>
      </c>
      <c r="B18" s="679" t="s">
        <v>251</v>
      </c>
      <c r="D18" s="679" t="s">
        <v>250</v>
      </c>
      <c r="E18" s="679" t="s">
        <v>251</v>
      </c>
      <c r="G18" s="3179" t="s">
        <v>250</v>
      </c>
      <c r="H18" s="3179"/>
      <c r="I18" s="3179" t="s">
        <v>251</v>
      </c>
      <c r="J18" s="3179"/>
    </row>
    <row r="19" spans="1:10" ht="54" x14ac:dyDescent="0.35">
      <c r="A19" s="666" t="s">
        <v>252</v>
      </c>
      <c r="B19" s="680" t="s">
        <v>253</v>
      </c>
      <c r="D19" s="666" t="s">
        <v>254</v>
      </c>
      <c r="E19" s="680" t="s">
        <v>255</v>
      </c>
      <c r="G19" s="3186" t="s">
        <v>256</v>
      </c>
      <c r="H19" s="3187"/>
      <c r="I19" s="3181" t="s">
        <v>257</v>
      </c>
      <c r="J19" s="3182"/>
    </row>
    <row r="20" spans="1:10" ht="36" x14ac:dyDescent="0.35">
      <c r="A20" s="668" t="s">
        <v>258</v>
      </c>
      <c r="B20" s="681" t="s">
        <v>259</v>
      </c>
      <c r="C20" s="682"/>
      <c r="D20" s="668" t="s">
        <v>260</v>
      </c>
      <c r="E20" s="681" t="s">
        <v>261</v>
      </c>
      <c r="G20" s="3185" t="s">
        <v>262</v>
      </c>
      <c r="H20" s="3173"/>
      <c r="I20" s="3176" t="s">
        <v>263</v>
      </c>
      <c r="J20" s="3177"/>
    </row>
    <row r="21" spans="1:10" x14ac:dyDescent="0.35">
      <c r="A21" s="668" t="s">
        <v>264</v>
      </c>
      <c r="B21" s="681" t="s">
        <v>265</v>
      </c>
      <c r="C21" s="682"/>
      <c r="D21" s="668" t="s">
        <v>266</v>
      </c>
      <c r="E21" s="681" t="s">
        <v>267</v>
      </c>
      <c r="G21" s="3183" t="s">
        <v>268</v>
      </c>
      <c r="H21" s="3184"/>
      <c r="I21" s="3176" t="s">
        <v>269</v>
      </c>
      <c r="J21" s="3177"/>
    </row>
    <row r="22" spans="1:10" ht="72" x14ac:dyDescent="0.35">
      <c r="A22" s="668" t="s">
        <v>270</v>
      </c>
      <c r="B22" s="681" t="s">
        <v>271</v>
      </c>
      <c r="C22" s="682"/>
      <c r="D22" s="670" t="s">
        <v>272</v>
      </c>
      <c r="E22" s="683" t="s">
        <v>273</v>
      </c>
      <c r="G22" s="3172" t="s">
        <v>274</v>
      </c>
      <c r="H22" s="3173"/>
      <c r="I22" s="3176" t="s">
        <v>274</v>
      </c>
      <c r="J22" s="3177"/>
    </row>
    <row r="23" spans="1:10" ht="32.25" customHeight="1" x14ac:dyDescent="0.35">
      <c r="A23" s="670" t="s">
        <v>275</v>
      </c>
      <c r="B23" s="683" t="s">
        <v>276</v>
      </c>
      <c r="C23" s="682"/>
      <c r="D23" s="534"/>
      <c r="G23" s="3172" t="s">
        <v>277</v>
      </c>
      <c r="H23" s="3173"/>
      <c r="I23" s="3176" t="s">
        <v>277</v>
      </c>
      <c r="J23" s="3177"/>
    </row>
    <row r="24" spans="1:10" x14ac:dyDescent="0.35">
      <c r="A24" s="534"/>
      <c r="G24" s="3172" t="s">
        <v>278</v>
      </c>
      <c r="H24" s="3173"/>
      <c r="I24" s="3176" t="s">
        <v>278</v>
      </c>
      <c r="J24" s="3177"/>
    </row>
    <row r="25" spans="1:10" x14ac:dyDescent="0.35">
      <c r="G25" s="3172" t="s">
        <v>279</v>
      </c>
      <c r="H25" s="3173"/>
      <c r="I25" s="3176" t="s">
        <v>279</v>
      </c>
      <c r="J25" s="3177"/>
    </row>
    <row r="26" spans="1:10" ht="30.75" customHeight="1" x14ac:dyDescent="0.35">
      <c r="G26" s="3172" t="s">
        <v>280</v>
      </c>
      <c r="H26" s="3173"/>
      <c r="I26" s="3176" t="s">
        <v>280</v>
      </c>
      <c r="J26" s="3177"/>
    </row>
    <row r="27" spans="1:10" x14ac:dyDescent="0.35">
      <c r="G27" s="3170" t="s">
        <v>281</v>
      </c>
      <c r="H27" s="3171"/>
      <c r="I27" s="3174" t="s">
        <v>281</v>
      </c>
      <c r="J27" s="3175"/>
    </row>
    <row r="28" spans="1:10" x14ac:dyDescent="0.35">
      <c r="G28" s="684"/>
    </row>
    <row r="29" spans="1:10" x14ac:dyDescent="0.35">
      <c r="G29" s="682"/>
    </row>
    <row r="30" spans="1:10" x14ac:dyDescent="0.35">
      <c r="G30" s="682"/>
    </row>
    <row r="31" spans="1:10" x14ac:dyDescent="0.35">
      <c r="G31" s="682"/>
    </row>
    <row r="32" spans="1:10" x14ac:dyDescent="0.35">
      <c r="G32" s="682"/>
    </row>
    <row r="33" x14ac:dyDescent="0.35"/>
  </sheetData>
  <sheetProtection selectLockedCells="1"/>
  <mergeCells count="25">
    <mergeCell ref="I20:J20"/>
    <mergeCell ref="I19:J19"/>
    <mergeCell ref="I22:J22"/>
    <mergeCell ref="I21:J21"/>
    <mergeCell ref="A17:B17"/>
    <mergeCell ref="G22:H22"/>
    <mergeCell ref="G21:H21"/>
    <mergeCell ref="G20:H20"/>
    <mergeCell ref="G19:H19"/>
    <mergeCell ref="B2:K2"/>
    <mergeCell ref="G27:H27"/>
    <mergeCell ref="G26:H26"/>
    <mergeCell ref="G25:H25"/>
    <mergeCell ref="G24:H24"/>
    <mergeCell ref="G23:H23"/>
    <mergeCell ref="I27:J27"/>
    <mergeCell ref="I26:J26"/>
    <mergeCell ref="I25:J25"/>
    <mergeCell ref="I24:J24"/>
    <mergeCell ref="I23:J23"/>
    <mergeCell ref="A15:L15"/>
    <mergeCell ref="G18:H18"/>
    <mergeCell ref="I18:J18"/>
    <mergeCell ref="D17:E17"/>
    <mergeCell ref="G17:J17"/>
  </mergeCells>
  <hyperlinks>
    <hyperlink ref="A19" location="HPI!A1" display="HPI" xr:uid="{758A7383-1AEF-4EDF-9673-40EFF8A51B58}"/>
    <hyperlink ref="A20" location="Data!A1" display="Data" xr:uid="{A0431BB6-83E3-4188-9787-994CBD4071CE}"/>
    <hyperlink ref="A21" location="Calcs!A1" display="Calcs" xr:uid="{F9F15005-A8B3-4C12-9CCE-2A5AEBBD77E2}"/>
    <hyperlink ref="A23" location="abc!A1" display="HubSpot" xr:uid="{7F231B9B-44BA-4245-A204-97B64214070C}"/>
    <hyperlink ref="D21" location="'Bespoke Tier Calc'!A1" display="Bespoke Tier Calc" xr:uid="{B451B8F0-DE4E-493E-B1E3-955A5A9C11ED}"/>
    <hyperlink ref="D19" location="'ICR Main'!A1" display="ICR Main calculator" xr:uid="{B701C17C-1FD7-429F-BB1D-36D5EEE8B6A5}"/>
    <hyperlink ref="D22" location="'Holiday-Let'!A1" display="Holiday Let" xr:uid="{7C34BC49-725E-4F9F-B0B1-D27FF68C87DB}"/>
    <hyperlink ref="D20" location="DIP!A1" display="DIP" xr:uid="{9952B87C-4FAC-413F-9E91-4C48AABE0458}"/>
    <hyperlink ref="G19" location="'Deal lead sheet'!A1" display="Deal lead sheet" xr:uid="{E98560A8-23B2-4A39-B727-814EDDB0C619}"/>
    <hyperlink ref="G21" location="DD!A1" display="DD" xr:uid="{0FBCA16D-C9E2-4A3C-B425-1B8C25940EE5}"/>
    <hyperlink ref="G20" location="'Ext Sheets'!A1" display="Outputs for other sheets" xr:uid="{F6A6F9AC-44D0-4334-B7E3-80A4878D9D6B}"/>
    <hyperlink ref="G22" location="'Checklist Before complete'!A1" display="Checklist Before deal complete" xr:uid="{5C379D17-2F12-4C9D-8A21-63EB28FBAB7E}"/>
    <hyperlink ref="G23" location="'Checklist After complete'!A1" display="Checklist After deal complete" xr:uid="{D785F982-E49E-47D5-9702-0DEF81014BA8}"/>
    <hyperlink ref="G24" location="'Completion Statement'!A1" display="Completion statement" xr:uid="{7914C6EB-3D49-41BF-A3AB-9EED7406CE34}"/>
    <hyperlink ref="G25:G27" location="'Completion Statement'!A1" display="Completion statement" xr:uid="{7BE965DF-0EC0-4295-88E8-075C54F01D7F}"/>
    <hyperlink ref="G25" location="'Funding Lines'!A1" display="funding lines" xr:uid="{B536E060-50D5-4CE4-96B3-533F42F66DB6}"/>
    <hyperlink ref="G26" location="'Compliance checklists'!A1" display="Compliance Checklists" xr:uid="{80E963CB-A8C4-45E2-AFB2-56F23FCC0EDF}"/>
    <hyperlink ref="G27" location="Audit!A1" display="Audit Sheet" xr:uid="{5989EB0B-C0CD-4F0D-B89F-9806DC489A74}"/>
    <hyperlink ref="A22" location="'Loan Data'!A1" display="Loan Data" xr:uid="{6C61D523-8985-49B6-84F2-801626A4CC5F}"/>
    <hyperlink ref="G20:H20" location="'Ext Sheets'!A1" display="Ext Sheets" xr:uid="{0F9AD431-D56C-485A-B9C3-BB53C11DD9DC}"/>
  </hyperlinks>
  <pageMargins left="0.70866141732283472" right="0.70866141732283472" top="0.74803149606299213" bottom="0.74803149606299213" header="0.31496062992125984" footer="0.31496062992125984"/>
  <pageSetup paperSize="9" scale="6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E7B38-CD0C-4332-8459-E578B71C85CF}">
  <sheetPr codeName="Sheet4"/>
  <dimension ref="B2:E23"/>
  <sheetViews>
    <sheetView workbookViewId="0">
      <selection activeCell="E4" sqref="E4"/>
    </sheetView>
  </sheetViews>
  <sheetFormatPr defaultRowHeight="18" x14ac:dyDescent="0.35"/>
  <cols>
    <col min="1" max="1" width="9.140625" style="67"/>
    <col min="2" max="2" width="27.7109375" style="67" bestFit="1" customWidth="1"/>
    <col min="3" max="3" width="14.42578125" style="67" bestFit="1" customWidth="1"/>
    <col min="4" max="4" width="12.85546875" style="67" bestFit="1" customWidth="1"/>
    <col min="5" max="5" width="25.5703125" style="67" bestFit="1" customWidth="1"/>
    <col min="6" max="16384" width="9.140625" style="67"/>
  </cols>
  <sheetData>
    <row r="2" spans="2:5" ht="90" x14ac:dyDescent="0.45">
      <c r="B2" s="664" t="s">
        <v>247</v>
      </c>
      <c r="C2" s="665" t="s">
        <v>282</v>
      </c>
      <c r="D2" s="665" t="s">
        <v>283</v>
      </c>
    </row>
    <row r="3" spans="2:5" x14ac:dyDescent="0.35">
      <c r="B3" s="666" t="s">
        <v>252</v>
      </c>
      <c r="C3" s="154" t="s">
        <v>284</v>
      </c>
      <c r="D3" s="154" t="s">
        <v>284</v>
      </c>
      <c r="E3" s="667" t="s">
        <v>285</v>
      </c>
    </row>
    <row r="4" spans="2:5" x14ac:dyDescent="0.35">
      <c r="B4" s="668" t="s">
        <v>258</v>
      </c>
      <c r="C4" s="154" t="s">
        <v>284</v>
      </c>
      <c r="D4" s="154" t="s">
        <v>284</v>
      </c>
      <c r="E4" s="406" t="s">
        <v>286</v>
      </c>
    </row>
    <row r="5" spans="2:5" x14ac:dyDescent="0.35">
      <c r="B5" s="668" t="s">
        <v>264</v>
      </c>
      <c r="C5" s="154" t="s">
        <v>284</v>
      </c>
      <c r="D5" s="154" t="s">
        <v>284</v>
      </c>
      <c r="E5" s="669" t="s">
        <v>287</v>
      </c>
    </row>
    <row r="6" spans="2:5" x14ac:dyDescent="0.35">
      <c r="B6" s="668" t="s">
        <v>270</v>
      </c>
      <c r="C6" s="154" t="s">
        <v>284</v>
      </c>
      <c r="D6" s="154" t="s">
        <v>288</v>
      </c>
    </row>
    <row r="7" spans="2:5" x14ac:dyDescent="0.35">
      <c r="B7" s="670" t="s">
        <v>275</v>
      </c>
      <c r="C7" s="154" t="s">
        <v>284</v>
      </c>
      <c r="D7" s="671" t="s">
        <v>284</v>
      </c>
      <c r="E7" s="406" t="s">
        <v>286</v>
      </c>
    </row>
    <row r="8" spans="2:5" ht="22.5" x14ac:dyDescent="0.45">
      <c r="B8" s="672" t="s">
        <v>248</v>
      </c>
      <c r="C8" s="154"/>
      <c r="D8" s="154"/>
      <c r="E8" s="406" t="s">
        <v>286</v>
      </c>
    </row>
    <row r="9" spans="2:5" ht="22.5" x14ac:dyDescent="0.45">
      <c r="B9" s="672" t="s">
        <v>289</v>
      </c>
      <c r="C9" s="154" t="s">
        <v>284</v>
      </c>
      <c r="D9" s="154" t="s">
        <v>284</v>
      </c>
      <c r="E9" s="406" t="s">
        <v>286</v>
      </c>
    </row>
    <row r="10" spans="2:5" x14ac:dyDescent="0.35">
      <c r="B10" s="666" t="s">
        <v>254</v>
      </c>
      <c r="C10" s="154" t="s">
        <v>288</v>
      </c>
      <c r="D10" s="154" t="s">
        <v>288</v>
      </c>
      <c r="E10" s="406" t="s">
        <v>286</v>
      </c>
    </row>
    <row r="11" spans="2:5" x14ac:dyDescent="0.35">
      <c r="B11" s="668" t="s">
        <v>260</v>
      </c>
      <c r="C11" s="154" t="s">
        <v>288</v>
      </c>
      <c r="D11" s="154" t="s">
        <v>288</v>
      </c>
      <c r="E11" s="406" t="s">
        <v>286</v>
      </c>
    </row>
    <row r="12" spans="2:5" x14ac:dyDescent="0.35">
      <c r="B12" s="668" t="s">
        <v>266</v>
      </c>
      <c r="C12" s="154" t="s">
        <v>288</v>
      </c>
      <c r="D12" s="154" t="s">
        <v>288</v>
      </c>
      <c r="E12" s="406" t="s">
        <v>286</v>
      </c>
    </row>
    <row r="13" spans="2:5" x14ac:dyDescent="0.35">
      <c r="B13" s="670" t="s">
        <v>272</v>
      </c>
      <c r="C13" s="154" t="s">
        <v>284</v>
      </c>
      <c r="D13" s="154" t="s">
        <v>284</v>
      </c>
      <c r="E13" s="406" t="s">
        <v>286</v>
      </c>
    </row>
    <row r="14" spans="2:5" ht="22.5" x14ac:dyDescent="0.45">
      <c r="B14" s="664" t="s">
        <v>249</v>
      </c>
      <c r="C14" s="154" t="s">
        <v>284</v>
      </c>
      <c r="D14" s="154" t="s">
        <v>284</v>
      </c>
      <c r="E14" s="406" t="s">
        <v>286</v>
      </c>
    </row>
    <row r="15" spans="2:5" x14ac:dyDescent="0.35">
      <c r="B15" s="673" t="s">
        <v>256</v>
      </c>
      <c r="C15" s="154" t="s">
        <v>288</v>
      </c>
      <c r="D15" s="154" t="s">
        <v>288</v>
      </c>
      <c r="E15" s="406" t="s">
        <v>286</v>
      </c>
    </row>
    <row r="16" spans="2:5" x14ac:dyDescent="0.35">
      <c r="B16" s="674" t="s">
        <v>262</v>
      </c>
      <c r="C16" s="154" t="s">
        <v>284</v>
      </c>
      <c r="D16" s="154" t="s">
        <v>284</v>
      </c>
      <c r="E16" s="406" t="s">
        <v>286</v>
      </c>
    </row>
    <row r="17" spans="2:5" x14ac:dyDescent="0.35">
      <c r="B17" s="675" t="s">
        <v>268</v>
      </c>
      <c r="C17" s="154" t="s">
        <v>288</v>
      </c>
      <c r="D17" s="154" t="s">
        <v>284</v>
      </c>
      <c r="E17" s="406" t="s">
        <v>286</v>
      </c>
    </row>
    <row r="18" spans="2:5" ht="36" x14ac:dyDescent="0.35">
      <c r="B18" s="676" t="s">
        <v>274</v>
      </c>
      <c r="C18" s="154" t="s">
        <v>288</v>
      </c>
      <c r="D18" s="154" t="s">
        <v>288</v>
      </c>
      <c r="E18" s="406" t="s">
        <v>286</v>
      </c>
    </row>
    <row r="19" spans="2:5" ht="36" x14ac:dyDescent="0.35">
      <c r="B19" s="676" t="s">
        <v>277</v>
      </c>
      <c r="C19" s="154" t="s">
        <v>288</v>
      </c>
      <c r="D19" s="154" t="s">
        <v>288</v>
      </c>
      <c r="E19" s="406" t="s">
        <v>286</v>
      </c>
    </row>
    <row r="20" spans="2:5" x14ac:dyDescent="0.35">
      <c r="B20" s="676" t="s">
        <v>278</v>
      </c>
      <c r="C20" s="154" t="s">
        <v>288</v>
      </c>
      <c r="D20" s="154" t="s">
        <v>288</v>
      </c>
      <c r="E20" s="406" t="s">
        <v>286</v>
      </c>
    </row>
    <row r="21" spans="2:5" x14ac:dyDescent="0.35">
      <c r="B21" s="676" t="s">
        <v>279</v>
      </c>
      <c r="C21" s="154" t="s">
        <v>288</v>
      </c>
      <c r="D21" s="154" t="s">
        <v>284</v>
      </c>
      <c r="E21" s="406" t="s">
        <v>286</v>
      </c>
    </row>
    <row r="22" spans="2:5" x14ac:dyDescent="0.35">
      <c r="B22" s="676" t="s">
        <v>280</v>
      </c>
      <c r="C22" s="154" t="s">
        <v>288</v>
      </c>
      <c r="D22" s="154" t="s">
        <v>288</v>
      </c>
      <c r="E22" s="406" t="s">
        <v>286</v>
      </c>
    </row>
    <row r="23" spans="2:5" x14ac:dyDescent="0.35">
      <c r="B23" s="677" t="s">
        <v>281</v>
      </c>
      <c r="C23" s="154" t="s">
        <v>284</v>
      </c>
      <c r="D23" s="154" t="s">
        <v>288</v>
      </c>
      <c r="E23" s="406" t="s">
        <v>286</v>
      </c>
    </row>
  </sheetData>
  <conditionalFormatting sqref="C3:D30">
    <cfRule type="cellIs" dxfId="273" priority="1" operator="equal">
      <formula>"N"</formula>
    </cfRule>
    <cfRule type="cellIs" dxfId="272" priority="2" operator="greaterThan">
      <formula>0</formula>
    </cfRule>
  </conditionalFormatting>
  <hyperlinks>
    <hyperlink ref="B3" location="HPI!A1" display="HPI" xr:uid="{3EDB274F-3249-4111-AE0C-0126A8963648}"/>
    <hyperlink ref="B4" location="Data!A1" display="Data" xr:uid="{D068326C-51B5-4913-87B2-D02B53F6B6D4}"/>
    <hyperlink ref="B5" location="Calcs!A1" display="Calcs" xr:uid="{EBBFDF30-7FFD-429C-86DC-226DFF7E3957}"/>
    <hyperlink ref="B7" location="abc!A1" display="HubSpot" xr:uid="{0E82EB70-5C98-4127-8E26-4443E645A6A9}"/>
    <hyperlink ref="B12" location="'Bespoke Tier Calc'!A1" display="Bespoke Tier Calc" xr:uid="{43E93C55-7637-422A-A2FD-8D366434526B}"/>
    <hyperlink ref="B10" location="'ICR Main'!A1" display="ICR Main calculator" xr:uid="{1ED44830-F7C4-46B6-802E-16C55F2FF3EB}"/>
    <hyperlink ref="B13" location="'Holiday-Let'!A1" display="Holiday Let" xr:uid="{1F45B2A2-104E-478E-AF96-3992BC27B7CD}"/>
    <hyperlink ref="B11" location="DIP!A1" display="DIP" xr:uid="{954987B3-186B-40C0-8F8D-FBCDAC763808}"/>
    <hyperlink ref="B15" location="'Deal lead sheet'!A1" display="Deal lead sheet" xr:uid="{611C6552-8B4D-4062-8603-D86F20CAE9B6}"/>
    <hyperlink ref="B17" location="DD!A1" display="DD" xr:uid="{220CAD6E-D7C6-42CF-8982-BA03796DABCC}"/>
    <hyperlink ref="B16" location="'Ext Sheets'!A1" display="Outputs for other sheets" xr:uid="{9D716251-6642-4033-B2F6-392B10063702}"/>
    <hyperlink ref="B18" location="'Checklist Before complete'!A1" display="Checklist Before deal complete" xr:uid="{EEDBF771-ACF1-4D6F-870B-C5D874D2EAA8}"/>
    <hyperlink ref="B19" location="'Checklist After complete'!A1" display="Checklist After deal complete" xr:uid="{199FB148-0FBB-4A8C-868E-0BD724E6E659}"/>
    <hyperlink ref="B20" location="'Completion Statement'!A1" display="Completion statement" xr:uid="{D5305DCB-85BF-4200-B6CD-C0E719D6D61F}"/>
    <hyperlink ref="B21:B23" location="'Completion Statement'!A1" display="Completion statement" xr:uid="{5B581BE1-B4D0-42B3-A7C2-0985E82EA38E}"/>
    <hyperlink ref="B21" location="'Funding Lines'!A1" display="funding lines" xr:uid="{09529A9A-6593-42DE-8E33-1A8DEABF9F09}"/>
    <hyperlink ref="B22" location="'Compliance checklists'!A1" display="Compliance Checklists" xr:uid="{FBF3F729-F1EB-48E6-85D1-4A8A58A693D8}"/>
    <hyperlink ref="B23" location="Audit!A1" display="Audit Sheet" xr:uid="{8111C4E2-F5B3-4499-A71E-FEAF330E8429}"/>
    <hyperlink ref="B6" location="'Loan Data'!A1" display="Loan Data" xr:uid="{987EB8F3-33FA-454F-91BE-B888BC144656}"/>
    <hyperlink ref="B16" location="'Ext Sheets'!A1" display="Ext Sheets" xr:uid="{82AA2E99-9FE6-4D2F-AE6B-97AFE13CCAD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E340-A29D-4835-ABAC-380EF5E8B783}">
  <sheetPr codeName="Sheet5">
    <tabColor theme="0" tint="-0.499984740745262"/>
  </sheetPr>
  <dimension ref="A1:AE68"/>
  <sheetViews>
    <sheetView workbookViewId="0">
      <selection activeCell="I11" sqref="I11:O11"/>
    </sheetView>
  </sheetViews>
  <sheetFormatPr defaultRowHeight="15" x14ac:dyDescent="0.25"/>
  <cols>
    <col min="1" max="1" width="15.85546875" customWidth="1"/>
    <col min="2" max="7" width="10.7109375" customWidth="1"/>
    <col min="8" max="8" width="3" customWidth="1"/>
    <col min="9" max="9" width="15.85546875" customWidth="1"/>
    <col min="10" max="15" width="10.7109375" customWidth="1"/>
    <col min="16" max="16" width="10.140625" customWidth="1"/>
    <col min="18" max="18" width="14.140625" customWidth="1"/>
    <col min="19" max="22" width="9.5703125" bestFit="1" customWidth="1"/>
    <col min="23" max="23" width="9.5703125" customWidth="1"/>
    <col min="24" max="24" width="15.85546875" bestFit="1" customWidth="1"/>
  </cols>
  <sheetData>
    <row r="1" spans="1:16" x14ac:dyDescent="0.25">
      <c r="J1" s="3188" t="s">
        <v>290</v>
      </c>
      <c r="K1" s="3188"/>
      <c r="L1" s="3188"/>
      <c r="M1" s="3188"/>
      <c r="N1" s="3188"/>
      <c r="O1" s="3188"/>
    </row>
    <row r="2" spans="1:16" x14ac:dyDescent="0.25">
      <c r="I2" s="14"/>
      <c r="J2" s="6">
        <v>2021</v>
      </c>
      <c r="K2" s="30">
        <v>2022</v>
      </c>
      <c r="L2" s="6">
        <v>2023</v>
      </c>
      <c r="M2" s="7">
        <v>2024</v>
      </c>
      <c r="N2" s="7">
        <v>2025</v>
      </c>
      <c r="O2" s="7" t="s">
        <v>230</v>
      </c>
    </row>
    <row r="3" spans="1:16" x14ac:dyDescent="0.25">
      <c r="A3" s="3200" t="s">
        <v>291</v>
      </c>
      <c r="B3" s="3201"/>
      <c r="C3" s="3193">
        <f>Property_Value</f>
        <v>0</v>
      </c>
      <c r="D3" s="3193"/>
      <c r="E3" s="3189" t="s">
        <v>292</v>
      </c>
      <c r="I3" s="13" t="s">
        <v>231</v>
      </c>
      <c r="J3" s="10" t="e">
        <f>VLOOKUP(($C$7),HPI!$A$27:$G$36,2,FALSE)</f>
        <v>#N/A</v>
      </c>
      <c r="K3" s="10" t="e">
        <f>VLOOKUP(($C$7),HPI!$A$27:$G$36,3,FALSE)</f>
        <v>#N/A</v>
      </c>
      <c r="L3" s="10" t="e">
        <f>VLOOKUP(($C$7),HPI!$A$27:$G$36,4,FALSE)</f>
        <v>#N/A</v>
      </c>
      <c r="M3" s="10" t="e">
        <f>VLOOKUP(($C$7),HPI!$A$27:$G$36,5,FALSE)</f>
        <v>#N/A</v>
      </c>
      <c r="N3" s="10" t="e">
        <f>VLOOKUP(($C$7),HPI!$A$27:$G$36,6,FALSE)</f>
        <v>#N/A</v>
      </c>
      <c r="O3" s="10" t="e">
        <f>VLOOKUP(($C$7),HPI!$A$27:$G$36,7,FALSE)</f>
        <v>#N/A</v>
      </c>
      <c r="P3" s="65" t="e">
        <f>INDEX(B27:G36,MATCH($C$7,A27:A36,0),MATCH($J$2,B26:G26,0))</f>
        <v>#N/A</v>
      </c>
    </row>
    <row r="4" spans="1:16" x14ac:dyDescent="0.25">
      <c r="A4" s="3196" t="s">
        <v>293</v>
      </c>
      <c r="B4" s="3197"/>
      <c r="C4" s="3192" t="e">
        <f>Gross_Loan</f>
        <v>#N/A</v>
      </c>
      <c r="D4" s="3192"/>
      <c r="E4" s="3190"/>
      <c r="I4" s="13" t="s">
        <v>233</v>
      </c>
      <c r="J4" s="9" t="e">
        <f>INDEX(HPI!$B$14:$B$23,MATCH($C$7,HPI!$A$14:$A$23,0))</f>
        <v>#N/A</v>
      </c>
      <c r="K4" s="9" t="e">
        <f>INDEX(HPI!$C$14:$C$23,MATCH($C$7,HPI!$A$14:$A$23,0))</f>
        <v>#N/A</v>
      </c>
      <c r="L4" s="9" t="e">
        <f>INDEX(HPI!$C$14:$C$23,MATCH($C$7,HPI!$A$14:$A$23,0))</f>
        <v>#N/A</v>
      </c>
      <c r="M4" s="9" t="e">
        <f>INDEX(HPI!$D$14:$D$23,MATCH($C$7,HPI!$A$14:$A$23,0))</f>
        <v>#N/A</v>
      </c>
      <c r="N4" s="9" t="e">
        <f>INDEX(HPI!$D$14:$D$23,MATCH($C$7,HPI!$A$14:$A$23,0))</f>
        <v>#N/A</v>
      </c>
      <c r="O4" s="9" t="e">
        <f>INDEX(HPI!$E$14:$E$23,MATCH($C$7,HPI!$A$14:$A$23,0))</f>
        <v>#N/A</v>
      </c>
    </row>
    <row r="5" spans="1:16" x14ac:dyDescent="0.25">
      <c r="A5" s="3196" t="s">
        <v>207</v>
      </c>
      <c r="B5" s="3197"/>
      <c r="C5" s="3192">
        <f>'BTL Calculator'!M158</f>
        <v>0</v>
      </c>
      <c r="D5" s="3192"/>
      <c r="E5" s="3190"/>
      <c r="I5" s="18" t="s">
        <v>235</v>
      </c>
      <c r="J5" s="11" t="e">
        <f>$C$5/HPIAdjusted2021</f>
        <v>#N/A</v>
      </c>
      <c r="K5" s="11" t="e">
        <f>$C$5/HPIAdjusted2022</f>
        <v>#N/A</v>
      </c>
      <c r="L5" s="11" t="e">
        <f>$C$5/HPIAdjusted2023</f>
        <v>#N/A</v>
      </c>
      <c r="M5" s="11" t="e">
        <f>$C$5/HPIAdjusted2024</f>
        <v>#N/A</v>
      </c>
      <c r="N5" s="11" t="e">
        <f>$C$5/HPIAdjusted2025</f>
        <v>#N/A</v>
      </c>
      <c r="O5" s="11" t="e">
        <f>$C$5/HPIAdjusted5yrTotal</f>
        <v>#N/A</v>
      </c>
    </row>
    <row r="6" spans="1:16" x14ac:dyDescent="0.25">
      <c r="A6" s="3196" t="s">
        <v>294</v>
      </c>
      <c r="B6" s="3197"/>
      <c r="C6" s="3192" t="e">
        <f>NetLoanUsed</f>
        <v>#N/A</v>
      </c>
      <c r="D6" s="3192"/>
      <c r="E6" s="3190"/>
      <c r="I6" s="18" t="s">
        <v>237</v>
      </c>
      <c r="J6" s="11" t="e">
        <f>$C$6/HPIAdjusted2021</f>
        <v>#N/A</v>
      </c>
      <c r="K6" s="11" t="e">
        <f>$C$6/HPIAdjusted2022</f>
        <v>#N/A</v>
      </c>
      <c r="L6" s="11" t="e">
        <f>$C$6/HPIAdjusted2023</f>
        <v>#N/A</v>
      </c>
      <c r="M6" s="11" t="e">
        <f>$C$6/HPIAdjusted2024</f>
        <v>#N/A</v>
      </c>
      <c r="N6" s="11" t="e">
        <f>$C$6/HPIAdjusted2025</f>
        <v>#N/A</v>
      </c>
      <c r="O6" s="11" t="e">
        <f>$C$6/HPIAdjusted5yrTotal</f>
        <v>#N/A</v>
      </c>
    </row>
    <row r="7" spans="1:16" x14ac:dyDescent="0.25">
      <c r="A7" s="3196" t="s">
        <v>295</v>
      </c>
      <c r="B7" s="3197"/>
      <c r="C7" s="3198">
        <f>'KB_CRITERIA AND CALCULATION '!D21</f>
        <v>0</v>
      </c>
      <c r="D7" s="3198"/>
      <c r="E7" s="3190"/>
      <c r="I7" s="19" t="s">
        <v>239</v>
      </c>
      <c r="J7" s="12" t="e">
        <f>$C$4/HPIAdjusted2021</f>
        <v>#N/A</v>
      </c>
      <c r="K7" s="20" t="e">
        <f>$C$4/HPIAdjusted2022</f>
        <v>#N/A</v>
      </c>
      <c r="L7" s="20" t="e">
        <f>$C$4/HPIAdjusted2023</f>
        <v>#N/A</v>
      </c>
      <c r="M7" s="20" t="e">
        <f>$C$4/HPIAdjusted2024</f>
        <v>#N/A</v>
      </c>
      <c r="N7" s="20" t="e">
        <f>$C$4/HPIAdjusted2025</f>
        <v>#N/A</v>
      </c>
      <c r="O7" s="20" t="e">
        <f>C4/HPIAdjusted5yrTotal</f>
        <v>#N/A</v>
      </c>
    </row>
    <row r="8" spans="1:16" x14ac:dyDescent="0.25">
      <c r="A8" s="3196" t="s">
        <v>296</v>
      </c>
      <c r="B8" s="3197"/>
      <c r="C8" s="3206">
        <f>'KB_CRITERIA AND CALCULATION '!U22</f>
        <v>0</v>
      </c>
      <c r="D8" s="3206"/>
      <c r="E8" s="3190"/>
      <c r="I8" s="13" t="s">
        <v>231</v>
      </c>
      <c r="J8" s="10" t="e">
        <f>VLOOKUP(($C$7),Future_Rent_TBL,2,FALSE)</f>
        <v>#N/A</v>
      </c>
      <c r="K8" s="10" t="e">
        <f>VLOOKUP(($C$7),Future_Rent_TBL,3,FALSE)</f>
        <v>#N/A</v>
      </c>
      <c r="L8" s="10" t="e">
        <f>VLOOKUP(($C$7),Future_Rent_TBL,4,FALSE)</f>
        <v>#N/A</v>
      </c>
      <c r="M8" s="10" t="e">
        <f>VLOOKUP(($C$7),Future_Rent_TBL,5,FALSE)</f>
        <v>#N/A</v>
      </c>
      <c r="N8" s="10" t="e">
        <f>VLOOKUP(($C$7),Future_Rent_TBL,6,FALSE)</f>
        <v>#N/A</v>
      </c>
      <c r="O8" s="10" t="e">
        <f>VLOOKUP(($C$7),Future_Rent_TBL,7,FALSE)</f>
        <v>#N/A</v>
      </c>
    </row>
    <row r="9" spans="1:16" x14ac:dyDescent="0.25">
      <c r="A9" s="3202" t="s">
        <v>297</v>
      </c>
      <c r="B9" s="3203"/>
      <c r="C9" s="3205" t="str">
        <f>'KB_CRITERIA AND CALCULATION '!$W$90</f>
        <v>-</v>
      </c>
      <c r="D9" s="3205"/>
      <c r="E9" s="3191"/>
      <c r="I9" s="13" t="s">
        <v>298</v>
      </c>
      <c r="J9" s="9" t="e">
        <f>INDEX(Adjusted_House_Price_TBL2[2021],MATCH($C$7,Adjusted_House_Price_TBL2[Column1],0))</f>
        <v>#N/A</v>
      </c>
      <c r="K9" s="9" t="e">
        <f>INDEX(Adjusted_House_Price_TBL2[2022],MATCH($C$7,Adjusted_House_Price_TBL2[Column1],0))</f>
        <v>#N/A</v>
      </c>
      <c r="L9" s="9" t="e">
        <f>INDEX(Adjusted_House_Price_TBL2[2022],MATCH($C$7,Adjusted_House_Price_TBL2[Column1],0))</f>
        <v>#N/A</v>
      </c>
      <c r="M9" s="9" t="e">
        <f>INDEX(Adjusted_House_Price_TBL2[2023],MATCH($C$7,Adjusted_House_Price_TBL2[Column1],0))</f>
        <v>#N/A</v>
      </c>
      <c r="N9" s="9" t="e">
        <f>INDEX(Adjusted_House_Price_TBL2[2023],MATCH($C$7,Adjusted_House_Price_TBL2[Column1],0))</f>
        <v>#N/A</v>
      </c>
      <c r="O9" s="9" t="e">
        <f>INDEX(Adjusted_House_Price_TBL2[2024],MATCH($C$7,Adjusted_House_Price_TBL2[Column1],0))</f>
        <v>#N/A</v>
      </c>
    </row>
    <row r="10" spans="1:16" x14ac:dyDescent="0.25">
      <c r="I10" s="18" t="s">
        <v>299</v>
      </c>
      <c r="J10" s="21" t="str">
        <f>'KB_CRITERIA AND CALCULATION '!$W$90</f>
        <v>-</v>
      </c>
      <c r="K10" s="21" t="e">
        <f>J10*(100%+K$8)</f>
        <v>#VALUE!</v>
      </c>
      <c r="L10" s="21" t="e">
        <f>K10*(100%+L$8)</f>
        <v>#VALUE!</v>
      </c>
      <c r="M10" s="21" t="e">
        <f>L10*(100%+M$8)</f>
        <v>#VALUE!</v>
      </c>
      <c r="N10" s="21" t="e">
        <f>M10*(100%+N$8)</f>
        <v>#VALUE!</v>
      </c>
      <c r="O10" s="21" t="e">
        <f>N10*(100%+O$8)</f>
        <v>#VALUE!</v>
      </c>
    </row>
    <row r="11" spans="1:16" ht="21" x14ac:dyDescent="0.35">
      <c r="A11" s="3195" t="s">
        <v>300</v>
      </c>
      <c r="B11" s="3195"/>
      <c r="C11" s="3195"/>
      <c r="D11" s="3195"/>
      <c r="E11" s="3195"/>
      <c r="F11" s="3195"/>
      <c r="G11" s="3195"/>
      <c r="I11" s="3195" t="s">
        <v>301</v>
      </c>
      <c r="J11" s="3195"/>
      <c r="K11" s="3195"/>
      <c r="L11" s="3195"/>
      <c r="M11" s="3195"/>
      <c r="N11" s="3195"/>
      <c r="O11" s="3195"/>
    </row>
    <row r="12" spans="1:16" ht="15.75" x14ac:dyDescent="0.25">
      <c r="A12" s="3199" t="s">
        <v>302</v>
      </c>
      <c r="B12" s="3199"/>
      <c r="C12" s="3199"/>
      <c r="D12" s="3199"/>
      <c r="E12" s="3199"/>
      <c r="F12" s="3199"/>
      <c r="G12" s="3199"/>
      <c r="I12" s="3199" t="s">
        <v>303</v>
      </c>
      <c r="J12" s="3199"/>
      <c r="K12" s="3199"/>
      <c r="L12" s="3199"/>
      <c r="M12" s="3199"/>
      <c r="N12" s="3199"/>
      <c r="O12" s="3199"/>
    </row>
    <row r="13" spans="1:16" x14ac:dyDescent="0.25">
      <c r="A13" s="32" t="s">
        <v>304</v>
      </c>
      <c r="B13" s="33" t="s">
        <v>305</v>
      </c>
      <c r="C13" s="33" t="s">
        <v>306</v>
      </c>
      <c r="D13" s="33" t="s">
        <v>307</v>
      </c>
      <c r="E13" s="33" t="s">
        <v>308</v>
      </c>
      <c r="F13" s="33" t="s">
        <v>309</v>
      </c>
      <c r="G13" s="34" t="s">
        <v>230</v>
      </c>
      <c r="I13" t="s">
        <v>304</v>
      </c>
      <c r="J13" s="2" t="s">
        <v>305</v>
      </c>
      <c r="K13" s="2" t="s">
        <v>306</v>
      </c>
      <c r="L13" s="2" t="s">
        <v>307</v>
      </c>
      <c r="M13" s="2" t="s">
        <v>308</v>
      </c>
      <c r="N13" s="2" t="s">
        <v>309</v>
      </c>
      <c r="O13" s="3" t="s">
        <v>230</v>
      </c>
    </row>
    <row r="14" spans="1:16" x14ac:dyDescent="0.25">
      <c r="A14" s="35" t="s">
        <v>25</v>
      </c>
      <c r="B14" s="36">
        <f t="shared" ref="B14:B23" si="0">$C$3</f>
        <v>0</v>
      </c>
      <c r="C14" s="37">
        <f t="shared" ref="C14:F23" si="1">B14*(100%+C27)</f>
        <v>0</v>
      </c>
      <c r="D14" s="37">
        <f t="shared" si="1"/>
        <v>0</v>
      </c>
      <c r="E14" s="37">
        <f t="shared" si="1"/>
        <v>0</v>
      </c>
      <c r="F14" s="37">
        <f t="shared" si="1"/>
        <v>0</v>
      </c>
      <c r="G14" s="38">
        <f t="shared" ref="G14:G23" si="2">B14*(100%+G27)</f>
        <v>0</v>
      </c>
      <c r="H14" s="17"/>
      <c r="I14" s="5" t="s">
        <v>25</v>
      </c>
      <c r="J14" s="4">
        <f>$C$8</f>
        <v>0</v>
      </c>
      <c r="K14" s="26">
        <f t="shared" ref="K14:N23" si="3">J14*(100%+K27)</f>
        <v>0</v>
      </c>
      <c r="L14" s="26">
        <f t="shared" si="3"/>
        <v>0</v>
      </c>
      <c r="M14" s="26">
        <f t="shared" si="3"/>
        <v>0</v>
      </c>
      <c r="N14" s="26">
        <f t="shared" si="3"/>
        <v>0</v>
      </c>
      <c r="O14" s="26">
        <f t="shared" ref="O14:O23" si="4">J14*(100%+O27)</f>
        <v>0</v>
      </c>
    </row>
    <row r="15" spans="1:16" x14ac:dyDescent="0.25">
      <c r="A15" s="35" t="s">
        <v>310</v>
      </c>
      <c r="B15" s="39">
        <f t="shared" si="0"/>
        <v>0</v>
      </c>
      <c r="C15" s="40">
        <f t="shared" si="1"/>
        <v>0</v>
      </c>
      <c r="D15" s="40">
        <f t="shared" si="1"/>
        <v>0</v>
      </c>
      <c r="E15" s="40">
        <f t="shared" si="1"/>
        <v>0</v>
      </c>
      <c r="F15" s="40">
        <f t="shared" si="1"/>
        <v>0</v>
      </c>
      <c r="G15" s="41">
        <f t="shared" si="2"/>
        <v>0</v>
      </c>
      <c r="I15" s="5" t="s">
        <v>310</v>
      </c>
      <c r="J15" s="4">
        <f t="shared" ref="J15:J23" si="5">$C$8</f>
        <v>0</v>
      </c>
      <c r="K15" s="26">
        <f t="shared" si="3"/>
        <v>0</v>
      </c>
      <c r="L15" s="26">
        <f t="shared" si="3"/>
        <v>0</v>
      </c>
      <c r="M15" s="26">
        <f t="shared" si="3"/>
        <v>0</v>
      </c>
      <c r="N15" s="26">
        <f t="shared" si="3"/>
        <v>0</v>
      </c>
      <c r="O15" s="26">
        <f t="shared" si="4"/>
        <v>0</v>
      </c>
    </row>
    <row r="16" spans="1:16" x14ac:dyDescent="0.25">
      <c r="A16" s="35" t="s">
        <v>311</v>
      </c>
      <c r="B16" s="39">
        <f t="shared" si="0"/>
        <v>0</v>
      </c>
      <c r="C16" s="42">
        <f t="shared" si="1"/>
        <v>0</v>
      </c>
      <c r="D16" s="42">
        <f t="shared" si="1"/>
        <v>0</v>
      </c>
      <c r="E16" s="42">
        <f t="shared" si="1"/>
        <v>0</v>
      </c>
      <c r="F16" s="42">
        <f t="shared" si="1"/>
        <v>0</v>
      </c>
      <c r="G16" s="43">
        <f t="shared" si="2"/>
        <v>0</v>
      </c>
      <c r="I16" s="5" t="s">
        <v>311</v>
      </c>
      <c r="J16" s="4">
        <f t="shared" si="5"/>
        <v>0</v>
      </c>
      <c r="K16" s="26">
        <f t="shared" si="3"/>
        <v>0</v>
      </c>
      <c r="L16" s="26">
        <f t="shared" si="3"/>
        <v>0</v>
      </c>
      <c r="M16" s="26">
        <f t="shared" si="3"/>
        <v>0</v>
      </c>
      <c r="N16" s="26">
        <f t="shared" si="3"/>
        <v>0</v>
      </c>
      <c r="O16" s="26">
        <f t="shared" si="4"/>
        <v>0</v>
      </c>
    </row>
    <row r="17" spans="1:15" x14ac:dyDescent="0.25">
      <c r="A17" s="35" t="s">
        <v>312</v>
      </c>
      <c r="B17" s="39">
        <f t="shared" si="0"/>
        <v>0</v>
      </c>
      <c r="C17" s="40">
        <f t="shared" si="1"/>
        <v>0</v>
      </c>
      <c r="D17" s="40">
        <f t="shared" si="1"/>
        <v>0</v>
      </c>
      <c r="E17" s="40">
        <f t="shared" si="1"/>
        <v>0</v>
      </c>
      <c r="F17" s="40">
        <f t="shared" si="1"/>
        <v>0</v>
      </c>
      <c r="G17" s="41">
        <f t="shared" si="2"/>
        <v>0</v>
      </c>
      <c r="I17" s="5" t="s">
        <v>312</v>
      </c>
      <c r="J17" s="4">
        <f t="shared" si="5"/>
        <v>0</v>
      </c>
      <c r="K17" s="26">
        <f t="shared" si="3"/>
        <v>0</v>
      </c>
      <c r="L17" s="26">
        <f t="shared" si="3"/>
        <v>0</v>
      </c>
      <c r="M17" s="26">
        <f t="shared" si="3"/>
        <v>0</v>
      </c>
      <c r="N17" s="26">
        <f t="shared" si="3"/>
        <v>0</v>
      </c>
      <c r="O17" s="26">
        <f t="shared" si="4"/>
        <v>0</v>
      </c>
    </row>
    <row r="18" spans="1:15" x14ac:dyDescent="0.25">
      <c r="A18" s="35" t="s">
        <v>313</v>
      </c>
      <c r="B18" s="39">
        <f t="shared" si="0"/>
        <v>0</v>
      </c>
      <c r="C18" s="42">
        <f t="shared" si="1"/>
        <v>0</v>
      </c>
      <c r="D18" s="42">
        <f t="shared" si="1"/>
        <v>0</v>
      </c>
      <c r="E18" s="42">
        <f t="shared" si="1"/>
        <v>0</v>
      </c>
      <c r="F18" s="42">
        <f t="shared" si="1"/>
        <v>0</v>
      </c>
      <c r="G18" s="43">
        <f t="shared" si="2"/>
        <v>0</v>
      </c>
      <c r="I18" s="5" t="s">
        <v>313</v>
      </c>
      <c r="J18" s="4">
        <f t="shared" si="5"/>
        <v>0</v>
      </c>
      <c r="K18" s="26">
        <f t="shared" si="3"/>
        <v>0</v>
      </c>
      <c r="L18" s="26">
        <f t="shared" si="3"/>
        <v>0</v>
      </c>
      <c r="M18" s="26">
        <f t="shared" si="3"/>
        <v>0</v>
      </c>
      <c r="N18" s="26">
        <f t="shared" si="3"/>
        <v>0</v>
      </c>
      <c r="O18" s="26">
        <f t="shared" si="4"/>
        <v>0</v>
      </c>
    </row>
    <row r="19" spans="1:15" x14ac:dyDescent="0.25">
      <c r="A19" s="35" t="s">
        <v>314</v>
      </c>
      <c r="B19" s="39">
        <f t="shared" si="0"/>
        <v>0</v>
      </c>
      <c r="C19" s="40">
        <f t="shared" si="1"/>
        <v>0</v>
      </c>
      <c r="D19" s="40">
        <f t="shared" si="1"/>
        <v>0</v>
      </c>
      <c r="E19" s="40">
        <f t="shared" si="1"/>
        <v>0</v>
      </c>
      <c r="F19" s="40">
        <f t="shared" si="1"/>
        <v>0</v>
      </c>
      <c r="G19" s="41">
        <f t="shared" si="2"/>
        <v>0</v>
      </c>
      <c r="I19" s="5" t="s">
        <v>314</v>
      </c>
      <c r="J19" s="4">
        <f t="shared" si="5"/>
        <v>0</v>
      </c>
      <c r="K19" s="26">
        <f t="shared" si="3"/>
        <v>0</v>
      </c>
      <c r="L19" s="26">
        <f t="shared" si="3"/>
        <v>0</v>
      </c>
      <c r="M19" s="26">
        <f t="shared" si="3"/>
        <v>0</v>
      </c>
      <c r="N19" s="26">
        <f t="shared" si="3"/>
        <v>0</v>
      </c>
      <c r="O19" s="26">
        <f t="shared" si="4"/>
        <v>0</v>
      </c>
    </row>
    <row r="20" spans="1:15" x14ac:dyDescent="0.25">
      <c r="A20" s="35" t="s">
        <v>315</v>
      </c>
      <c r="B20" s="39">
        <f t="shared" si="0"/>
        <v>0</v>
      </c>
      <c r="C20" s="42">
        <f t="shared" si="1"/>
        <v>0</v>
      </c>
      <c r="D20" s="42">
        <f t="shared" si="1"/>
        <v>0</v>
      </c>
      <c r="E20" s="42">
        <f t="shared" si="1"/>
        <v>0</v>
      </c>
      <c r="F20" s="42">
        <f t="shared" si="1"/>
        <v>0</v>
      </c>
      <c r="G20" s="43">
        <f t="shared" si="2"/>
        <v>0</v>
      </c>
      <c r="I20" s="5" t="s">
        <v>315</v>
      </c>
      <c r="J20" s="4">
        <f t="shared" si="5"/>
        <v>0</v>
      </c>
      <c r="K20" s="26">
        <f t="shared" si="3"/>
        <v>0</v>
      </c>
      <c r="L20" s="26">
        <f t="shared" si="3"/>
        <v>0</v>
      </c>
      <c r="M20" s="26">
        <f t="shared" si="3"/>
        <v>0</v>
      </c>
      <c r="N20" s="26">
        <f t="shared" si="3"/>
        <v>0</v>
      </c>
      <c r="O20" s="26">
        <f t="shared" si="4"/>
        <v>0</v>
      </c>
    </row>
    <row r="21" spans="1:15" x14ac:dyDescent="0.25">
      <c r="A21" s="35" t="s">
        <v>316</v>
      </c>
      <c r="B21" s="39">
        <f t="shared" si="0"/>
        <v>0</v>
      </c>
      <c r="C21" s="40">
        <f t="shared" si="1"/>
        <v>0</v>
      </c>
      <c r="D21" s="40">
        <f t="shared" si="1"/>
        <v>0</v>
      </c>
      <c r="E21" s="40">
        <f t="shared" si="1"/>
        <v>0</v>
      </c>
      <c r="F21" s="40">
        <f t="shared" si="1"/>
        <v>0</v>
      </c>
      <c r="G21" s="41">
        <f t="shared" si="2"/>
        <v>0</v>
      </c>
      <c r="I21" s="5" t="s">
        <v>316</v>
      </c>
      <c r="J21" s="4">
        <f t="shared" si="5"/>
        <v>0</v>
      </c>
      <c r="K21" s="26">
        <f t="shared" si="3"/>
        <v>0</v>
      </c>
      <c r="L21" s="26">
        <f t="shared" si="3"/>
        <v>0</v>
      </c>
      <c r="M21" s="26">
        <f t="shared" si="3"/>
        <v>0</v>
      </c>
      <c r="N21" s="26">
        <f t="shared" si="3"/>
        <v>0</v>
      </c>
      <c r="O21" s="26">
        <f t="shared" si="4"/>
        <v>0</v>
      </c>
    </row>
    <row r="22" spans="1:15" x14ac:dyDescent="0.25">
      <c r="A22" s="35" t="s">
        <v>317</v>
      </c>
      <c r="B22" s="39">
        <f t="shared" si="0"/>
        <v>0</v>
      </c>
      <c r="C22" s="42">
        <f t="shared" si="1"/>
        <v>0</v>
      </c>
      <c r="D22" s="42">
        <f t="shared" si="1"/>
        <v>0</v>
      </c>
      <c r="E22" s="42">
        <f t="shared" si="1"/>
        <v>0</v>
      </c>
      <c r="F22" s="42">
        <f t="shared" si="1"/>
        <v>0</v>
      </c>
      <c r="G22" s="43">
        <f t="shared" si="2"/>
        <v>0</v>
      </c>
      <c r="I22" s="5" t="s">
        <v>317</v>
      </c>
      <c r="J22" s="4">
        <f t="shared" si="5"/>
        <v>0</v>
      </c>
      <c r="K22" s="26">
        <f t="shared" si="3"/>
        <v>0</v>
      </c>
      <c r="L22" s="26">
        <f t="shared" si="3"/>
        <v>0</v>
      </c>
      <c r="M22" s="26">
        <f t="shared" si="3"/>
        <v>0</v>
      </c>
      <c r="N22" s="26">
        <f t="shared" si="3"/>
        <v>0</v>
      </c>
      <c r="O22" s="26">
        <f t="shared" si="4"/>
        <v>0</v>
      </c>
    </row>
    <row r="23" spans="1:15" x14ac:dyDescent="0.25">
      <c r="A23" s="44" t="s">
        <v>318</v>
      </c>
      <c r="B23" s="45">
        <f t="shared" si="0"/>
        <v>0</v>
      </c>
      <c r="C23" s="46">
        <f t="shared" si="1"/>
        <v>0</v>
      </c>
      <c r="D23" s="46">
        <f t="shared" si="1"/>
        <v>0</v>
      </c>
      <c r="E23" s="46">
        <f t="shared" si="1"/>
        <v>0</v>
      </c>
      <c r="F23" s="46">
        <f t="shared" si="1"/>
        <v>0</v>
      </c>
      <c r="G23" s="47">
        <f t="shared" si="2"/>
        <v>0</v>
      </c>
      <c r="I23" s="5" t="s">
        <v>318</v>
      </c>
      <c r="J23" s="4">
        <f t="shared" si="5"/>
        <v>0</v>
      </c>
      <c r="K23" s="26">
        <f t="shared" si="3"/>
        <v>0</v>
      </c>
      <c r="L23" s="26">
        <f t="shared" si="3"/>
        <v>0</v>
      </c>
      <c r="M23" s="26">
        <f t="shared" si="3"/>
        <v>0</v>
      </c>
      <c r="N23" s="26">
        <f t="shared" si="3"/>
        <v>0</v>
      </c>
      <c r="O23" s="26">
        <f t="shared" si="4"/>
        <v>0</v>
      </c>
    </row>
    <row r="25" spans="1:15" ht="18.75" x14ac:dyDescent="0.3">
      <c r="A25" s="3194" t="s">
        <v>319</v>
      </c>
      <c r="B25" s="3194"/>
      <c r="C25" s="3194"/>
      <c r="D25" s="3194"/>
      <c r="E25" s="3194"/>
      <c r="F25" s="3194"/>
      <c r="G25" s="3194"/>
      <c r="I25" s="28" t="s">
        <v>320</v>
      </c>
      <c r="J25" s="28"/>
      <c r="K25" s="28"/>
      <c r="L25" s="28"/>
      <c r="M25" s="28"/>
      <c r="N25" s="28"/>
      <c r="O25" s="29">
        <v>0.02</v>
      </c>
    </row>
    <row r="26" spans="1:15" x14ac:dyDescent="0.25">
      <c r="A26" s="48" t="s">
        <v>304</v>
      </c>
      <c r="B26" s="49">
        <v>2021</v>
      </c>
      <c r="C26" s="50" t="s">
        <v>306</v>
      </c>
      <c r="D26" s="49" t="s">
        <v>307</v>
      </c>
      <c r="E26" s="51" t="s">
        <v>308</v>
      </c>
      <c r="F26" s="51" t="s">
        <v>309</v>
      </c>
      <c r="G26" s="52" t="s">
        <v>230</v>
      </c>
      <c r="I26" s="1" t="s">
        <v>304</v>
      </c>
      <c r="J26" s="6" t="s">
        <v>305</v>
      </c>
      <c r="K26" s="8" t="s">
        <v>306</v>
      </c>
      <c r="L26" s="6" t="s">
        <v>307</v>
      </c>
      <c r="M26" s="7" t="s">
        <v>308</v>
      </c>
      <c r="N26" s="7" t="s">
        <v>309</v>
      </c>
      <c r="O26" s="7" t="s">
        <v>230</v>
      </c>
    </row>
    <row r="27" spans="1:15" x14ac:dyDescent="0.25">
      <c r="A27" s="53" t="s">
        <v>25</v>
      </c>
      <c r="B27" s="54">
        <v>7.0000000000000007E-2</v>
      </c>
      <c r="C27" s="55">
        <v>0.02</v>
      </c>
      <c r="D27" s="55">
        <v>1.4999999999999999E-2</v>
      </c>
      <c r="E27" s="55">
        <v>0.01</v>
      </c>
      <c r="F27" s="55">
        <v>5.0000000000000001E-3</v>
      </c>
      <c r="G27" s="56">
        <v>0.124</v>
      </c>
      <c r="I27" s="15" t="s">
        <v>25</v>
      </c>
      <c r="J27" s="22">
        <f t="shared" ref="J27:N37" si="6">MIN(J41,$O$25)</f>
        <v>1.4999999999999999E-2</v>
      </c>
      <c r="K27" s="22">
        <f t="shared" si="6"/>
        <v>0.02</v>
      </c>
      <c r="L27" s="22">
        <f t="shared" si="6"/>
        <v>0.02</v>
      </c>
      <c r="M27" s="22">
        <f t="shared" si="6"/>
        <v>0.02</v>
      </c>
      <c r="N27" s="22">
        <f t="shared" si="6"/>
        <v>0.02</v>
      </c>
      <c r="O27" s="23">
        <v>0.193</v>
      </c>
    </row>
    <row r="28" spans="1:15" x14ac:dyDescent="0.25">
      <c r="A28" s="57" t="s">
        <v>310</v>
      </c>
      <c r="B28" s="58">
        <v>0.09</v>
      </c>
      <c r="C28" s="59">
        <v>0.03</v>
      </c>
      <c r="D28" s="59">
        <v>2.5000000000000001E-2</v>
      </c>
      <c r="E28" s="59">
        <v>0.02</v>
      </c>
      <c r="F28" s="59">
        <v>1.4999999999999999E-2</v>
      </c>
      <c r="G28" s="60">
        <v>0.191</v>
      </c>
      <c r="I28" s="15" t="s">
        <v>321</v>
      </c>
      <c r="J28" s="22">
        <f t="shared" si="6"/>
        <v>5.0000000000000001E-3</v>
      </c>
      <c r="K28" s="22">
        <f t="shared" si="6"/>
        <v>0.02</v>
      </c>
      <c r="L28" s="22">
        <f t="shared" si="6"/>
        <v>0.02</v>
      </c>
      <c r="M28" s="22">
        <f t="shared" si="6"/>
        <v>0.02</v>
      </c>
      <c r="N28" s="22">
        <f t="shared" si="6"/>
        <v>0.02</v>
      </c>
      <c r="O28" s="23">
        <v>0.159</v>
      </c>
    </row>
    <row r="29" spans="1:15" x14ac:dyDescent="0.25">
      <c r="A29" s="53" t="s">
        <v>311</v>
      </c>
      <c r="B29" s="54">
        <v>0.08</v>
      </c>
      <c r="C29" s="55">
        <v>0.03</v>
      </c>
      <c r="D29" s="55">
        <v>2.5000000000000001E-2</v>
      </c>
      <c r="E29" s="55">
        <v>0.02</v>
      </c>
      <c r="F29" s="55">
        <v>1.4999999999999999E-2</v>
      </c>
      <c r="G29" s="56">
        <v>0.18</v>
      </c>
      <c r="I29" s="16" t="s">
        <v>310</v>
      </c>
      <c r="J29" s="24">
        <f t="shared" si="6"/>
        <v>5.0000000000000001E-3</v>
      </c>
      <c r="K29" s="24">
        <f t="shared" si="6"/>
        <v>0.02</v>
      </c>
      <c r="L29" s="24">
        <f t="shared" si="6"/>
        <v>0.02</v>
      </c>
      <c r="M29" s="24">
        <f t="shared" si="6"/>
        <v>0.02</v>
      </c>
      <c r="N29" s="24">
        <f t="shared" si="6"/>
        <v>0.02</v>
      </c>
      <c r="O29" s="25">
        <f t="shared" ref="O29:O37" si="7">$O$28</f>
        <v>0.159</v>
      </c>
    </row>
    <row r="30" spans="1:15" x14ac:dyDescent="0.25">
      <c r="A30" s="57" t="s">
        <v>312</v>
      </c>
      <c r="B30" s="58">
        <v>8.5000000000000006E-2</v>
      </c>
      <c r="C30" s="59">
        <v>3.5000000000000003E-2</v>
      </c>
      <c r="D30" s="59">
        <v>0.03</v>
      </c>
      <c r="E30" s="59">
        <v>2.5000000000000001E-2</v>
      </c>
      <c r="F30" s="59">
        <v>0.02</v>
      </c>
      <c r="G30" s="60">
        <v>0.20899999999999999</v>
      </c>
      <c r="I30" s="16" t="s">
        <v>311</v>
      </c>
      <c r="J30" s="24">
        <f t="shared" si="6"/>
        <v>5.0000000000000001E-3</v>
      </c>
      <c r="K30" s="24">
        <f t="shared" si="6"/>
        <v>0.02</v>
      </c>
      <c r="L30" s="24">
        <f t="shared" si="6"/>
        <v>0.02</v>
      </c>
      <c r="M30" s="24">
        <f t="shared" si="6"/>
        <v>0.02</v>
      </c>
      <c r="N30" s="24">
        <f t="shared" si="6"/>
        <v>0.02</v>
      </c>
      <c r="O30" s="25">
        <f t="shared" si="7"/>
        <v>0.159</v>
      </c>
    </row>
    <row r="31" spans="1:15" x14ac:dyDescent="0.25">
      <c r="A31" s="53" t="s">
        <v>313</v>
      </c>
      <c r="B31" s="54">
        <v>0.09</v>
      </c>
      <c r="C31" s="55">
        <v>0.04</v>
      </c>
      <c r="D31" s="55">
        <v>3.5000000000000003E-2</v>
      </c>
      <c r="E31" s="55">
        <v>0.03</v>
      </c>
      <c r="F31" s="55">
        <v>2.5000000000000001E-2</v>
      </c>
      <c r="G31" s="56">
        <v>0.23899999999999999</v>
      </c>
      <c r="I31" s="16" t="s">
        <v>312</v>
      </c>
      <c r="J31" s="24">
        <f t="shared" si="6"/>
        <v>5.0000000000000001E-3</v>
      </c>
      <c r="K31" s="24">
        <f t="shared" si="6"/>
        <v>0.02</v>
      </c>
      <c r="L31" s="24">
        <f t="shared" si="6"/>
        <v>0.02</v>
      </c>
      <c r="M31" s="24">
        <f t="shared" si="6"/>
        <v>0.02</v>
      </c>
      <c r="N31" s="24">
        <f t="shared" si="6"/>
        <v>0.02</v>
      </c>
      <c r="O31" s="25">
        <f t="shared" si="7"/>
        <v>0.159</v>
      </c>
    </row>
    <row r="32" spans="1:15" x14ac:dyDescent="0.25">
      <c r="A32" s="57" t="s">
        <v>314</v>
      </c>
      <c r="B32" s="58">
        <v>0.09</v>
      </c>
      <c r="C32" s="59">
        <v>0.04</v>
      </c>
      <c r="D32" s="59">
        <v>3.5000000000000003E-2</v>
      </c>
      <c r="E32" s="59">
        <v>0.03</v>
      </c>
      <c r="F32" s="59">
        <v>2.5000000000000001E-2</v>
      </c>
      <c r="G32" s="60">
        <v>0.23899999999999999</v>
      </c>
      <c r="I32" s="16" t="s">
        <v>313</v>
      </c>
      <c r="J32" s="24">
        <f t="shared" si="6"/>
        <v>5.0000000000000001E-3</v>
      </c>
      <c r="K32" s="24">
        <f t="shared" si="6"/>
        <v>0.02</v>
      </c>
      <c r="L32" s="24">
        <f t="shared" si="6"/>
        <v>0.02</v>
      </c>
      <c r="M32" s="24">
        <f t="shared" si="6"/>
        <v>0.02</v>
      </c>
      <c r="N32" s="24">
        <f t="shared" si="6"/>
        <v>0.02</v>
      </c>
      <c r="O32" s="25">
        <f t="shared" si="7"/>
        <v>0.159</v>
      </c>
    </row>
    <row r="33" spans="1:21" x14ac:dyDescent="0.25">
      <c r="A33" s="53" t="s">
        <v>315</v>
      </c>
      <c r="B33" s="54">
        <v>0.08</v>
      </c>
      <c r="C33" s="55">
        <v>0.04</v>
      </c>
      <c r="D33" s="55">
        <v>3.5000000000000003E-2</v>
      </c>
      <c r="E33" s="55">
        <v>3.5000000000000003E-2</v>
      </c>
      <c r="F33" s="55">
        <v>0.03</v>
      </c>
      <c r="G33" s="56">
        <v>0.23899999999999999</v>
      </c>
      <c r="I33" s="16" t="s">
        <v>314</v>
      </c>
      <c r="J33" s="24">
        <f t="shared" si="6"/>
        <v>5.0000000000000001E-3</v>
      </c>
      <c r="K33" s="24">
        <f t="shared" si="6"/>
        <v>0.02</v>
      </c>
      <c r="L33" s="24">
        <f t="shared" si="6"/>
        <v>0.02</v>
      </c>
      <c r="M33" s="24">
        <f t="shared" si="6"/>
        <v>0.02</v>
      </c>
      <c r="N33" s="24">
        <f t="shared" si="6"/>
        <v>0.02</v>
      </c>
      <c r="O33" s="25">
        <f t="shared" si="7"/>
        <v>0.159</v>
      </c>
    </row>
    <row r="34" spans="1:21" x14ac:dyDescent="0.25">
      <c r="A34" s="57" t="s">
        <v>316</v>
      </c>
      <c r="B34" s="58">
        <v>0.105</v>
      </c>
      <c r="C34" s="59">
        <v>4.4999999999999998E-2</v>
      </c>
      <c r="D34" s="59">
        <v>0.04</v>
      </c>
      <c r="E34" s="59">
        <v>3.5000000000000003E-2</v>
      </c>
      <c r="F34" s="59">
        <v>0.03</v>
      </c>
      <c r="G34" s="60">
        <v>0.28000000000000003</v>
      </c>
      <c r="I34" s="16" t="s">
        <v>315</v>
      </c>
      <c r="J34" s="24">
        <f t="shared" si="6"/>
        <v>5.0000000000000001E-3</v>
      </c>
      <c r="K34" s="24">
        <f t="shared" si="6"/>
        <v>0.02</v>
      </c>
      <c r="L34" s="24">
        <f t="shared" si="6"/>
        <v>0.02</v>
      </c>
      <c r="M34" s="24">
        <f t="shared" si="6"/>
        <v>0.02</v>
      </c>
      <c r="N34" s="24">
        <f t="shared" si="6"/>
        <v>0.02</v>
      </c>
      <c r="O34" s="25">
        <f t="shared" si="7"/>
        <v>0.159</v>
      </c>
    </row>
    <row r="35" spans="1:21" x14ac:dyDescent="0.25">
      <c r="A35" s="53" t="s">
        <v>317</v>
      </c>
      <c r="B35" s="54">
        <v>0.105</v>
      </c>
      <c r="C35" s="55">
        <v>4.4999999999999998E-2</v>
      </c>
      <c r="D35" s="55">
        <v>0.04</v>
      </c>
      <c r="E35" s="55">
        <v>3.5000000000000003E-2</v>
      </c>
      <c r="F35" s="55">
        <v>0.03</v>
      </c>
      <c r="G35" s="56">
        <v>0.28000000000000003</v>
      </c>
      <c r="I35" s="16" t="s">
        <v>316</v>
      </c>
      <c r="J35" s="24">
        <f t="shared" si="6"/>
        <v>5.0000000000000001E-3</v>
      </c>
      <c r="K35" s="24">
        <f t="shared" si="6"/>
        <v>0.02</v>
      </c>
      <c r="L35" s="24">
        <f t="shared" si="6"/>
        <v>0.02</v>
      </c>
      <c r="M35" s="24">
        <f t="shared" si="6"/>
        <v>0.02</v>
      </c>
      <c r="N35" s="24">
        <f t="shared" si="6"/>
        <v>0.02</v>
      </c>
      <c r="O35" s="25">
        <f t="shared" si="7"/>
        <v>0.159</v>
      </c>
    </row>
    <row r="36" spans="1:21" x14ac:dyDescent="0.25">
      <c r="A36" s="61" t="s">
        <v>318</v>
      </c>
      <c r="B36" s="62">
        <v>0.1</v>
      </c>
      <c r="C36" s="63">
        <v>0.04</v>
      </c>
      <c r="D36" s="63">
        <v>0.04</v>
      </c>
      <c r="E36" s="63">
        <v>3.5000000000000003E-2</v>
      </c>
      <c r="F36" s="63">
        <v>0.03</v>
      </c>
      <c r="G36" s="64">
        <v>0.26800000000000002</v>
      </c>
      <c r="I36" s="16" t="s">
        <v>317</v>
      </c>
      <c r="J36" s="24">
        <f t="shared" si="6"/>
        <v>5.0000000000000001E-3</v>
      </c>
      <c r="K36" s="24">
        <f t="shared" si="6"/>
        <v>0.02</v>
      </c>
      <c r="L36" s="24">
        <f t="shared" si="6"/>
        <v>0.02</v>
      </c>
      <c r="M36" s="24">
        <f t="shared" si="6"/>
        <v>0.02</v>
      </c>
      <c r="N36" s="24">
        <f t="shared" si="6"/>
        <v>0.02</v>
      </c>
      <c r="O36" s="25">
        <f t="shared" si="7"/>
        <v>0.159</v>
      </c>
    </row>
    <row r="37" spans="1:21" x14ac:dyDescent="0.25">
      <c r="I37" s="16" t="s">
        <v>318</v>
      </c>
      <c r="J37" s="24">
        <f t="shared" si="6"/>
        <v>5.0000000000000001E-3</v>
      </c>
      <c r="K37" s="24">
        <f t="shared" si="6"/>
        <v>0.02</v>
      </c>
      <c r="L37" s="24">
        <f t="shared" si="6"/>
        <v>0.02</v>
      </c>
      <c r="M37" s="24">
        <f t="shared" si="6"/>
        <v>0.02</v>
      </c>
      <c r="N37" s="24">
        <f t="shared" si="6"/>
        <v>0.02</v>
      </c>
      <c r="O37" s="25">
        <f t="shared" si="7"/>
        <v>0.159</v>
      </c>
    </row>
    <row r="39" spans="1:21" ht="18.75" x14ac:dyDescent="0.3">
      <c r="A39" s="3194" t="s">
        <v>322</v>
      </c>
      <c r="B39" s="3194"/>
      <c r="C39" s="3194"/>
      <c r="D39" s="3194"/>
      <c r="E39" s="3194"/>
      <c r="F39" s="3194"/>
      <c r="G39" s="3194"/>
      <c r="I39" s="3194" t="s">
        <v>323</v>
      </c>
      <c r="J39" s="3194"/>
      <c r="K39" s="3194"/>
      <c r="L39" s="3194"/>
      <c r="M39" s="3194"/>
      <c r="N39" s="3194"/>
      <c r="O39" s="3194"/>
      <c r="Q39" s="27"/>
      <c r="R39" s="27"/>
      <c r="S39" s="27"/>
      <c r="T39" s="27"/>
      <c r="U39" s="27"/>
    </row>
    <row r="40" spans="1:21" x14ac:dyDescent="0.25">
      <c r="A40" s="1" t="s">
        <v>304</v>
      </c>
      <c r="B40" s="6" t="s">
        <v>305</v>
      </c>
      <c r="C40" s="8" t="s">
        <v>306</v>
      </c>
      <c r="D40" s="6" t="s">
        <v>307</v>
      </c>
      <c r="E40" s="7" t="s">
        <v>308</v>
      </c>
      <c r="F40" s="7" t="s">
        <v>309</v>
      </c>
      <c r="G40" s="7" t="s">
        <v>230</v>
      </c>
      <c r="I40" s="1" t="s">
        <v>304</v>
      </c>
      <c r="J40" s="6" t="s">
        <v>305</v>
      </c>
      <c r="K40" s="8" t="s">
        <v>306</v>
      </c>
      <c r="L40" s="6" t="s">
        <v>307</v>
      </c>
      <c r="M40" s="7" t="s">
        <v>308</v>
      </c>
      <c r="N40" s="7" t="s">
        <v>309</v>
      </c>
      <c r="O40" s="7" t="s">
        <v>230</v>
      </c>
      <c r="Q40" s="27"/>
      <c r="R40" s="27"/>
      <c r="S40" s="27"/>
      <c r="T40" s="27"/>
      <c r="U40" s="27"/>
    </row>
    <row r="41" spans="1:21" x14ac:dyDescent="0.25">
      <c r="A41" s="15" t="s">
        <v>25</v>
      </c>
      <c r="B41" s="22">
        <v>7.0000000000000007E-2</v>
      </c>
      <c r="C41" s="22">
        <v>0.02</v>
      </c>
      <c r="D41" s="22">
        <v>1.4999999999999999E-2</v>
      </c>
      <c r="E41" s="22">
        <v>0.01</v>
      </c>
      <c r="F41" s="22">
        <v>5.0000000000000001E-3</v>
      </c>
      <c r="G41" s="23">
        <v>0.124</v>
      </c>
      <c r="I41" s="15" t="s">
        <v>25</v>
      </c>
      <c r="J41" s="22">
        <v>1.4999999999999999E-2</v>
      </c>
      <c r="K41" s="22">
        <v>5.5E-2</v>
      </c>
      <c r="L41" s="22">
        <v>0.04</v>
      </c>
      <c r="M41" s="22">
        <v>3.5000000000000003E-2</v>
      </c>
      <c r="N41" s="22">
        <v>3.5000000000000003E-2</v>
      </c>
      <c r="O41" s="23">
        <v>0.193</v>
      </c>
      <c r="Q41" s="27"/>
      <c r="R41" s="27"/>
      <c r="S41" s="27"/>
      <c r="T41" s="27"/>
      <c r="U41" s="27"/>
    </row>
    <row r="42" spans="1:21" x14ac:dyDescent="0.25">
      <c r="A42" s="15" t="s">
        <v>310</v>
      </c>
      <c r="B42" s="22">
        <v>0.09</v>
      </c>
      <c r="C42" s="22">
        <v>0.03</v>
      </c>
      <c r="D42" s="22">
        <v>2.5000000000000001E-2</v>
      </c>
      <c r="E42" s="22">
        <v>0.02</v>
      </c>
      <c r="F42" s="22">
        <v>1.4999999999999999E-2</v>
      </c>
      <c r="G42" s="23">
        <v>0.191</v>
      </c>
      <c r="I42" s="15" t="s">
        <v>321</v>
      </c>
      <c r="J42" s="22">
        <v>5.0000000000000001E-3</v>
      </c>
      <c r="K42" s="22">
        <v>0.04</v>
      </c>
      <c r="L42" s="22">
        <v>3.5000000000000003E-2</v>
      </c>
      <c r="M42" s="22">
        <v>3.5000000000000003E-2</v>
      </c>
      <c r="N42" s="22">
        <v>3.5000000000000003E-2</v>
      </c>
      <c r="O42" s="23">
        <v>0.159</v>
      </c>
      <c r="Q42" s="27"/>
      <c r="R42" s="27"/>
      <c r="S42" s="27"/>
      <c r="T42" s="27"/>
      <c r="U42" s="27"/>
    </row>
    <row r="43" spans="1:21" x14ac:dyDescent="0.25">
      <c r="A43" s="15" t="s">
        <v>311</v>
      </c>
      <c r="B43" s="22">
        <v>0.08</v>
      </c>
      <c r="C43" s="22">
        <v>0.03</v>
      </c>
      <c r="D43" s="22">
        <v>2.5000000000000001E-2</v>
      </c>
      <c r="E43" s="22">
        <v>0.02</v>
      </c>
      <c r="F43" s="22">
        <v>1.4999999999999999E-2</v>
      </c>
      <c r="G43" s="23">
        <v>0.18</v>
      </c>
      <c r="I43" s="16" t="s">
        <v>310</v>
      </c>
      <c r="J43" s="24">
        <v>5.0000000000000001E-3</v>
      </c>
      <c r="K43" s="24">
        <v>0.04</v>
      </c>
      <c r="L43" s="24">
        <v>3.5000000000000003E-2</v>
      </c>
      <c r="M43" s="24">
        <v>3.5000000000000003E-2</v>
      </c>
      <c r="N43" s="24">
        <v>3.5000000000000003E-2</v>
      </c>
      <c r="O43" s="25">
        <v>0.159</v>
      </c>
      <c r="Q43" s="27"/>
      <c r="R43" s="27"/>
      <c r="S43" s="27"/>
      <c r="T43" s="27"/>
      <c r="U43" s="27"/>
    </row>
    <row r="44" spans="1:21" x14ac:dyDescent="0.25">
      <c r="A44" s="15" t="s">
        <v>312</v>
      </c>
      <c r="B44" s="22">
        <v>8.5000000000000006E-2</v>
      </c>
      <c r="C44" s="22">
        <v>3.5000000000000003E-2</v>
      </c>
      <c r="D44" s="22">
        <v>0.03</v>
      </c>
      <c r="E44" s="22">
        <v>2.5000000000000001E-2</v>
      </c>
      <c r="F44" s="22">
        <v>0.02</v>
      </c>
      <c r="G44" s="23">
        <v>0.20899999999999999</v>
      </c>
      <c r="I44" s="16" t="s">
        <v>311</v>
      </c>
      <c r="J44" s="24">
        <v>5.0000000000000001E-3</v>
      </c>
      <c r="K44" s="24">
        <v>0.04</v>
      </c>
      <c r="L44" s="24">
        <v>3.5000000000000003E-2</v>
      </c>
      <c r="M44" s="24">
        <v>3.5000000000000003E-2</v>
      </c>
      <c r="N44" s="24">
        <v>3.5000000000000003E-2</v>
      </c>
      <c r="O44" s="25">
        <v>0.159</v>
      </c>
      <c r="Q44" s="27"/>
      <c r="R44" s="27"/>
      <c r="S44" s="27"/>
      <c r="T44" s="27"/>
      <c r="U44" s="27"/>
    </row>
    <row r="45" spans="1:21" x14ac:dyDescent="0.25">
      <c r="A45" s="15" t="s">
        <v>313</v>
      </c>
      <c r="B45" s="22">
        <v>0.09</v>
      </c>
      <c r="C45" s="22">
        <v>0.04</v>
      </c>
      <c r="D45" s="22">
        <v>3.5000000000000003E-2</v>
      </c>
      <c r="E45" s="22">
        <v>0.03</v>
      </c>
      <c r="F45" s="22">
        <v>2.5000000000000001E-2</v>
      </c>
      <c r="G45" s="23">
        <v>0.23899999999999999</v>
      </c>
      <c r="I45" s="16" t="s">
        <v>312</v>
      </c>
      <c r="J45" s="24">
        <v>5.0000000000000001E-3</v>
      </c>
      <c r="K45" s="24">
        <v>0.04</v>
      </c>
      <c r="L45" s="24">
        <v>3.5000000000000003E-2</v>
      </c>
      <c r="M45" s="24">
        <v>3.5000000000000003E-2</v>
      </c>
      <c r="N45" s="24">
        <v>3.5000000000000003E-2</v>
      </c>
      <c r="O45" s="25">
        <v>0.159</v>
      </c>
      <c r="Q45" s="27"/>
      <c r="R45" s="27"/>
      <c r="S45" s="27"/>
      <c r="T45" s="27"/>
      <c r="U45" s="27"/>
    </row>
    <row r="46" spans="1:21" x14ac:dyDescent="0.25">
      <c r="A46" s="15" t="s">
        <v>314</v>
      </c>
      <c r="B46" s="22">
        <v>0.09</v>
      </c>
      <c r="C46" s="22">
        <v>0.04</v>
      </c>
      <c r="D46" s="22">
        <v>3.5000000000000003E-2</v>
      </c>
      <c r="E46" s="22">
        <v>0.03</v>
      </c>
      <c r="F46" s="22">
        <v>2.5000000000000001E-2</v>
      </c>
      <c r="G46" s="23">
        <v>0.23899999999999999</v>
      </c>
      <c r="I46" s="16" t="s">
        <v>313</v>
      </c>
      <c r="J46" s="24">
        <v>5.0000000000000001E-3</v>
      </c>
      <c r="K46" s="24">
        <v>0.04</v>
      </c>
      <c r="L46" s="24">
        <v>3.5000000000000003E-2</v>
      </c>
      <c r="M46" s="24">
        <v>3.5000000000000003E-2</v>
      </c>
      <c r="N46" s="24">
        <v>3.5000000000000003E-2</v>
      </c>
      <c r="O46" s="25">
        <v>0.159</v>
      </c>
      <c r="Q46" s="27"/>
      <c r="R46" s="27"/>
      <c r="S46" s="27"/>
      <c r="T46" s="27"/>
      <c r="U46" s="27"/>
    </row>
    <row r="47" spans="1:21" x14ac:dyDescent="0.25">
      <c r="A47" s="15" t="s">
        <v>315</v>
      </c>
      <c r="B47" s="22">
        <v>0.08</v>
      </c>
      <c r="C47" s="22">
        <v>0.04</v>
      </c>
      <c r="D47" s="22">
        <v>3.5000000000000003E-2</v>
      </c>
      <c r="E47" s="22">
        <v>3.5000000000000003E-2</v>
      </c>
      <c r="F47" s="22">
        <v>0.03</v>
      </c>
      <c r="G47" s="23">
        <v>0.23899999999999999</v>
      </c>
      <c r="I47" s="16" t="s">
        <v>314</v>
      </c>
      <c r="J47" s="24">
        <v>5.0000000000000001E-3</v>
      </c>
      <c r="K47" s="24">
        <v>0.04</v>
      </c>
      <c r="L47" s="24">
        <v>3.5000000000000003E-2</v>
      </c>
      <c r="M47" s="24">
        <v>3.5000000000000003E-2</v>
      </c>
      <c r="N47" s="24">
        <v>3.5000000000000003E-2</v>
      </c>
      <c r="O47" s="25">
        <v>0.159</v>
      </c>
      <c r="Q47" s="27"/>
      <c r="R47" s="27"/>
      <c r="S47" s="27"/>
      <c r="T47" s="27"/>
      <c r="U47" s="27"/>
    </row>
    <row r="48" spans="1:21" x14ac:dyDescent="0.25">
      <c r="A48" s="15" t="s">
        <v>316</v>
      </c>
      <c r="B48" s="22">
        <v>0.105</v>
      </c>
      <c r="C48" s="22">
        <v>4.4999999999999998E-2</v>
      </c>
      <c r="D48" s="22">
        <v>0.04</v>
      </c>
      <c r="E48" s="22">
        <v>3.5000000000000003E-2</v>
      </c>
      <c r="F48" s="22">
        <v>0.03</v>
      </c>
      <c r="G48" s="23">
        <v>0.28000000000000003</v>
      </c>
      <c r="I48" s="16" t="s">
        <v>315</v>
      </c>
      <c r="J48" s="24">
        <v>5.0000000000000001E-3</v>
      </c>
      <c r="K48" s="24">
        <v>0.04</v>
      </c>
      <c r="L48" s="24">
        <v>3.5000000000000003E-2</v>
      </c>
      <c r="M48" s="24">
        <v>3.5000000000000003E-2</v>
      </c>
      <c r="N48" s="24">
        <v>3.5000000000000003E-2</v>
      </c>
      <c r="O48" s="25">
        <v>0.159</v>
      </c>
      <c r="Q48" s="27"/>
      <c r="R48" s="27"/>
      <c r="S48" s="27"/>
      <c r="T48" s="27"/>
      <c r="U48" s="27"/>
    </row>
    <row r="49" spans="1:31" x14ac:dyDescent="0.25">
      <c r="A49" s="15" t="s">
        <v>317</v>
      </c>
      <c r="B49" s="22">
        <v>0.105</v>
      </c>
      <c r="C49" s="22">
        <v>4.4999999999999998E-2</v>
      </c>
      <c r="D49" s="22">
        <v>0.04</v>
      </c>
      <c r="E49" s="22">
        <v>3.5000000000000003E-2</v>
      </c>
      <c r="F49" s="22">
        <v>0.03</v>
      </c>
      <c r="G49" s="23">
        <v>0.28000000000000003</v>
      </c>
      <c r="I49" s="16" t="s">
        <v>316</v>
      </c>
      <c r="J49" s="24">
        <v>5.0000000000000001E-3</v>
      </c>
      <c r="K49" s="24">
        <v>0.04</v>
      </c>
      <c r="L49" s="24">
        <v>3.5000000000000003E-2</v>
      </c>
      <c r="M49" s="24">
        <v>3.5000000000000003E-2</v>
      </c>
      <c r="N49" s="24">
        <v>3.5000000000000003E-2</v>
      </c>
      <c r="O49" s="25">
        <v>0.159</v>
      </c>
      <c r="Q49" s="27"/>
      <c r="R49" s="27"/>
      <c r="S49" s="27"/>
      <c r="T49" s="27"/>
      <c r="U49" s="27"/>
    </row>
    <row r="50" spans="1:31" x14ac:dyDescent="0.25">
      <c r="A50" s="15" t="s">
        <v>318</v>
      </c>
      <c r="B50" s="22">
        <v>0.1</v>
      </c>
      <c r="C50" s="22">
        <v>0.04</v>
      </c>
      <c r="D50" s="22">
        <v>0.04</v>
      </c>
      <c r="E50" s="22">
        <v>3.5000000000000003E-2</v>
      </c>
      <c r="F50" s="22">
        <v>0.03</v>
      </c>
      <c r="G50" s="23">
        <v>0.26800000000000002</v>
      </c>
      <c r="I50" s="16" t="s">
        <v>317</v>
      </c>
      <c r="J50" s="24">
        <v>5.0000000000000001E-3</v>
      </c>
      <c r="K50" s="24">
        <v>0.04</v>
      </c>
      <c r="L50" s="24">
        <v>3.5000000000000003E-2</v>
      </c>
      <c r="M50" s="24">
        <v>3.5000000000000003E-2</v>
      </c>
      <c r="N50" s="24">
        <v>3.5000000000000003E-2</v>
      </c>
      <c r="O50" s="25">
        <v>0.159</v>
      </c>
      <c r="Q50" s="27"/>
      <c r="R50" s="27"/>
      <c r="S50" s="27"/>
      <c r="T50" s="27"/>
      <c r="U50" s="27"/>
    </row>
    <row r="51" spans="1:31" x14ac:dyDescent="0.25">
      <c r="A51" s="31"/>
      <c r="B51" s="31"/>
      <c r="C51" s="31"/>
      <c r="D51" s="31"/>
      <c r="E51" s="31"/>
      <c r="F51" s="31"/>
      <c r="G51" s="31"/>
      <c r="I51" s="16" t="s">
        <v>318</v>
      </c>
      <c r="J51" s="24">
        <v>5.0000000000000001E-3</v>
      </c>
      <c r="K51" s="24">
        <v>0.04</v>
      </c>
      <c r="L51" s="24">
        <v>3.5000000000000003E-2</v>
      </c>
      <c r="M51" s="24">
        <v>3.5000000000000003E-2</v>
      </c>
      <c r="N51" s="24">
        <v>3.5000000000000003E-2</v>
      </c>
      <c r="O51" s="25">
        <v>0.159</v>
      </c>
      <c r="Q51" s="27"/>
      <c r="R51" s="27"/>
      <c r="S51" s="27"/>
      <c r="T51" s="27"/>
      <c r="U51" s="27"/>
    </row>
    <row r="52" spans="1:31" x14ac:dyDescent="0.25">
      <c r="A52" s="31"/>
      <c r="B52" s="31"/>
      <c r="C52" s="31"/>
      <c r="D52" s="31"/>
      <c r="E52" s="31"/>
      <c r="F52" s="31"/>
      <c r="G52" s="31"/>
      <c r="Q52" s="27"/>
      <c r="R52" s="27"/>
      <c r="S52" s="27"/>
      <c r="T52" s="27"/>
      <c r="U52" s="27"/>
    </row>
    <row r="53" spans="1:31" ht="18.75" x14ac:dyDescent="0.3">
      <c r="A53" s="3194" t="s">
        <v>322</v>
      </c>
      <c r="B53" s="3194"/>
      <c r="C53" s="3194"/>
      <c r="D53" s="3194"/>
      <c r="E53" s="3194"/>
      <c r="F53" s="3194"/>
      <c r="G53" s="3194"/>
      <c r="Q53" s="27"/>
      <c r="R53" s="27"/>
      <c r="S53" s="27"/>
      <c r="T53" s="27"/>
      <c r="U53" s="27"/>
    </row>
    <row r="54" spans="1:31" x14ac:dyDescent="0.25">
      <c r="A54" s="1" t="s">
        <v>304</v>
      </c>
      <c r="B54" s="6" t="s">
        <v>305</v>
      </c>
      <c r="C54" s="8" t="s">
        <v>306</v>
      </c>
      <c r="D54" s="6" t="s">
        <v>307</v>
      </c>
      <c r="E54" s="7" t="s">
        <v>308</v>
      </c>
      <c r="F54" s="7" t="s">
        <v>309</v>
      </c>
      <c r="G54" s="7" t="s">
        <v>230</v>
      </c>
      <c r="Q54" s="27"/>
      <c r="R54" s="27"/>
      <c r="S54" s="27"/>
      <c r="T54" s="27"/>
      <c r="U54" s="27"/>
    </row>
    <row r="55" spans="1:31" x14ac:dyDescent="0.25">
      <c r="A55" s="15" t="s">
        <v>25</v>
      </c>
      <c r="B55" s="22">
        <v>7.0000000000000007E-2</v>
      </c>
      <c r="C55" s="22">
        <v>0.02</v>
      </c>
      <c r="D55" s="22">
        <v>1.4999999999999999E-2</v>
      </c>
      <c r="E55" s="22">
        <v>0.01</v>
      </c>
      <c r="F55" s="22">
        <v>5.0000000000000001E-3</v>
      </c>
      <c r="G55" s="23">
        <v>0.124</v>
      </c>
      <c r="Q55" s="27"/>
      <c r="R55" s="27"/>
      <c r="S55" s="27"/>
      <c r="T55" s="27"/>
      <c r="U55" s="27"/>
    </row>
    <row r="56" spans="1:31" x14ac:dyDescent="0.25">
      <c r="A56" s="15" t="s">
        <v>310</v>
      </c>
      <c r="B56" s="22">
        <v>0.09</v>
      </c>
      <c r="C56" s="22">
        <v>0.03</v>
      </c>
      <c r="D56" s="22">
        <v>2.5000000000000001E-2</v>
      </c>
      <c r="E56" s="22">
        <v>0.02</v>
      </c>
      <c r="F56" s="22">
        <v>1.4999999999999999E-2</v>
      </c>
      <c r="G56" s="23">
        <v>0.191</v>
      </c>
      <c r="Q56" s="27"/>
      <c r="R56" s="27"/>
      <c r="S56" s="27"/>
      <c r="T56" s="27"/>
      <c r="U56" s="27"/>
    </row>
    <row r="57" spans="1:31" x14ac:dyDescent="0.25">
      <c r="A57" s="15" t="s">
        <v>311</v>
      </c>
      <c r="B57" s="22">
        <v>0.08</v>
      </c>
      <c r="C57" s="22">
        <v>0.03</v>
      </c>
      <c r="D57" s="22">
        <v>2.5000000000000001E-2</v>
      </c>
      <c r="E57" s="22">
        <v>0.02</v>
      </c>
      <c r="F57" s="22">
        <v>1.4999999999999999E-2</v>
      </c>
      <c r="G57" s="23">
        <v>0.18</v>
      </c>
      <c r="Q57" s="27"/>
      <c r="R57" s="27"/>
      <c r="S57" s="27"/>
      <c r="T57" s="27"/>
      <c r="U57" s="27"/>
    </row>
    <row r="58" spans="1:31" x14ac:dyDescent="0.25">
      <c r="A58" s="15" t="s">
        <v>312</v>
      </c>
      <c r="B58" s="22">
        <v>8.5000000000000006E-2</v>
      </c>
      <c r="C58" s="22">
        <v>3.5000000000000003E-2</v>
      </c>
      <c r="D58" s="22">
        <v>0.03</v>
      </c>
      <c r="E58" s="22">
        <v>2.5000000000000001E-2</v>
      </c>
      <c r="F58" s="22">
        <v>0.02</v>
      </c>
      <c r="G58" s="23">
        <v>0.20899999999999999</v>
      </c>
      <c r="Q58" s="27"/>
      <c r="R58" s="27"/>
      <c r="S58" s="27"/>
      <c r="T58" s="27"/>
      <c r="U58" s="27"/>
    </row>
    <row r="59" spans="1:31" x14ac:dyDescent="0.25">
      <c r="A59" s="15" t="s">
        <v>313</v>
      </c>
      <c r="B59" s="22">
        <v>0.09</v>
      </c>
      <c r="C59" s="22">
        <v>0.04</v>
      </c>
      <c r="D59" s="22">
        <v>3.5000000000000003E-2</v>
      </c>
      <c r="E59" s="22">
        <v>0.03</v>
      </c>
      <c r="F59" s="22">
        <v>2.5000000000000001E-2</v>
      </c>
      <c r="G59" s="23">
        <v>0.23899999999999999</v>
      </c>
      <c r="Q59" s="27"/>
      <c r="R59" s="27"/>
      <c r="S59" s="27"/>
      <c r="T59" s="27"/>
      <c r="U59" s="27"/>
    </row>
    <row r="60" spans="1:31" x14ac:dyDescent="0.25">
      <c r="A60" s="15" t="s">
        <v>314</v>
      </c>
      <c r="B60" s="22">
        <v>0.09</v>
      </c>
      <c r="C60" s="22">
        <v>0.04</v>
      </c>
      <c r="D60" s="22">
        <v>3.5000000000000003E-2</v>
      </c>
      <c r="E60" s="22">
        <v>0.03</v>
      </c>
      <c r="F60" s="22">
        <v>2.5000000000000001E-2</v>
      </c>
      <c r="G60" s="23">
        <v>0.23899999999999999</v>
      </c>
      <c r="Q60" s="27"/>
      <c r="R60" s="27"/>
      <c r="S60" s="27"/>
      <c r="T60" s="27"/>
      <c r="U60" s="27"/>
    </row>
    <row r="61" spans="1:31" x14ac:dyDescent="0.25">
      <c r="A61" s="15" t="s">
        <v>315</v>
      </c>
      <c r="B61" s="22">
        <v>0.08</v>
      </c>
      <c r="C61" s="22">
        <v>0.04</v>
      </c>
      <c r="D61" s="22">
        <v>3.5000000000000003E-2</v>
      </c>
      <c r="E61" s="22">
        <v>3.5000000000000003E-2</v>
      </c>
      <c r="F61" s="22">
        <v>0.03</v>
      </c>
      <c r="G61" s="23">
        <v>0.23899999999999999</v>
      </c>
      <c r="Q61" s="27"/>
      <c r="R61" s="27"/>
      <c r="S61" s="27"/>
      <c r="T61" s="27"/>
      <c r="U61" s="27"/>
    </row>
    <row r="62" spans="1:31" x14ac:dyDescent="0.25">
      <c r="A62" s="15" t="s">
        <v>316</v>
      </c>
      <c r="B62" s="22">
        <v>0.105</v>
      </c>
      <c r="C62" s="22">
        <v>4.4999999999999998E-2</v>
      </c>
      <c r="D62" s="22">
        <v>0.04</v>
      </c>
      <c r="E62" s="22">
        <v>3.5000000000000003E-2</v>
      </c>
      <c r="F62" s="22">
        <v>0.03</v>
      </c>
      <c r="G62" s="23">
        <v>0.28000000000000003</v>
      </c>
      <c r="Y62" s="3204" t="s">
        <v>324</v>
      </c>
      <c r="Z62" s="3204"/>
      <c r="AA62" s="3204"/>
      <c r="AB62" s="3204"/>
      <c r="AC62" s="3204"/>
      <c r="AD62" s="3204"/>
      <c r="AE62" s="3204"/>
    </row>
    <row r="63" spans="1:31" ht="18.75" x14ac:dyDescent="0.3">
      <c r="A63" s="15" t="s">
        <v>317</v>
      </c>
      <c r="B63" s="22">
        <v>0.105</v>
      </c>
      <c r="C63" s="22">
        <v>4.4999999999999998E-2</v>
      </c>
      <c r="D63" s="22">
        <v>0.04</v>
      </c>
      <c r="E63" s="22">
        <v>3.5000000000000003E-2</v>
      </c>
      <c r="F63" s="22">
        <v>0.03</v>
      </c>
      <c r="G63" s="23">
        <v>0.28000000000000003</v>
      </c>
      <c r="H63" s="28"/>
      <c r="P63" s="28"/>
    </row>
    <row r="64" spans="1:31" x14ac:dyDescent="0.25">
      <c r="A64" s="15" t="s">
        <v>318</v>
      </c>
      <c r="B64" s="22">
        <v>0.1</v>
      </c>
      <c r="C64" s="22">
        <v>0.04</v>
      </c>
      <c r="D64" s="22">
        <v>0.04</v>
      </c>
      <c r="E64" s="22">
        <v>3.5000000000000003E-2</v>
      </c>
      <c r="F64" s="22">
        <v>0.03</v>
      </c>
      <c r="G64" s="23">
        <v>0.26800000000000002</v>
      </c>
    </row>
    <row r="65" spans="1:7" ht="18.75" x14ac:dyDescent="0.3">
      <c r="A65" s="28"/>
      <c r="B65" s="28"/>
      <c r="C65" s="28"/>
      <c r="D65" s="28"/>
      <c r="E65" s="28"/>
      <c r="F65" s="28"/>
      <c r="G65" s="28"/>
    </row>
    <row r="68" spans="1:7" ht="18.75" x14ac:dyDescent="0.3">
      <c r="A68" s="28"/>
      <c r="B68" s="28"/>
      <c r="C68" s="28"/>
      <c r="D68" s="28"/>
      <c r="E68" s="28"/>
      <c r="F68" s="28"/>
      <c r="G68" s="28"/>
    </row>
  </sheetData>
  <mergeCells count="25">
    <mergeCell ref="A3:B3"/>
    <mergeCell ref="A7:B7"/>
    <mergeCell ref="A9:B9"/>
    <mergeCell ref="A11:G11"/>
    <mergeCell ref="Y62:AE62"/>
    <mergeCell ref="A8:B8"/>
    <mergeCell ref="A25:G25"/>
    <mergeCell ref="C9:D9"/>
    <mergeCell ref="C8:D8"/>
    <mergeCell ref="J1:O1"/>
    <mergeCell ref="E3:E9"/>
    <mergeCell ref="C4:D4"/>
    <mergeCell ref="C3:D3"/>
    <mergeCell ref="A53:G53"/>
    <mergeCell ref="A39:G39"/>
    <mergeCell ref="I11:O11"/>
    <mergeCell ref="A6:B6"/>
    <mergeCell ref="A5:B5"/>
    <mergeCell ref="A4:B4"/>
    <mergeCell ref="I39:O39"/>
    <mergeCell ref="C7:D7"/>
    <mergeCell ref="C6:D6"/>
    <mergeCell ref="C5:D5"/>
    <mergeCell ref="I12:O12"/>
    <mergeCell ref="A12:G12"/>
  </mergeCells>
  <phoneticPr fontId="15" type="noConversion"/>
  <pageMargins left="0.7" right="0.7" top="0.75" bottom="0.75" header="0.3" footer="0.3"/>
  <drawing r:id="rId1"/>
  <legacyDrawing r:id="rId2"/>
  <tableParts count="5">
    <tablePart r:id="rId3"/>
    <tablePart r:id="rId4"/>
    <tablePart r:id="rId5"/>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9F6AC-C15F-4054-A56B-C0650C696BB2}">
  <sheetPr codeName="Sheet6">
    <tabColor theme="0" tint="-0.499984740745262"/>
  </sheetPr>
  <dimension ref="A1:AD22"/>
  <sheetViews>
    <sheetView workbookViewId="0">
      <selection activeCell="K14" sqref="K14:L14"/>
    </sheetView>
  </sheetViews>
  <sheetFormatPr defaultRowHeight="15" x14ac:dyDescent="0.25"/>
  <cols>
    <col min="1" max="1" width="16.5703125" bestFit="1" customWidth="1"/>
    <col min="2" max="2" width="7.42578125" bestFit="1" customWidth="1"/>
    <col min="3" max="3" width="13.140625" bestFit="1" customWidth="1"/>
    <col min="4" max="4" width="11.140625" bestFit="1" customWidth="1"/>
    <col min="5" max="6" width="10.140625" customWidth="1"/>
    <col min="7" max="7" width="7.42578125" bestFit="1" customWidth="1"/>
    <col min="8" max="8" width="8" bestFit="1" customWidth="1"/>
    <col min="9" max="9" width="13.85546875" bestFit="1" customWidth="1"/>
    <col min="10" max="10" width="12.42578125" bestFit="1" customWidth="1"/>
    <col min="11" max="11" width="13.85546875" bestFit="1" customWidth="1"/>
    <col min="12" max="12" width="13.85546875" customWidth="1"/>
    <col min="13" max="14" width="12.140625" bestFit="1" customWidth="1"/>
    <col min="15" max="16" width="11.140625" bestFit="1" customWidth="1"/>
    <col min="17" max="17" width="10.140625" bestFit="1" customWidth="1"/>
    <col min="18" max="18" width="12.7109375" bestFit="1" customWidth="1"/>
    <col min="21" max="21" width="10.5703125" bestFit="1" customWidth="1"/>
    <col min="22" max="22" width="12.7109375" bestFit="1" customWidth="1"/>
    <col min="23" max="23" width="14.85546875" bestFit="1" customWidth="1"/>
  </cols>
  <sheetData>
    <row r="1" spans="1:30" x14ac:dyDescent="0.25">
      <c r="D1" s="2514"/>
      <c r="E1" s="2515"/>
      <c r="F1" s="2515"/>
    </row>
    <row r="2" spans="1:30" x14ac:dyDescent="0.25">
      <c r="D2" s="2516"/>
    </row>
    <row r="3" spans="1:30" ht="15.75" thickBot="1" x14ac:dyDescent="0.3">
      <c r="B3" t="s">
        <v>3680</v>
      </c>
      <c r="C3" s="27">
        <v>0.04</v>
      </c>
      <c r="D3" s="2513"/>
      <c r="R3" s="2517"/>
    </row>
    <row r="4" spans="1:30" ht="51.75" thickBot="1" x14ac:dyDescent="0.5">
      <c r="A4" s="2307" t="s">
        <v>3681</v>
      </c>
      <c r="B4" s="1483" t="s">
        <v>625</v>
      </c>
      <c r="C4" s="2319" t="s">
        <v>3682</v>
      </c>
      <c r="D4" s="1484" t="s">
        <v>162</v>
      </c>
      <c r="E4" s="1484" t="s">
        <v>3683</v>
      </c>
      <c r="F4" s="1484" t="s">
        <v>3696</v>
      </c>
      <c r="G4" s="1484" t="s">
        <v>630</v>
      </c>
      <c r="H4" s="2503" t="s">
        <v>455</v>
      </c>
      <c r="I4" s="2503" t="s">
        <v>482</v>
      </c>
      <c r="J4" s="2503" t="s">
        <v>690</v>
      </c>
      <c r="K4" s="2504" t="s">
        <v>3684</v>
      </c>
      <c r="L4" s="2504" t="s">
        <v>3694</v>
      </c>
      <c r="M4" s="2504" t="s">
        <v>3685</v>
      </c>
      <c r="N4" s="2504" t="s">
        <v>3686</v>
      </c>
      <c r="O4" s="2504" t="s">
        <v>3687</v>
      </c>
      <c r="P4" s="2504" t="s">
        <v>3688</v>
      </c>
      <c r="Q4" s="1614" t="s">
        <v>159</v>
      </c>
      <c r="R4" s="1614" t="s">
        <v>406</v>
      </c>
      <c r="S4" s="1614" t="s">
        <v>160</v>
      </c>
      <c r="T4" s="1614" t="s">
        <v>410</v>
      </c>
      <c r="U4" s="1614" t="s">
        <v>162</v>
      </c>
      <c r="V4" s="1614" t="s">
        <v>3705</v>
      </c>
      <c r="W4" s="1739" t="s">
        <v>3706</v>
      </c>
      <c r="X4" s="1738" t="s">
        <v>173</v>
      </c>
      <c r="Y4" s="1614" t="s">
        <v>417</v>
      </c>
      <c r="Z4" s="1614" t="s">
        <v>188</v>
      </c>
      <c r="AA4" s="1614" t="s">
        <v>419</v>
      </c>
      <c r="AB4" s="1614" t="s">
        <v>420</v>
      </c>
      <c r="AC4" s="1614" t="s">
        <v>194</v>
      </c>
      <c r="AD4" s="1614" t="s">
        <v>426</v>
      </c>
    </row>
    <row r="5" spans="1:30" ht="18" x14ac:dyDescent="0.35">
      <c r="A5" s="2308" t="s">
        <v>3689</v>
      </c>
      <c r="B5" s="1477">
        <v>4.7899999999999998E-2</v>
      </c>
      <c r="C5" s="2321">
        <f>SUM($C$3,B5)</f>
        <v>8.7900000000000006E-2</v>
      </c>
      <c r="D5" s="1478">
        <v>0.02</v>
      </c>
      <c r="E5" s="1478">
        <f>C5/12</f>
        <v>7.3250000000000008E-3</v>
      </c>
      <c r="F5" s="1478">
        <v>7.3250000000000008E-3</v>
      </c>
      <c r="G5" s="1479"/>
      <c r="H5" s="2505">
        <v>0.75</v>
      </c>
      <c r="I5" s="2109">
        <v>3000000</v>
      </c>
      <c r="J5" s="2109">
        <v>100000</v>
      </c>
      <c r="K5" s="2506">
        <f>MIN(H5*Property_Value,I5)</f>
        <v>0</v>
      </c>
      <c r="L5" s="2719">
        <f>ROUND(MIN(M5,K5),0)</f>
        <v>0</v>
      </c>
      <c r="M5" s="1347">
        <f>P5/(F5*(24-'BTL Calculator'!$R$81)*'Fusion Calc'!S5)</f>
        <v>0</v>
      </c>
      <c r="N5" s="1347">
        <f>L5-U5-Q5-O5</f>
        <v>0</v>
      </c>
      <c r="O5" s="1347">
        <f>L5*'BTL Calculator'!$R$81*(F5)</f>
        <v>0</v>
      </c>
      <c r="P5" s="1347">
        <f>('BTL Calculator'!$V$9+'BTL Calculator'!$R$80)*24</f>
        <v>0</v>
      </c>
      <c r="Q5" s="1347">
        <f>(L5*'BTL Calculator'!$S$81/12)*24</f>
        <v>0</v>
      </c>
      <c r="R5" s="1347">
        <f>L5*C5*(24-'BTL Calculator'!$R$81)/12</f>
        <v>0</v>
      </c>
      <c r="S5" s="2507">
        <v>1.1000000000000001</v>
      </c>
      <c r="T5" t="s">
        <v>3690</v>
      </c>
      <c r="U5" s="2508">
        <f>L5*D5</f>
        <v>0</v>
      </c>
      <c r="V5" s="2517">
        <f>M5*F5*24</f>
        <v>0</v>
      </c>
      <c r="W5" s="2718" t="e">
        <f>P5/(((F5*12)*L5*2)-O5)</f>
        <v>#DIV/0!</v>
      </c>
    </row>
    <row r="6" spans="1:30" ht="18" x14ac:dyDescent="0.35">
      <c r="A6" s="2308" t="s">
        <v>3691</v>
      </c>
      <c r="B6" s="1477">
        <v>5.2900000000000003E-2</v>
      </c>
      <c r="C6" s="2321">
        <f>SUM($C$3,B6)</f>
        <v>9.290000000000001E-2</v>
      </c>
      <c r="D6" s="1478">
        <v>0.02</v>
      </c>
      <c r="E6" s="1478">
        <f>C6/12</f>
        <v>7.7416666666666675E-3</v>
      </c>
      <c r="F6" s="1478">
        <v>7.7416666666666675E-3</v>
      </c>
      <c r="G6" s="1479"/>
      <c r="H6" s="2505">
        <v>0.7</v>
      </c>
      <c r="I6" s="2109">
        <v>3000000</v>
      </c>
      <c r="J6" s="2109">
        <v>100000</v>
      </c>
      <c r="K6" s="2506">
        <f>MIN(H6*Property_Value,I6)</f>
        <v>0</v>
      </c>
      <c r="L6" s="2506">
        <f>MIN(M6,K6)</f>
        <v>0</v>
      </c>
      <c r="M6" s="1347">
        <f>P6/(F6*(24-'BTL Calculator'!$R$81)*'Fusion Calc'!S6)</f>
        <v>0</v>
      </c>
      <c r="N6" s="1347">
        <f>L6-U6-Q6-O6</f>
        <v>0</v>
      </c>
      <c r="O6" s="1347">
        <f>L6*'BTL Calculator'!$R$81*(F6)</f>
        <v>0</v>
      </c>
      <c r="P6" s="1347">
        <f>('BTL Calculator'!$V$9+'BTL Calculator'!$R$80)*24</f>
        <v>0</v>
      </c>
      <c r="Q6" s="1347">
        <f>(L6*'BTL Calculator'!$S$81/12)*24</f>
        <v>0</v>
      </c>
      <c r="R6" s="1347">
        <f>L6*C6*(24-'BTL Calculator'!$R$81)/12</f>
        <v>0</v>
      </c>
      <c r="S6" s="2507">
        <v>1.1000000000000001</v>
      </c>
      <c r="T6" t="s">
        <v>3690</v>
      </c>
      <c r="U6" s="2508">
        <f>L6*D6</f>
        <v>0</v>
      </c>
      <c r="V6" s="2517">
        <f>M6*F6*24</f>
        <v>0</v>
      </c>
      <c r="W6" s="2718" t="e">
        <f>P6/(((F6*12)*L6*2)-O6)</f>
        <v>#DIV/0!</v>
      </c>
    </row>
    <row r="7" spans="1:30" ht="18.75" thickBot="1" x14ac:dyDescent="0.4">
      <c r="A7" s="2323"/>
      <c r="B7" s="2324"/>
      <c r="C7" s="2324"/>
      <c r="D7" s="2324"/>
      <c r="E7" s="2324"/>
      <c r="F7" s="2324"/>
      <c r="G7" s="2325"/>
      <c r="H7" s="67"/>
      <c r="I7" s="67"/>
      <c r="J7" s="67"/>
      <c r="K7" s="67"/>
      <c r="L7" s="67"/>
    </row>
    <row r="8" spans="1:30" ht="34.5" x14ac:dyDescent="0.45">
      <c r="A8" s="2326" t="s">
        <v>3692</v>
      </c>
      <c r="B8" s="1502" t="s">
        <v>625</v>
      </c>
      <c r="C8" s="2319" t="s">
        <v>3682</v>
      </c>
      <c r="D8" s="1503" t="s">
        <v>162</v>
      </c>
      <c r="E8" s="1503"/>
      <c r="F8" s="1503"/>
      <c r="G8" s="1503" t="s">
        <v>194</v>
      </c>
      <c r="H8" s="2509" t="s">
        <v>455</v>
      </c>
      <c r="I8" s="2509" t="s">
        <v>482</v>
      </c>
      <c r="J8" s="2509" t="s">
        <v>690</v>
      </c>
      <c r="K8" s="2510"/>
      <c r="L8" s="2510"/>
    </row>
    <row r="9" spans="1:30" ht="18" x14ac:dyDescent="0.35">
      <c r="A9" s="2308" t="s">
        <v>3689</v>
      </c>
      <c r="B9" s="1477">
        <v>5.9900000000000002E-2</v>
      </c>
      <c r="C9" s="2321">
        <f>SUM($C$3,B9)</f>
        <v>9.9900000000000003E-2</v>
      </c>
      <c r="D9" s="1478">
        <v>0.02</v>
      </c>
      <c r="E9" s="1478">
        <f>C9/12</f>
        <v>8.3250000000000008E-3</v>
      </c>
      <c r="F9" s="1478">
        <v>8.3250000000000008E-3</v>
      </c>
      <c r="G9" s="1479"/>
      <c r="H9" s="2505">
        <v>0.75</v>
      </c>
      <c r="I9" s="2109">
        <v>20000000</v>
      </c>
      <c r="J9" s="2109">
        <v>3000000</v>
      </c>
      <c r="K9" s="2506">
        <f>MIN(H9*Property_Value,I9)</f>
        <v>0</v>
      </c>
      <c r="L9" s="2506">
        <f>MIN(M9,K9)</f>
        <v>0</v>
      </c>
      <c r="M9" s="1347">
        <f>P9/(F9*(24-'BTL Calculator'!$R$81)*'Fusion Calc'!S9)</f>
        <v>0</v>
      </c>
      <c r="N9" s="1347">
        <f>L9-U9-Q9-O9</f>
        <v>0</v>
      </c>
      <c r="O9" s="1347">
        <f>L9*'BTL Calculator'!$R$81*(F9)</f>
        <v>0</v>
      </c>
      <c r="P9" s="1347">
        <f>('BTL Calculator'!$V$9+'BTL Calculator'!$R$80)*24</f>
        <v>0</v>
      </c>
      <c r="Q9" s="1347">
        <f>(L9*'BTL Calculator'!$S$81/12)*24</f>
        <v>0</v>
      </c>
      <c r="R9" s="1347">
        <f>L9*C9*(24-'BTL Calculator'!$R$81)/12</f>
        <v>0</v>
      </c>
      <c r="S9" s="2507">
        <v>1.1000000000000001</v>
      </c>
      <c r="T9" t="s">
        <v>3690</v>
      </c>
      <c r="U9" s="2508">
        <f>L9*D9</f>
        <v>0</v>
      </c>
      <c r="V9" s="2517">
        <f>M9*F9*24</f>
        <v>0</v>
      </c>
      <c r="W9" s="2718" t="e">
        <f>P9/(((F9*12)*L9*2)-O9)</f>
        <v>#DIV/0!</v>
      </c>
    </row>
    <row r="10" spans="1:30" ht="18" x14ac:dyDescent="0.35">
      <c r="A10" s="2308" t="s">
        <v>3691</v>
      </c>
      <c r="B10" s="1477">
        <v>6.4899999999999999E-2</v>
      </c>
      <c r="C10" s="2321">
        <f t="shared" ref="C10" si="0">SUM($C$3,B10)</f>
        <v>0.10489999999999999</v>
      </c>
      <c r="D10" s="1478">
        <v>0.02</v>
      </c>
      <c r="E10" s="1478">
        <f>C10/12</f>
        <v>8.7416666666666667E-3</v>
      </c>
      <c r="F10" s="1478">
        <v>8.7416666666666667E-3</v>
      </c>
      <c r="G10" s="1479"/>
      <c r="H10" s="2511">
        <v>0.7</v>
      </c>
      <c r="I10" s="2109">
        <v>20000000</v>
      </c>
      <c r="J10" s="2109">
        <v>3000000</v>
      </c>
      <c r="K10" s="2506">
        <f>MIN(H10*Property_Value,I10)</f>
        <v>0</v>
      </c>
      <c r="L10" s="2506">
        <f>MIN(M10,K10)</f>
        <v>0</v>
      </c>
      <c r="M10" s="1347">
        <f>P10/(F10*(24-'BTL Calculator'!$R$81)*'Fusion Calc'!S10)</f>
        <v>0</v>
      </c>
      <c r="N10" s="1347">
        <f>L10-U10-Q10-O10</f>
        <v>0</v>
      </c>
      <c r="O10" s="1347">
        <f>L10*'BTL Calculator'!$R$81*(F10)</f>
        <v>0</v>
      </c>
      <c r="P10" s="1347">
        <f>('BTL Calculator'!$V$9+'BTL Calculator'!$R$80)*24</f>
        <v>0</v>
      </c>
      <c r="Q10" s="1347">
        <f>(L10*'BTL Calculator'!$S$81/12)*24</f>
        <v>0</v>
      </c>
      <c r="R10" s="1347">
        <f>L10*C10*(24-'BTL Calculator'!$R$81)/12</f>
        <v>0</v>
      </c>
      <c r="S10" s="2507">
        <v>1.1000000000000001</v>
      </c>
      <c r="T10" t="s">
        <v>3690</v>
      </c>
      <c r="U10" s="2508">
        <f>L10*D10</f>
        <v>0</v>
      </c>
      <c r="V10" s="2517">
        <f>M10*F10*24</f>
        <v>0</v>
      </c>
      <c r="W10" s="2718" t="e">
        <f>P10/(((F10*12)*L10*2)-O10)</f>
        <v>#DIV/0!</v>
      </c>
    </row>
    <row r="20" spans="7:9" x14ac:dyDescent="0.25">
      <c r="G20" s="2513"/>
    </row>
    <row r="22" spans="7:9" x14ac:dyDescent="0.25">
      <c r="I22" s="25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49EB3-1B25-4ECE-B013-CA252B31DDD3}">
  <sheetPr codeName="Sheet13">
    <tabColor theme="0" tint="-0.499984740745262"/>
  </sheetPr>
  <dimension ref="A1:AZ148"/>
  <sheetViews>
    <sheetView topLeftCell="A127" zoomScale="80" zoomScaleNormal="80" workbookViewId="0">
      <selection activeCell="J90" sqref="J90"/>
    </sheetView>
  </sheetViews>
  <sheetFormatPr defaultRowHeight="18" outlineLevelRow="1" x14ac:dyDescent="0.35"/>
  <cols>
    <col min="1" max="1" width="9.140625" style="287"/>
    <col min="2" max="2" width="12.7109375" style="287" customWidth="1"/>
    <col min="3" max="3" width="39.42578125" style="287" customWidth="1"/>
    <col min="4" max="4" width="18.7109375" style="287" customWidth="1"/>
    <col min="5" max="5" width="14.28515625" style="287" customWidth="1"/>
    <col min="6" max="6" width="13.85546875" style="287" customWidth="1"/>
    <col min="7" max="7" width="16.28515625" style="287" customWidth="1"/>
    <col min="8" max="12" width="20.7109375" style="287" customWidth="1"/>
    <col min="13" max="18" width="15.28515625" style="287" customWidth="1"/>
    <col min="19" max="19" width="16.85546875" style="287" customWidth="1"/>
    <col min="20" max="20" width="16.7109375" style="287" customWidth="1"/>
    <col min="21" max="21" width="18" style="287" customWidth="1"/>
    <col min="22" max="22" width="27.5703125" style="287" customWidth="1"/>
    <col min="23" max="23" width="15.28515625" style="287" customWidth="1"/>
    <col min="24" max="24" width="13.7109375" style="287" customWidth="1"/>
    <col min="25" max="25" width="16.28515625" style="287" customWidth="1"/>
    <col min="26" max="26" width="15.28515625" style="287" customWidth="1"/>
    <col min="27" max="28" width="15.140625" style="287" customWidth="1"/>
    <col min="29" max="30" width="13" style="287" customWidth="1"/>
    <col min="31" max="31" width="10.28515625" style="287" customWidth="1"/>
    <col min="32" max="32" width="12" style="287" customWidth="1"/>
    <col min="33" max="33" width="13.28515625" style="287" customWidth="1"/>
    <col min="34" max="34" width="11.42578125" style="287" customWidth="1"/>
    <col min="35" max="35" width="12.28515625" style="287" customWidth="1"/>
    <col min="36" max="36" width="11.5703125" style="287" customWidth="1"/>
    <col min="37" max="37" width="19.85546875" style="287" customWidth="1"/>
    <col min="38" max="38" width="15" style="287" bestFit="1" customWidth="1"/>
    <col min="39" max="39" width="12.140625" style="287" customWidth="1"/>
    <col min="40" max="40" width="9.5703125" style="287" bestFit="1" customWidth="1"/>
    <col min="41" max="41" width="17.85546875" style="287" bestFit="1" customWidth="1"/>
    <col min="42" max="42" width="11.28515625" style="287" customWidth="1"/>
    <col min="43" max="43" width="12.5703125" style="287" bestFit="1" customWidth="1"/>
    <col min="44" max="44" width="12.85546875" style="287" bestFit="1" customWidth="1"/>
    <col min="45" max="45" width="10.28515625" style="287" bestFit="1" customWidth="1"/>
    <col min="46" max="46" width="14.5703125" style="287" customWidth="1"/>
    <col min="47" max="47" width="13.5703125" style="287" customWidth="1"/>
    <col min="48" max="48" width="9.85546875" style="287" bestFit="1" customWidth="1"/>
    <col min="49" max="16384" width="9.140625" style="287"/>
  </cols>
  <sheetData>
    <row r="1" spans="2:38" s="67" customFormat="1" hidden="1" x14ac:dyDescent="0.35">
      <c r="B1" s="598" t="s">
        <v>456</v>
      </c>
      <c r="C1" s="598"/>
      <c r="D1" s="598"/>
      <c r="E1" s="598"/>
      <c r="F1" s="598"/>
      <c r="G1" s="598"/>
      <c r="H1" s="598"/>
      <c r="I1" s="598"/>
      <c r="J1" s="598"/>
      <c r="K1" s="598"/>
      <c r="L1" s="598"/>
      <c r="M1" s="598"/>
      <c r="N1" s="598"/>
      <c r="O1" s="598"/>
      <c r="P1" s="598"/>
      <c r="Q1" s="598"/>
      <c r="R1" s="598"/>
      <c r="S1" s="598"/>
      <c r="T1" s="598"/>
      <c r="U1" s="598"/>
      <c r="V1" s="598"/>
      <c r="W1" s="598"/>
      <c r="X1" s="598"/>
      <c r="Y1" s="598"/>
      <c r="Z1" s="598"/>
      <c r="AA1" s="598"/>
      <c r="AB1" s="598"/>
      <c r="AC1" s="598"/>
      <c r="AD1" s="598"/>
      <c r="AE1" s="598"/>
      <c r="AF1" s="598"/>
      <c r="AG1" s="598"/>
      <c r="AH1" s="598"/>
      <c r="AI1" s="598"/>
      <c r="AJ1" s="598"/>
      <c r="AK1" s="598"/>
      <c r="AL1" s="598"/>
    </row>
    <row r="2" spans="2:38" customFormat="1" ht="15" hidden="1" customHeight="1" outlineLevel="1" x14ac:dyDescent="0.25">
      <c r="D2" s="890" t="s">
        <v>457</v>
      </c>
      <c r="E2" s="3211" t="s">
        <v>458</v>
      </c>
      <c r="F2" s="3212"/>
      <c r="G2" s="3213"/>
      <c r="H2" s="3211" t="s">
        <v>459</v>
      </c>
      <c r="I2" s="3212"/>
      <c r="J2" s="3213"/>
      <c r="K2" t="str">
        <f>_xlfn.TEXTJOIN(" or ",TRUE,F3,I3)</f>
        <v>Zircon or Pearl</v>
      </c>
      <c r="L2" s="864" t="str">
        <f>IF(K2="","No Funding lines available","Available Funding lines are: "&amp;K2)</f>
        <v>Available Funding lines are: Zircon or Pearl</v>
      </c>
      <c r="M2" s="864" t="s">
        <v>130</v>
      </c>
      <c r="N2" s="864"/>
      <c r="O2" s="864"/>
    </row>
    <row r="3" spans="2:38" customFormat="1" ht="18" hidden="1" customHeight="1" outlineLevel="1" x14ac:dyDescent="0.25">
      <c r="D3" s="870"/>
      <c r="E3" s="877" t="s">
        <v>460</v>
      </c>
      <c r="F3" t="str">
        <f>IF(COUNTIF(F4:F12,0)=0,E3,"")</f>
        <v>Zircon</v>
      </c>
      <c r="G3" s="878" t="e">
        <f>IF(_xlfn.TEXTJOIN(", ",TRUE,G4:G12)="","",E3&amp;" not available due to - "&amp;_xlfn.TEXTJOIN(", ",TRUE,G4:G12))</f>
        <v>#N/A</v>
      </c>
      <c r="H3" s="877" t="s">
        <v>461</v>
      </c>
      <c r="I3" t="str">
        <f>IF(COUNTIF(I4:I12,0)=0,H3,"")</f>
        <v>Pearl</v>
      </c>
      <c r="J3" s="878" t="e">
        <f>IF(_xlfn.TEXTJOIN(", ",TRUE,J4:J12)="","",H3&amp;" not available due to - "&amp;_xlfn.TEXTJOIN(", ",TRUE,J4:J12))</f>
        <v>#N/A</v>
      </c>
      <c r="K3" s="3216" t="e">
        <f>_xlfn.TEXTJOIN("
",TRUE,G3,J3)</f>
        <v>#N/A</v>
      </c>
      <c r="L3" s="3217" t="e">
        <f>IF(K3="","",IF(L2="","","
")&amp;K3)</f>
        <v>#N/A</v>
      </c>
      <c r="M3" s="864"/>
      <c r="N3" s="864"/>
      <c r="O3" s="864"/>
    </row>
    <row r="4" spans="2:38" customFormat="1" ht="15" hidden="1" outlineLevel="1" x14ac:dyDescent="0.25">
      <c r="C4" t="s">
        <v>462</v>
      </c>
      <c r="D4" s="871" t="e">
        <f>J90</f>
        <v>#N/A</v>
      </c>
      <c r="E4" s="879">
        <v>0.01</v>
      </c>
      <c r="F4" s="880" t="e">
        <f>IF($D4&gt;E4,0,1)</f>
        <v>#N/A</v>
      </c>
      <c r="G4" s="881" t="e">
        <f>IF(F4=0,"Deferred Interest too High","")</f>
        <v>#N/A</v>
      </c>
      <c r="H4" s="879">
        <f>'Product Data'!$P$9</f>
        <v>0.02</v>
      </c>
      <c r="I4" s="880" t="e">
        <f>IF($D4&gt;H4,0,1)</f>
        <v>#N/A</v>
      </c>
      <c r="J4" s="881" t="e">
        <f>IF(I4=0,"Deferred Interest too High","")</f>
        <v>#N/A</v>
      </c>
      <c r="K4" s="3216"/>
      <c r="L4" s="3217"/>
      <c r="M4" s="3214" t="s">
        <v>463</v>
      </c>
      <c r="N4" s="3214"/>
      <c r="O4" s="3214"/>
      <c r="P4" s="3214"/>
      <c r="Q4" s="3214"/>
      <c r="R4" s="3214"/>
      <c r="S4" s="3214"/>
      <c r="T4" s="1240"/>
      <c r="U4" s="865"/>
      <c r="V4" s="866" t="s">
        <v>464</v>
      </c>
      <c r="W4" s="866"/>
      <c r="X4" s="866"/>
    </row>
    <row r="5" spans="2:38" customFormat="1" ht="15.75" hidden="1" outlineLevel="1" x14ac:dyDescent="0.25">
      <c r="C5" t="s">
        <v>206</v>
      </c>
      <c r="D5" s="872" t="e">
        <f>K90</f>
        <v>#N/A</v>
      </c>
      <c r="E5" s="877">
        <v>6</v>
      </c>
      <c r="F5" s="880" t="e">
        <f>IF($D5&gt;E5,0,1)</f>
        <v>#N/A</v>
      </c>
      <c r="G5" s="881" t="e">
        <f>IF(F5=0,"Rolled Months too High","")</f>
        <v>#N/A</v>
      </c>
      <c r="H5" s="877" t="e">
        <f>'BTL Calculator'!#REF!</f>
        <v>#REF!</v>
      </c>
      <c r="I5" s="880" t="e">
        <f>IF($D5&gt;H5,0,1)</f>
        <v>#N/A</v>
      </c>
      <c r="J5" s="881" t="e">
        <f>IF(I5=0,"Rolled Months too High","")</f>
        <v>#N/A</v>
      </c>
      <c r="K5" s="3216"/>
      <c r="L5" s="3217"/>
      <c r="M5" s="3214" t="s">
        <v>465</v>
      </c>
      <c r="N5" s="3214"/>
      <c r="O5" s="3214"/>
      <c r="P5" s="3214"/>
      <c r="Q5" s="3214"/>
      <c r="R5" s="3214"/>
      <c r="S5" s="3214"/>
      <c r="T5" s="1240"/>
      <c r="U5" s="865"/>
      <c r="V5" s="866" t="s">
        <v>466</v>
      </c>
      <c r="W5" s="866"/>
      <c r="X5" s="866"/>
    </row>
    <row r="6" spans="2:38" customFormat="1" ht="15.75" hidden="1" outlineLevel="1" x14ac:dyDescent="0.25">
      <c r="C6" t="s">
        <v>467</v>
      </c>
      <c r="D6" s="870">
        <f>Term</f>
        <v>24</v>
      </c>
      <c r="E6" s="877">
        <v>36</v>
      </c>
      <c r="F6" s="880">
        <f>IF($D6&gt;E6,0,1)</f>
        <v>1</v>
      </c>
      <c r="G6" s="881" t="str">
        <f>IF(F6=0,"Term too High","")</f>
        <v/>
      </c>
      <c r="H6" s="877">
        <v>36</v>
      </c>
      <c r="I6" s="880">
        <f>IF($D6&gt;H6,0,1)</f>
        <v>1</v>
      </c>
      <c r="J6" s="881" t="str">
        <f>IF(I6=0,"Term too High","")</f>
        <v/>
      </c>
      <c r="K6" s="3216"/>
      <c r="L6" s="3217"/>
      <c r="M6" s="3214" t="s">
        <v>468</v>
      </c>
      <c r="N6" s="3214"/>
      <c r="O6" s="3214"/>
      <c r="P6" s="3214"/>
      <c r="Q6" s="3214"/>
      <c r="R6" s="3214"/>
      <c r="S6" s="3214"/>
      <c r="T6" s="1240"/>
      <c r="U6" s="865"/>
      <c r="V6" s="866" t="s">
        <v>469</v>
      </c>
      <c r="W6" s="866"/>
      <c r="X6" s="866"/>
    </row>
    <row r="7" spans="2:38" customFormat="1" ht="33" hidden="1" customHeight="1" outlineLevel="1" x14ac:dyDescent="0.25">
      <c r="C7" t="s">
        <v>470</v>
      </c>
      <c r="D7" s="871" t="e">
        <f>'BTL Calculator'!M141</f>
        <v>#N/A</v>
      </c>
      <c r="E7" s="879">
        <v>4.99E-2</v>
      </c>
      <c r="F7" s="880" t="e">
        <f>IF($D7&lt;E7,0,1)</f>
        <v>#N/A</v>
      </c>
      <c r="G7" s="881" t="e">
        <f>IF(F7=0,"Interest Rate too low","")</f>
        <v>#N/A</v>
      </c>
      <c r="H7" s="879">
        <v>0</v>
      </c>
      <c r="I7" s="880" t="e">
        <f>IF($D7&lt;H7,0,1)</f>
        <v>#N/A</v>
      </c>
      <c r="J7" s="881" t="e">
        <f>IF(I7=0,"Interest Rate too low","")</f>
        <v>#N/A</v>
      </c>
      <c r="K7" s="3216"/>
      <c r="L7" s="3217"/>
      <c r="M7" s="3214" t="s">
        <v>471</v>
      </c>
      <c r="N7" s="3214"/>
      <c r="O7" s="3214"/>
      <c r="P7" s="3214"/>
      <c r="Q7" s="3214"/>
      <c r="R7" s="3214"/>
      <c r="S7" s="3214"/>
      <c r="T7" s="1240"/>
      <c r="U7" s="867" t="s">
        <v>472</v>
      </c>
      <c r="V7" s="866" t="s">
        <v>473</v>
      </c>
      <c r="W7" s="866"/>
      <c r="X7" s="866"/>
    </row>
    <row r="8" spans="2:38" customFormat="1" ht="48" hidden="1" customHeight="1" outlineLevel="1" x14ac:dyDescent="0.25">
      <c r="C8" t="s">
        <v>474</v>
      </c>
      <c r="D8" s="873" t="str">
        <f>'BTL Calculator'!M155</f>
        <v>-</v>
      </c>
      <c r="E8" s="882">
        <v>1</v>
      </c>
      <c r="F8" s="880">
        <f>IF($D8&lt;E8,0,1)</f>
        <v>1</v>
      </c>
      <c r="G8" s="881" t="str">
        <f>IF(F8=0,"ICR too Low","")</f>
        <v/>
      </c>
      <c r="H8" s="882">
        <v>1</v>
      </c>
      <c r="I8" s="880">
        <f>IF($D8&lt;H8,0,1)</f>
        <v>1</v>
      </c>
      <c r="J8" s="881" t="str">
        <f>IF(I8=0,"ICR too Low","")</f>
        <v/>
      </c>
      <c r="K8" s="868"/>
      <c r="L8" s="868"/>
      <c r="M8" s="3214" t="s">
        <v>475</v>
      </c>
      <c r="N8" s="3214"/>
      <c r="O8" s="3214"/>
      <c r="P8" s="3214"/>
      <c r="Q8" s="3214"/>
      <c r="R8" s="3214"/>
      <c r="S8" s="3214"/>
      <c r="T8" s="1240"/>
      <c r="U8" s="865"/>
      <c r="V8" s="866" t="s">
        <v>476</v>
      </c>
      <c r="W8" s="866"/>
      <c r="X8" s="866"/>
    </row>
    <row r="9" spans="2:38" customFormat="1" ht="92.25" hidden="1" customHeight="1" outlineLevel="1" x14ac:dyDescent="0.25">
      <c r="C9" t="s">
        <v>477</v>
      </c>
      <c r="D9" s="874" t="str">
        <f>'BTL Calculator'!V16</f>
        <v>No</v>
      </c>
      <c r="E9" s="877"/>
      <c r="F9" s="880">
        <f>IF(D9="No",1,0)</f>
        <v>1</v>
      </c>
      <c r="G9" s="881" t="str">
        <f>IF(F9=0,"Restricted Country","")</f>
        <v/>
      </c>
      <c r="H9" s="888" t="s">
        <v>478</v>
      </c>
      <c r="I9" s="889">
        <v>1</v>
      </c>
      <c r="J9" s="881" t="str">
        <f>IF(I9=0,"Restricted Country","")</f>
        <v/>
      </c>
      <c r="K9" s="868"/>
      <c r="L9" s="868"/>
      <c r="M9" s="3214" t="s">
        <v>479</v>
      </c>
      <c r="N9" s="3214"/>
      <c r="O9" s="3214"/>
      <c r="P9" s="3214"/>
      <c r="Q9" s="3214"/>
      <c r="R9" s="3214"/>
      <c r="S9" s="3214"/>
      <c r="T9" s="1240"/>
      <c r="U9" s="862" t="s">
        <v>480</v>
      </c>
      <c r="V9" s="866" t="s">
        <v>481</v>
      </c>
      <c r="W9" s="866"/>
      <c r="X9" s="866"/>
    </row>
    <row r="10" spans="2:38" customFormat="1" ht="46.5" hidden="1" customHeight="1" outlineLevel="1" x14ac:dyDescent="0.35">
      <c r="C10" t="s">
        <v>482</v>
      </c>
      <c r="D10" s="875" t="e">
        <f>Gross_Loan</f>
        <v>#N/A</v>
      </c>
      <c r="E10" s="883">
        <v>3000000</v>
      </c>
      <c r="F10" s="880" t="e">
        <f>IF($D10&gt;E10,0,1)</f>
        <v>#N/A</v>
      </c>
      <c r="G10" s="881" t="e">
        <f>IF(F10=0,"Loan too big","")</f>
        <v>#N/A</v>
      </c>
      <c r="H10" s="883">
        <v>3000000</v>
      </c>
      <c r="I10" s="880" t="e">
        <f>IF($D10&gt;H10,0,1)</f>
        <v>#N/A</v>
      </c>
      <c r="J10" s="881" t="e">
        <f>IF(I10=0,"Loan too big","")</f>
        <v>#N/A</v>
      </c>
      <c r="K10" s="868"/>
      <c r="L10" s="868"/>
      <c r="M10" s="3215" t="s">
        <v>483</v>
      </c>
      <c r="N10" s="3215"/>
      <c r="O10" s="3215"/>
      <c r="P10" s="3215"/>
      <c r="Q10" s="3215"/>
      <c r="R10" s="3215"/>
      <c r="S10" s="3215"/>
      <c r="T10" s="1294"/>
      <c r="U10" s="67" t="s">
        <v>484</v>
      </c>
      <c r="V10" s="866" t="s">
        <v>485</v>
      </c>
      <c r="W10" s="866"/>
      <c r="X10" s="866"/>
    </row>
    <row r="11" spans="2:38" customFormat="1" ht="15" hidden="1" outlineLevel="1" x14ac:dyDescent="0.25">
      <c r="C11" t="s">
        <v>272</v>
      </c>
      <c r="D11" s="870" t="str">
        <f>D40</f>
        <v>No</v>
      </c>
      <c r="E11" s="877"/>
      <c r="F11" s="880">
        <v>1</v>
      </c>
      <c r="G11" s="884" t="str">
        <f>IF(F11=0,"Term too High","")</f>
        <v/>
      </c>
      <c r="H11" s="877" t="s">
        <v>27</v>
      </c>
      <c r="I11" s="880">
        <f>IF($D11=H11,1,0)</f>
        <v>1</v>
      </c>
      <c r="J11" s="881" t="str">
        <f>IF(I11=0,C11,"")</f>
        <v/>
      </c>
      <c r="K11" s="863"/>
      <c r="L11" s="863"/>
      <c r="M11" s="864"/>
      <c r="N11" s="864"/>
      <c r="O11" s="864"/>
    </row>
    <row r="12" spans="2:38" customFormat="1" ht="15" hidden="1" outlineLevel="1" x14ac:dyDescent="0.25">
      <c r="D12" s="876"/>
      <c r="E12" s="885"/>
      <c r="F12" s="886">
        <f>IF($D12&gt;E12,0,1)</f>
        <v>1</v>
      </c>
      <c r="G12" s="887" t="str">
        <f>IF(F12=0,"Term too High","")</f>
        <v/>
      </c>
      <c r="H12" s="885"/>
      <c r="I12" s="886">
        <f>IF($D12&gt;H12,0,1)</f>
        <v>1</v>
      </c>
      <c r="J12" s="887"/>
      <c r="K12" s="863"/>
      <c r="L12" s="863"/>
      <c r="M12" s="864"/>
      <c r="N12" s="864"/>
      <c r="O12" s="864"/>
    </row>
    <row r="13" spans="2:38" customFormat="1" ht="15" hidden="1" outlineLevel="1" x14ac:dyDescent="0.25"/>
    <row r="14" spans="2:38" customFormat="1" ht="15" hidden="1" outlineLevel="1" x14ac:dyDescent="0.25"/>
    <row r="15" spans="2:38" customFormat="1" ht="15" hidden="1" outlineLevel="1" x14ac:dyDescent="0.25"/>
    <row r="16" spans="2:38" customFormat="1" ht="15" hidden="1" outlineLevel="1" x14ac:dyDescent="0.25"/>
    <row r="17" spans="2:43" s="67" customFormat="1" ht="19.5" collapsed="1" x14ac:dyDescent="0.4">
      <c r="I17" s="788"/>
      <c r="J17" s="788"/>
      <c r="K17" s="788"/>
      <c r="L17" s="789"/>
    </row>
    <row r="18" spans="2:43" s="67" customFormat="1" ht="18.75" thickBot="1" x14ac:dyDescent="0.4">
      <c r="B18" s="598" t="s">
        <v>486</v>
      </c>
      <c r="C18" s="598"/>
      <c r="D18" s="598"/>
      <c r="E18" s="598"/>
      <c r="F18" s="598" t="s">
        <v>487</v>
      </c>
      <c r="G18" s="598"/>
      <c r="H18" s="598"/>
      <c r="I18" s="598"/>
      <c r="J18" s="598"/>
      <c r="K18" s="598"/>
      <c r="L18" s="598"/>
      <c r="M18" s="598"/>
      <c r="N18" s="598"/>
      <c r="O18" s="598"/>
      <c r="P18" s="598"/>
      <c r="Q18" s="598"/>
      <c r="R18" s="598"/>
      <c r="S18" s="598"/>
      <c r="T18" s="598"/>
      <c r="U18" s="598"/>
      <c r="V18" s="598"/>
      <c r="W18" s="598"/>
      <c r="X18" s="598"/>
      <c r="Y18" s="598"/>
      <c r="Z18" s="598"/>
      <c r="AA18" s="598"/>
      <c r="AB18" s="598"/>
      <c r="AC18" s="598"/>
      <c r="AD18" s="598"/>
      <c r="AE18" s="598"/>
      <c r="AF18" s="598"/>
      <c r="AG18" s="598"/>
      <c r="AH18" s="598"/>
      <c r="AI18" s="598"/>
      <c r="AJ18" s="598"/>
      <c r="AK18" s="598"/>
      <c r="AL18" s="598"/>
    </row>
    <row r="19" spans="2:43" s="67" customFormat="1" outlineLevel="1" x14ac:dyDescent="0.35">
      <c r="B19" s="67" t="s">
        <v>12</v>
      </c>
      <c r="H19" s="602"/>
      <c r="I19" s="601"/>
      <c r="S19" s="1756">
        <f>'BTL Calculator'!V8</f>
        <v>0</v>
      </c>
      <c r="T19" s="1757"/>
      <c r="U19" s="1758">
        <f>'BTL Calculator'!V9</f>
        <v>0</v>
      </c>
      <c r="V19" s="604"/>
      <c r="W19" s="604">
        <f>'BTL Calculator'!V11</f>
        <v>0</v>
      </c>
      <c r="X19" s="1759">
        <f>'BTL Calculator'!V9+'BTL Calculator'!V11</f>
        <v>0</v>
      </c>
    </row>
    <row r="20" spans="2:43" s="67" customFormat="1" ht="20.25" outlineLevel="1" thickBot="1" x14ac:dyDescent="0.45">
      <c r="C20" s="568" t="s">
        <v>488</v>
      </c>
      <c r="D20" s="599">
        <f>'BTL Calculator'!V14</f>
        <v>0</v>
      </c>
      <c r="E20" s="847"/>
      <c r="F20" s="568" t="str">
        <f>LEFT(D20,2-(--ISNUMBER(MID(D20,2,1)*1)))</f>
        <v>0</v>
      </c>
      <c r="H20" s="602"/>
      <c r="K20" s="440" t="s">
        <v>489</v>
      </c>
      <c r="L20" s="600" t="e">
        <f>D28*Gross_Loan</f>
        <v>#N/A</v>
      </c>
      <c r="S20" s="1760" t="s">
        <v>490</v>
      </c>
      <c r="T20" s="2172"/>
      <c r="U20" s="2172" t="s">
        <v>490</v>
      </c>
      <c r="V20" s="2172" t="s">
        <v>491</v>
      </c>
      <c r="W20" s="2172"/>
      <c r="X20" s="1761"/>
      <c r="AB20" s="568"/>
      <c r="AC20" s="599"/>
      <c r="AD20" s="847"/>
      <c r="AE20" s="568"/>
      <c r="AI20" s="568"/>
      <c r="AJ20" s="599"/>
      <c r="AK20" s="847"/>
      <c r="AL20" s="568"/>
      <c r="AN20" s="568"/>
      <c r="AO20" s="599"/>
      <c r="AP20" s="847"/>
      <c r="AQ20" s="568"/>
    </row>
    <row r="21" spans="2:43" s="67" customFormat="1" ht="24.75" outlineLevel="1" thickBot="1" x14ac:dyDescent="0.5">
      <c r="C21" s="568" t="s">
        <v>492</v>
      </c>
      <c r="D21" s="599">
        <f>'BTL Calculator'!V15</f>
        <v>0</v>
      </c>
      <c r="E21" s="847"/>
      <c r="F21" s="568" t="e">
        <f>INDEX('Product Data'!$I$220:$I$326,MATCH(F20,'Product Data'!$B$220:$B$334,0))</f>
        <v>#N/A</v>
      </c>
      <c r="I21" s="603" t="s">
        <v>493</v>
      </c>
      <c r="J21" s="604"/>
      <c r="K21" s="604"/>
      <c r="L21" s="605"/>
      <c r="M21" s="606"/>
      <c r="S21" s="1762" t="s">
        <v>494</v>
      </c>
      <c r="T21" s="2173"/>
      <c r="U21" s="572">
        <f>IF($S$19=$S$21,$U$19,U23/52)</f>
        <v>0</v>
      </c>
      <c r="V21" s="365">
        <f>V23/52</f>
        <v>0</v>
      </c>
      <c r="W21" s="572">
        <f>IF($S$19=$S$21,$W$19,W23/52)</f>
        <v>0</v>
      </c>
      <c r="X21" s="1763"/>
      <c r="AB21" s="568"/>
      <c r="AC21" s="599"/>
      <c r="AD21" s="847"/>
      <c r="AE21" s="568"/>
      <c r="AI21" s="568"/>
      <c r="AJ21" s="599"/>
      <c r="AK21" s="847"/>
      <c r="AL21" s="568"/>
      <c r="AN21" s="568"/>
      <c r="AO21" s="599"/>
      <c r="AP21" s="847"/>
      <c r="AQ21" s="568"/>
    </row>
    <row r="22" spans="2:43" s="67" customFormat="1" ht="24" outlineLevel="1" x14ac:dyDescent="0.45">
      <c r="C22" s="3219" t="s">
        <v>495</v>
      </c>
      <c r="D22" s="3220"/>
      <c r="E22" s="3220"/>
      <c r="F22" s="3221"/>
      <c r="I22" s="607" t="s">
        <v>496</v>
      </c>
      <c r="L22" s="610" t="e">
        <f>(IF(RoundDown,R90,Q90))</f>
        <v>#N/A</v>
      </c>
      <c r="M22" s="609"/>
      <c r="S22" s="1762" t="s">
        <v>18</v>
      </c>
      <c r="T22" s="2173"/>
      <c r="U22" s="572">
        <f>IF($S$19=$S$22,U19,U23/12)</f>
        <v>0</v>
      </c>
      <c r="V22" s="365">
        <f>'BTL Calculator'!$L$80</f>
        <v>0</v>
      </c>
      <c r="W22" s="572">
        <f>IF($S$19=$S$22,W19,W23/12)</f>
        <v>0</v>
      </c>
      <c r="X22" s="2175">
        <f>IF($S$19=$S$22,X19,X23/12)+'BTL Calculator'!H14</f>
        <v>0</v>
      </c>
      <c r="AB22" s="603" t="s">
        <v>493</v>
      </c>
      <c r="AC22" s="605"/>
      <c r="AD22" s="605"/>
      <c r="AE22" s="606"/>
      <c r="AI22" s="3219" t="s">
        <v>493</v>
      </c>
      <c r="AJ22" s="3220"/>
      <c r="AK22" s="3220"/>
      <c r="AL22" s="3221"/>
      <c r="AN22" s="3219" t="s">
        <v>493</v>
      </c>
      <c r="AO22" s="3220"/>
      <c r="AP22" s="3220"/>
      <c r="AQ22" s="3221"/>
    </row>
    <row r="23" spans="2:43" s="67" customFormat="1" outlineLevel="1" x14ac:dyDescent="0.35">
      <c r="C23" s="607" t="s">
        <v>496</v>
      </c>
      <c r="D23" s="608" t="e">
        <f>(IF(RoundDown,R90,Q90))</f>
        <v>#N/A</v>
      </c>
      <c r="E23" s="608"/>
      <c r="F23" s="609"/>
      <c r="I23" s="607" t="s">
        <v>497</v>
      </c>
      <c r="L23" s="611">
        <f>Term</f>
        <v>24</v>
      </c>
      <c r="M23" s="609"/>
      <c r="S23" s="1762" t="s">
        <v>498</v>
      </c>
      <c r="T23" s="2173"/>
      <c r="U23" s="572">
        <f>IF($S$19=$S$23,U19,IF($S$19=$S$21,U19*52,U19*12))</f>
        <v>0</v>
      </c>
      <c r="V23" s="365">
        <f>V22*12</f>
        <v>0</v>
      </c>
      <c r="W23" s="572">
        <f>IF($S$19=$S$23,$W$19,IF($S$19=$S$21,W19*52,W19*12))</f>
        <v>0</v>
      </c>
      <c r="X23" s="2174">
        <f>IF($S$19=$S$23,X19,IF($S$19=$S$21,X19*52,X19*12))</f>
        <v>0</v>
      </c>
      <c r="AB23" s="607" t="s">
        <v>496</v>
      </c>
      <c r="AC23" s="608" t="e">
        <f>(IF(RoundDown,R108,Q108))</f>
        <v>#N/A</v>
      </c>
      <c r="AD23" s="608"/>
      <c r="AE23" s="609"/>
      <c r="AI23" s="607" t="s">
        <v>496</v>
      </c>
      <c r="AJ23" s="608" t="e">
        <f>(IF(RoundDown,R126,Q126))</f>
        <v>#N/A</v>
      </c>
      <c r="AK23" s="608"/>
      <c r="AL23" s="609"/>
      <c r="AN23" s="607" t="s">
        <v>496</v>
      </c>
      <c r="AO23" s="608" t="e">
        <f>(IF(RoundDown,R144,Q144))</f>
        <v>#N/A</v>
      </c>
      <c r="AP23" s="608"/>
      <c r="AQ23" s="609"/>
    </row>
    <row r="24" spans="2:43" s="67" customFormat="1" ht="18.75" outlineLevel="1" thickBot="1" x14ac:dyDescent="0.4">
      <c r="C24" s="607" t="s">
        <v>497</v>
      </c>
      <c r="D24" s="611">
        <f>Term</f>
        <v>24</v>
      </c>
      <c r="E24" s="611"/>
      <c r="F24" s="609"/>
      <c r="I24" s="607" t="s">
        <v>499</v>
      </c>
      <c r="L24" s="66" t="e">
        <f>RollupMonths</f>
        <v>#N/A</v>
      </c>
      <c r="M24" s="614" t="e">
        <f>$AE$90</f>
        <v>#N/A</v>
      </c>
      <c r="N24" s="612"/>
      <c r="S24" s="1764" t="s">
        <v>500</v>
      </c>
      <c r="T24" s="1765"/>
      <c r="U24" s="1766">
        <f>Monthly_Rent*Term</f>
        <v>0</v>
      </c>
      <c r="V24" s="1767">
        <f>V22*Term</f>
        <v>0</v>
      </c>
      <c r="W24" s="1767">
        <f>W22*24</f>
        <v>0</v>
      </c>
      <c r="X24" s="1768"/>
      <c r="AB24" s="607" t="s">
        <v>497</v>
      </c>
      <c r="AC24" s="611">
        <f>Term</f>
        <v>24</v>
      </c>
      <c r="AD24" s="611"/>
      <c r="AE24" s="609"/>
      <c r="AI24" s="607" t="s">
        <v>497</v>
      </c>
      <c r="AJ24" s="611">
        <f>Term</f>
        <v>24</v>
      </c>
      <c r="AK24" s="611"/>
      <c r="AL24" s="609"/>
      <c r="AN24" s="607" t="s">
        <v>497</v>
      </c>
      <c r="AO24" s="611">
        <f>Term</f>
        <v>24</v>
      </c>
      <c r="AP24" s="611"/>
      <c r="AQ24" s="609"/>
    </row>
    <row r="25" spans="2:43" s="67" customFormat="1" outlineLevel="1" x14ac:dyDescent="0.35">
      <c r="C25" s="607" t="s">
        <v>499</v>
      </c>
      <c r="D25" s="611">
        <v>0</v>
      </c>
      <c r="E25" s="611"/>
      <c r="F25" s="613"/>
      <c r="I25" s="607" t="s">
        <v>501</v>
      </c>
      <c r="L25" s="615" t="str">
        <f>IFERROR((Tier_Standard_rate-DeferedIntPercent)/12,"-")</f>
        <v>-</v>
      </c>
      <c r="M25" s="616" t="str">
        <f>IFERROR(L22*L25,"-")</f>
        <v>-</v>
      </c>
      <c r="AB25" s="607" t="s">
        <v>499</v>
      </c>
      <c r="AC25" s="611" t="e">
        <f>K108</f>
        <v>#N/A</v>
      </c>
      <c r="AD25" s="611"/>
      <c r="AE25" s="613"/>
      <c r="AI25" s="607" t="s">
        <v>499</v>
      </c>
      <c r="AJ25" s="611" t="e">
        <f>K126</f>
        <v>#N/A</v>
      </c>
      <c r="AK25" s="611"/>
      <c r="AL25" s="613"/>
      <c r="AN25" s="607" t="s">
        <v>499</v>
      </c>
      <c r="AO25" s="611" t="e">
        <f>K144</f>
        <v>#N/A</v>
      </c>
      <c r="AP25" s="611"/>
      <c r="AQ25" s="613"/>
    </row>
    <row r="26" spans="2:43" s="67" customFormat="1" outlineLevel="1" x14ac:dyDescent="0.35">
      <c r="C26" s="607" t="s">
        <v>501</v>
      </c>
      <c r="D26" s="615" t="str">
        <f>IFERROR(Tier_Standard_rate/12,"-")</f>
        <v>-</v>
      </c>
      <c r="E26" s="615"/>
      <c r="F26" s="616" t="str">
        <f>IFERROR(D23*D26,"-")</f>
        <v>-</v>
      </c>
      <c r="I26" s="607" t="s">
        <v>502</v>
      </c>
      <c r="L26" s="615" t="e">
        <f>DeferedIntPercent/12</f>
        <v>#N/A</v>
      </c>
      <c r="M26" s="616" t="e">
        <f>L22*L26*Term</f>
        <v>#N/A</v>
      </c>
      <c r="N26" s="617"/>
      <c r="AB26" s="607" t="s">
        <v>501</v>
      </c>
      <c r="AC26" s="615" t="str">
        <f>IFERROR((H108-J108)/12,"-")</f>
        <v>-</v>
      </c>
      <c r="AD26" s="615"/>
      <c r="AE26" s="616" t="e">
        <f>AE108</f>
        <v>#N/A</v>
      </c>
      <c r="AI26" s="607" t="s">
        <v>501</v>
      </c>
      <c r="AJ26" s="615" t="str">
        <f>IFERROR((H126-J126)/12,"-")</f>
        <v>-</v>
      </c>
      <c r="AK26" s="615"/>
      <c r="AL26" s="616" t="e">
        <f>AE126</f>
        <v>#N/A</v>
      </c>
      <c r="AN26" s="607" t="s">
        <v>501</v>
      </c>
      <c r="AO26" s="615" t="str">
        <f>IFERROR((H144-J144)/12,"-")</f>
        <v>-</v>
      </c>
      <c r="AP26" s="615"/>
      <c r="AQ26" s="616" t="e">
        <f>AE144</f>
        <v>#N/A</v>
      </c>
    </row>
    <row r="27" spans="2:43" s="67" customFormat="1" outlineLevel="1" x14ac:dyDescent="0.35">
      <c r="C27" s="607" t="s">
        <v>503</v>
      </c>
      <c r="D27" s="615" t="e">
        <f>Prod_Fee_Chosen</f>
        <v>#N/A</v>
      </c>
      <c r="E27" s="615"/>
      <c r="F27" s="616" t="e">
        <f>D23*D27</f>
        <v>#N/A</v>
      </c>
      <c r="I27" s="607" t="s">
        <v>503</v>
      </c>
      <c r="L27" s="615" t="e">
        <f>Prod_Fee_Chosen</f>
        <v>#N/A</v>
      </c>
      <c r="M27" s="616" t="e">
        <f>L22*L27</f>
        <v>#N/A</v>
      </c>
      <c r="N27" s="397"/>
      <c r="AB27" s="607" t="s">
        <v>502</v>
      </c>
      <c r="AC27" s="2288" t="e">
        <f>J108/12</f>
        <v>#N/A</v>
      </c>
      <c r="AE27" s="616" t="str">
        <f>IFERROR(AC23*AC26,"-")</f>
        <v>-</v>
      </c>
      <c r="AI27" s="607" t="s">
        <v>502</v>
      </c>
      <c r="AJ27" s="2288" t="e">
        <f>J126/12</f>
        <v>#N/A</v>
      </c>
      <c r="AL27" s="616" t="str">
        <f>IFERROR(AJ23*AJ26,"-")</f>
        <v>-</v>
      </c>
      <c r="AN27" s="607" t="s">
        <v>502</v>
      </c>
      <c r="AO27" s="2288" t="e">
        <f>J144/12</f>
        <v>#N/A</v>
      </c>
      <c r="AQ27" s="616" t="str">
        <f>IFERROR(AO23*AO26,"-")</f>
        <v>-</v>
      </c>
    </row>
    <row r="28" spans="2:43" s="67" customFormat="1" outlineLevel="1" x14ac:dyDescent="0.35">
      <c r="C28" s="607" t="s">
        <v>504</v>
      </c>
      <c r="D28" s="1302">
        <f>IFERROR(IF('BTL Calculator'!H37&gt;=0,'BTL Calculator'!H37,'BTL Calculator'!H36)+('BTL Calculator'!H38/D23),0)</f>
        <v>0</v>
      </c>
      <c r="E28" s="615"/>
      <c r="F28" s="616" t="e">
        <f>D23*D28</f>
        <v>#N/A</v>
      </c>
      <c r="G28" s="67" t="s">
        <v>505</v>
      </c>
      <c r="I28" s="607" t="s">
        <v>504</v>
      </c>
      <c r="L28" s="615">
        <f>D28</f>
        <v>0</v>
      </c>
      <c r="M28" s="616" t="e">
        <f>L22*L28</f>
        <v>#N/A</v>
      </c>
      <c r="N28" s="397"/>
      <c r="O28" s="617"/>
      <c r="AB28" s="607" t="s">
        <v>503</v>
      </c>
      <c r="AC28" s="615" t="e">
        <f>I108</f>
        <v>#N/A</v>
      </c>
      <c r="AD28" s="615"/>
      <c r="AE28" s="616" t="e">
        <f>AC23*AC27*Term</f>
        <v>#N/A</v>
      </c>
      <c r="AI28" s="607" t="s">
        <v>503</v>
      </c>
      <c r="AJ28" s="615" t="e">
        <f>I126</f>
        <v>#N/A</v>
      </c>
      <c r="AK28" s="615"/>
      <c r="AL28" s="616" t="e">
        <f>AJ23*AJ27*Term</f>
        <v>#N/A</v>
      </c>
      <c r="AN28" s="607" t="s">
        <v>503</v>
      </c>
      <c r="AO28" s="615">
        <v>0.03</v>
      </c>
      <c r="AP28" s="615"/>
      <c r="AQ28" s="616" t="e">
        <f>AO23*AO27*Term</f>
        <v>#N/A</v>
      </c>
    </row>
    <row r="29" spans="2:43" s="67" customFormat="1" outlineLevel="1" x14ac:dyDescent="0.35">
      <c r="C29" s="607" t="s">
        <v>506</v>
      </c>
      <c r="D29" s="610" t="str">
        <f>IFERROR(D23-(D23*D26*D25)-(D23*D27),"-")</f>
        <v>-</v>
      </c>
      <c r="E29" s="610"/>
      <c r="F29" s="609"/>
      <c r="G29" s="619" t="str">
        <f>IFERROR(Core_Net_loan/Property_Value,"-")</f>
        <v>-</v>
      </c>
      <c r="I29" s="607" t="s">
        <v>506</v>
      </c>
      <c r="L29" s="610" t="str">
        <f>IFERROR(L22-M27-M26-M24,"-")</f>
        <v>-</v>
      </c>
      <c r="M29" s="609"/>
      <c r="AB29" s="607" t="s">
        <v>504</v>
      </c>
      <c r="AC29" s="1302">
        <f>D28</f>
        <v>0</v>
      </c>
      <c r="AD29" s="615"/>
      <c r="AE29" s="616" t="e">
        <f>AC23*AC28</f>
        <v>#N/A</v>
      </c>
      <c r="AF29" s="2287"/>
      <c r="AI29" s="607" t="s">
        <v>504</v>
      </c>
      <c r="AJ29" s="1302">
        <f>D28</f>
        <v>0</v>
      </c>
      <c r="AK29" s="615"/>
      <c r="AL29" s="616" t="e">
        <f>AJ23*AJ28</f>
        <v>#N/A</v>
      </c>
      <c r="AM29" s="2287"/>
      <c r="AN29" s="607" t="s">
        <v>504</v>
      </c>
      <c r="AO29" s="1302">
        <f>D28</f>
        <v>0</v>
      </c>
      <c r="AP29" s="615"/>
      <c r="AQ29" s="616" t="e">
        <f>AO23*AO28</f>
        <v>#N/A</v>
      </c>
    </row>
    <row r="30" spans="2:43" s="67" customFormat="1" outlineLevel="1" x14ac:dyDescent="0.35">
      <c r="C30" s="607" t="s">
        <v>507</v>
      </c>
      <c r="D30" s="610" t="str">
        <f>IFERROR(D24*F26,"-")</f>
        <v>-</v>
      </c>
      <c r="E30" s="610"/>
      <c r="F30" s="609"/>
      <c r="I30" s="607" t="s">
        <v>507</v>
      </c>
      <c r="L30" s="610" t="str">
        <f>IFERROR(L23*M25+M26,"-")</f>
        <v>-</v>
      </c>
      <c r="M30" s="609"/>
      <c r="AB30" s="607" t="s">
        <v>506</v>
      </c>
      <c r="AC30" s="610" t="str">
        <f>IFERROR(AC23-AE29-AE28-AE26,"-")</f>
        <v>-</v>
      </c>
      <c r="AD30" s="610"/>
      <c r="AE30" s="2116" t="e">
        <f>AC23*AC29</f>
        <v>#N/A</v>
      </c>
      <c r="AI30" s="607" t="s">
        <v>506</v>
      </c>
      <c r="AJ30" s="610" t="str">
        <f>IFERROR(AJ23-AL29-AL28-AL26,"-")</f>
        <v>-</v>
      </c>
      <c r="AK30" s="610"/>
      <c r="AL30" s="2116" t="e">
        <f>AJ23*AJ29</f>
        <v>#N/A</v>
      </c>
      <c r="AN30" s="607" t="s">
        <v>506</v>
      </c>
      <c r="AO30" s="610" t="str">
        <f>IFERROR(AO23-AQ29-AQ28-AQ26,"-")</f>
        <v>-</v>
      </c>
      <c r="AP30" s="610"/>
      <c r="AQ30" s="2116"/>
    </row>
    <row r="31" spans="2:43" s="67" customFormat="1" outlineLevel="1" x14ac:dyDescent="0.35">
      <c r="C31" s="607" t="s">
        <v>508</v>
      </c>
      <c r="D31" s="610" t="str">
        <f>IFERROR(D30+F27,"-")</f>
        <v>-</v>
      </c>
      <c r="E31" s="610"/>
      <c r="F31" s="609"/>
      <c r="I31" s="607" t="s">
        <v>508</v>
      </c>
      <c r="L31" s="610" t="str">
        <f>IFERROR(L30+M27,"-")</f>
        <v>-</v>
      </c>
      <c r="M31" s="609"/>
      <c r="N31" s="618"/>
      <c r="O31" s="563"/>
      <c r="AB31" s="607" t="s">
        <v>507</v>
      </c>
      <c r="AC31" s="610" t="str">
        <f>IFERROR(AC24*AE27+AE28,"-")</f>
        <v>-</v>
      </c>
      <c r="AD31" s="610"/>
      <c r="AE31" s="609"/>
      <c r="AI31" s="607" t="s">
        <v>507</v>
      </c>
      <c r="AJ31" s="610" t="str">
        <f>IFERROR(AJ24*AL27+AL28,"-")</f>
        <v>-</v>
      </c>
      <c r="AK31" s="610"/>
      <c r="AL31" s="609"/>
      <c r="AN31" s="607" t="s">
        <v>507</v>
      </c>
      <c r="AO31" s="610" t="str">
        <f>IFERROR(AO24*AQ27+AQ28,"-")</f>
        <v>-</v>
      </c>
      <c r="AP31" s="610"/>
      <c r="AQ31" s="609"/>
    </row>
    <row r="32" spans="2:43" s="67" customFormat="1" ht="19.5" outlineLevel="1" x14ac:dyDescent="0.4">
      <c r="C32" s="620" t="s">
        <v>509</v>
      </c>
      <c r="D32" s="3222" t="str">
        <f>IFERROR(D31/D29/D24*12,"-")</f>
        <v>-</v>
      </c>
      <c r="E32" s="3222"/>
      <c r="F32" s="3223"/>
      <c r="I32" s="3228" t="s">
        <v>509</v>
      </c>
      <c r="J32" s="3229"/>
      <c r="K32" s="3229"/>
      <c r="L32" s="3222" t="str">
        <f>IFERROR(L31/L29/L23*12,"-")</f>
        <v>-</v>
      </c>
      <c r="M32" s="3223"/>
      <c r="N32" s="618"/>
      <c r="AB32" s="607" t="s">
        <v>508</v>
      </c>
      <c r="AC32" s="610" t="str">
        <f>IFERROR(AC31+AE29,"-")</f>
        <v>-</v>
      </c>
      <c r="AD32" s="610"/>
      <c r="AE32" s="609"/>
      <c r="AI32" s="607" t="s">
        <v>508</v>
      </c>
      <c r="AJ32" s="610" t="str">
        <f>IFERROR(AJ31+AL29,"-")</f>
        <v>-</v>
      </c>
      <c r="AK32" s="610"/>
      <c r="AL32" s="609"/>
      <c r="AN32" s="607" t="s">
        <v>508</v>
      </c>
      <c r="AO32" s="610" t="str">
        <f>IFERROR(AO31+AQ29,"-")</f>
        <v>-</v>
      </c>
      <c r="AP32" s="610"/>
      <c r="AQ32" s="609"/>
    </row>
    <row r="33" spans="1:43" s="67" customFormat="1" ht="20.25" outlineLevel="1" thickBot="1" x14ac:dyDescent="0.45">
      <c r="C33" s="621" t="s">
        <v>510</v>
      </c>
      <c r="D33" s="3224" t="str">
        <f>IFERROR(D32/12,"-")</f>
        <v>-</v>
      </c>
      <c r="E33" s="3224"/>
      <c r="F33" s="3225"/>
      <c r="I33" s="3226" t="s">
        <v>510</v>
      </c>
      <c r="J33" s="3227"/>
      <c r="K33" s="3227"/>
      <c r="L33" s="3224" t="str">
        <f>IFERROR(L32/12,"-")</f>
        <v>-</v>
      </c>
      <c r="M33" s="3225"/>
      <c r="N33" s="618"/>
      <c r="AB33" s="620" t="s">
        <v>509</v>
      </c>
      <c r="AC33" s="2285" t="str">
        <f>IFERROR(AC32/AC30/AC24*12,"-")</f>
        <v>-</v>
      </c>
      <c r="AD33" s="2285"/>
      <c r="AE33" s="2100"/>
      <c r="AI33" s="620" t="s">
        <v>509</v>
      </c>
      <c r="AJ33" s="2285" t="str">
        <f>IFERROR(AJ32/AJ30/AJ24*12,"-")</f>
        <v>-</v>
      </c>
      <c r="AK33" s="2285"/>
      <c r="AL33" s="2100"/>
      <c r="AN33" s="620" t="s">
        <v>509</v>
      </c>
      <c r="AO33" s="2285" t="str">
        <f>IFERROR(AO32/AO30/AO24*12,"-")</f>
        <v>-</v>
      </c>
      <c r="AP33" s="2285"/>
      <c r="AQ33" s="2100"/>
    </row>
    <row r="34" spans="1:43" s="67" customFormat="1" ht="20.25" thickBot="1" x14ac:dyDescent="0.45">
      <c r="I34" s="788"/>
      <c r="J34" s="788"/>
      <c r="K34" s="788"/>
      <c r="L34" s="789"/>
      <c r="M34" s="789"/>
      <c r="AB34" s="621" t="s">
        <v>510</v>
      </c>
      <c r="AC34" s="2101" t="str">
        <f>IFERROR(AC33/12,"-")</f>
        <v>-</v>
      </c>
      <c r="AD34" s="2101"/>
      <c r="AE34" s="2102"/>
      <c r="AI34" s="621" t="s">
        <v>510</v>
      </c>
      <c r="AJ34" s="2101" t="str">
        <f>IFERROR(AJ33/12,"-")</f>
        <v>-</v>
      </c>
      <c r="AK34" s="2101"/>
      <c r="AL34" s="2102"/>
      <c r="AN34" s="621" t="s">
        <v>510</v>
      </c>
      <c r="AO34" s="2101" t="str">
        <f>IFERROR(AO33/12,"-")</f>
        <v>-</v>
      </c>
      <c r="AP34" s="2101"/>
      <c r="AQ34" s="2102"/>
    </row>
    <row r="35" spans="1:43" s="67" customFormat="1" ht="18.75" thickBot="1" x14ac:dyDescent="0.4">
      <c r="B35" s="598" t="s">
        <v>511</v>
      </c>
      <c r="C35" s="598"/>
      <c r="D35" s="598"/>
      <c r="E35" s="598"/>
      <c r="F35" s="598"/>
      <c r="G35" s="598" t="s">
        <v>512</v>
      </c>
      <c r="H35" s="598"/>
      <c r="I35" s="598"/>
      <c r="J35" s="598"/>
      <c r="K35" s="598"/>
      <c r="L35" s="598"/>
      <c r="M35" s="598"/>
      <c r="N35" s="598"/>
      <c r="O35" s="598"/>
      <c r="P35" s="598"/>
      <c r="Q35" s="598"/>
      <c r="R35" s="598"/>
      <c r="S35" s="598"/>
      <c r="T35" s="598"/>
      <c r="U35" s="598"/>
      <c r="V35" s="598"/>
      <c r="W35" s="598"/>
      <c r="X35" s="598"/>
      <c r="Y35" s="598"/>
      <c r="Z35" s="598"/>
      <c r="AA35" s="598"/>
      <c r="AB35" s="598"/>
      <c r="AC35" s="598"/>
      <c r="AD35" s="598"/>
      <c r="AE35" s="598"/>
      <c r="AF35" s="598"/>
      <c r="AG35" s="598"/>
      <c r="AH35" s="2078"/>
      <c r="AI35" s="2078"/>
      <c r="AJ35" s="2078"/>
      <c r="AK35" s="2078"/>
      <c r="AL35" s="2078"/>
    </row>
    <row r="36" spans="1:43" ht="19.5" customHeight="1" outlineLevel="1" x14ac:dyDescent="0.4">
      <c r="A36" s="3218" t="s">
        <v>513</v>
      </c>
      <c r="B36" s="2144" t="s">
        <v>341</v>
      </c>
      <c r="C36" s="2145"/>
      <c r="D36" s="2146" t="str">
        <f>IFERROR(INDEX('Product Data'!B9:B12,MATCH(TEXT(F36&amp;"*",),'Product Data'!B9:B12,0)),"N/A")</f>
        <v>1) Standard BTL</v>
      </c>
      <c r="E36" s="2145" t="str">
        <f>VLOOKUP(D36,'Product Data'!B8:N12,13,0)</f>
        <v>Tier 1</v>
      </c>
      <c r="F36" s="2147">
        <f>MAX(F37:F55,IF(AND(F44=3,F37+F38&gt;2),4,0))</f>
        <v>1</v>
      </c>
      <c r="G36" s="2148">
        <v>0</v>
      </c>
      <c r="H36" s="2148">
        <v>1</v>
      </c>
      <c r="I36" s="2148">
        <v>2</v>
      </c>
      <c r="J36" s="2148">
        <v>3</v>
      </c>
      <c r="K36" s="2148">
        <v>3</v>
      </c>
      <c r="L36" s="2148">
        <v>3</v>
      </c>
      <c r="M36" s="2159">
        <v>4</v>
      </c>
      <c r="N36" s="2097" t="s">
        <v>514</v>
      </c>
      <c r="O36" s="2019">
        <f>MIN(O37:O42)</f>
        <v>0.75</v>
      </c>
      <c r="P36" s="2019">
        <f>MIN(P37:P42)</f>
        <v>0.75</v>
      </c>
      <c r="Q36" s="2019">
        <f>MIN(Q37:Q42)</f>
        <v>0.75</v>
      </c>
      <c r="R36" s="2019">
        <f>MIN(R37:R42)</f>
        <v>0.7</v>
      </c>
      <c r="S36" s="2020">
        <f>MIN(S37:S42)</f>
        <v>0.75</v>
      </c>
      <c r="T36" s="3207" t="s">
        <v>515</v>
      </c>
      <c r="U36" s="2144" t="s">
        <v>341</v>
      </c>
      <c r="V36" s="2145"/>
      <c r="W36" s="2146" t="str">
        <f>IFERROR(INDEX('Product Data'!B34:B35,MATCH(TEXT(Y36&amp;"*",),'Product Data'!B34:B35,0)),"N/A")</f>
        <v>1) Standard</v>
      </c>
      <c r="X36" s="2145" t="str">
        <f>VLOOKUP(W36,'Product Data'!B34:N35,13,0)</f>
        <v>Tier 1</v>
      </c>
      <c r="Y36" s="2147">
        <f>MAX(Y37:Y52)</f>
        <v>1</v>
      </c>
      <c r="Z36" s="2148">
        <v>0</v>
      </c>
      <c r="AA36" s="2148">
        <v>1</v>
      </c>
      <c r="AB36" s="2148">
        <v>1</v>
      </c>
      <c r="AC36" s="2148">
        <v>1</v>
      </c>
      <c r="AD36" s="2148">
        <v>1</v>
      </c>
      <c r="AE36" s="2148">
        <v>2</v>
      </c>
      <c r="AF36" s="2149">
        <v>2</v>
      </c>
      <c r="AG36" s="106"/>
      <c r="AK36" s="2140"/>
    </row>
    <row r="37" spans="1:43" outlineLevel="1" x14ac:dyDescent="0.35">
      <c r="A37" s="3218"/>
      <c r="B37" s="2141"/>
      <c r="C37" s="287" t="s">
        <v>516</v>
      </c>
      <c r="D37" s="2150" t="str">
        <f>'BTL Calculator'!$V$17</f>
        <v>No</v>
      </c>
      <c r="F37" s="293">
        <f>INDEX($G$36:$M$36,MATCH(D37,G37:M37,0))</f>
        <v>1</v>
      </c>
      <c r="G37" s="293"/>
      <c r="H37" s="293" t="s">
        <v>27</v>
      </c>
      <c r="I37" s="293" t="str">
        <f>IF(ISNUMBER(SEARCH("Commercial",'BTL Calculator'!V3)),"&lt;= 12 beds","&lt;= 6 beds")</f>
        <v>&lt;= 6 beds</v>
      </c>
      <c r="J37" s="293"/>
      <c r="K37" s="293"/>
      <c r="L37" s="293" t="str">
        <f>IF(ISNUMBER(SEARCH("commercial",'BTL Calculator'!V3)),"&gt; 12 beds","&gt; 6 beds")</f>
        <v>&gt; 6 beds</v>
      </c>
      <c r="M37" s="293"/>
      <c r="N37" s="607" t="s">
        <v>518</v>
      </c>
      <c r="O37" s="2136">
        <v>0.75</v>
      </c>
      <c r="P37" s="2136">
        <v>0.75</v>
      </c>
      <c r="Q37" s="2136">
        <v>0.75</v>
      </c>
      <c r="R37" s="2136">
        <v>0.7</v>
      </c>
      <c r="S37" s="2021">
        <f>INDEX(O37:R37,MATCH($F$36,$O$38:$R$38,0))</f>
        <v>0.75</v>
      </c>
      <c r="T37" s="3207"/>
      <c r="U37" s="2141"/>
      <c r="V37" s="313" t="s">
        <v>516</v>
      </c>
      <c r="W37" s="2150" t="str">
        <f>'BTL Calculator'!$V$17</f>
        <v>No</v>
      </c>
      <c r="Y37" s="293">
        <f>INDEX($Z$36:$AE$36,MATCH(W37,Z37:AE37,0))</f>
        <v>1</v>
      </c>
      <c r="Z37" s="293"/>
      <c r="AA37" s="293" t="s">
        <v>27</v>
      </c>
      <c r="AB37" s="293" t="str">
        <f>IF(Rate_Type="Tracker","&lt;= 6 beds","No")</f>
        <v>No</v>
      </c>
      <c r="AC37" s="293" t="s">
        <v>517</v>
      </c>
      <c r="AD37" s="293"/>
      <c r="AE37" s="293" t="s">
        <v>3708</v>
      </c>
      <c r="AF37" s="2151"/>
      <c r="AG37" s="106"/>
      <c r="AK37" s="2140"/>
    </row>
    <row r="38" spans="1:43" outlineLevel="1" x14ac:dyDescent="0.35">
      <c r="A38" s="3218"/>
      <c r="B38" s="2141"/>
      <c r="C38" s="287" t="s">
        <v>519</v>
      </c>
      <c r="D38" s="2150" t="str">
        <f>'BTL Calculator'!$V$18</f>
        <v>No</v>
      </c>
      <c r="F38" s="293">
        <f>INDEX($G$36:$M$36,MATCH(D38,G38:M38,0))</f>
        <v>1</v>
      </c>
      <c r="G38" s="293"/>
      <c r="H38" s="293" t="s">
        <v>27</v>
      </c>
      <c r="I38" s="293" t="str">
        <f>IF(ISNUMBER(SEARCH("Commercial",'BTL Calculator'!V3)),"&lt;= 12 units","&lt;= 6 units")</f>
        <v>&lt;= 6 units</v>
      </c>
      <c r="J38" s="293"/>
      <c r="K38" s="315" t="s">
        <v>3710</v>
      </c>
      <c r="L38" s="293" t="str">
        <f>IF(ISNUMBER(SEARCH("commercial",'BTL Calculator'!V3)),"&gt; 12 units",IF(Rate_Type="Tracker","&lt;= 30 units","&lt;= 10 units"))</f>
        <v>&lt;= 10 units</v>
      </c>
      <c r="M38" s="315" t="s">
        <v>3711</v>
      </c>
      <c r="N38" s="607"/>
      <c r="O38" s="537">
        <v>1</v>
      </c>
      <c r="P38" s="537">
        <v>2</v>
      </c>
      <c r="Q38" s="537">
        <v>3</v>
      </c>
      <c r="R38" s="537">
        <v>4</v>
      </c>
      <c r="S38" s="241" t="s">
        <v>522</v>
      </c>
      <c r="T38" s="3207"/>
      <c r="U38" s="2141"/>
      <c r="V38" s="313" t="s">
        <v>519</v>
      </c>
      <c r="W38" s="2150" t="str">
        <f>'BTL Calculator'!$V$18</f>
        <v>No</v>
      </c>
      <c r="Y38" s="293">
        <f>INDEX($Z$36:$AF$36,MATCH(W38,Z38:AF38,0))</f>
        <v>1</v>
      </c>
      <c r="Z38" s="293"/>
      <c r="AA38" s="293" t="s">
        <v>27</v>
      </c>
      <c r="AB38" s="293" t="str">
        <f>IF(Rate_Type="Tracker","&lt;= 6 units","No")</f>
        <v>No</v>
      </c>
      <c r="AC38" s="293" t="s">
        <v>3707</v>
      </c>
      <c r="AE38" s="293" t="s">
        <v>3709</v>
      </c>
      <c r="AF38" s="2152"/>
      <c r="AG38" s="106"/>
      <c r="AK38" s="2140"/>
    </row>
    <row r="39" spans="1:43" outlineLevel="1" x14ac:dyDescent="0.35">
      <c r="A39" s="3218"/>
      <c r="B39" s="2141"/>
      <c r="C39" s="287" t="s">
        <v>523</v>
      </c>
      <c r="D39" s="2150" t="str">
        <f>'BTL Calculator'!$V$19</f>
        <v>No</v>
      </c>
      <c r="F39" s="293">
        <f>INDEX($G$36:$M$36,MATCH(D39,G39:M39,0))</f>
        <v>1</v>
      </c>
      <c r="G39" s="293"/>
      <c r="H39" s="293" t="s">
        <v>27</v>
      </c>
      <c r="I39" s="293" t="s">
        <v>33</v>
      </c>
      <c r="J39" s="293"/>
      <c r="K39" s="293"/>
      <c r="L39" s="293"/>
      <c r="M39" s="293"/>
      <c r="N39" s="2022"/>
      <c r="O39" s="2137">
        <f>O$37</f>
        <v>0.75</v>
      </c>
      <c r="P39" s="2137">
        <f>P$37</f>
        <v>0.75</v>
      </c>
      <c r="Q39" s="2137">
        <f>Q$37</f>
        <v>0.75</v>
      </c>
      <c r="R39" s="2137">
        <f>R$37</f>
        <v>0.7</v>
      </c>
      <c r="S39" s="2023">
        <f>INDEX(O39:R39,MATCH($F$36,$O$38:$R$38,0))</f>
        <v>0.75</v>
      </c>
      <c r="T39" s="3207"/>
      <c r="U39" s="2141"/>
      <c r="V39" s="313" t="s">
        <v>524</v>
      </c>
      <c r="W39" s="2150" t="str">
        <f>'BTL Calculator'!$V$21</f>
        <v>No</v>
      </c>
      <c r="Y39" s="293">
        <f>INDEX($Z$36:$AF$36,MATCH(W39,Z39:AF39,0))</f>
        <v>1</v>
      </c>
      <c r="Z39" s="293"/>
      <c r="AA39" s="293" t="s">
        <v>27</v>
      </c>
      <c r="AE39" s="293" t="s">
        <v>33</v>
      </c>
      <c r="AF39" s="2151"/>
      <c r="AG39" s="106"/>
      <c r="AK39" s="2140"/>
    </row>
    <row r="40" spans="1:43" outlineLevel="1" x14ac:dyDescent="0.35">
      <c r="A40" s="3218"/>
      <c r="B40" s="2141"/>
      <c r="C40" s="287" t="s">
        <v>525</v>
      </c>
      <c r="D40" s="2150" t="str">
        <f>'BTL Calculator'!$V$20</f>
        <v>No</v>
      </c>
      <c r="F40" s="293">
        <f>INDEX($G$36:$M$36,MATCH(D40,G40:M40,0))</f>
        <v>1</v>
      </c>
      <c r="G40" s="293"/>
      <c r="H40" s="293" t="s">
        <v>27</v>
      </c>
      <c r="I40" s="293" t="s">
        <v>27</v>
      </c>
      <c r="J40" s="293"/>
      <c r="K40" s="293"/>
      <c r="L40" s="293" t="str">
        <f>IF('BTL Calculator'!V2="Core","","Yes")</f>
        <v>Yes</v>
      </c>
      <c r="M40" s="293"/>
      <c r="N40" s="2022"/>
      <c r="O40" s="208"/>
      <c r="P40" s="208"/>
      <c r="Q40" s="208"/>
      <c r="R40" s="208"/>
      <c r="S40" s="241"/>
      <c r="T40" s="3207"/>
      <c r="U40" s="2141"/>
      <c r="V40" s="287" t="s">
        <v>358</v>
      </c>
      <c r="W40" s="2150" t="str">
        <f>'BTL Calculator'!$V$23</f>
        <v>No</v>
      </c>
      <c r="Y40" s="293">
        <f>INDEX($Z$36:$AF$36,MATCH(W40,Z40:AF40,0))</f>
        <v>1</v>
      </c>
      <c r="Z40" s="293"/>
      <c r="AA40" s="293" t="s">
        <v>27</v>
      </c>
      <c r="AB40" s="293" t="s">
        <v>27</v>
      </c>
      <c r="AC40" s="293" t="s">
        <v>33</v>
      </c>
      <c r="AD40" s="293"/>
      <c r="AE40" s="293" t="s">
        <v>33</v>
      </c>
      <c r="AF40" s="293"/>
      <c r="AG40" s="106"/>
      <c r="AK40" s="2140"/>
    </row>
    <row r="41" spans="1:43" outlineLevel="1" x14ac:dyDescent="0.35">
      <c r="A41" s="3218"/>
      <c r="B41" s="2141"/>
      <c r="C41" s="287" t="s">
        <v>524</v>
      </c>
      <c r="D41" s="2150" t="str">
        <f>'BTL Calculator'!$V$21</f>
        <v>No</v>
      </c>
      <c r="F41" s="293">
        <f t="shared" ref="F41:F42" si="0">INDEX($G$36:$M$36,MATCH(D41,G41:M41,0))</f>
        <v>1</v>
      </c>
      <c r="G41" s="293"/>
      <c r="H41" s="293" t="s">
        <v>27</v>
      </c>
      <c r="I41" s="293" t="s">
        <v>33</v>
      </c>
      <c r="J41" s="293"/>
      <c r="K41" s="293"/>
      <c r="L41" s="293"/>
      <c r="M41" s="293"/>
      <c r="N41" s="2022"/>
      <c r="O41" s="208"/>
      <c r="P41" s="208"/>
      <c r="Q41" s="208"/>
      <c r="R41" s="208"/>
      <c r="S41" s="241"/>
      <c r="T41" s="3207"/>
      <c r="U41" s="2141"/>
      <c r="AF41" s="2151"/>
      <c r="AG41" s="106"/>
      <c r="AK41" s="2140"/>
    </row>
    <row r="42" spans="1:43" ht="20.25" outlineLevel="1" thickBot="1" x14ac:dyDescent="0.45">
      <c r="A42" s="3218"/>
      <c r="C42" s="287" t="s">
        <v>358</v>
      </c>
      <c r="D42" s="2150" t="str">
        <f>'BTL Calculator'!$V$23</f>
        <v>No</v>
      </c>
      <c r="F42" s="293">
        <f t="shared" si="0"/>
        <v>1</v>
      </c>
      <c r="G42" s="293"/>
      <c r="H42" s="293" t="s">
        <v>27</v>
      </c>
      <c r="I42" s="293" t="s">
        <v>27</v>
      </c>
      <c r="J42" s="293"/>
      <c r="K42" s="293"/>
      <c r="L42" s="293"/>
      <c r="M42" s="293"/>
      <c r="N42" s="2024"/>
      <c r="O42" s="2025">
        <f>O$37</f>
        <v>0.75</v>
      </c>
      <c r="P42" s="2026">
        <f>IF($D$39=$H$39,P37,60%)</f>
        <v>0.75</v>
      </c>
      <c r="Q42" s="2026">
        <f>IF($D$39=$I$39,70%,Q37)</f>
        <v>0.75</v>
      </c>
      <c r="R42" s="2026">
        <f>R$37</f>
        <v>0.7</v>
      </c>
      <c r="S42" s="2027">
        <f>INDEX(O42:R42,MATCH($F$36,$O$38:$R$38,0))</f>
        <v>0.75</v>
      </c>
      <c r="T42" s="3207"/>
      <c r="U42" s="2153" t="s">
        <v>526</v>
      </c>
      <c r="V42" s="313"/>
      <c r="W42" s="1849"/>
      <c r="Y42" s="293"/>
      <c r="Z42" s="293"/>
      <c r="AA42" s="293"/>
      <c r="AE42" s="293"/>
      <c r="AF42" s="2151"/>
      <c r="AG42" s="106"/>
      <c r="AK42" s="2140"/>
    </row>
    <row r="43" spans="1:43" ht="19.5" outlineLevel="1" x14ac:dyDescent="0.4">
      <c r="A43" s="3218"/>
      <c r="B43" s="2153" t="s">
        <v>526</v>
      </c>
      <c r="D43" s="1849"/>
      <c r="F43" s="293"/>
      <c r="G43" s="293"/>
      <c r="H43" s="2142"/>
      <c r="I43" s="293"/>
      <c r="J43" s="293"/>
      <c r="K43" s="293"/>
      <c r="L43" s="293"/>
      <c r="M43" s="293"/>
      <c r="S43" s="2151"/>
      <c r="T43" s="3207"/>
      <c r="U43" s="2141"/>
      <c r="V43" s="2154" t="s">
        <v>527</v>
      </c>
      <c r="W43" s="1849" t="str">
        <f>'BTL Calculator'!H13</f>
        <v>No</v>
      </c>
      <c r="Y43" s="293">
        <f>INDEX($Z$36:$AF$36,MATCH(W43,Z43:AF43,0))</f>
        <v>1</v>
      </c>
      <c r="Z43" s="293"/>
      <c r="AA43" s="293" t="s">
        <v>27</v>
      </c>
      <c r="AE43" s="293" t="s">
        <v>33</v>
      </c>
      <c r="AF43" s="2151"/>
      <c r="AG43" s="106"/>
      <c r="AK43" s="2140"/>
    </row>
    <row r="44" spans="1:43" ht="18.75" customHeight="1" outlineLevel="1" x14ac:dyDescent="0.35">
      <c r="A44" s="3218"/>
      <c r="B44" s="2141"/>
      <c r="C44" s="287" t="s">
        <v>528</v>
      </c>
      <c r="D44" s="1849" t="str">
        <f>'BTL Calculator'!$H$12</f>
        <v>No</v>
      </c>
      <c r="F44" s="293">
        <f>INDEX($G$36:$M$36,MATCH(D44,G44:M44,0))</f>
        <v>1</v>
      </c>
      <c r="G44" s="293"/>
      <c r="H44" s="293" t="s">
        <v>27</v>
      </c>
      <c r="I44" s="293" t="s">
        <v>33</v>
      </c>
      <c r="J44" s="293"/>
      <c r="K44" s="293"/>
      <c r="L44" s="293" t="str">
        <f>IF('BTL Calculator'!V2="Core","","Yes")</f>
        <v>Yes</v>
      </c>
      <c r="M44" s="293"/>
      <c r="S44" s="2151"/>
      <c r="T44" s="3207"/>
      <c r="U44" s="2141"/>
      <c r="V44" s="313" t="s">
        <v>529</v>
      </c>
      <c r="W44" s="1849" t="str">
        <f>'BTL Calculator'!$H$12</f>
        <v>No</v>
      </c>
      <c r="Y44" s="293">
        <f>INDEX($Z$36:$AF$36,MATCH(W44,Z44:AF44,0))</f>
        <v>1</v>
      </c>
      <c r="Z44" s="293"/>
      <c r="AA44" s="293" t="s">
        <v>27</v>
      </c>
      <c r="AE44" s="293" t="s">
        <v>33</v>
      </c>
      <c r="AF44" s="2151"/>
      <c r="AG44" s="106"/>
      <c r="AL44" s="2140"/>
    </row>
    <row r="45" spans="1:43" outlineLevel="1" x14ac:dyDescent="0.35">
      <c r="A45" s="3218"/>
      <c r="B45" s="2141"/>
      <c r="C45" s="287" t="s">
        <v>530</v>
      </c>
      <c r="D45" s="1849" t="str">
        <f>IF(AND('BTL Calculator'!$H$15="Yes",'BTL Calculator'!$H$16="Yes"),"No",'BTL Calculator'!$H$15)</f>
        <v>No</v>
      </c>
      <c r="F45" s="293">
        <f>INDEX($G$36:$M$36,MATCH(D45,G45:M45,0))+IF('BTL Calculator'!V2="Core",0,F46)</f>
        <v>1</v>
      </c>
      <c r="G45" s="293" t="s">
        <v>27</v>
      </c>
      <c r="H45" s="293" t="s">
        <v>27</v>
      </c>
      <c r="I45" s="293" t="s">
        <v>33</v>
      </c>
      <c r="J45" s="293"/>
      <c r="K45" s="293"/>
      <c r="L45" s="293" t="str">
        <f>IF('BTL Calculator'!V2="Core","","Yes")</f>
        <v>Yes</v>
      </c>
      <c r="M45" s="293"/>
      <c r="S45" s="2151"/>
      <c r="T45" s="3207"/>
      <c r="U45" s="2141"/>
      <c r="V45" s="313" t="s">
        <v>530</v>
      </c>
      <c r="W45" s="1849" t="str">
        <f>IF(AND('BTL Calculator'!$H$15="Yes",'BTL Calculator'!$H$16="Yes"),"No",'BTL Calculator'!$H$15)</f>
        <v>No</v>
      </c>
      <c r="Y45" s="293">
        <f>INDEX($Z$36:$AF$36,MATCH(W45,Z45:AF45,0))</f>
        <v>1</v>
      </c>
      <c r="Z45" s="293"/>
      <c r="AA45" s="293" t="s">
        <v>27</v>
      </c>
      <c r="AE45" s="293" t="s">
        <v>33</v>
      </c>
      <c r="AF45" s="2151"/>
      <c r="AG45" s="106"/>
      <c r="AL45" s="2140"/>
    </row>
    <row r="46" spans="1:43" outlineLevel="1" x14ac:dyDescent="0.35">
      <c r="A46" s="3218"/>
      <c r="B46" s="2141"/>
      <c r="C46" s="2155" t="s">
        <v>32</v>
      </c>
      <c r="D46" s="1849" t="str">
        <f>'BTL Calculator'!$H$17</f>
        <v>No</v>
      </c>
      <c r="F46" s="293">
        <f>INDEX($G$36:$M$36,MATCH(D46,G46:M46,0))</f>
        <v>1</v>
      </c>
      <c r="G46" s="293" t="s">
        <v>33</v>
      </c>
      <c r="H46" s="293" t="s">
        <v>27</v>
      </c>
      <c r="I46" s="293" t="s">
        <v>33</v>
      </c>
      <c r="J46" s="293"/>
      <c r="K46" s="293"/>
      <c r="L46" s="293"/>
      <c r="M46" s="293"/>
      <c r="S46" s="2151"/>
      <c r="T46" s="3207"/>
      <c r="U46" s="2141"/>
      <c r="V46" s="2155" t="s">
        <v>32</v>
      </c>
      <c r="AF46" s="2151"/>
      <c r="AG46" s="106"/>
      <c r="AL46" s="2140"/>
    </row>
    <row r="47" spans="1:43" outlineLevel="1" x14ac:dyDescent="0.35">
      <c r="A47" s="3218"/>
      <c r="B47" s="2141"/>
      <c r="C47" s="287" t="s">
        <v>531</v>
      </c>
      <c r="D47" s="1849" t="str">
        <f>'BTL Calculator'!$H$18</f>
        <v>No</v>
      </c>
      <c r="F47" s="293">
        <f>INDEX($G$36:$M$36,MATCH(D47,G47:M47,0))</f>
        <v>1</v>
      </c>
      <c r="G47" s="293"/>
      <c r="H47" s="293" t="s">
        <v>27</v>
      </c>
      <c r="I47" s="293" t="s">
        <v>27</v>
      </c>
      <c r="J47" s="293"/>
      <c r="K47" s="293"/>
      <c r="L47" s="293" t="str">
        <f>IF('BTL Calculator'!V2="Core","","Yes")</f>
        <v>Yes</v>
      </c>
      <c r="M47" s="293"/>
      <c r="S47" s="2151"/>
      <c r="T47" s="3207"/>
      <c r="U47" s="2141"/>
      <c r="V47" s="313" t="s">
        <v>531</v>
      </c>
      <c r="W47" s="1849" t="str">
        <f>'BTL Calculator'!$H$18</f>
        <v>No</v>
      </c>
      <c r="Y47" s="293">
        <f>INDEX($Z$36:$AF$36,MATCH(W47,Z47:AF47,0))</f>
        <v>1</v>
      </c>
      <c r="Z47" s="293"/>
      <c r="AA47" s="293" t="s">
        <v>27</v>
      </c>
      <c r="AE47" s="293" t="s">
        <v>33</v>
      </c>
      <c r="AF47" s="2151"/>
      <c r="AG47" s="106"/>
      <c r="AL47" s="2140"/>
    </row>
    <row r="48" spans="1:43" ht="18.75" customHeight="1" outlineLevel="1" x14ac:dyDescent="0.35">
      <c r="A48" s="3218"/>
      <c r="B48" s="2141"/>
      <c r="C48" s="287" t="s">
        <v>532</v>
      </c>
      <c r="D48" s="1849" t="str">
        <f>'BTL Calculator'!$H$19</f>
        <v>No</v>
      </c>
      <c r="F48" s="293">
        <f>IF(D48="No",1,0)</f>
        <v>1</v>
      </c>
      <c r="G48" s="293"/>
      <c r="H48" s="293"/>
      <c r="I48" s="293"/>
      <c r="J48" s="293"/>
      <c r="K48" s="293"/>
      <c r="L48" s="293"/>
      <c r="M48" s="293"/>
      <c r="N48" s="293"/>
      <c r="O48" s="2160" t="s">
        <v>533</v>
      </c>
      <c r="P48" s="115"/>
      <c r="Q48" s="115"/>
      <c r="R48" s="293"/>
      <c r="S48" s="2151"/>
      <c r="T48" s="3207"/>
      <c r="U48" s="2141"/>
      <c r="V48" s="313" t="s">
        <v>532</v>
      </c>
      <c r="W48" s="1849" t="str">
        <f>'BTL Calculator'!$H$19</f>
        <v>No</v>
      </c>
      <c r="Y48" s="293">
        <f>IF(W48="No",1,0)</f>
        <v>1</v>
      </c>
      <c r="Z48" s="293"/>
      <c r="AA48" s="293"/>
      <c r="AE48" s="293"/>
      <c r="AF48" s="2151"/>
      <c r="AG48" s="106"/>
      <c r="AL48" s="2140"/>
    </row>
    <row r="49" spans="1:38" outlineLevel="1" x14ac:dyDescent="0.35">
      <c r="A49" s="3218"/>
      <c r="B49" s="2141"/>
      <c r="C49" s="2155" t="s">
        <v>534</v>
      </c>
      <c r="D49" s="1849">
        <f>'BTL Calculator'!$H$20</f>
        <v>0</v>
      </c>
      <c r="F49" s="293">
        <f>IFERROR(IF($F$48=1,1,INDEX($G$36:$M$36,MATCH(D49,G49:M49,0))),0)</f>
        <v>1</v>
      </c>
      <c r="G49" s="293"/>
      <c r="H49" s="293" t="s">
        <v>40</v>
      </c>
      <c r="I49" s="293" t="s">
        <v>535</v>
      </c>
      <c r="J49" s="293"/>
      <c r="L49" s="293" t="str">
        <f>IF('BTL Calculator'!V2="Core","","Other, more recent")</f>
        <v>Other, more recent</v>
      </c>
      <c r="M49" s="293"/>
      <c r="N49" s="550"/>
      <c r="O49" s="2160" t="s">
        <v>536</v>
      </c>
      <c r="P49" s="115"/>
      <c r="Q49" s="115"/>
      <c r="R49" s="550"/>
      <c r="S49" s="2151"/>
      <c r="T49" s="3207"/>
      <c r="U49" s="2141"/>
      <c r="V49" s="2154" t="s">
        <v>534</v>
      </c>
      <c r="W49" s="1849">
        <f>'BTL Calculator'!$H$20</f>
        <v>0</v>
      </c>
      <c r="Y49" s="293">
        <f>IFERROR(IF($F$48=1,1,INDEX($Z$36:$AF$36,MATCH(W49,Z49:AF49,0))),0)</f>
        <v>1</v>
      </c>
      <c r="Z49" s="293"/>
      <c r="AA49" s="293" t="s">
        <v>537</v>
      </c>
      <c r="AE49" s="293" t="s">
        <v>676</v>
      </c>
      <c r="AF49" s="2151"/>
      <c r="AG49" s="106"/>
      <c r="AL49" s="2140"/>
    </row>
    <row r="50" spans="1:38" outlineLevel="1" x14ac:dyDescent="0.35">
      <c r="A50" s="3218"/>
      <c r="B50" s="2141"/>
      <c r="C50" s="2155" t="s">
        <v>354</v>
      </c>
      <c r="D50" s="1849">
        <f>'BTL Calculator'!$H$21</f>
        <v>0</v>
      </c>
      <c r="F50" s="293">
        <f>IFERROR(IF($F$48=1,1,INDEX($G$36:$M$36,MATCH(D50,G50:M50,0))),0)</f>
        <v>1</v>
      </c>
      <c r="G50" s="293"/>
      <c r="H50" s="293" t="s">
        <v>40</v>
      </c>
      <c r="I50" s="293" t="s">
        <v>538</v>
      </c>
      <c r="J50" s="293"/>
      <c r="L50" s="293" t="str">
        <f>IF('BTL Calculator'!V2="Core","","Other, more recent")</f>
        <v>Other, more recent</v>
      </c>
      <c r="M50" s="293"/>
      <c r="N50" s="550"/>
      <c r="O50" s="1443"/>
      <c r="P50" s="115"/>
      <c r="Q50" s="115"/>
      <c r="R50" s="550"/>
      <c r="S50" s="2151"/>
      <c r="T50" s="3207"/>
      <c r="U50" s="2141"/>
      <c r="V50" s="2154" t="s">
        <v>354</v>
      </c>
      <c r="W50" s="1849">
        <f>'BTL Calculator'!$H$21</f>
        <v>0</v>
      </c>
      <c r="Y50" s="293">
        <f>IFERROR(IF($F$48=1,1,INDEX($Z$36:$AF$36,MATCH(W50,Z50:AF50,0))),0)</f>
        <v>1</v>
      </c>
      <c r="Z50" s="293"/>
      <c r="AA50" s="293" t="s">
        <v>539</v>
      </c>
      <c r="AE50" s="293" t="s">
        <v>676</v>
      </c>
      <c r="AF50" s="2151"/>
      <c r="AG50" s="106"/>
      <c r="AL50" s="2140"/>
    </row>
    <row r="51" spans="1:38" outlineLevel="1" x14ac:dyDescent="0.35">
      <c r="A51" s="3218"/>
      <c r="B51" s="2141"/>
      <c r="C51" s="2155" t="s">
        <v>540</v>
      </c>
      <c r="D51" s="1849">
        <f>'BTL Calculator'!$H$22</f>
        <v>0</v>
      </c>
      <c r="F51" s="293">
        <f>IFERROR(IF($F$48=1,1,INDEX($G$36:$M$36,MATCH(D51,G51:M51,0))),0)</f>
        <v>1</v>
      </c>
      <c r="G51" s="293"/>
      <c r="H51" s="293" t="s">
        <v>47</v>
      </c>
      <c r="I51" s="293" t="s">
        <v>541</v>
      </c>
      <c r="J51" s="293"/>
      <c r="L51" s="293" t="str">
        <f>IF('BTL Calculator'!V2="Core","","Other, more recent")</f>
        <v>Other, more recent</v>
      </c>
      <c r="M51" s="293"/>
      <c r="N51" s="550"/>
      <c r="O51" s="1443"/>
      <c r="P51" s="115"/>
      <c r="Q51" s="115"/>
      <c r="R51" s="550"/>
      <c r="S51" s="2151"/>
      <c r="T51" s="3207"/>
      <c r="U51" s="2141"/>
      <c r="V51" s="2154" t="s">
        <v>540</v>
      </c>
      <c r="W51" s="1849">
        <f>'BTL Calculator'!$H$22</f>
        <v>0</v>
      </c>
      <c r="Y51" s="293">
        <f>IFERROR(IF($F$48=1,1,INDEX($Z$36:$AF$36,MATCH(W51,Z51:AF51,0))),0)</f>
        <v>1</v>
      </c>
      <c r="Z51" s="293"/>
      <c r="AA51" s="293" t="s">
        <v>537</v>
      </c>
      <c r="AE51" s="293" t="s">
        <v>676</v>
      </c>
      <c r="AF51" s="2151"/>
      <c r="AG51" s="106"/>
      <c r="AL51" s="2140"/>
    </row>
    <row r="52" spans="1:38" outlineLevel="1" x14ac:dyDescent="0.35">
      <c r="A52" s="3218"/>
      <c r="B52" s="2141"/>
      <c r="C52" s="2155" t="s">
        <v>357</v>
      </c>
      <c r="D52" s="1849">
        <f>'BTL Calculator'!$H$23</f>
        <v>0</v>
      </c>
      <c r="F52" s="293">
        <f>IFERROR(IF($F$48=1,1,INDEX($G$36:$M$36,MATCH(D52,G52:M52,0))),0)</f>
        <v>1</v>
      </c>
      <c r="G52" s="293"/>
      <c r="H52" s="293" t="s">
        <v>51</v>
      </c>
      <c r="I52" s="293" t="s">
        <v>51</v>
      </c>
      <c r="J52" s="293"/>
      <c r="L52" s="293" t="str">
        <f>IF('BTL Calculator'!V2="Core","","Other, more recent")</f>
        <v>Other, more recent</v>
      </c>
      <c r="M52" s="293"/>
      <c r="N52" s="2161"/>
      <c r="O52" s="2162"/>
      <c r="P52" s="115"/>
      <c r="Q52" s="115"/>
      <c r="S52" s="2151"/>
      <c r="T52" s="3207"/>
      <c r="U52" s="2141"/>
      <c r="V52" s="2154" t="s">
        <v>357</v>
      </c>
      <c r="W52" s="1849">
        <f>'BTL Calculator'!$H$23</f>
        <v>0</v>
      </c>
      <c r="Y52" s="293">
        <f>IFERROR(IF($F$48=1,1,INDEX($Z$36:$AF$36,MATCH(W52,Z52:AF52,0))),0)</f>
        <v>1</v>
      </c>
      <c r="Z52" s="293"/>
      <c r="AA52" s="1849" t="s">
        <v>542</v>
      </c>
      <c r="AE52" s="293" t="s">
        <v>676</v>
      </c>
      <c r="AF52" s="2151"/>
      <c r="AG52" s="106"/>
      <c r="AL52" s="2140"/>
    </row>
    <row r="53" spans="1:38" ht="16.5" customHeight="1" outlineLevel="1" x14ac:dyDescent="0.4">
      <c r="A53" s="3218"/>
      <c r="B53" s="2153"/>
      <c r="D53" s="1849"/>
      <c r="F53" s="293"/>
      <c r="G53" s="208"/>
      <c r="H53" s="2163" t="str">
        <f t="shared" ref="H53:I55" si="1">IF($F37&gt;H$36,$C37,"")</f>
        <v/>
      </c>
      <c r="I53" s="2163" t="str">
        <f t="shared" si="1"/>
        <v/>
      </c>
      <c r="J53" s="2163" t="str">
        <f t="shared" ref="J53:M54" si="2">IF($F37&gt;J$36,$C37,"")</f>
        <v/>
      </c>
      <c r="K53" s="2163" t="str">
        <f t="shared" si="2"/>
        <v/>
      </c>
      <c r="L53" s="2163" t="str">
        <f t="shared" si="2"/>
        <v/>
      </c>
      <c r="M53" s="2163" t="str">
        <f t="shared" si="2"/>
        <v/>
      </c>
      <c r="N53" s="2161"/>
      <c r="O53" s="2164"/>
      <c r="P53" s="2164"/>
      <c r="Q53" s="2164"/>
      <c r="R53" s="2164"/>
      <c r="S53" s="2165"/>
      <c r="T53" s="3207"/>
      <c r="U53" s="2153"/>
      <c r="AA53" s="2163" t="str">
        <f t="shared" ref="AA53:AE55" si="3">IF($Y37&gt;AA$36,$V37,"")</f>
        <v/>
      </c>
      <c r="AB53" s="2163" t="str">
        <f t="shared" si="3"/>
        <v/>
      </c>
      <c r="AC53" s="2163" t="str">
        <f t="shared" si="3"/>
        <v/>
      </c>
      <c r="AD53" s="2163" t="str">
        <f t="shared" si="3"/>
        <v/>
      </c>
      <c r="AE53" s="2163" t="str">
        <f t="shared" si="3"/>
        <v/>
      </c>
      <c r="AF53" s="2151"/>
      <c r="AG53" s="106"/>
      <c r="AL53" s="2140"/>
    </row>
    <row r="54" spans="1:38" ht="3" customHeight="1" outlineLevel="1" x14ac:dyDescent="0.35">
      <c r="A54" s="3218"/>
      <c r="B54" s="2141"/>
      <c r="D54" s="1849"/>
      <c r="F54" s="293"/>
      <c r="G54" s="293"/>
      <c r="H54" s="2163" t="str">
        <f t="shared" si="1"/>
        <v/>
      </c>
      <c r="I54" s="2163" t="str">
        <f t="shared" si="1"/>
        <v/>
      </c>
      <c r="J54" s="2163" t="str">
        <f t="shared" si="2"/>
        <v/>
      </c>
      <c r="K54" s="2163" t="str">
        <f t="shared" si="2"/>
        <v/>
      </c>
      <c r="L54" s="2163" t="str">
        <f t="shared" si="2"/>
        <v/>
      </c>
      <c r="M54" s="2163" t="str">
        <f t="shared" si="2"/>
        <v/>
      </c>
      <c r="N54" s="2161"/>
      <c r="O54" s="2161"/>
      <c r="P54" s="2161"/>
      <c r="Q54" s="2161"/>
      <c r="R54" s="2161"/>
      <c r="S54" s="2166"/>
      <c r="T54" s="3207"/>
      <c r="U54" s="2141"/>
      <c r="AA54" s="2163" t="str">
        <f t="shared" si="3"/>
        <v/>
      </c>
      <c r="AB54" s="2163" t="str">
        <f t="shared" si="3"/>
        <v/>
      </c>
      <c r="AC54" s="2163" t="str">
        <f t="shared" si="3"/>
        <v/>
      </c>
      <c r="AD54" s="2163" t="str">
        <f t="shared" si="3"/>
        <v/>
      </c>
      <c r="AE54" s="2163" t="str">
        <f t="shared" si="3"/>
        <v/>
      </c>
      <c r="AF54" s="2151"/>
      <c r="AG54" s="106"/>
      <c r="AL54" s="2140"/>
    </row>
    <row r="55" spans="1:38" ht="3" customHeight="1" outlineLevel="1" x14ac:dyDescent="0.35">
      <c r="A55" s="3218"/>
      <c r="B55" s="2141"/>
      <c r="D55" s="1849"/>
      <c r="F55" s="2167"/>
      <c r="H55" s="2168" t="str">
        <f t="shared" si="1"/>
        <v/>
      </c>
      <c r="I55" s="2168" t="str">
        <f t="shared" si="1"/>
        <v/>
      </c>
      <c r="J55" s="2168" t="str">
        <f>IF($F39&gt;J$36,$C39,"")</f>
        <v/>
      </c>
      <c r="K55" s="2168" t="str">
        <f>IF($F39&gt;K$36,$C39,"")</f>
        <v/>
      </c>
      <c r="L55" s="2168" t="str">
        <f>IF($F39&gt;L$36,$C39,"")</f>
        <v/>
      </c>
      <c r="M55" s="2168" t="str">
        <f>IF($F39&gt;M$36,$C39,"")</f>
        <v/>
      </c>
      <c r="N55" s="2169"/>
      <c r="O55" s="2169"/>
      <c r="P55" s="2169"/>
      <c r="Q55" s="293"/>
      <c r="R55" s="293"/>
      <c r="S55" s="2143"/>
      <c r="T55" s="3207"/>
      <c r="U55" s="2141"/>
      <c r="AA55" s="2168" t="str">
        <f t="shared" si="3"/>
        <v/>
      </c>
      <c r="AB55" s="2168" t="str">
        <f t="shared" si="3"/>
        <v/>
      </c>
      <c r="AC55" s="2168" t="str">
        <f t="shared" si="3"/>
        <v/>
      </c>
      <c r="AD55" s="2168" t="str">
        <f t="shared" si="3"/>
        <v/>
      </c>
      <c r="AE55" s="2168" t="str">
        <f t="shared" si="3"/>
        <v/>
      </c>
      <c r="AF55" s="2151"/>
      <c r="AG55" s="106"/>
      <c r="AL55" s="2140"/>
    </row>
    <row r="56" spans="1:38" s="67" customFormat="1" ht="3" customHeight="1" outlineLevel="1" x14ac:dyDescent="0.35">
      <c r="A56" s="106"/>
      <c r="B56" s="2141"/>
      <c r="C56" s="287"/>
      <c r="D56" s="293"/>
      <c r="E56" s="287"/>
      <c r="F56" s="293"/>
      <c r="G56" s="287"/>
      <c r="H56" s="2168" t="str">
        <f t="shared" ref="H56:I56" si="4">IF($F40&gt;H$36,$C40,"")</f>
        <v/>
      </c>
      <c r="I56" s="2168" t="str">
        <f t="shared" si="4"/>
        <v/>
      </c>
      <c r="J56" s="2168" t="str">
        <f>IF($F40&gt;K$36,$C40,"")</f>
        <v/>
      </c>
      <c r="K56" s="2168" t="str">
        <f>IF($F40&gt;L$36,$C40,"")</f>
        <v/>
      </c>
      <c r="L56" s="2168" t="str">
        <f>IF($F40&gt;M$36,$C40,"")</f>
        <v/>
      </c>
      <c r="M56" s="1849"/>
      <c r="N56" s="293"/>
      <c r="O56" s="293"/>
      <c r="P56" s="293"/>
      <c r="Q56" s="293"/>
      <c r="R56" s="293"/>
      <c r="S56" s="2151"/>
      <c r="T56" s="287"/>
      <c r="U56" s="607"/>
      <c r="AA56" s="2168" t="str">
        <f>IF($Y40&gt;AA$36,$V40,"")</f>
        <v/>
      </c>
      <c r="AB56" s="2168" t="str">
        <f>IF($Y40&gt;AB$36,$V40,"")</f>
        <v/>
      </c>
      <c r="AC56" s="2168" t="str">
        <f>IF($Y40&gt;AD$36,$V40,"")</f>
        <v/>
      </c>
      <c r="AD56" s="2168" t="str">
        <f>IF($Y40&gt;AE$36,$V40,"")</f>
        <v/>
      </c>
      <c r="AE56" s="2168" t="str">
        <f>IF($Y40&gt;AF$36,$V40,"")</f>
        <v/>
      </c>
      <c r="AF56" s="609"/>
      <c r="AG56" s="106"/>
      <c r="AH56" s="287"/>
      <c r="AI56" s="287"/>
      <c r="AJ56" s="287"/>
      <c r="AK56" s="287"/>
      <c r="AL56" s="287"/>
    </row>
    <row r="57" spans="1:38" s="67" customFormat="1" ht="3" customHeight="1" outlineLevel="1" x14ac:dyDescent="0.35">
      <c r="A57" s="106"/>
      <c r="B57" s="2141"/>
      <c r="C57" s="287"/>
      <c r="D57" s="293"/>
      <c r="E57" s="287"/>
      <c r="F57" s="293"/>
      <c r="G57" s="287"/>
      <c r="H57" s="2168" t="str">
        <f t="shared" ref="H57:I61" si="5">IF($F44&gt;H$36,$C44,"")</f>
        <v/>
      </c>
      <c r="I57" s="2168" t="str">
        <f t="shared" si="5"/>
        <v/>
      </c>
      <c r="J57" s="2168" t="str">
        <f t="shared" ref="J57:L61" si="6">IF($F44&gt;K$36,$C44,"")</f>
        <v/>
      </c>
      <c r="K57" s="2168" t="str">
        <f t="shared" si="6"/>
        <v/>
      </c>
      <c r="L57" s="2168" t="str">
        <f t="shared" si="6"/>
        <v/>
      </c>
      <c r="M57" s="287"/>
      <c r="N57" s="287"/>
      <c r="O57" s="2169"/>
      <c r="P57" s="2169"/>
      <c r="Q57" s="2169"/>
      <c r="R57" s="293"/>
      <c r="S57" s="2151"/>
      <c r="T57" s="287"/>
      <c r="U57" s="607"/>
      <c r="AA57" s="2168" t="str">
        <f t="shared" ref="AA57:AB61" si="7">IF($Y44&gt;AA$36,$V44,"")</f>
        <v/>
      </c>
      <c r="AB57" s="2168" t="str">
        <f t="shared" si="7"/>
        <v/>
      </c>
      <c r="AC57" s="2168" t="str">
        <f t="shared" ref="AC57:AE61" si="8">IF($Y44&gt;AD$36,$V44,"")</f>
        <v/>
      </c>
      <c r="AD57" s="2168" t="str">
        <f t="shared" si="8"/>
        <v/>
      </c>
      <c r="AE57" s="2168" t="str">
        <f t="shared" si="8"/>
        <v/>
      </c>
      <c r="AF57" s="609"/>
      <c r="AG57" s="106"/>
      <c r="AH57" s="287"/>
      <c r="AI57" s="287"/>
      <c r="AJ57" s="287"/>
      <c r="AK57" s="287"/>
      <c r="AL57" s="287"/>
    </row>
    <row r="58" spans="1:38" s="67" customFormat="1" ht="3" customHeight="1" outlineLevel="1" x14ac:dyDescent="0.35">
      <c r="A58" s="106"/>
      <c r="B58" s="2141"/>
      <c r="C58" s="287"/>
      <c r="D58" s="293"/>
      <c r="E58" s="287"/>
      <c r="F58" s="293"/>
      <c r="G58" s="287"/>
      <c r="H58" s="2168" t="str">
        <f t="shared" si="5"/>
        <v/>
      </c>
      <c r="I58" s="2168" t="str">
        <f t="shared" si="5"/>
        <v/>
      </c>
      <c r="J58" s="2168" t="str">
        <f t="shared" si="6"/>
        <v/>
      </c>
      <c r="K58" s="2168" t="str">
        <f t="shared" si="6"/>
        <v/>
      </c>
      <c r="L58" s="2168" t="str">
        <f t="shared" si="6"/>
        <v/>
      </c>
      <c r="M58" s="287"/>
      <c r="N58" s="287"/>
      <c r="O58" s="287"/>
      <c r="P58" s="287"/>
      <c r="Q58" s="287"/>
      <c r="R58" s="287"/>
      <c r="S58" s="2151"/>
      <c r="T58" s="287"/>
      <c r="U58" s="607"/>
      <c r="AA58" s="2168" t="str">
        <f t="shared" si="7"/>
        <v/>
      </c>
      <c r="AB58" s="2168" t="str">
        <f t="shared" si="7"/>
        <v/>
      </c>
      <c r="AC58" s="2168" t="str">
        <f t="shared" si="8"/>
        <v/>
      </c>
      <c r="AD58" s="2168" t="str">
        <f t="shared" si="8"/>
        <v/>
      </c>
      <c r="AE58" s="2168" t="str">
        <f t="shared" si="8"/>
        <v/>
      </c>
      <c r="AF58" s="609"/>
      <c r="AG58" s="106"/>
      <c r="AH58" s="287"/>
      <c r="AI58" s="287"/>
      <c r="AJ58" s="287"/>
      <c r="AK58" s="287"/>
      <c r="AL58" s="287"/>
    </row>
    <row r="59" spans="1:38" s="67" customFormat="1" ht="3" customHeight="1" outlineLevel="1" x14ac:dyDescent="0.35">
      <c r="A59" s="106"/>
      <c r="B59" s="2141"/>
      <c r="C59" s="287"/>
      <c r="D59" s="293"/>
      <c r="E59" s="287"/>
      <c r="F59" s="293"/>
      <c r="G59" s="287"/>
      <c r="H59" s="2168" t="str">
        <f t="shared" si="5"/>
        <v/>
      </c>
      <c r="I59" s="2168" t="str">
        <f t="shared" si="5"/>
        <v/>
      </c>
      <c r="J59" s="2168" t="str">
        <f t="shared" si="6"/>
        <v/>
      </c>
      <c r="K59" s="2168" t="str">
        <f t="shared" si="6"/>
        <v/>
      </c>
      <c r="L59" s="2168" t="str">
        <f t="shared" si="6"/>
        <v/>
      </c>
      <c r="M59" s="287"/>
      <c r="N59" s="287"/>
      <c r="O59" s="287"/>
      <c r="P59" s="287"/>
      <c r="Q59" s="287"/>
      <c r="R59" s="287"/>
      <c r="S59" s="2151"/>
      <c r="T59" s="287"/>
      <c r="U59" s="607"/>
      <c r="AA59" s="2168" t="str">
        <f t="shared" si="7"/>
        <v/>
      </c>
      <c r="AB59" s="2168" t="str">
        <f t="shared" si="7"/>
        <v/>
      </c>
      <c r="AC59" s="2168" t="str">
        <f t="shared" si="8"/>
        <v/>
      </c>
      <c r="AD59" s="2168" t="str">
        <f t="shared" si="8"/>
        <v/>
      </c>
      <c r="AE59" s="2168" t="str">
        <f t="shared" si="8"/>
        <v/>
      </c>
      <c r="AF59" s="609"/>
      <c r="AG59" s="106"/>
      <c r="AH59" s="287"/>
      <c r="AI59" s="287"/>
      <c r="AJ59" s="287"/>
      <c r="AK59" s="287"/>
      <c r="AL59" s="287"/>
    </row>
    <row r="60" spans="1:38" s="67" customFormat="1" ht="3" customHeight="1" outlineLevel="1" x14ac:dyDescent="0.35">
      <c r="A60" s="106"/>
      <c r="B60" s="2141"/>
      <c r="C60" s="287"/>
      <c r="D60" s="293"/>
      <c r="E60" s="287"/>
      <c r="F60" s="293"/>
      <c r="G60" s="287"/>
      <c r="H60" s="2168" t="str">
        <f t="shared" si="5"/>
        <v/>
      </c>
      <c r="I60" s="2168" t="str">
        <f t="shared" si="5"/>
        <v/>
      </c>
      <c r="J60" s="2168" t="str">
        <f t="shared" si="6"/>
        <v/>
      </c>
      <c r="K60" s="2168" t="str">
        <f t="shared" si="6"/>
        <v/>
      </c>
      <c r="L60" s="2168" t="str">
        <f t="shared" si="6"/>
        <v/>
      </c>
      <c r="M60" s="287"/>
      <c r="N60" s="287"/>
      <c r="O60" s="287"/>
      <c r="P60" s="287"/>
      <c r="Q60" s="287"/>
      <c r="R60" s="287"/>
      <c r="S60" s="2151"/>
      <c r="T60" s="287"/>
      <c r="U60" s="607"/>
      <c r="AA60" s="2168" t="str">
        <f t="shared" si="7"/>
        <v/>
      </c>
      <c r="AB60" s="2168" t="str">
        <f t="shared" si="7"/>
        <v/>
      </c>
      <c r="AC60" s="2168" t="str">
        <f t="shared" si="8"/>
        <v/>
      </c>
      <c r="AD60" s="2168" t="str">
        <f t="shared" si="8"/>
        <v/>
      </c>
      <c r="AE60" s="2168" t="str">
        <f t="shared" si="8"/>
        <v/>
      </c>
      <c r="AF60" s="609"/>
      <c r="AG60" s="106"/>
      <c r="AH60" s="287"/>
      <c r="AI60" s="287"/>
      <c r="AJ60" s="287"/>
      <c r="AK60" s="287"/>
      <c r="AL60" s="287"/>
    </row>
    <row r="61" spans="1:38" s="67" customFormat="1" ht="3" customHeight="1" outlineLevel="1" x14ac:dyDescent="0.35">
      <c r="A61" s="106"/>
      <c r="B61" s="2141"/>
      <c r="C61" s="287"/>
      <c r="D61" s="293"/>
      <c r="E61" s="287"/>
      <c r="F61" s="293"/>
      <c r="G61" s="287"/>
      <c r="H61" s="2168" t="str">
        <f t="shared" si="5"/>
        <v/>
      </c>
      <c r="I61" s="2168" t="str">
        <f t="shared" si="5"/>
        <v/>
      </c>
      <c r="J61" s="2168" t="str">
        <f t="shared" si="6"/>
        <v/>
      </c>
      <c r="K61" s="2168" t="str">
        <f t="shared" si="6"/>
        <v/>
      </c>
      <c r="L61" s="2168" t="str">
        <f t="shared" si="6"/>
        <v/>
      </c>
      <c r="M61" s="287"/>
      <c r="N61" s="287"/>
      <c r="O61" s="287"/>
      <c r="P61" s="287"/>
      <c r="Q61" s="287"/>
      <c r="R61" s="287"/>
      <c r="S61" s="2151"/>
      <c r="T61" s="287"/>
      <c r="U61" s="607"/>
      <c r="AA61" s="2168" t="str">
        <f t="shared" si="7"/>
        <v/>
      </c>
      <c r="AB61" s="2168" t="str">
        <f t="shared" si="7"/>
        <v/>
      </c>
      <c r="AC61" s="2168" t="str">
        <f t="shared" si="8"/>
        <v/>
      </c>
      <c r="AD61" s="2168" t="str">
        <f t="shared" si="8"/>
        <v/>
      </c>
      <c r="AE61" s="2168" t="str">
        <f t="shared" si="8"/>
        <v/>
      </c>
      <c r="AF61" s="609"/>
      <c r="AG61" s="106"/>
      <c r="AH61" s="287"/>
      <c r="AI61" s="287"/>
      <c r="AJ61" s="287"/>
      <c r="AK61" s="287"/>
      <c r="AL61" s="287"/>
    </row>
    <row r="62" spans="1:38" s="67" customFormat="1" ht="3" customHeight="1" outlineLevel="1" x14ac:dyDescent="0.35">
      <c r="A62" s="106"/>
      <c r="B62" s="2141"/>
      <c r="C62" s="287"/>
      <c r="D62" s="293"/>
      <c r="E62" s="287"/>
      <c r="F62" s="293"/>
      <c r="G62" s="287"/>
      <c r="H62" s="2168" t="str">
        <f t="shared" ref="H62:I65" si="9">IF($F49&gt;H$36,$B49,"")</f>
        <v/>
      </c>
      <c r="I62" s="2168" t="str">
        <f t="shared" si="9"/>
        <v/>
      </c>
      <c r="J62" s="2168" t="str">
        <f t="shared" ref="J62:L65" si="10">IF($F49&gt;K$36,$B49,"")</f>
        <v/>
      </c>
      <c r="K62" s="2168" t="str">
        <f t="shared" si="10"/>
        <v/>
      </c>
      <c r="L62" s="2168" t="str">
        <f t="shared" si="10"/>
        <v/>
      </c>
      <c r="M62" s="287"/>
      <c r="N62" s="287"/>
      <c r="O62" s="287"/>
      <c r="P62" s="287"/>
      <c r="Q62" s="287"/>
      <c r="R62" s="287"/>
      <c r="S62" s="2151"/>
      <c r="T62" s="287"/>
      <c r="U62" s="607"/>
      <c r="AA62" s="2168" t="str">
        <f t="shared" ref="AA62:AB65" si="11">IF($Y49&gt;AA$36,$B49,"")</f>
        <v/>
      </c>
      <c r="AB62" s="2168" t="str">
        <f t="shared" si="11"/>
        <v/>
      </c>
      <c r="AC62" s="2168" t="str">
        <f t="shared" ref="AC62:AE65" si="12">IF($Y49&gt;AD$36,$B49,"")</f>
        <v/>
      </c>
      <c r="AD62" s="2168" t="str">
        <f t="shared" si="12"/>
        <v/>
      </c>
      <c r="AE62" s="2168" t="str">
        <f t="shared" si="12"/>
        <v/>
      </c>
      <c r="AF62" s="609"/>
      <c r="AG62" s="106"/>
      <c r="AH62" s="287"/>
      <c r="AI62" s="287"/>
      <c r="AJ62" s="287"/>
      <c r="AK62" s="287"/>
      <c r="AL62" s="287"/>
    </row>
    <row r="63" spans="1:38" s="67" customFormat="1" ht="3" customHeight="1" outlineLevel="1" x14ac:dyDescent="0.35">
      <c r="A63" s="106"/>
      <c r="B63" s="2141"/>
      <c r="C63" s="287"/>
      <c r="D63" s="293"/>
      <c r="E63" s="287"/>
      <c r="F63" s="293"/>
      <c r="G63" s="287"/>
      <c r="H63" s="2168" t="str">
        <f t="shared" si="9"/>
        <v/>
      </c>
      <c r="I63" s="2168" t="str">
        <f t="shared" si="9"/>
        <v/>
      </c>
      <c r="J63" s="2168" t="str">
        <f t="shared" si="10"/>
        <v/>
      </c>
      <c r="K63" s="2168" t="str">
        <f t="shared" si="10"/>
        <v/>
      </c>
      <c r="L63" s="2168" t="str">
        <f t="shared" si="10"/>
        <v/>
      </c>
      <c r="M63" s="287"/>
      <c r="N63" s="287"/>
      <c r="O63" s="287"/>
      <c r="P63" s="287"/>
      <c r="Q63" s="287"/>
      <c r="R63" s="287"/>
      <c r="S63" s="2151"/>
      <c r="T63" s="287"/>
      <c r="U63" s="607"/>
      <c r="AA63" s="2168" t="str">
        <f t="shared" si="11"/>
        <v/>
      </c>
      <c r="AB63" s="2168" t="str">
        <f t="shared" si="11"/>
        <v/>
      </c>
      <c r="AC63" s="2168" t="str">
        <f t="shared" si="12"/>
        <v/>
      </c>
      <c r="AD63" s="2168" t="str">
        <f t="shared" si="12"/>
        <v/>
      </c>
      <c r="AE63" s="2168" t="str">
        <f t="shared" si="12"/>
        <v/>
      </c>
      <c r="AF63" s="609"/>
      <c r="AG63" s="106"/>
      <c r="AH63" s="287"/>
      <c r="AI63" s="287"/>
      <c r="AJ63" s="287"/>
      <c r="AK63" s="287"/>
      <c r="AL63" s="287"/>
    </row>
    <row r="64" spans="1:38" s="67" customFormat="1" ht="3" customHeight="1" outlineLevel="1" x14ac:dyDescent="0.35">
      <c r="A64" s="106"/>
      <c r="B64" s="2141"/>
      <c r="C64" s="287"/>
      <c r="D64" s="293"/>
      <c r="E64" s="287"/>
      <c r="F64" s="293"/>
      <c r="G64" s="287"/>
      <c r="H64" s="2168" t="str">
        <f t="shared" si="9"/>
        <v/>
      </c>
      <c r="I64" s="2168" t="str">
        <f t="shared" si="9"/>
        <v/>
      </c>
      <c r="J64" s="2168" t="str">
        <f t="shared" si="10"/>
        <v/>
      </c>
      <c r="K64" s="2168" t="str">
        <f t="shared" si="10"/>
        <v/>
      </c>
      <c r="L64" s="2168" t="str">
        <f t="shared" si="10"/>
        <v/>
      </c>
      <c r="M64" s="287"/>
      <c r="N64" s="287"/>
      <c r="O64" s="287"/>
      <c r="P64" s="287"/>
      <c r="Q64" s="287"/>
      <c r="R64" s="287"/>
      <c r="S64" s="2151"/>
      <c r="T64" s="287"/>
      <c r="U64" s="607"/>
      <c r="AA64" s="2168" t="str">
        <f t="shared" si="11"/>
        <v/>
      </c>
      <c r="AB64" s="2168" t="str">
        <f t="shared" si="11"/>
        <v/>
      </c>
      <c r="AC64" s="2168" t="str">
        <f t="shared" si="12"/>
        <v/>
      </c>
      <c r="AD64" s="2168" t="str">
        <f t="shared" si="12"/>
        <v/>
      </c>
      <c r="AE64" s="2168" t="str">
        <f t="shared" si="12"/>
        <v/>
      </c>
      <c r="AF64" s="609"/>
      <c r="AG64" s="106"/>
      <c r="AH64" s="287"/>
      <c r="AI64" s="287"/>
      <c r="AJ64" s="287"/>
      <c r="AK64" s="287"/>
      <c r="AL64" s="287"/>
    </row>
    <row r="65" spans="1:48" s="67" customFormat="1" ht="33.75" customHeight="1" outlineLevel="1" x14ac:dyDescent="0.35">
      <c r="A65" s="106"/>
      <c r="B65" s="2141"/>
      <c r="C65" s="287"/>
      <c r="D65" s="293"/>
      <c r="E65" s="287"/>
      <c r="F65" s="293"/>
      <c r="G65" s="287"/>
      <c r="H65" s="2168" t="str">
        <f t="shared" si="9"/>
        <v/>
      </c>
      <c r="I65" s="2168" t="str">
        <f t="shared" si="9"/>
        <v/>
      </c>
      <c r="J65" s="2168" t="str">
        <f t="shared" si="10"/>
        <v/>
      </c>
      <c r="K65" s="2168" t="str">
        <f t="shared" si="10"/>
        <v/>
      </c>
      <c r="L65" s="2168" t="str">
        <f t="shared" si="10"/>
        <v/>
      </c>
      <c r="M65" s="287"/>
      <c r="N65" s="287"/>
      <c r="O65" s="287"/>
      <c r="P65" s="287"/>
      <c r="Q65" s="287"/>
      <c r="R65" s="287"/>
      <c r="S65" s="2151"/>
      <c r="T65" s="287"/>
      <c r="U65" s="607"/>
      <c r="AA65" s="2168" t="str">
        <f t="shared" si="11"/>
        <v/>
      </c>
      <c r="AB65" s="2168" t="str">
        <f t="shared" si="11"/>
        <v/>
      </c>
      <c r="AC65" s="2168" t="str">
        <f t="shared" si="12"/>
        <v/>
      </c>
      <c r="AD65" s="2168" t="str">
        <f t="shared" si="12"/>
        <v/>
      </c>
      <c r="AE65" s="2168" t="str">
        <f t="shared" si="12"/>
        <v/>
      </c>
      <c r="AF65" s="609"/>
      <c r="AG65" s="106"/>
      <c r="AH65" s="287"/>
      <c r="AI65" s="287"/>
      <c r="AJ65" s="287"/>
      <c r="AK65" s="287"/>
      <c r="AL65" s="287"/>
    </row>
    <row r="66" spans="1:48" s="67" customFormat="1" ht="18" customHeight="1" outlineLevel="1" x14ac:dyDescent="0.35">
      <c r="A66" s="106"/>
      <c r="B66" s="2141"/>
      <c r="C66" s="287"/>
      <c r="D66" s="293"/>
      <c r="E66" s="287"/>
      <c r="F66" s="293"/>
      <c r="G66" s="287"/>
      <c r="H66" s="2168" t="str">
        <f>_xlfn.TEXTJOIN(", ",,H53:H65)</f>
        <v/>
      </c>
      <c r="I66" s="2168" t="str">
        <f>_xlfn.TEXTJOIN(", ",,I53:I65)</f>
        <v/>
      </c>
      <c r="J66" s="2168" t="str">
        <f>_xlfn.TEXTJOIN(", ",,J53:J65)</f>
        <v/>
      </c>
      <c r="K66" s="2168" t="str">
        <f>_xlfn.TEXTJOIN(", ",,K53:K65)</f>
        <v/>
      </c>
      <c r="L66" s="2168" t="str">
        <f>_xlfn.TEXTJOIN(", ",,L53:L65)</f>
        <v/>
      </c>
      <c r="M66" s="287"/>
      <c r="N66" s="287"/>
      <c r="O66" s="287"/>
      <c r="P66" s="287"/>
      <c r="Q66" s="287"/>
      <c r="R66" s="287"/>
      <c r="S66" s="2151"/>
      <c r="T66" s="287"/>
      <c r="U66" s="607"/>
      <c r="AA66" s="2168" t="str">
        <f>_xlfn.TEXTJOIN(", ",,AA53:AA65)</f>
        <v/>
      </c>
      <c r="AB66" s="2168" t="str">
        <f>_xlfn.TEXTJOIN(", ",,AB53:AB65)</f>
        <v/>
      </c>
      <c r="AC66" s="2168" t="str">
        <f>_xlfn.TEXTJOIN(", ",,AC53:AC65)</f>
        <v/>
      </c>
      <c r="AD66" s="2168" t="str">
        <f>_xlfn.TEXTJOIN(", ",,AD53:AD65)</f>
        <v/>
      </c>
      <c r="AE66" s="2168" t="str">
        <f>_xlfn.TEXTJOIN(", ",,AE53:AE65)</f>
        <v/>
      </c>
      <c r="AF66" s="609"/>
      <c r="AG66" s="106"/>
      <c r="AH66" s="287"/>
      <c r="AI66" s="287"/>
      <c r="AJ66" s="287"/>
      <c r="AK66" s="287"/>
      <c r="AL66" s="287"/>
    </row>
    <row r="67" spans="1:48" ht="18.75" thickBot="1" x14ac:dyDescent="0.4">
      <c r="A67" s="106"/>
      <c r="B67" s="2156"/>
      <c r="C67" s="2157"/>
      <c r="D67" s="2170"/>
      <c r="E67" s="2157"/>
      <c r="F67" s="2170"/>
      <c r="G67" s="2157"/>
      <c r="H67" s="2157"/>
      <c r="I67" s="2157"/>
      <c r="J67" s="2157"/>
      <c r="K67" s="2157"/>
      <c r="L67" s="2157"/>
      <c r="M67" s="2157"/>
      <c r="N67" s="2157"/>
      <c r="O67" s="2157"/>
      <c r="P67" s="2157"/>
      <c r="Q67" s="2157"/>
      <c r="R67" s="2157"/>
      <c r="S67" s="2158"/>
      <c r="T67" s="106"/>
      <c r="U67" s="2156"/>
      <c r="V67" s="2157"/>
      <c r="W67" s="2157"/>
      <c r="X67" s="2157"/>
      <c r="Y67" s="2157"/>
      <c r="Z67" s="2157"/>
      <c r="AA67" s="2157"/>
      <c r="AB67" s="2157"/>
      <c r="AC67" s="2157"/>
      <c r="AD67" s="2157"/>
      <c r="AE67" s="2157"/>
      <c r="AF67" s="2158"/>
      <c r="AG67" s="106"/>
    </row>
    <row r="68" spans="1:48" x14ac:dyDescent="0.35">
      <c r="A68" s="598"/>
      <c r="B68" s="598" t="s">
        <v>543</v>
      </c>
      <c r="C68" s="598"/>
      <c r="D68" s="598"/>
      <c r="E68" s="598"/>
      <c r="F68" s="598"/>
      <c r="G68" s="598"/>
      <c r="H68" s="598"/>
      <c r="I68" s="598"/>
      <c r="J68" s="598"/>
      <c r="K68" s="598"/>
      <c r="L68" s="598"/>
      <c r="M68" s="598"/>
      <c r="N68" s="598"/>
      <c r="O68" s="598"/>
      <c r="P68" s="598"/>
      <c r="Q68" s="598"/>
      <c r="R68" s="598"/>
      <c r="S68" s="598"/>
      <c r="T68" s="598"/>
      <c r="U68" s="598"/>
      <c r="V68" s="598"/>
      <c r="W68" s="598"/>
      <c r="X68" s="598"/>
      <c r="Y68" s="598"/>
      <c r="Z68" s="598"/>
      <c r="AA68" s="598"/>
      <c r="AB68" s="598"/>
      <c r="AC68" s="598"/>
      <c r="AD68" s="598"/>
      <c r="AE68" s="598"/>
      <c r="AF68" s="598"/>
      <c r="AG68" s="598"/>
      <c r="AH68" s="2078"/>
      <c r="AI68" s="2078"/>
      <c r="AJ68" s="2078"/>
      <c r="AK68" s="2078"/>
      <c r="AL68" s="2078"/>
    </row>
    <row r="69" spans="1:48" ht="18.75" thickBot="1" x14ac:dyDescent="0.4">
      <c r="B69" s="2078"/>
      <c r="C69" s="2095" t="s">
        <v>544</v>
      </c>
      <c r="D69" s="2096" t="s">
        <v>545</v>
      </c>
      <c r="E69" s="2096" t="s">
        <v>546</v>
      </c>
      <c r="F69" s="2096" t="s">
        <v>547</v>
      </c>
      <c r="G69" s="2096" t="s">
        <v>3817</v>
      </c>
      <c r="H69" s="2078"/>
      <c r="I69" s="2078"/>
      <c r="J69" s="2078"/>
      <c r="K69" s="2078"/>
      <c r="L69" s="2078"/>
      <c r="M69" s="2078"/>
      <c r="N69" s="2078"/>
      <c r="O69" s="2078"/>
      <c r="P69" s="2078"/>
      <c r="Q69" s="2078"/>
      <c r="R69" s="2078"/>
      <c r="S69" s="2078"/>
      <c r="T69" s="2078"/>
      <c r="U69" s="2078"/>
      <c r="V69" s="2078"/>
      <c r="W69" s="2078"/>
      <c r="X69" s="2078"/>
      <c r="Y69" s="2078"/>
      <c r="Z69" s="2078"/>
      <c r="AA69" s="2078"/>
      <c r="AB69" s="2078"/>
      <c r="AC69" s="2078"/>
      <c r="AD69" s="2078"/>
      <c r="AE69" s="2078"/>
      <c r="AF69" s="2078"/>
      <c r="AG69" s="2078"/>
      <c r="AH69" s="2078"/>
      <c r="AI69" s="2078"/>
      <c r="AJ69" s="2078"/>
      <c r="AK69" s="2078"/>
      <c r="AL69" s="2078"/>
    </row>
    <row r="70" spans="1:48" ht="19.5" thickTop="1" thickBot="1" x14ac:dyDescent="0.4">
      <c r="C70" s="623" t="s">
        <v>548</v>
      </c>
      <c r="D70" s="624" cm="1">
        <f t="array" ref="D70">IF('BTL Calculator'!V2="Core",
    IF(OR($H$70="Residential BTL", $H$70="Retention"),
        IF(RoundDown=FALSE,
            MAX(_xlfn._xlws.FILTER(CHOOSE({1,2,3,4,5,6}, $Q$76, $Q$77, $Q$79, $Q$80, $Q$85, $Q$86),
                CHOOSE({1,2,3,4,5,6}, $E$76, $E$77, $E$79, $E$80, $E$85, $E$86) &gt;= $F$36)),
            MAX(_xlfn._xlws.FILTER(CHOOSE({1,2,3,4,5,6}, $R$76, $R$77, $R$79, $R$80, $R$85, $R$86),
                CHOOSE({1,2,3,4,5,6}, $E$76, $E$77, $E$79, $E$80, $E$85, $E$86) &gt;= $F$36))
        ),
        IF(RoundDown=FALSE,
            MAX(_xlfn._xlws.FILTER(CHOOSE({1,2,3,4,5,6}, $Q$76, $Q$77, $Q$79, $Q$80, $Q$85, $Q$86),
                CHOOSE({1,2,3,4,5,6}, $E$76, $E$77, $E$79, $E$80, $E$85, $E$86) &gt;= $Y$36)),
            MAX(_xlfn._xlws.FILTER(CHOOSE({1,2,3,4,5,6}, $R$76, $R$77, $R$79, $R$80, $R$85, $R$86),
                CHOOSE({1,2,3,4,5,6}, $E$76, $E$77, $E$79, $E$80, $E$85, $E$86) &gt;= $Y$36))
        )
    ),
    IF(OR($H$70="Residential BTL", $H$70="Retention"),
        IF(RoundDown=FALSE,
            _xlfn.MAXIFS($Q$76:$Q$87, $E$76:$E$87, "&gt;="&amp;$F$36),
            _xlfn.MAXIFS($R$76:$R$87, $E$76:$E$87, "&gt;="&amp;$F$36)
        ),
        IF(RoundDown=FALSE,
            _xlfn.MAXIFS($Q$76:$Q$87, $E$76:$E$87, "&gt;="&amp;$Y$36),
            _xlfn.MAXIFS($R$76:$R$87, $E$76:$E$87, "&gt;="&amp;$Y$36)
        )
    )
)</f>
        <v>0</v>
      </c>
      <c r="E70" s="624" cm="1">
        <f t="array" ref="E70">IF('BTL Calculator'!V2="Core",
    IF(OR($H$70="Residential BTL", $H$70="Retention"),
        IF(RoundDown=FALSE,
            MAX(_xlfn._xlws.FILTER(CHOOSE({1,2,3,4,5,6}, $Q$94, $Q$95, $Q$97, $Q$98, $Q$103, $Q$104),
                CHOOSE({1,2,3,4,5,6}, $E$94, $E$95, $E$97, $E$98, $E$103, $E$104) &gt;= $F$36)),
            MAX(_xlfn._xlws.FILTER(CHOOSE({1,2,3,4,5,6}, $R$94, $R$95, $R$97, $R$98, $R$103, $R$104),
                CHOOSE({1,2,3,4,5,6}, $E$94, $E$95, $E$97, $E$98, $E$103, $E$104) &gt;= $F$36))
        ),
        IF(RoundDown=FALSE,
            MAX(_xlfn._xlws.FILTER(CHOOSE({1,2,3,4,5,6}, $Q$94, $Q$95, $Q$97, $Q$98, $Q$103, $Q$104),
                CHOOSE({1,2,3,4,5,6}, $E$94, $E$95, $E$97, $E$98, $E$103, $E$104) &gt;= $Y$36)),
            MAX(_xlfn._xlws.FILTER(CHOOSE({1,2,3,4,5,6}, $R$94, $R$95, $R$97, $R$98, $R$103, $R$104),
                CHOOSE({1,2,3,4,5,6}, $E$94, $E$95, $E$97, $E$98, $E$103, $E$104) &gt;= $Y$36))
        )
    ),
    IF(OR($H$70="Residential BTL", $H$70="Retention"),
        IF(RoundDown=FALSE,
            _xlfn.MAXIFS($Q$94:$Q$105, $E$94:$E$105, "&gt;="&amp;$F$36),
            _xlfn.MAXIFS($R$94:$R$105, $E$94:$E$105, "&gt;="&amp;$F$36)
        ),
        IF(RoundDown=FALSE,
            _xlfn.MAXIFS($Q$94:$Q$105, $E$94:$E$105, "&gt;="&amp;$Y$36),
            _xlfn.MAXIFS($R$94:$R$105, $E$94:$E$105, "&gt;="&amp;$Y$36)
        )
    )
)</f>
        <v>0</v>
      </c>
      <c r="F70" s="624" cm="1">
        <f t="array" ref="F70">IF('BTL Calculator'!V2="Core",
    IF(OR($H$70="Residential BTL", $H$70="Retention"),
        IF(RoundDown=FALSE,
            MAX(_xlfn._xlws.FILTER(CHOOSE({1,2,3,4,5,6}, $Q$112, $Q$113, $Q$115, $Q$116, $Q$121, $Q$122),
                CHOOSE({1,2,3,4,5,6}, $E$112, $E$113, $E$115, $E$116, $E$121, $E$122) &gt;= $F$36)),
            MAX(_xlfn._xlws.FILTER(CHOOSE({1,2,3,4,5,6}, $R$112, $R$113, $R$115, $R$116, $R$121, $R$122),
                CHOOSE({1,2,3,4,5,6}, $E$112, $E$113, $E$115, $E$116, $E$121, $E$122) &gt;= $F$36))
        ),
        IF(RoundDown=FALSE,
            MAX(_xlfn._xlws.FILTER(CHOOSE({1,2,3,4,5,6}, $Q$112, $Q$113, $Q$115, $Q$116, $Q$121, $Q$122),
                CHOOSE({1,2,3,4,5,6}, $E$112, $E$113, $E$115, $E$116, $E$121, $E$122) &gt;= $Y$36)),
            MAX(_xlfn._xlws.FILTER(CHOOSE({1,2,3,4,5,6}, $R$112, $R$113, $R$115, $R$116, $R$121, $R$122),
                CHOOSE({1,2,3,4,5,6}, $E$112, $E$113, $E$115, $E$116, $E$121, $E$122) &gt;= $Y$36))
        )
    ),
    IF(OR($H$70="Residential BTL", $H$70="Retention"),
        IF(RoundDown=FALSE,
            _xlfn.MAXIFS($Q$112:$Q$123, $E$112:$E$123, "&gt;="&amp;$F$36),
            _xlfn.MAXIFS($R$112:$R$123, $E$112:$E$123, "&gt;="&amp;$F$36)
        ),
        IF(RoundDown=FALSE,
            _xlfn.MAXIFS($Q$112:$Q$123, $E$112:$E$123, "&gt;="&amp;$Y$36),
            _xlfn.MAXIFS($R$112:$R$123, $E$112:$E$123, "&gt;="&amp;$Y$36)
        )
    )
)</f>
        <v>0</v>
      </c>
      <c r="G70" s="624" cm="1">
        <f t="array" ref="G70">IF('BTL Calculator'!V2="Core",
    IF(OR($H$70="Residential BTL", $H$70="Retention"),
        IF(RoundDown=FALSE,
            MAX(_xlfn._xlws.FILTER(CHOOSE({1,2,3,4,5,6}, $Q$130, $Q$131, $Q$133, $Q$134, $Q$139, $Q$140),
                CHOOSE({1,2,3,4,5,6}, $E$130, $E$131, $E$133, $E$134, $E$139, $E$140) &gt;= $F$36)),
            MAX(_xlfn._xlws.FILTER(CHOOSE({1,2,3,4,5,6}, $R$130, $R$131, $R$133, $R$134, $R$139, $R$140),
                CHOOSE({1,2,3,4,5,6}, $E$130, $E$131, $E$133, $E$134, $E$139, $E$140) &gt;= $F$36))
        ),
        IF(RoundDown=FALSE,
            MAX(_xlfn._xlws.FILTER(CHOOSE({1,2,3,4,5,6}, $Q$130, $Q$131, $Q$133, $Q$134, $Q$139, $Q$140),
                CHOOSE({1,2,3,4,5,6}, $E$130, $E$131, $E$133, $E$134, $E$139, $E$140) &gt;= $F$36)),
            MAX(_xlfn._xlws.FILTER(CHOOSE({1,2,3,4,5,6}, $R$130, $R$131, $R$133, $R$134, $R$139, $R$140),
                CHOOSE({1,2,3,4,5,6}, $E$130, $E$131, $E$133, $E$134, $E$139, $E$140) &gt;= $F$36))
        )
    ),
    IF(OR($H$70="Residential BTL", $H$70="Retention"),
        IF(RoundDown=FALSE,
            _xlfn.MAXIFS($Q$130:$Q$141, $E$130:$E$141, "&gt;="&amp;$F$36),
            _xlfn.MAXIFS($R$130:$R$141, $E$130:$E$141, "&gt;="&amp;$F$36)
        ),
        IF(RoundDown=FALSE,
            _xlfn.MAXIFS($Q$130:$Q$141, $E$130:$E$141, "&gt;="&amp;$Y$36),
            _xlfn.MAXIFS($R$130:$R$141, $E$130:$E$141, "&gt;="&amp;$Y$36)
        )
    )
)</f>
        <v>0</v>
      </c>
      <c r="H70" s="3230">
        <f>'BTL Calculator'!V3</f>
        <v>0</v>
      </c>
      <c r="I70" s="3231"/>
      <c r="J70" s="3231"/>
      <c r="K70" s="3232"/>
      <c r="L70" s="2081"/>
      <c r="M70" s="2080"/>
      <c r="P70" s="2078"/>
      <c r="Q70" s="2078"/>
      <c r="R70" s="2078"/>
      <c r="S70" s="2078"/>
      <c r="T70" s="2080"/>
      <c r="U70" s="2080"/>
      <c r="Y70" s="2080"/>
      <c r="Z70" s="2082"/>
      <c r="AA70" s="2082"/>
      <c r="AB70" s="2082"/>
      <c r="AC70" s="2082"/>
      <c r="AD70" s="2080"/>
      <c r="AE70" s="2080"/>
      <c r="AF70" s="2083"/>
      <c r="AG70" s="2084"/>
      <c r="AH70" s="2080"/>
      <c r="AI70" s="2080"/>
      <c r="AJ70" s="2080"/>
      <c r="AK70" s="2080"/>
      <c r="AL70" s="2080"/>
      <c r="AM70" s="2080"/>
      <c r="AO70" s="1"/>
      <c r="AP70" s="1"/>
      <c r="AQ70" s="1"/>
      <c r="AR70" s="2080"/>
    </row>
    <row r="71" spans="1:48" ht="19.5" thickTop="1" thickBot="1" x14ac:dyDescent="0.4">
      <c r="C71" s="623" t="s">
        <v>549</v>
      </c>
      <c r="D71" s="2724" t="e">
        <f>NetLoanUsed</f>
        <v>#N/A</v>
      </c>
      <c r="E71" s="2724" t="e">
        <f>AL108</f>
        <v>#N/A</v>
      </c>
      <c r="F71" s="2724" t="e">
        <f>AL126</f>
        <v>#N/A</v>
      </c>
      <c r="G71" s="2724" t="e">
        <f>AL144</f>
        <v>#N/A</v>
      </c>
      <c r="H71" s="3233"/>
      <c r="I71" s="3234"/>
      <c r="J71" s="3234"/>
      <c r="K71" s="3235"/>
      <c r="L71" s="2081"/>
      <c r="M71" s="2080"/>
      <c r="P71" s="2078"/>
      <c r="Q71" s="2078"/>
      <c r="R71" s="2078"/>
      <c r="S71" s="2078"/>
      <c r="T71" s="2085"/>
      <c r="U71" s="2085"/>
      <c r="Y71" s="2080"/>
      <c r="Z71" s="2082"/>
      <c r="AA71" s="2082"/>
      <c r="AB71" s="2082"/>
      <c r="AC71" s="2082"/>
      <c r="AD71" s="2080"/>
      <c r="AE71" s="2080"/>
      <c r="AF71" s="2083"/>
      <c r="AG71" s="2084"/>
      <c r="AH71" s="2080"/>
      <c r="AI71" s="2080"/>
      <c r="AJ71" s="2080"/>
      <c r="AK71" s="2080"/>
      <c r="AL71" s="2080"/>
      <c r="AM71" s="2080"/>
      <c r="AO71" s="1"/>
      <c r="AP71" s="1"/>
      <c r="AQ71" s="1"/>
      <c r="AR71" s="2080"/>
    </row>
    <row r="72" spans="1:48" ht="19.5" thickTop="1" thickBot="1" x14ac:dyDescent="0.4">
      <c r="C72" s="625" t="s">
        <v>550</v>
      </c>
      <c r="D72" s="1449" t="b">
        <v>0</v>
      </c>
      <c r="E72" s="548"/>
      <c r="F72" s="2080"/>
      <c r="G72" s="2080"/>
      <c r="H72" s="3208">
        <f>'BTL Calculator'!V5</f>
        <v>0</v>
      </c>
      <c r="I72" s="3209"/>
      <c r="J72" s="3209"/>
      <c r="K72" s="3210"/>
      <c r="L72" s="2600">
        <f>+'BTL Calculator'!X3</f>
        <v>0.75</v>
      </c>
      <c r="M72" s="2080"/>
      <c r="P72" s="2078"/>
      <c r="Q72" s="2078"/>
      <c r="R72" s="2078"/>
      <c r="S72" s="2078"/>
      <c r="Y72" s="2080"/>
      <c r="Z72" s="2087"/>
      <c r="AA72" s="2082"/>
      <c r="AB72" s="2082"/>
      <c r="AC72" s="2082"/>
      <c r="AD72" s="2080"/>
      <c r="AE72" s="2080"/>
      <c r="AF72" s="2083"/>
      <c r="AG72" s="2084"/>
      <c r="AH72" s="2080"/>
      <c r="AI72" s="2080"/>
      <c r="AJ72" s="2080"/>
      <c r="AK72" s="2080"/>
      <c r="AL72" s="2080"/>
      <c r="AM72" s="2080"/>
      <c r="AO72" s="3208" t="s">
        <v>551</v>
      </c>
      <c r="AP72" s="3209"/>
      <c r="AQ72" s="3210"/>
      <c r="AR72" s="2080"/>
    </row>
    <row r="73" spans="1:48" x14ac:dyDescent="0.35">
      <c r="C73" s="2092"/>
      <c r="D73" s="548"/>
      <c r="E73" s="548"/>
      <c r="F73" s="2080"/>
      <c r="G73" s="2080"/>
      <c r="H73" s="2080"/>
      <c r="I73" s="2080"/>
      <c r="L73" s="2081"/>
      <c r="M73" s="2080"/>
      <c r="P73" s="2081"/>
      <c r="Q73" s="2081"/>
      <c r="S73" s="2080"/>
      <c r="U73" s="2086">
        <f>'Product Data'!I3</f>
        <v>5.0000000000000001E-3</v>
      </c>
      <c r="Y73" s="2080"/>
      <c r="Z73" s="2087"/>
      <c r="AA73" s="2082"/>
      <c r="AB73" s="2082"/>
      <c r="AC73" s="2082"/>
      <c r="AD73" s="2080"/>
      <c r="AE73" s="2080"/>
      <c r="AF73" s="2083"/>
      <c r="AG73" s="2084"/>
      <c r="AH73" s="2080"/>
      <c r="AI73" s="2080"/>
      <c r="AJ73" s="2080"/>
      <c r="AK73" s="2080"/>
      <c r="AL73" s="2080"/>
      <c r="AM73" s="2080"/>
      <c r="AO73" s="2081"/>
      <c r="AP73" s="2081"/>
      <c r="AQ73" s="2081"/>
      <c r="AR73" s="2080"/>
    </row>
    <row r="74" spans="1:48" s="293" customFormat="1" ht="57" x14ac:dyDescent="0.25">
      <c r="C74" s="363"/>
      <c r="D74" s="2334" t="s">
        <v>552</v>
      </c>
      <c r="E74" s="2334" t="s">
        <v>512</v>
      </c>
      <c r="F74" s="2334" t="s">
        <v>453</v>
      </c>
      <c r="G74" s="2334" t="s">
        <v>454</v>
      </c>
      <c r="H74" s="2334" t="s">
        <v>454</v>
      </c>
      <c r="I74" s="2334" t="s">
        <v>553</v>
      </c>
      <c r="J74" s="2334" t="s">
        <v>411</v>
      </c>
      <c r="K74" s="2334" t="s">
        <v>554</v>
      </c>
      <c r="L74" s="2334" t="s">
        <v>555</v>
      </c>
      <c r="M74" s="2334" t="s">
        <v>556</v>
      </c>
      <c r="N74" s="2334" t="s">
        <v>557</v>
      </c>
      <c r="O74" s="2334" t="s">
        <v>558</v>
      </c>
      <c r="P74" s="2334" t="s">
        <v>559</v>
      </c>
      <c r="Q74" s="2334" t="s">
        <v>560</v>
      </c>
      <c r="R74" s="2334" t="s">
        <v>561</v>
      </c>
      <c r="S74" s="2089" t="s">
        <v>562</v>
      </c>
      <c r="T74" s="2089" t="s">
        <v>563</v>
      </c>
      <c r="U74" s="2089" t="str">
        <f>"Monthly Int £ @ pay rate if BBR goes up by "&amp;TEXT(U73,"#.#0%")</f>
        <v>Monthly Int £ @ pay rate if BBR goes up by .50%</v>
      </c>
      <c r="V74" s="2089" t="s">
        <v>564</v>
      </c>
      <c r="W74" s="2089" t="s">
        <v>474</v>
      </c>
      <c r="X74" s="2089" t="s">
        <v>565</v>
      </c>
      <c r="Y74" s="2089" t="s">
        <v>566</v>
      </c>
      <c r="Z74" s="2089" t="s">
        <v>567</v>
      </c>
      <c r="AA74" s="2089" t="s">
        <v>568</v>
      </c>
      <c r="AB74" s="2089" t="s">
        <v>569</v>
      </c>
      <c r="AC74" s="2089" t="s">
        <v>570</v>
      </c>
      <c r="AD74" s="2089" t="s">
        <v>571</v>
      </c>
      <c r="AE74" s="2089" t="s">
        <v>572</v>
      </c>
      <c r="AF74" s="2089" t="s">
        <v>573</v>
      </c>
      <c r="AG74" s="2089" t="s">
        <v>574</v>
      </c>
      <c r="AH74" s="2334" t="s">
        <v>503</v>
      </c>
      <c r="AI74" s="2334" t="s">
        <v>575</v>
      </c>
      <c r="AJ74" s="2334" t="s">
        <v>576</v>
      </c>
      <c r="AK74" s="2334" t="s">
        <v>577</v>
      </c>
      <c r="AL74" s="2089" t="s">
        <v>207</v>
      </c>
      <c r="AM74" s="2089" t="s">
        <v>578</v>
      </c>
      <c r="AN74" s="2089" t="s">
        <v>579</v>
      </c>
      <c r="AO74" s="2090" t="s">
        <v>580</v>
      </c>
      <c r="AP74" s="2090" t="s">
        <v>581</v>
      </c>
      <c r="AQ74" s="2090" t="s">
        <v>582</v>
      </c>
      <c r="AR74" s="2088" t="s">
        <v>583</v>
      </c>
      <c r="AS74" s="2091" t="s">
        <v>584</v>
      </c>
      <c r="AT74" s="2091" t="s">
        <v>585</v>
      </c>
      <c r="AU74" s="2091"/>
      <c r="AV74" s="2091"/>
    </row>
    <row r="75" spans="1:48" s="2079" customFormat="1" ht="18.75" thickBot="1" x14ac:dyDescent="0.4">
      <c r="A75" s="3218" t="s">
        <v>586</v>
      </c>
      <c r="C75" s="626"/>
      <c r="D75" s="627"/>
      <c r="E75" s="627"/>
      <c r="F75" s="627"/>
      <c r="G75" s="631"/>
      <c r="H75" s="627"/>
      <c r="I75" s="627"/>
      <c r="J75" s="568"/>
      <c r="K75" s="568"/>
      <c r="L75" s="628"/>
      <c r="M75" s="627"/>
      <c r="N75" s="568"/>
      <c r="O75" s="568"/>
      <c r="P75" s="568"/>
      <c r="Q75" s="628"/>
      <c r="R75" s="628"/>
      <c r="S75" s="568"/>
      <c r="T75" s="627"/>
      <c r="U75" s="627"/>
      <c r="V75" s="627"/>
      <c r="W75" s="627"/>
      <c r="X75" s="568"/>
      <c r="Y75" s="627"/>
      <c r="Z75" s="629"/>
      <c r="AA75" s="629"/>
      <c r="AB75" s="629"/>
      <c r="AC75" s="629"/>
      <c r="AD75" s="627"/>
      <c r="AE75" s="627"/>
      <c r="AF75" s="630"/>
      <c r="AG75" s="631"/>
      <c r="AH75" s="627"/>
      <c r="AI75" s="627"/>
      <c r="AJ75" s="627"/>
      <c r="AK75" s="627"/>
      <c r="AL75" s="627"/>
      <c r="AM75" s="627"/>
      <c r="AN75" s="568"/>
      <c r="AO75" s="2093"/>
      <c r="AP75" s="2093"/>
      <c r="AQ75" s="2093"/>
      <c r="AR75" s="2094"/>
    </row>
    <row r="76" spans="1:48" outlineLevel="1" x14ac:dyDescent="0.35">
      <c r="A76" s="3218"/>
      <c r="B76" s="308">
        <f>IF(AND('BTL Calculator'!$G$60=C85,F76='BTL Calculator'!$G$62,'BTL Calculator'!$V$2="Core"),1,IF(AND('BTL Calculator'!$G$60=C76,F76='BTL Calculator'!$G$62),1,0))</f>
        <v>0</v>
      </c>
      <c r="C76" s="1994" t="s">
        <v>108</v>
      </c>
      <c r="D76" s="1995">
        <v>1</v>
      </c>
      <c r="E76" s="1996">
        <f>VALUE(LEFT(F76,1))</f>
        <v>0</v>
      </c>
      <c r="F76" s="1997">
        <f>IF($H$70='Product Data'!$BT2,'Product Data'!$B9,IF($H$70='Product Data'!$BT5,'Product Data'!$B190,IF($H$70='Product Data'!BT3,'Product Data'!B34,IF(H70='Product Data'!BT4,'Product Data'!B47,0))))</f>
        <v>0</v>
      </c>
      <c r="G76" s="2330" t="b">
        <f>IF(AND($H$70='Product Data'!$BT$5,$H$72='Product Data'!$CA$5,L72=0.75),'Product Data'!C190,IF(AND($H$70='Product Data'!$BT$5,$H$72='Product Data'!$CA$5,L72=0.65),'Product Data'!C212,
  IF(AND($H$70='Product Data'!$BT$5,$H$72='Product Data'!$CA$4,L72=0.75),'Product Data'!G190,IF(AND($H$70='Product Data'!$BT$5,$H$72='Product Data'!$CA$4,L72=0.65),'Product Data'!G212,
  IF(AND($H$70='Product Data'!$BT$5,$H$72='Product Data'!$CA$3,L72=0.75),'Product Data'!K190,IF(AND($H$70='Product Data'!$BT$5,$H$72='Product Data'!$CA$3,L72=0.65),'Product Data'!K212,
  IF(AND($H$70='Product Data'!$BT$5,$H$72='Product Data'!$CA$2,L72=0.75),'Product Data'!O190,IF(AND($H$70='Product Data'!$BT$5,$H$72='Product Data'!$CA$2,L72=0.65),'Product Data'!O212,
IF(AND($H$70='Product Data'!$BT$4,$H$72='Product Data'!$CA$4),'Product Data'!C124,IF(AND($H$70='Product Data'!$BT$4,$H$72='Product Data'!$CA$3),'Product Data'!C111,IF(AND($H$70='Product Data'!$BT$4,$H$72='Product Data'!$CA$2),'Product Data'!C47,IF(AND($H$70='Product Data'!$BT$2,$H$72='Product Data'!$CA$4),'Product Data'!C85,IF(AND($H$70='Product Data'!$BT$2,$H$72='Product Data'!$CA$3),'Product Data'!C60,IF(AND($H$70='Product Data'!$BT$2,$H$72='Product Data'!$CA$2),'Product Data'!C9,IF(AND($H$70='Product Data'!$BT$3,$H$72='Product Data'!$CA$4),'Product Data'!C150,IF(AND($H$70='Product Data'!$BT$3,$H$72='Product Data'!$CA$3),'Product Data'!C137,IF(AND($H$70='Product Data'!$BT$3,$H$72='Product Data'!$CA$2),'Product Data'!C34,
IF(AND($H$70='Product Data'!$BT$2,$H$72='Product Data'!$CA$5),'Product Data'!C164))))))))))))))))))</f>
        <v>0</v>
      </c>
      <c r="H76" s="2016" t="b">
        <f>IF(AND(F76=Product_Selected,Rate_Override&lt;&gt;0, Rate_Override&lt;&gt;""),Rate_Override+G76,G76)</f>
        <v>0</v>
      </c>
      <c r="I76" s="2016">
        <f>IF(H70= "Retention ", IF('BTL Calculator'!$H$33&lt;&gt;"",1.5%-'BTL Calculator'!$H$33,1.5%),IF('BTL Calculator'!$H$33&lt;&gt;"",2%-'BTL Calculator'!$H$33,2%))</f>
        <v>0.02</v>
      </c>
      <c r="J76" s="632"/>
      <c r="K76" s="633"/>
      <c r="L76" s="2005">
        <f>IFERROR(H76-J76,"-")</f>
        <v>0</v>
      </c>
      <c r="M76" s="2006">
        <f xml:space="preserve">
IF(AND(H70="Retention ",L72=0.65),0.65,
IF(AND(H70="Retention ",L72=0.75),0.75,
IF(OR($H$70="Residential BTL",$H$70="Retention "),INDEX($O$36:$R$36,MATCH(D76,$O$38:$R$38,0)),70%)))</f>
        <v>0.7</v>
      </c>
      <c r="N76" s="2007">
        <f>MIN(M76*Property_Value,'Product Data'!$P$16)</f>
        <v>0</v>
      </c>
      <c r="O76" s="2714" t="b">
        <f>IF(AND(OR(OR($H$70="Residential BTL",$H$70="Retention "),$H$70="Retention "),Rate_Type="Fixed"),IFERROR(AO76/(IF(AND('BTL Calculator'!V2="Core",L76&lt;0.055),0.055,$L76)/12*(Term-$K76)*'Product Data'!$P$23),0),
IF(AND(Rate_Type="Tracker",OR(OR($H$70="Residential BTL",$H$70="Retention "),$H$70="Retention ")),IFERROR(AO76/(IF(AND('BTL Calculator'!V2="Core",L76-BBR+'Product Data'!K2&lt;0.055),0.055,$L76)/12*(Term-$K76)*'Product Data'!$P$17),0),
IF(AND($H$70="Semi-Commercial",Rate_Type="Tracker"),IFERROR(AP76/($L76/12*(Term-$K76)*'Product Data'!$P$17),0),
IF(AND($H$70="Semi-Commercial",Rate_Type="Fixed"),IFERROR(AP76/($L76/12*(Term-$K76)*'Product Data'!$P$23),0),
IF(AND($H$70="Commercial",Rate_Type="Tracker"),IFERROR(AP76/($L76/12*(Term-$K76)*'Product Data'!$P$17),0),
IF(AND($H$70="Commercial",Rate_Type="Fixed"),IFERROR(AP76/($L76/12*(Term-$K76)*'Product Data'!$P$23),0)))))))</f>
        <v>0</v>
      </c>
      <c r="P76" s="2007" t="str">
        <f>IF('BTL Calculator'!$H$28="Fixed","",IF(OR(OR($H$70="Residential BTL",$H$70="Retention "),$H$70="Retention "),AO76/((((IF(AND('BTL Calculator'!$V$2="Core",H76-'Product Data'!$E$3+'Product Data'!$K$2-J76&lt;0.055),0.055,H76-'Product Data'!$E$3+'Product Data'!$K$3-J76))/12*(Term-K76)))*'Product Data'!$P$18),AP76/(((((H76-'Product Data'!$E$3+'Product Data'!$K$2-J76))/12*(Term-K76)))*'Product Data'!$P$18)))</f>
        <v/>
      </c>
      <c r="Q76" s="634">
        <f>IF('BTL Calculator'!$H$28="Tracker",MIN(N76,P76),MIN(O76,N76))</f>
        <v>0</v>
      </c>
      <c r="R76" s="634">
        <f>ROUNDDOWN(Q76,-3)</f>
        <v>0</v>
      </c>
      <c r="S76" s="2037">
        <f>IFERROR((IF(RoundDown,R76,Q76)*J76/12*Term)+
(IF(RoundDown,R76,Q76)*L76/12*K76)+
(IF(RoundDown,R76,Q76)*L76/12*(Term-K76)),"-")</f>
        <v>0</v>
      </c>
      <c r="T76" s="2720">
        <f>IFERROR(((H76)*IF(RoundDown,R76,Q76)/12),"-")</f>
        <v>0</v>
      </c>
      <c r="U76" s="2037" t="str">
        <f>IF('BTL Calculator'!$H$28="Fixed","",(((L76+$U$73)*IF(RoundDown,R76,Q76)/12)))</f>
        <v/>
      </c>
      <c r="V76" s="2720">
        <f>IFERROR(((L76)*IF(RoundDown,R76,Q76)/12),"-")</f>
        <v>0</v>
      </c>
      <c r="W76" s="2038" t="str">
        <f>IF(OR($H$70="Residential BTL",$H$70="Retention "),IFERROR(AO76/Z76,"-"),IFERROR(AP76/Z76,"-"))</f>
        <v>-</v>
      </c>
      <c r="X76" s="2038" t="str">
        <f>IF('BTL Calculator'!$H$28="Fixed","",IF(OR($H$70="Residential BTL",$H$70="Retention "),IFERROR(AO76/AA76,"-"),IFERROR(AP76/AA76,"-")))</f>
        <v/>
      </c>
      <c r="Y76" s="2038" t="str">
        <f>TEXT(V76,"£0,0")&amp;" @ "&amp;TEXT(W76,"0%")&amp;" ICR"</f>
        <v>£00 @ - ICR</v>
      </c>
      <c r="Z76" s="2037">
        <f>(IF(RoundDown,R76,Q76)*L76)/12*(Term-K76)</f>
        <v>0</v>
      </c>
      <c r="AA76" s="2720" t="str">
        <f>IF('BTL Calculator'!$H$28="Fixed","",(IF(RoundDown,R76,Q76)*(IF(AND('BTL Calculator'!$V$2="Core",H76-BBR+'Product Data'!$K$2&lt;0.055),0.055,H76-'Product Data'!$E$3+'Product Data'!$K$2-J76)))/12*(Term-K76))</f>
        <v/>
      </c>
      <c r="AB76" s="2037">
        <f>IFERROR(Monthly_Rent*Term,"-")</f>
        <v>0</v>
      </c>
      <c r="AC76" s="2037">
        <f>IFERROR($U$22-V76,"-")</f>
        <v>0</v>
      </c>
      <c r="AD76" s="2037">
        <f t="shared" ref="AD76:AD90" si="13">((J76*IF(RoundDown,R76,Q76))/12)*Term</f>
        <v>0</v>
      </c>
      <c r="AE76" s="2037">
        <f>K76*IF(AND('BTL Calculator'!$V$2="Core",L76&lt;0.055),0.055,L76)/12*IF(RoundDown,R76,Q76)</f>
        <v>0</v>
      </c>
      <c r="AF76" s="2039">
        <f>SUM(AD76:AE76)</f>
        <v>0</v>
      </c>
      <c r="AG76" s="2040">
        <f>IF(RoundDown,R76,Q76)-AF76</f>
        <v>0</v>
      </c>
      <c r="AH76" s="2041">
        <f>IF(RoundDown,R76,Q76)*I76</f>
        <v>0</v>
      </c>
      <c r="AI76" s="2041"/>
      <c r="AJ76" s="2041"/>
      <c r="AK76" s="2041" t="str">
        <f>TEXT(I76,"0.00%")&amp;" ("&amp;TEXT(AH76,"£0,0")&amp;")"</f>
        <v>2.00% (£00)</v>
      </c>
      <c r="AL76" s="2042">
        <f>AG76-AH76</f>
        <v>0</v>
      </c>
      <c r="AM76" s="2043" t="e">
        <f>AL76/Property_Value</f>
        <v>#DIV/0!</v>
      </c>
      <c r="AN76" s="2043" t="e">
        <f>IF(RoundDown,R76,Q76)/Property_Value</f>
        <v>#DIV/0!</v>
      </c>
      <c r="AO76" s="635">
        <f>Rent_Over_Term+AQ76</f>
        <v>0</v>
      </c>
      <c r="AP76" s="635">
        <f>IF($H$72="3 Year Fixed",$X$22*36+AQ76, $X$22*24+AQ76)</f>
        <v>0</v>
      </c>
      <c r="AQ76" s="635">
        <f>'BTL Calculator'!$L$80*Term</f>
        <v>0</v>
      </c>
      <c r="AR76" s="636" t="b">
        <f>IF(ISERROR(FIND("Bespoke",F76,1)),FALSE,TRUE)</f>
        <v>0</v>
      </c>
      <c r="AS76" s="287">
        <f t="shared" ref="AS76:AS90" si="14">IFERROR(IF(AND(IF(RoundDown,R76,Q76)=MaxGrossLoan,E76&gt;=$F$36),1,0),"-")</f>
        <v>0</v>
      </c>
      <c r="AT76" s="287" t="str">
        <f t="shared" ref="AT76:AT90" si="15">IFERROR(IF(AND(AL76=MaxNetLoan,E76&gt;=$F$36),1,0),"-")</f>
        <v>-</v>
      </c>
      <c r="AU76" s="287">
        <f>SUM(AS76:AT76)</f>
        <v>0</v>
      </c>
      <c r="AV76" s="287" t="str">
        <f>IF(IF(Rate_Type="Tracker",X76,W76)&gt;'Product Data'!$P$19,"Y","N")</f>
        <v>Y</v>
      </c>
    </row>
    <row r="77" spans="1:48" outlineLevel="1" x14ac:dyDescent="0.35">
      <c r="A77" s="3218"/>
      <c r="B77" s="308">
        <f>IF(AND('BTL Calculator'!$G$60=C85,F77='BTL Calculator'!$G$62,'BTL Calculator'!$V$2="Core"),1,IF(AND('BTL Calculator'!$G$60=C76,F77='BTL Calculator'!$G$62),1,0))</f>
        <v>0</v>
      </c>
      <c r="C77" s="1998"/>
      <c r="D77" s="1999">
        <v>2</v>
      </c>
      <c r="E77" s="308">
        <f t="shared" ref="E77:E88" si="16">VALUE(LEFT(F77,1))</f>
        <v>0</v>
      </c>
      <c r="F77" s="2000">
        <f>IF($H$70='Product Data'!$BT5,'Product Data'!$B191,IF($H$70='Product Data'!$BT2,'Product Data'!$B10,IF($H$70='Product Data'!BT3,'Product Data'!B35,IF(H70='Product Data'!BT4,'Product Data'!B48,0))))</f>
        <v>0</v>
      </c>
      <c r="G77" s="2331" t="b">
        <f>IF(AND($H$70='Product Data'!$BT$5,$H$72='Product Data'!$CA$5,L72=0.75),'Product Data'!C191,IF(AND($H$70='Product Data'!$BT$5,$H$72='Product Data'!$CA$5,L72=0.65),'Product Data'!C213,
  IF(AND($H$70='Product Data'!$BT$5,$H$72='Product Data'!$CA$4,L72=0.75),'Product Data'!G191,IF(AND($H$70='Product Data'!$BT$5,$H$72='Product Data'!$CA$4,L72=0.65),'Product Data'!G213,
  IF(AND($H$70='Product Data'!$BT$5,$H$72='Product Data'!$CA$3,L72=0.75),'Product Data'!K191,IF(AND($H$70='Product Data'!$BT$5,$H$72='Product Data'!$CA$3,L72=0.65),'Product Data'!K213,
  IF(AND($H$70='Product Data'!$BT$5,$H$72='Product Data'!$CA$2,L72=0.75),'Product Data'!O191,IF(AND($H$70='Product Data'!$BT$5,$H$72='Product Data'!$CA$2,L72=0.65),'Product Data'!O213,
IF(AND($H$70='Product Data'!$BT$4,$H$72='Product Data'!$CA$4),'Product Data'!C125,IF(AND($H$70='Product Data'!$BT$4,$H$72='Product Data'!$CA$3),'Product Data'!C112,IF(AND($H$70='Product Data'!$BT$4,$H$72='Product Data'!$CA$2),'Product Data'!C48,IF(AND($H$70='Product Data'!$BT$2,$H$72='Product Data'!$CA$4),'Product Data'!C86,IF(AND($H$70='Product Data'!$BT$2,$H$72='Product Data'!$CA$3),'Product Data'!C61,IF(AND($H$70='Product Data'!$BT$2,$H$72='Product Data'!$CA$2),'Product Data'!C10,IF(AND($H$70='Product Data'!$BT$3,$H$72='Product Data'!$CA$4),'Product Data'!C151,IF(AND($H$70='Product Data'!$BT$3,$H$72='Product Data'!$CA$3),'Product Data'!C138,IF(AND($H$70='Product Data'!$BT$3,$H$72='Product Data'!$CA$2),'Product Data'!C35,IF(AND($H$70='Product Data'!$BT$2,$H$72='Product Data'!$CA$5),'Product Data'!C165))))))))))))))))))</f>
        <v>0</v>
      </c>
      <c r="H77" s="2537" t="b">
        <f>IF(AND(F77=Product_Selected,Rate_Override&lt;&gt;0, Rate_Override&lt;&gt;""),Rate_Override+G77,G77)</f>
        <v>0</v>
      </c>
      <c r="I77" s="2017">
        <f>IF(H70= "Retention ", IF('BTL Calculator'!$H$33&lt;&gt;"",1.5%-'BTL Calculator'!$H$33,1.5%),IF('BTL Calculator'!$H$33&lt;&gt;"",2%-'BTL Calculator'!$H$33,2%))</f>
        <v>0.02</v>
      </c>
      <c r="J77" s="637"/>
      <c r="K77" s="638"/>
      <c r="L77" s="2008">
        <f>H77-J77</f>
        <v>0</v>
      </c>
      <c r="M77" s="2009">
        <f xml:space="preserve">
IF(AND(H70="Retention ",L72=0.65),0.65,
IF(AND(H70="Retention ",L72=0.75),0.75,
IF(OR($H$70="Residential BTL",$H$70="Retention "),INDEX($O$36:$R$36,MATCH(D77,$O$38:$R$38,0)),70%)))</f>
        <v>0.7</v>
      </c>
      <c r="N77" s="2010">
        <f>MIN(M77*Property_Value,'Product Data'!$P$16)</f>
        <v>0</v>
      </c>
      <c r="O77" s="2715" t="b">
        <f>IF(AND(OR(OR($H$70="Residential BTL",$H$70="Retention "),$H$70="Retention "),Rate_Type="Fixed"),IFERROR(AO77/(IF(AND('BTL Calculator'!V2="Core",L77&lt;0.055),0.055,$L77)/12*(Term-$K77)*'Product Data'!$P$23),0),
IF(AND(Rate_Type="Tracker",OR(OR($H$70="Residential BTL",$H$70="Retention "),$H$70="Retention ")),IFERROR(AO77/(IF(AND('BTL Calculator'!V2="Core",L77-BBR+'Product Data'!K2&lt;0.055),0.055,$L77)/12*(Term-$K77)*'Product Data'!$P$17),0),
IF(AND($H$70="Semi-Commercial",Rate_Type="Tracker"),IFERROR(AP77/($L77/12*(Term-$K77)*'Product Data'!$P$17),0),
IF(AND($H$70="Semi-Commercial",Rate_Type="Fixed"),IFERROR(AP77/($L77/12*(Term-$K77)*'Product Data'!$P$23),0),
IF(AND($H$70="Commercial",Rate_Type="Tracker"),IFERROR(AP77/($L77/12*(Term-$K77)*'Product Data'!$P$17),0),
IF(AND($H$70="Commercial",Rate_Type="Fixed"),IFERROR(AP77/($L77/12*(Term-$K77)*'Product Data'!$P$23),0)))))))</f>
        <v>0</v>
      </c>
      <c r="P77" s="2010" t="str">
        <f>IF('BTL Calculator'!$H$28="Fixed","",IF(OR(OR($H$70="Residential BTL",$H$70="Retention "),$H$70="Retention "),AO77/((((IF(AND('BTL Calculator'!$V$2="Core",H77-'Product Data'!$E$3+'Product Data'!$K$2-J77&lt;0.055),0.055,H77-'Product Data'!$E$3+'Product Data'!$K$2-J77))/12*(Term-K77)))*'Product Data'!$P$18),AP77/(((((H77-'Product Data'!$E$3+'Product Data'!$K$2-J77))/12*(Term-K77)))*'Product Data'!$P$18)))</f>
        <v/>
      </c>
      <c r="Q77" s="639">
        <f>IF('BTL Calculator'!$H$28="Tracker",MIN(N77,P77),MIN(O77,N77))</f>
        <v>0</v>
      </c>
      <c r="R77" s="639">
        <f>ROUNDDOWN(Q77,-3)</f>
        <v>0</v>
      </c>
      <c r="S77" s="2044">
        <f>IFERROR((IF(RoundDown,R77,Q77)*J77/12*Term)+
(IF(RoundDown,R77,Q77)*L77/12*K77)+
(IF(RoundDown,R77,Q77)*L77/12*(Term-K77)),"-")</f>
        <v>0</v>
      </c>
      <c r="T77" s="2721">
        <f>IFERROR(((H77)*IF(RoundDown,R77,Q77)/12),"-")</f>
        <v>0</v>
      </c>
      <c r="U77" s="2044" t="str">
        <f>IF('BTL Calculator'!$H$28="Fixed","",(((L77+$U$73)*IF(RoundDown,R77,Q77)/12)))</f>
        <v/>
      </c>
      <c r="V77" s="2721">
        <f>IFERROR(((L77)*IF(RoundDown,R77,Q77)/12),"-")</f>
        <v>0</v>
      </c>
      <c r="W77" s="2045" t="str">
        <f>IF(OR($H$70="Residential BTL",$H$70="Retention "),IFERROR(AO77/Z77,"-"),IFERROR(AP77/Z77,"-"))</f>
        <v>-</v>
      </c>
      <c r="X77" s="2045" t="str">
        <f>IF('BTL Calculator'!$H$28="Fixed","",IF(OR($H$70="Residential BTL",$H$70="Retention "),IFERROR(AO77/AA77,"-"),IFERROR(AP77/AA77,"-")))</f>
        <v/>
      </c>
      <c r="Y77" s="2045" t="str">
        <f t="shared" ref="Y77:Y90" si="17">TEXT(V77,"£0,0")&amp;" @ "&amp;TEXT(W77,"0%")&amp;" ICR"</f>
        <v>£00 @ - ICR</v>
      </c>
      <c r="Z77" s="2044">
        <f>(IF(RoundDown,R77,Q77)*L77)/12*(Term-K77)</f>
        <v>0</v>
      </c>
      <c r="AA77" s="2721" t="str">
        <f>IF('BTL Calculator'!$H$28="Fixed","",(IF(RoundDown,R77,Q77)*(IF(AND('BTL Calculator'!$V$2="Core",H77-BBR+'Product Data'!$K$2&lt;0.055),0.055,H77-'Product Data'!$E$3+'Product Data'!$K$2-J77)))/12*(Term-K77))</f>
        <v/>
      </c>
      <c r="AB77" s="2044">
        <f t="shared" ref="AB77:AB90" si="18">IFERROR(Monthly_Rent*Term,"-")</f>
        <v>0</v>
      </c>
      <c r="AC77" s="2044">
        <f t="shared" ref="AC77:AC89" si="19">IFERROR($U$22-V77,"-")</f>
        <v>0</v>
      </c>
      <c r="AD77" s="2044">
        <f t="shared" si="13"/>
        <v>0</v>
      </c>
      <c r="AE77" s="2721">
        <f>K77*IF(AND('BTL Calculator'!$V$2="Core",L77&lt;0.055),0.055,L77)/12*IF(RoundDown,R77,Q77)</f>
        <v>0</v>
      </c>
      <c r="AF77" s="2046">
        <f t="shared" ref="AF77:AF88" si="20">SUM(AD77:AE77)</f>
        <v>0</v>
      </c>
      <c r="AG77" s="2047">
        <f t="shared" ref="AG77:AG86" si="21">IF(RoundDown,R77,Q77)-AF77</f>
        <v>0</v>
      </c>
      <c r="AH77" s="2048">
        <f t="shared" ref="AH77:AH89" si="22">IF(RoundDown,R77,Q77)*I77</f>
        <v>0</v>
      </c>
      <c r="AI77" s="2048"/>
      <c r="AJ77" s="2048"/>
      <c r="AK77" s="2048" t="str">
        <f t="shared" ref="AK77:AK89" si="23">TEXT(I77,"0.00%")&amp;" ("&amp;TEXT(AH77,"£0,0")&amp;")"</f>
        <v>2.00% (£00)</v>
      </c>
      <c r="AL77" s="2049">
        <f>AG77-AH77</f>
        <v>0</v>
      </c>
      <c r="AM77" s="2050" t="e">
        <f t="shared" ref="AM77:AM90" si="24">AL77/Property_Value</f>
        <v>#DIV/0!</v>
      </c>
      <c r="AN77" s="2050" t="e">
        <f t="shared" ref="AN77:AN89" si="25">IF(RoundDown,R77,Q77)/Property_Value</f>
        <v>#DIV/0!</v>
      </c>
      <c r="AO77" s="640">
        <f>Rent_Over_Term+AQ77</f>
        <v>0</v>
      </c>
      <c r="AP77" s="640">
        <f>IF($H$72="3 Year Fixed",$X$22*36+AQ77, $X$22*24+AQ77)</f>
        <v>0</v>
      </c>
      <c r="AQ77" s="640">
        <f>'BTL Calculator'!$L$80*Term</f>
        <v>0</v>
      </c>
      <c r="AR77" s="641" t="b">
        <f t="shared" ref="AR77:AR86" si="26">IF(ISERROR(FIND("Bespoke",F77,1)),FALSE,TRUE)</f>
        <v>0</v>
      </c>
      <c r="AS77" s="287">
        <f t="shared" si="14"/>
        <v>0</v>
      </c>
      <c r="AT77" s="287" t="str">
        <f t="shared" si="15"/>
        <v>-</v>
      </c>
      <c r="AU77" s="287">
        <f t="shared" ref="AU77:AU90" si="27">SUM(AS77:AT77)</f>
        <v>0</v>
      </c>
      <c r="AV77" s="287" t="str">
        <f>IF(IF(Rate_Type="Tracker",X77,W77)&gt;'Product Data'!$P$19,"Y","N")</f>
        <v>Y</v>
      </c>
    </row>
    <row r="78" spans="1:48" ht="18.75" outlineLevel="1" thickBot="1" x14ac:dyDescent="0.4">
      <c r="A78" s="3218"/>
      <c r="B78" s="308" t="str">
        <f>IF(OR(OR($H$70="Residential BTL",$H$70="Retention "),$H$70="Retention "),IF(AND('BTL Calculator'!$G$60=C76,F78='BTL Calculator'!$G$62),1,0),"")</f>
        <v/>
      </c>
      <c r="C78" s="1998"/>
      <c r="D78" s="1999" t="str">
        <f>IF(OR(OR($H$70="Residential BTL",$H$70="Retention "),$H$70="Retention "),3,"")</f>
        <v/>
      </c>
      <c r="E78" s="308" t="str">
        <f>IF(OR(OR($H$70="Residential BTL",$H$70="Retention "),$H$70="Retention "),VALUE(LEFT(F78,1)),"")</f>
        <v/>
      </c>
      <c r="F78" s="2000" t="str">
        <f>IF(OR(OR($H$70="Residential BTL",$H$70="Retention "),$H$70="Retention "),"3) Specialist BTL","")</f>
        <v/>
      </c>
      <c r="G78" s="2331" t="str">
        <f>IF(AND($H$70='Product Data'!$BT$5,$H$72='Product Data'!$CA$5,L72=0.75),'Product Data'!C192,IF(AND($H$70='Product Data'!$BT$5,$H$72='Product Data'!$CA$5,L72=0.65),'Product Data'!C214,
IF(AND($H$70='Product Data'!$BT$5,$H$72='Product Data'!$CA$4,L72=0.75),'Product Data'!G192,IF(AND($H$70='Product Data'!$BT$5,$H$72='Product Data'!$CA$4,L72=0.65),'Product Data'!G214,
IF(AND($H$70='Product Data'!$BT$5,$H$72='Product Data'!$CA$3,L72=0.75),'Product Data'!K192,IF(AND($H$70='Product Data'!$BT$5,$H$72='Product Data'!$CA$3,L72=0.65),'Product Data'!K214,
IF(AND($H$70='Product Data'!$BT$5,$H$72='Product Data'!$CA$2,L72=0.75),'Product Data'!O192,IF(AND($H$70='Product Data'!$BT$5,$H$72='Product Data'!$CA$2,L72=0.65),'Product Data'!O214,
IF(H70="Residential BTL",IF(H72='Product Data'!CA2,'Product Data'!C11,IF(H72='Product Data'!CA3,'Product Data'!C62,IF(H72='Product Data'!CA4,'Product Data'!C87,IF(H72='Product Data'!CA5,'Product Data'!C166)))),"")))))))))</f>
        <v/>
      </c>
      <c r="H78" s="2537" t="str">
        <f>IF(AND(F78=Product_Selected,Rate_Override&lt;&gt;0, Rate_Override&lt;&gt;""),Rate_Override+G78,G78)</f>
        <v/>
      </c>
      <c r="I78" s="2017">
        <f>IF(H70= "Retention ", IF('BTL Calculator'!$H$33&lt;&gt;"",1.5%-'BTL Calculator'!$H$33,1.5%),IF('BTL Calculator'!$H$33&lt;&gt;"",2%-'BTL Calculator'!$H$33,2%))</f>
        <v>0.02</v>
      </c>
      <c r="J78" s="637"/>
      <c r="K78" s="638"/>
      <c r="L78" s="2008" t="str">
        <f>IF('BTL Calculator'!V2 = "Core","",(IF(OR(OR($H$70="Residential BTL",$H$70="Retention "),$H$70="Retention "),H78-J78,"")))</f>
        <v/>
      </c>
      <c r="M78" s="2009" t="str">
        <f xml:space="preserve">
IF(AND(H70="Retention ",L72=0.65),0.65,
IF(AND(H70="Retention ",L72=0.75),0.75,
IF(OR($H$70="Residential BTL",$H$70="Retention "),INDEX($O$36:$R$36,MATCH(D78,$O$38:$R$38,0)),"")))</f>
        <v/>
      </c>
      <c r="N78" s="2010" t="str">
        <f>IF(OR(OR($H$70="Residential BTL",$H$70="Retention "),$H$70="Retention "),MIN(M78*Property_Value,'Product Data'!$P$16),"")</f>
        <v/>
      </c>
      <c r="O78" s="2010" t="b">
        <f>IF(AND(OR(OR($H$70="Residential BTL",$H$70="Retention "),$H$70="Retention "),Rate_Type="Fixed"),IFERROR(AO78/($L78/12*(Term-$K78)*'Product Data'!$P$23),0),IF(AND(Rate_Type="Tracker",OR(OR($H$70="Residential BTL",$H$70="Retention "),$H$70="Retention ")),IFERROR(AO78/($L78/12*(Term-$K78)*'Product Data'!$P$17),0),IF(AND($H$70="Semi-Commercial",Rate_Type="Tracker"),IFERROR(AP78/($L78/12*(Term-$K78)*'Product Data'!$P$17),0),IF(AND($H$70="Semi-Commercial",Rate_Type="Fixed"),IFERROR(AP78/($L78/12*(Term-$K78)*'Product Data'!$P$23),0),IF(AND($H$70="Commercial",Rate_Type="Tracker"),IFERROR(AP78/($L78/12*(Term-$K78)*'Product Data'!$P$17),0),IF(AND($H$70="Commercial",Rate_Type="Fixed"),IFERROR(AP78/($L78/12*(Term-$K78)*'Product Data'!$P$23),0)))))))</f>
        <v>0</v>
      </c>
      <c r="P78" s="2010" t="str">
        <f>IF('BTL Calculator'!$H$28="Fixed","",IF(OR(OR($H$70="Residential BTL",$H$70="Retention "),$H$70="Retention "),AO78/((((IF(AND('BTL Calculator'!$V$2="Core",H78-'Product Data'!$E$3+'Product Data'!$K$2-J78&lt;0.055),0.055,H78-'Product Data'!$E$3+'Product Data'!$K$2-J78))/12*(Term-K78)))*'Product Data'!$P$18),AP78/(((((H78-'Product Data'!$E$3+'Product Data'!$K$2-J78))/12*(Term-K78)))*'Product Data'!$P$18)))</f>
        <v/>
      </c>
      <c r="Q78" s="639" t="str">
        <f>IF(OR($H$70="Residential BTL",$H$70="Retention "),IF('BTL Calculator'!$H$28="Tracker",MIN(N78,P78),MIN(O78,N78)),"")</f>
        <v/>
      </c>
      <c r="R78" s="639" t="str">
        <f>IF(OR($H$70="Residential BTL",$H$70="Retention "),ROUNDDOWN(Q78,-3),"")</f>
        <v/>
      </c>
      <c r="S78" s="2044" t="str">
        <f t="shared" ref="S78:S87" si="28">IFERROR((IF(RoundDown,R78,Q78)*J78/12*Term)+
(IF(RoundDown,R78,Q78)*L78/12*K78)+
(IF(RoundDown,R78,Q78)*L78/12*(Term-K78)),"-")</f>
        <v>-</v>
      </c>
      <c r="T78" s="2044" t="str">
        <f>IF('BTL Calculator'!$V$2="Core","",IF(OR($H$70="Residential BTL",$H$70="Retention "),((H78*IF(RoundDown,R78,Q78)/12)),""))</f>
        <v/>
      </c>
      <c r="U78" s="2044" t="str">
        <f>IF('BTL Calculator'!$H$28="Fixed","",(((L78+$U$73)*IF(RoundDown,R78,Q78)/12)))</f>
        <v/>
      </c>
      <c r="V78" s="2044" t="str">
        <f>IF('BTL Calculator'!$V$2="Core","",IF(OR($H$70="Residential BTL",$H$70="Retention "),((L78*IF(RoundDown,R78,Q78)/12)),""))</f>
        <v/>
      </c>
      <c r="W78" s="2045" t="str">
        <f>IF(OR($H$70="Residential BTL",$H$70="Retention "),IFERROR(AO78/Z78,"-"),"")</f>
        <v/>
      </c>
      <c r="X78" s="2045" t="str">
        <f>IF('BTL Calculator'!$H$28="Fixed","",IF(OR($H$70="Residential BTL",$H$70="Retention "),IFERROR(AO78/AA78,"-"),IFERROR(AP78/AA78,"-")))</f>
        <v/>
      </c>
      <c r="Y78" s="2045" t="str">
        <f>IF('BTL Calculator'!V2="Core","",IF(OR($H$70="Residential BTL",$H$70="Retention "),TEXT(V78,"£0,0")&amp;" @ "&amp;TEXT(W78,"0%")&amp;" ICR",""))</f>
        <v/>
      </c>
      <c r="Z78" s="2044" t="str">
        <f>IF('BTL Calculator'!$V$2="Core","",IF(OR($H$70="Residential BTL",$H$70="Retention "),(IF(RoundDown,R78,Q78)*L78)/12*(Term-K78),""))</f>
        <v/>
      </c>
      <c r="AA78" s="2044" t="str">
        <f>IF('BTL Calculator'!$H$28="Fixed","",(IF(RoundDown,R78,Q78)*(H78-'Product Data'!$E$3+'Product Data'!$K$2-J78))/12*(Term-K78))</f>
        <v/>
      </c>
      <c r="AB78" s="2044" t="str">
        <f>IF(OR($H$70="Residential BTL",$H$70="Retention "),IFERROR(Monthly_Rent*Term,"-"),"")</f>
        <v/>
      </c>
      <c r="AC78" s="2044" t="str">
        <f>IF(OR($H$70="Residential BTL",$H$70="Retention "),IFERROR($U$22-V78,"-"),"")</f>
        <v/>
      </c>
      <c r="AD78" s="2044" t="e">
        <f>((J78*IF(RoundDown,R78,Q78))/12)*Term</f>
        <v>#VALUE!</v>
      </c>
      <c r="AE78" s="2044" t="e">
        <f>IF('BTL Calculator'!$V$2="Core","",K78*L78/12*IF(RoundDown,R78,Q78))</f>
        <v>#VALUE!</v>
      </c>
      <c r="AF78" s="2046" t="str">
        <f>IF(OR($H$70="Residential BTL",$H$70="Retention "),SUM(AD78:AE78),"")</f>
        <v/>
      </c>
      <c r="AG78" s="2047" t="str">
        <f>IF(OR($H$70="Residential BTL",$H$70="Retention "),IF(RoundDown,R78,Q78)-AF78,"")</f>
        <v/>
      </c>
      <c r="AH78" s="2048" t="str">
        <f>IF(OR($H$70="Residential BTL",$H$70="Retention "),IF(RoundDown,R78,Q78)*I78,"")</f>
        <v/>
      </c>
      <c r="AI78" s="2048"/>
      <c r="AJ78" s="2048"/>
      <c r="AK78" s="2048" t="str">
        <f>IF(OR($H$70="Residential BTL",$H$70="Retention "),TEXT(I78,"0.00%")&amp;" ("&amp;TEXT(AH78,"£0,0")&amp;")","")</f>
        <v/>
      </c>
      <c r="AL78" s="2049" t="str">
        <f>IF(OR($H$70="Residential BTL",$H$70="Retention "),AG78-AH78,"")</f>
        <v/>
      </c>
      <c r="AM78" s="2050" t="str">
        <f>IF(OR($H$70="Residential BTL",$H$70="Retention "),AL78/Property_Value,"")</f>
        <v/>
      </c>
      <c r="AN78" s="2050" t="str">
        <f>IF(OR($H$70="Residential BTL",$H$70="Retention "),IF(RoundDown,R78,Q78)/Property_Value,"")</f>
        <v/>
      </c>
      <c r="AO78" s="640" t="str">
        <f>IF(OR($H$70="Residential BTL",$H$70="Retention "),Rent_Over_Term+AQ78,"")</f>
        <v/>
      </c>
      <c r="AP78" s="640"/>
      <c r="AQ78" s="640" t="str">
        <f>IF(OR($H$70="Residential BTL",$H$70="Retention "),'BTL Calculator'!$L$80*Term,"")</f>
        <v/>
      </c>
      <c r="AR78" s="641" t="str">
        <f>IF(OR($H$70="Residential BTL",$H$70="Retention "),IF(ISERROR(FIND("Bespoke",F78,1)),FALSE,TRUE),"")</f>
        <v/>
      </c>
      <c r="AS78" s="287" t="str">
        <f>IF(OR($H$70="Residential BTL",$H$70="Retention "),IFERROR(IF(AND(IF(RoundDown,R78,Q78)=MaxGrossLoan,E78&gt;=$F$36),1,0),"-"),"")</f>
        <v/>
      </c>
      <c r="AT78" s="287" t="str">
        <f>IF(OR($H$70="Residential BTL",$H$70="Retention "),IFERROR(IF(AND(AL78=MaxNetLoan,E78&gt;=$F$36),1,0),"-"),"")</f>
        <v/>
      </c>
      <c r="AU78" s="287" t="str">
        <f>IF(OR($H$70="Residential BTL",$H$70="Retention "),SUM(AS78:AT78),"")</f>
        <v/>
      </c>
      <c r="AV78" s="287" t="str">
        <f>IF(OR($H$70="Residential BTL",$H$70="Retention "),IF(IF(Rate_Type="Tracker",X78,W78)&gt;'Product Data'!$P$19,"Y","N"),"")</f>
        <v/>
      </c>
    </row>
    <row r="79" spans="1:48" outlineLevel="1" x14ac:dyDescent="0.35">
      <c r="A79" s="3218"/>
      <c r="B79" s="308">
        <f>IF(AND('BTL Calculator'!$G$60=C79,F79='BTL Calculator'!$G$62),1,0)</f>
        <v>0</v>
      </c>
      <c r="C79" s="1994" t="s">
        <v>587</v>
      </c>
      <c r="D79" s="1995">
        <v>5</v>
      </c>
      <c r="E79" s="1996">
        <f t="shared" si="16"/>
        <v>0</v>
      </c>
      <c r="F79" s="1997">
        <f>IF($H$70='Product Data'!$BT5,'Product Data'!$B190,IF($H$70='Product Data'!$BT2,'Product Data'!$B9,IF($H$70='Product Data'!BT3,'Product Data'!B34,IF(H70='Product Data'!BT4,'Product Data'!B47,0))))</f>
        <v>0</v>
      </c>
      <c r="G79" s="2031"/>
      <c r="H79" s="2005" t="b">
        <f t="shared" ref="H79:I84" si="29">H76</f>
        <v>0</v>
      </c>
      <c r="I79" s="2016">
        <f t="shared" si="29"/>
        <v>0.02</v>
      </c>
      <c r="J79" s="2332">
        <f>IF(AND(H70="Retention ",H72="Tracker"),2%,IF(AND($H$70='Product Data'!$BT$2,$H$72='Product Data'!$CA$2),2%,IF(AND($H$70='Product Data'!$BT$3,$H$72='Product Data'!$CA$2),1.5%,IF(AND($H$70='Product Data'!$BT$4,$H$72='Product Data'!$CA$2),1.5%,IF(AND($H$70='Product Data'!$BT$2,$H$72='Product Data'!$CA$5),0.75%,1.25%)))))</f>
        <v>1.2500000000000001E-2</v>
      </c>
      <c r="K79" s="645">
        <f>IF(OR(OR($H$70="Residential BTL",$H$70="Retention "),$H$70="Retention "),IF(Term&lt;36,'Product Data'!$P$11,'Product Data'!$P$13),6)</f>
        <v>6</v>
      </c>
      <c r="L79" s="2005">
        <f>IFERROR(H79-J79,"-")</f>
        <v>-1.2500000000000001E-2</v>
      </c>
      <c r="M79" s="2006">
        <f t="shared" ref="M79:M84" si="30">M76</f>
        <v>0.7</v>
      </c>
      <c r="N79" s="2007">
        <f>MIN(M79*Property_Value,'Product Data'!$P$16)</f>
        <v>0</v>
      </c>
      <c r="O79" s="2007" t="b">
        <f>IF(AND(OR(OR($H$70="Residential BTL",$H$70="Retention "),$H$70="Retention "),Rate_Type="Fixed"),IFERROR(AO79/($L79/12*(Term-$K79)*'Product Data'!$P$23),0),IF(AND(Rate_Type="Tracker",OR(OR($H$70="Residential BTL",$H$70="Retention "),$H$70="Retention ")),IFERROR(AO79/($L79/12*(Term-$K79)*'Product Data'!$P$17),0),IF(AND($H$70="Semi-Commercial",Rate_Type="Tracker"),IFERROR(AP79/($L79/12*(Term-$K79)*'Product Data'!$P$17),0),IF(AND($H$70="Semi-Commercial",Rate_Type="Fixed"),IFERROR(AP79/($L79/12*(Term-$K79)*'Product Data'!$P$23),0),IF(AND($H$70="Commercial",Rate_Type="Tracker"),IFERROR(AP79/($L79/12*(Term-$K79)*'Product Data'!$P$17),0),IF(AND($H$70="Commercial",Rate_Type="Fixed"),IFERROR(AP79/($L79/12*(Term-$K79)*'Product Data'!$P$23),0)))))))</f>
        <v>0</v>
      </c>
      <c r="P79" s="2007" t="str">
        <f>IF('BTL Calculator'!$H$28="Fixed","",IF(OR(OR($H$70="Residential BTL",$H$70="Retention "),$H$70="Retention "),AO79/((((H79-'Product Data'!$E$3+'Product Data'!$K$2-J79)/12*(Term-K79)))*'Product Data'!$P$18),AP79/(((((H79-'Product Data'!$E$3+'Product Data'!$K$2-J79)/12*(Term-K79)))*'Product Data'!$P$18))))</f>
        <v/>
      </c>
      <c r="Q79" s="634">
        <f>IF('BTL Calculator'!$H$28="Tracker",MIN(N79,P79),MIN(O79,N79))</f>
        <v>0</v>
      </c>
      <c r="R79" s="634">
        <f>ROUNDDOWN(Q79,-3)</f>
        <v>0</v>
      </c>
      <c r="S79" s="2037">
        <f t="shared" si="28"/>
        <v>0</v>
      </c>
      <c r="T79" s="2037">
        <f>IFERROR(((H79*IF(RoundDown,R79,Q79)/12)),"-")</f>
        <v>0</v>
      </c>
      <c r="U79" s="2037" t="str">
        <f>IF('BTL Calculator'!$H$28="Fixed","",(((L79+$U$73)*IF(RoundDown,R79,Q79)/12)))</f>
        <v/>
      </c>
      <c r="V79" s="2037">
        <f>IFERROR(((L79*IF(RoundDown,R79,Q79)/12)),"-")</f>
        <v>0</v>
      </c>
      <c r="W79" s="2038" t="str">
        <f>IF(OR($H$70="Residential BTL",$H$70="Retention "),IFERROR(AO79/Z79,"-"),IFERROR(AP79/Z79,"-"))</f>
        <v>-</v>
      </c>
      <c r="X79" s="2038" t="str">
        <f>IF('BTL Calculator'!$H$28="Fixed","",IF(OR($H$70="Residential BTL",$H$70="Retention "),IFERROR(AO79/AA79,"-"),IFERROR(AP79/AA79,"-")))</f>
        <v/>
      </c>
      <c r="Y79" s="2038" t="str">
        <f t="shared" si="17"/>
        <v>£00 @ - ICR</v>
      </c>
      <c r="Z79" s="2037">
        <f>(IF(RoundDown,R79,Q79)*L79)/12*(Term-K79)</f>
        <v>0</v>
      </c>
      <c r="AA79" s="2037" t="str">
        <f>IF('BTL Calculator'!$H$28="Fixed","",(IF(RoundDown,R79,Q79)*(H79-'Product Data'!$E$3+'Product Data'!$K$2-J79))/12*(Term-K79))</f>
        <v/>
      </c>
      <c r="AB79" s="2037">
        <f t="shared" si="18"/>
        <v>0</v>
      </c>
      <c r="AC79" s="2037">
        <f t="shared" si="19"/>
        <v>0</v>
      </c>
      <c r="AD79" s="2037">
        <f t="shared" si="13"/>
        <v>0</v>
      </c>
      <c r="AE79" s="2037">
        <f>K79*L79/12*IF(RoundDown,R79,Q79)</f>
        <v>0</v>
      </c>
      <c r="AF79" s="2039">
        <f t="shared" si="20"/>
        <v>0</v>
      </c>
      <c r="AG79" s="2040">
        <f t="shared" si="21"/>
        <v>0</v>
      </c>
      <c r="AH79" s="2041">
        <f t="shared" si="22"/>
        <v>0</v>
      </c>
      <c r="AI79" s="2041"/>
      <c r="AJ79" s="2041"/>
      <c r="AK79" s="2041" t="str">
        <f t="shared" si="23"/>
        <v>2.00% (£00)</v>
      </c>
      <c r="AL79" s="2042">
        <f>AG79-AH79</f>
        <v>0</v>
      </c>
      <c r="AM79" s="2043" t="e">
        <f t="shared" si="24"/>
        <v>#DIV/0!</v>
      </c>
      <c r="AN79" s="2043" t="e">
        <f t="shared" si="25"/>
        <v>#DIV/0!</v>
      </c>
      <c r="AO79" s="646">
        <f>Rent_Over_Term+AQ79</f>
        <v>0</v>
      </c>
      <c r="AP79" s="646">
        <f t="shared" ref="AP79:AP80" si="31">IF($H$72="3 Year Fixed",$X$22*36+AQ79, $X$22*24+AQ79)</f>
        <v>0</v>
      </c>
      <c r="AQ79" s="646">
        <f>'BTL Calculator'!$L$80*Term</f>
        <v>0</v>
      </c>
      <c r="AR79" s="647" t="b">
        <f t="shared" si="26"/>
        <v>0</v>
      </c>
      <c r="AS79" s="287">
        <f t="shared" si="14"/>
        <v>0</v>
      </c>
      <c r="AT79" s="287" t="str">
        <f t="shared" si="15"/>
        <v>-</v>
      </c>
      <c r="AU79" s="287">
        <f t="shared" si="27"/>
        <v>0</v>
      </c>
      <c r="AV79" s="287" t="str">
        <f>IF(IF(Rate_Type="Tracker",X79,W79)&gt;'Product Data'!$P$19,"Y","N")</f>
        <v>Y</v>
      </c>
    </row>
    <row r="80" spans="1:48" outlineLevel="1" x14ac:dyDescent="0.35">
      <c r="A80" s="3218"/>
      <c r="B80" s="308">
        <f>IF(AND('BTL Calculator'!$G$60=C79,F80='BTL Calculator'!$G$62),1,0)</f>
        <v>0</v>
      </c>
      <c r="C80" s="1998"/>
      <c r="D80" s="1999">
        <v>6</v>
      </c>
      <c r="E80" s="308">
        <f t="shared" si="16"/>
        <v>0</v>
      </c>
      <c r="F80" s="2000">
        <f>IF($H$70='Product Data'!$BT5,'Product Data'!$B191,IF($H$70='Product Data'!$BT2,'Product Data'!$B10,IF($H$70='Product Data'!BT3,'Product Data'!B35,IF(H70='Product Data'!BT4,'Product Data'!B48,0))))</f>
        <v>0</v>
      </c>
      <c r="G80" s="2032"/>
      <c r="H80" s="2015" t="b">
        <f t="shared" si="29"/>
        <v>0</v>
      </c>
      <c r="I80" s="2017">
        <f t="shared" si="29"/>
        <v>0.02</v>
      </c>
      <c r="J80" s="2333">
        <f>IF(AND(H70="Retention ",H72="Tracker"),2%,IF(AND($H$70='Product Data'!$BT$2,$H$72='Product Data'!$CA$2),2%,IF(AND($H$70='Product Data'!$BT$3,$H$72='Product Data'!$CA$2),1.5%,IF(AND($H$70='Product Data'!$BT$4,$H$72='Product Data'!$CA$2),1.5%,IF(AND($H$70='Product Data'!$BT$2,$H$72='Product Data'!$CA$5),0.75%,1.25%)))))</f>
        <v>1.2500000000000001E-2</v>
      </c>
      <c r="K80" s="648">
        <f>IF(OR(OR($H$70="Residential BTL",$H$70="Retention "),$H$70="Retention "),IF(Term&lt;36,'Product Data'!$P$11,'Product Data'!$P$13),6)</f>
        <v>6</v>
      </c>
      <c r="L80" s="2008">
        <f>H80-J80</f>
        <v>-1.2500000000000001E-2</v>
      </c>
      <c r="M80" s="2009">
        <f t="shared" si="30"/>
        <v>0.7</v>
      </c>
      <c r="N80" s="2010">
        <f>MIN(M80*Property_Value,'Product Data'!$P$16)</f>
        <v>0</v>
      </c>
      <c r="O80" s="2010" t="b">
        <f>IF(AND(OR(OR($H$70="Residential BTL",$H$70="Retention "),$H$70="Retention "),Rate_Type="Fixed"),IFERROR(AO80/($L80/12*(Term-$K80)*'Product Data'!$P$23),0),IF(AND(Rate_Type="Tracker",OR(OR($H$70="Residential BTL",$H$70="Retention "),$H$70="Retention ")),IFERROR(AO80/($L80/12*(Term-$K80)*'Product Data'!$P$17),0),IF(AND($H$70="Semi-Commercial",Rate_Type="Tracker"),IFERROR(AP80/($L80/12*(Term-$K80)*'Product Data'!$P$17),0),IF(AND($H$70="Semi-Commercial",Rate_Type="Fixed"),IFERROR(AP80/($L80/12*(Term-$K80)*'Product Data'!$P$23),0),IF(AND($H$70="Commercial",Rate_Type="Tracker"),IFERROR(AP80/($L80/12*(Term-$K80)*'Product Data'!$P$17),0),IF(AND($H$70="Commercial",Rate_Type="Fixed"),IFERROR(AP80/($L80/12*(Term-$K80)*'Product Data'!$P$23),0)))))))</f>
        <v>0</v>
      </c>
      <c r="P80" s="2010" t="str">
        <f>IF('BTL Calculator'!$H$28="Fixed","",IF(OR(OR($H$70="Residential BTL",$H$70="Retention "),$H$70="Retention "),AO80/((((H80-'Product Data'!$E$3+'Product Data'!$K$2-J80)/12*(Term-K80)))*'Product Data'!$P$18),AP80/(((((H80-'Product Data'!$E$3+'Product Data'!$K$2-J80)/12*(Term-K80)))*'Product Data'!$P$18))))</f>
        <v/>
      </c>
      <c r="Q80" s="639">
        <f>IF('BTL Calculator'!$H$28="Tracker",MIN(N80,P80),MIN(O80,N80))</f>
        <v>0</v>
      </c>
      <c r="R80" s="639">
        <f>ROUNDDOWN(Q80,-3)</f>
        <v>0</v>
      </c>
      <c r="S80" s="2044">
        <f t="shared" si="28"/>
        <v>0</v>
      </c>
      <c r="T80" s="2721">
        <f>IFERROR(((H80*IF(RoundDown,R80,Q80)/12)),"-")</f>
        <v>0</v>
      </c>
      <c r="U80" s="2044" t="str">
        <f>IF('BTL Calculator'!$H$28="Fixed","",(((L80+$U$73)*IF(RoundDown,R80,Q80)/12)))</f>
        <v/>
      </c>
      <c r="V80" s="2044">
        <f>((L80*IF(RoundDown,R80,Q80)/12))-IF('BTL Calculator'!$CY$11='Product Data'!$AG$9,AE80/Term,0)</f>
        <v>0</v>
      </c>
      <c r="W80" s="2045" t="str">
        <f>IF(OR($H$70="Residential BTL",$H$70="Retention "),IFERROR(AO80/Z80,"-"),IFERROR(AP80/Z80,"-"))</f>
        <v>-</v>
      </c>
      <c r="X80" s="2045" t="str">
        <f>IF('BTL Calculator'!$H$28="Fixed","",IF(OR($H$70="Residential BTL",$H$70="Retention "),IFERROR(AO80/AA80,"-"),IFERROR(AP80/AA80,"-")))</f>
        <v/>
      </c>
      <c r="Y80" s="2045" t="str">
        <f t="shared" si="17"/>
        <v>£00 @ - ICR</v>
      </c>
      <c r="Z80" s="2044">
        <f>(IF(RoundDown,R80,Q80)*L80)/12*(Term-K80)</f>
        <v>0</v>
      </c>
      <c r="AA80" s="2044" t="str">
        <f>IF('BTL Calculator'!$H$28="Fixed","",(IF(RoundDown,R80,Q80)*(H80-'Product Data'!$E$3+'Product Data'!$K$2-J80))/12*(Term-K80))</f>
        <v/>
      </c>
      <c r="AB80" s="2044">
        <f t="shared" si="18"/>
        <v>0</v>
      </c>
      <c r="AC80" s="2044">
        <f t="shared" si="19"/>
        <v>0</v>
      </c>
      <c r="AD80" s="2044">
        <f t="shared" si="13"/>
        <v>0</v>
      </c>
      <c r="AE80" s="2044">
        <f>K80*L80/12*IF(RoundDown,R80,Q80)</f>
        <v>0</v>
      </c>
      <c r="AF80" s="2046">
        <f t="shared" si="20"/>
        <v>0</v>
      </c>
      <c r="AG80" s="2047">
        <f t="shared" si="21"/>
        <v>0</v>
      </c>
      <c r="AH80" s="2048">
        <f t="shared" si="22"/>
        <v>0</v>
      </c>
      <c r="AI80" s="2048"/>
      <c r="AJ80" s="2048"/>
      <c r="AK80" s="2048" t="str">
        <f t="shared" si="23"/>
        <v>2.00% (£00)</v>
      </c>
      <c r="AL80" s="2049">
        <f>AG80-AH80</f>
        <v>0</v>
      </c>
      <c r="AM80" s="2050" t="e">
        <f t="shared" si="24"/>
        <v>#DIV/0!</v>
      </c>
      <c r="AN80" s="2050" t="e">
        <f t="shared" si="25"/>
        <v>#DIV/0!</v>
      </c>
      <c r="AO80" s="649">
        <f>Rent_Over_Term+AQ80</f>
        <v>0</v>
      </c>
      <c r="AP80" s="649">
        <f t="shared" si="31"/>
        <v>0</v>
      </c>
      <c r="AQ80" s="649">
        <f>'BTL Calculator'!$L$80*Term</f>
        <v>0</v>
      </c>
      <c r="AR80" s="650" t="b">
        <f t="shared" si="26"/>
        <v>0</v>
      </c>
      <c r="AS80" s="287">
        <f t="shared" si="14"/>
        <v>0</v>
      </c>
      <c r="AT80" s="287" t="str">
        <f t="shared" si="15"/>
        <v>-</v>
      </c>
      <c r="AU80" s="287">
        <f t="shared" si="27"/>
        <v>0</v>
      </c>
      <c r="AV80" s="287" t="str">
        <f>IF(IF(Rate_Type="Tracker",X80,W80)&gt;'Product Data'!$P$19,"Y","N")</f>
        <v>Y</v>
      </c>
    </row>
    <row r="81" spans="1:52" ht="18.75" outlineLevel="1" thickBot="1" x14ac:dyDescent="0.4">
      <c r="A81" s="3218"/>
      <c r="B81" s="308" t="str">
        <f>IF(OR(OR($H$70="Residential BTL",$H$70="Retention "),$H$70="Retention "),IF(AND('BTL Calculator'!$G$60=C79,F81='BTL Calculator'!$G$62),1,0),"")</f>
        <v/>
      </c>
      <c r="C81" s="1998"/>
      <c r="D81" s="1999" t="str">
        <f>IF(OR(OR($H$70="Residential BTL",$H$70="Retention "),$H$70="Retention "),7,"")</f>
        <v/>
      </c>
      <c r="E81" s="308" t="str">
        <f>IF(OR(OR($H$70="Residential BTL",$H$70="Retention "),$H$70="Retention "),VALUE(LEFT(F81,1)),"")</f>
        <v/>
      </c>
      <c r="F81" s="2000" t="str">
        <f>IF(OR(OR($H$70="Residential BTL",$H$70="Retention "),$H$70="Retention "),"3) Specialist BTL","")</f>
        <v/>
      </c>
      <c r="G81" s="2032"/>
      <c r="H81" s="2015" t="str">
        <f t="shared" si="29"/>
        <v/>
      </c>
      <c r="I81" s="2017">
        <f t="shared" si="29"/>
        <v>0.02</v>
      </c>
      <c r="J81" s="2333">
        <f>IF(AND(H70="Retention ",H72="Tracker"),2%,IF(AND($H$70='Product Data'!$BT$2,$H$72='Product Data'!$CA$2),2%,IF(AND($H$70='Product Data'!$BT$3,$H$72='Product Data'!$CA$2),1.5%,IF(AND($H$70='Product Data'!$BT$4,$H$72='Product Data'!$CA$2),1.5%,IF(AND($H$70='Product Data'!$BT$2,$H$72='Product Data'!$CA$5),0.75%,1.25%)))))</f>
        <v>1.2500000000000001E-2</v>
      </c>
      <c r="K81" s="648" t="str">
        <f>IF(OR(OR($H$70="Residential BTL",$H$70="Retention "),$H$70="Retention "),IF(Term&lt;36,'Product Data'!$P$11,'Product Data'!$P$13),"")</f>
        <v/>
      </c>
      <c r="L81" s="2008" t="str">
        <f>IF('BTL Calculator'!V2="Core","",IF(OR(OR($H$70="Residential BTL",$H$70="Retention "),$H$70="Retention "),H81-J81,""))</f>
        <v/>
      </c>
      <c r="M81" s="2009" t="str">
        <f t="shared" si="30"/>
        <v/>
      </c>
      <c r="N81" s="2010" t="str">
        <f>IF(OR(OR($H$70="Residential BTL",$H$70="Retention "),$H$70="Retention "),MIN(M81*Property_Value,'Product Data'!$P$16),"")</f>
        <v/>
      </c>
      <c r="O81" s="2010" t="b">
        <f>IF(AND(OR(OR($H$70="Residential BTL",$H$70="Retention "),$H$70="Retention "),Rate_Type="Fixed"),IFERROR(AO81/($L81/12*(Term-$K81)*'Product Data'!$P$23),0),IF(AND(Rate_Type="Tracker",OR(OR($H$70="Residential BTL",$H$70="Retention "),$H$70="Retention ")),IFERROR(AO81/($L81/12*(Term-$K81)*'Product Data'!$P$17),0),IF(AND($H$70="Semi-Commercial",Rate_Type="Tracker"),IFERROR(AP81/($L81/12*(Term-$K81)*'Product Data'!$P$17),0),IF(AND($H$70="Semi-Commercial",Rate_Type="Fixed"),IFERROR(AP81/($L81/12*(Term-$K81)*'Product Data'!$P$23),0),IF(AND($H$70="Commercial",Rate_Type="Tracker"),IFERROR(AP81/($L81/12*(Term-$K81)*'Product Data'!$P$17),0),IF(AND($H$70="Commercial",Rate_Type="Fixed"),IFERROR(AP81/($L81/12*(Term-$K81)*'Product Data'!$P$23),0)))))))</f>
        <v>0</v>
      </c>
      <c r="P81" s="2010" t="str">
        <f>IF('BTL Calculator'!$H$28="Fixed","",IF(OR(OR($H$70="Residential BTL",$H$70="Retention "),$H$70="Retention "),AO81/((((H81-'Product Data'!$E$3+'Product Data'!$K$2-J81)/12*(Term-K81)))*'Product Data'!$P$18),AP81/((((H81-'Product Data'!$E$3+'Product Data'!$K$2-J81)/12*(Term-K81)))*'Product Data'!$P$18)))</f>
        <v/>
      </c>
      <c r="Q81" s="639" t="str">
        <f>IF(OR($H$70="Residential BTL",$H$70="Retention "),IF('BTL Calculator'!$H$28="Tracker",MIN(N81,P81),MIN(O81,N81)),"")</f>
        <v/>
      </c>
      <c r="R81" s="639" t="str">
        <f>IF(OR($H$70="Residential BTL",$H$70="Retention "),ROUNDDOWN(Q81,-3),"")</f>
        <v/>
      </c>
      <c r="S81" s="2044" t="str">
        <f t="shared" si="28"/>
        <v>-</v>
      </c>
      <c r="T81" s="2722" t="str">
        <f>IFERROR(((H81*IF(RoundDown,R81,Q81)/12)),"-")</f>
        <v>-</v>
      </c>
      <c r="U81" s="2044" t="str">
        <f>IF('BTL Calculator'!$H$28="Fixed","",(((L81+$U$73)*IF(RoundDown,R81,Q81)/12)))</f>
        <v/>
      </c>
      <c r="V81" s="2044" t="str">
        <f>IF('BTL Calculator'!$V$2="Core","",IF(OR($H$70="Residential BTL",$H$70="Retention "),((L81*IF(RoundDown,R81,Q81)/12))-IF('BTL Calculator'!$CY$11='Product Data'!$AG$9,AE81/Term,0),""))</f>
        <v/>
      </c>
      <c r="W81" s="2045" t="str">
        <f>IF(OR($H$70="Residential BTL",$H$70="Retention "),IFERROR(AO81/Z81,"-"),"")</f>
        <v/>
      </c>
      <c r="X81" s="2045" t="str">
        <f>IF('BTL Calculator'!$H$28="Fixed","",IF(OR($H$70="Residential BTL",$H$70="Retention "),IFERROR(AO81/AA81,"-"),IFERROR(AP81/AA81,"-")))</f>
        <v/>
      </c>
      <c r="Y81" s="2045" t="str">
        <f>IF('BTL Calculator'!V2="Core","",IF(OR($H$70="Residential BTL",$H$70="Retention "),TEXT(V81,"£0,0")&amp;" @ "&amp;TEXT(W81,"0%")&amp;" ICR",""))</f>
        <v/>
      </c>
      <c r="Z81" s="2044" t="str">
        <f>IF('BTL Calculator'!$V$2="Core","",IF(OR($H$70="Residential BTL",$H$70="Retention "),(IF(RoundDown,R81,Q81)*L81)/12*(Term-K81),""))</f>
        <v/>
      </c>
      <c r="AA81" s="2044" t="str">
        <f>IF('BTL Calculator'!$H$28="Fixed","",(IF(RoundDown,R81,Q81)*(H81-'Product Data'!$E$3+'Product Data'!$K$2-J81))/12*(Term-K81))</f>
        <v/>
      </c>
      <c r="AB81" s="2044" t="str">
        <f>IF(OR($H$70="Residential BTL",$H$70="Retention "),IFERROR(Monthly_Rent*Term,"-"),"")</f>
        <v/>
      </c>
      <c r="AC81" s="2044" t="str">
        <f>IF(OR($H$70="Residential BTL",$H$70="Retention "),IFERROR($U$22-V81,"-"),"")</f>
        <v/>
      </c>
      <c r="AD81" s="2044" t="e">
        <f t="shared" si="13"/>
        <v>#VALUE!</v>
      </c>
      <c r="AE81" s="2044" t="e">
        <f>IF('BTL Calculator'!$V$2="Core","",K81*L81/12*IF(RoundDown,R81,Q81))</f>
        <v>#VALUE!</v>
      </c>
      <c r="AF81" s="2046" t="str">
        <f>IF(OR($H$70="Residential BTL",$H$70="Retention "),SUM(AD81:AE81),"")</f>
        <v/>
      </c>
      <c r="AG81" s="2047" t="str">
        <f>IF(OR($H$70="Residential BTL",$H$70="Retention "),IF(RoundDown,R81,Q81)-AF81,"")</f>
        <v/>
      </c>
      <c r="AH81" s="2048" t="str">
        <f>IF(OR($H$70="Residential BTL",$H$70="Retention "),IF(RoundDown,R81,Q81)*I81,"")</f>
        <v/>
      </c>
      <c r="AI81" s="2048"/>
      <c r="AJ81" s="2048"/>
      <c r="AK81" s="2048" t="str">
        <f>IF(OR($H$70="Residential BTL",$H$70="Retention "),TEXT(I81,"0.00%")&amp;" ("&amp;TEXT(AH81,"£0,0")&amp;")","")</f>
        <v/>
      </c>
      <c r="AL81" s="2049" t="str">
        <f>IF(OR($H$70="Residential BTL",$H$70="Retention "),AG81-AH81,"")</f>
        <v/>
      </c>
      <c r="AM81" s="2050" t="str">
        <f>IF(OR($H$70="Residential BTL",$H$70="Retention "),AL81/Property_Value,"")</f>
        <v/>
      </c>
      <c r="AN81" s="2050" t="str">
        <f>IF(OR($H$70="Residential BTL",$H$70="Retention "),IF(RoundDown,R81,Q81)/Property_Value,"")</f>
        <v/>
      </c>
      <c r="AO81" s="649" t="str">
        <f>IF(OR($H$70="Residential BTL",$H$70="Retention "),Rent_Over_Term+AQ81,"")</f>
        <v/>
      </c>
      <c r="AP81" s="649"/>
      <c r="AQ81" s="649" t="str">
        <f>IF(OR($H$70="Residential BTL",$H$70="Retention "),'BTL Calculator'!$L$80*Term,"")</f>
        <v/>
      </c>
      <c r="AR81" s="650" t="str">
        <f>IF(OR($H$70="Residential BTL",$H$70="Retention "),IF(ISERROR(FIND("Bespoke",F81,1)),FALSE,TRUE),"")</f>
        <v/>
      </c>
      <c r="AS81" s="287" t="str">
        <f>IF(OR($H$70="Residential BTL",$H$70="Retention "),IFERROR(IF(AND(IF(RoundDown,R81,Q81)=MaxGrossLoan,E81&gt;=$F$36),1,0),"-"),"")</f>
        <v/>
      </c>
      <c r="AT81" s="287" t="str">
        <f>IF(OR($H$70="Residential BTL",$H$70="Retention "),IFERROR(IF(AND(AL81=MaxNetLoan,E81&gt;=$F$36),1,0),"-"),"")</f>
        <v/>
      </c>
      <c r="AU81" s="287" t="str">
        <f>IF(OR($H$70="Residential BTL",$H$70="Retention "),SUM(AS81:AT81),"")</f>
        <v/>
      </c>
      <c r="AV81" s="287" t="str">
        <f>IF(OR($H$70="Residential BTL",$H$70="Retention "),IF(IF(Rate_Type="Tracker",X81,W81)&gt;'Product Data'!$P$19,"Y","N"),"")</f>
        <v/>
      </c>
    </row>
    <row r="82" spans="1:52" s="1973" customFormat="1" ht="18.75" hidden="1" outlineLevel="1" thickBot="1" x14ac:dyDescent="0.4">
      <c r="A82" s="3218"/>
      <c r="B82" s="2029">
        <f>IF(AND('BTL Calculator'!$G$60=C82,F82='BTL Calculator'!$G$62),1,0)</f>
        <v>0</v>
      </c>
      <c r="C82" s="1954" t="s">
        <v>588</v>
      </c>
      <c r="D82" s="1955">
        <v>9</v>
      </c>
      <c r="E82" s="1956">
        <f t="shared" si="16"/>
        <v>1</v>
      </c>
      <c r="F82" s="1957" t="s">
        <v>432</v>
      </c>
      <c r="G82" s="1959"/>
      <c r="H82" s="1958" t="b">
        <f t="shared" si="29"/>
        <v>0</v>
      </c>
      <c r="I82" s="1959">
        <f t="shared" si="29"/>
        <v>0.02</v>
      </c>
      <c r="J82" s="1980">
        <f>'Product Data'!$P$10</f>
        <v>0.02</v>
      </c>
      <c r="K82" s="1960">
        <f>IF(Term&lt;36,'Product Data'!$P$12,'Product Data'!$P$14)</f>
        <v>9</v>
      </c>
      <c r="L82" s="1958">
        <f>IFERROR(H82-J82,"-")</f>
        <v>-0.02</v>
      </c>
      <c r="M82" s="1961">
        <f t="shared" si="30"/>
        <v>0.7</v>
      </c>
      <c r="N82" s="1962">
        <f>MIN(M82*Property_Value,'Product Data'!$P$16)</f>
        <v>0</v>
      </c>
      <c r="O82" s="1962" t="b">
        <f>IF(AND(OR($H$70="Residential BTL",$H$70="Retention "),Rate_Type="Fixed"),IFERROR(AO82/($L82/12*(Term-$K82)*'Product Data'!$P$23),0),IF(AND(Rate_Type="Tracker",OR($H$70="Residential BTL",$H$70="Retention ")),IFERROR(AO82/($L82/12*(Term-$K82)*'Product Data'!$P$17),0),IF(AND($H$70="Semi-Commercial",Rate_Type="Tracker"),IFERROR(AP82/($L82/12*(Term-$K82)*'Product Data'!$P$17),0),IF(AND($H$70="Semi-Commercial",Rate_Type="Fixed"),IFERROR(AP82/($L82/12*(Term-$K82)*'Product Data'!$P$23),0),IF(AND($H$70="Commercial",Rate_Type="Tracker"),IFERROR(AP82/($L82/12*(Term-$K82)*'Product Data'!$P$17),0),IF(AND($H$70="Commercial",Rate_Type="Fixed"),IFERROR(AP82/($L82/12*(Term-$K82)*'Product Data'!$P$23),0)))))))</f>
        <v>0</v>
      </c>
      <c r="P82" s="2010" t="str">
        <f>IF('BTL Calculator'!$H$28="Fixed","",IF(OR(OR($H$70="Residential BTL",$H$70="Retention "),$H$70="Retention "),AO82/((((IF(AND('BTL Calculator'!$V$2="Core",H82-'Product Data'!$E$3+'Product Data'!$K$2-J82&lt;0.055),0.055,H82-'Product Data'!$E$3+'Product Data'!$K$2-J82))/12*(Term-K82)))*'Product Data'!$P$18),AP82/((((IF(AND('BTL Calculator'!$V$2="Core",H82-'Product Data'!$E$3+'Product Data'!$K$2-J82&lt;0.055),0.055,H82-'Product Data'!$E$3+'Product Data'!$K$2-J82))/12*(Term-K82)))*'Product Data'!$P$18)))</f>
        <v/>
      </c>
      <c r="Q82" s="1963">
        <f>IF('BTL Calculator'!$H$28="Tracker",MIN(N82,P82),MIN(O82,N82))</f>
        <v>0</v>
      </c>
      <c r="R82" s="1963">
        <f>ROUNDDOWN(Q82,-3)</f>
        <v>0</v>
      </c>
      <c r="S82" s="1964">
        <f t="shared" si="28"/>
        <v>0</v>
      </c>
      <c r="T82" s="1964">
        <f>IFERROR(((H82*IF(RoundDown,R82,Q82)/12)),"-")</f>
        <v>0</v>
      </c>
      <c r="U82" s="1964" t="str">
        <f>IF('BTL Calculator'!$H$28="Fixed","",(((L82+$U$73)*IF(RoundDown,R82,Q82)/12)))</f>
        <v/>
      </c>
      <c r="V82" s="1964">
        <f>IFERROR(((L82*IF(RoundDown,R82,Q82)/12)),"-")</f>
        <v>0</v>
      </c>
      <c r="W82" s="1965" t="str">
        <f t="shared" ref="W82:W83" si="32">IFERROR(AO82/Z82,"-")</f>
        <v>-</v>
      </c>
      <c r="X82" s="1965" t="str">
        <f>IF('BTL Calculator'!$H$28="Fixed","",IF(OR($H$70="Residential BTL",$H$70="Retention "),IFERROR(AO82/AA82,"-"),IFERROR(AP82/AA82,"-")))</f>
        <v/>
      </c>
      <c r="Y82" s="1965" t="str">
        <f t="shared" si="17"/>
        <v>£00 @ - ICR</v>
      </c>
      <c r="Z82" s="1964">
        <f>(IF(RoundDown,R82,Q82)*L82)/12*(Term-K82)</f>
        <v>0</v>
      </c>
      <c r="AA82" s="1964" t="str">
        <f>IF('BTL Calculator'!$H$28="Fixed","",(IF(RoundDown,R82,Q82)*(H82-'Product Data'!$E$3+'Product Data'!$K$2-J82))/12*(Term-K82))</f>
        <v/>
      </c>
      <c r="AB82" s="1964">
        <f t="shared" si="18"/>
        <v>0</v>
      </c>
      <c r="AC82" s="1964">
        <f t="shared" si="19"/>
        <v>0</v>
      </c>
      <c r="AD82" s="1964">
        <f t="shared" si="13"/>
        <v>0</v>
      </c>
      <c r="AE82" s="1964">
        <f t="shared" ref="AE82:AE86" si="33">K82*L82/12*IF(RoundDown,R82,Q82)</f>
        <v>0</v>
      </c>
      <c r="AF82" s="1966">
        <f t="shared" si="20"/>
        <v>0</v>
      </c>
      <c r="AG82" s="1967">
        <f t="shared" si="21"/>
        <v>0</v>
      </c>
      <c r="AH82" s="1968">
        <f t="shared" si="22"/>
        <v>0</v>
      </c>
      <c r="AI82" s="1968"/>
      <c r="AJ82" s="1968"/>
      <c r="AK82" s="1968" t="str">
        <f t="shared" si="23"/>
        <v>2.00% (£00)</v>
      </c>
      <c r="AL82" s="1969">
        <f>AG82-AH82</f>
        <v>0</v>
      </c>
      <c r="AM82" s="1970" t="e">
        <f>AL82/Property_Value</f>
        <v>#DIV/0!</v>
      </c>
      <c r="AN82" s="1970" t="e">
        <f t="shared" si="25"/>
        <v>#DIV/0!</v>
      </c>
      <c r="AO82" s="1971">
        <f>Rent_Over_Term+AQ82</f>
        <v>0</v>
      </c>
      <c r="AP82" s="1971"/>
      <c r="AQ82" s="1971">
        <f>'BTL Calculator'!$L$80*Term</f>
        <v>0</v>
      </c>
      <c r="AR82" s="1972" t="b">
        <f t="shared" si="26"/>
        <v>0</v>
      </c>
      <c r="AS82" s="1973">
        <f t="shared" si="14"/>
        <v>1</v>
      </c>
      <c r="AT82" s="1973" t="str">
        <f t="shared" si="15"/>
        <v>-</v>
      </c>
      <c r="AU82" s="1973">
        <f t="shared" si="27"/>
        <v>1</v>
      </c>
      <c r="AV82" s="1973" t="str">
        <f>IF(IF(Rate_Type="Tracker",X82,W82)&gt;'Product Data'!$P$19,"Y","N")</f>
        <v>Y</v>
      </c>
    </row>
    <row r="83" spans="1:52" s="1973" customFormat="1" ht="18.75" hidden="1" outlineLevel="1" thickBot="1" x14ac:dyDescent="0.4">
      <c r="A83" s="3218"/>
      <c r="B83" s="2029">
        <f>IF(AND('BTL Calculator'!$G$60=C82,F83='BTL Calculator'!$G$62),1,0)</f>
        <v>0</v>
      </c>
      <c r="C83" s="1974"/>
      <c r="D83" s="1975">
        <v>10</v>
      </c>
      <c r="E83" s="1976">
        <f t="shared" si="16"/>
        <v>2</v>
      </c>
      <c r="F83" s="1977" t="s">
        <v>433</v>
      </c>
      <c r="G83" s="1976"/>
      <c r="H83" s="1978" t="b">
        <f t="shared" si="29"/>
        <v>0</v>
      </c>
      <c r="I83" s="1979">
        <f t="shared" si="29"/>
        <v>0.02</v>
      </c>
      <c r="J83" s="1980">
        <f>'Product Data'!$P$10</f>
        <v>0.02</v>
      </c>
      <c r="K83" s="1981">
        <f>IF(Term&lt;36,'Product Data'!$P$12,'Product Data'!$P$14)</f>
        <v>9</v>
      </c>
      <c r="L83" s="1978">
        <f>H83-J83</f>
        <v>-0.02</v>
      </c>
      <c r="M83" s="1982">
        <f t="shared" si="30"/>
        <v>0.7</v>
      </c>
      <c r="N83" s="1983">
        <f>MIN(M83*Property_Value,'Product Data'!$P$16)</f>
        <v>0</v>
      </c>
      <c r="O83" s="1983" t="b">
        <f>IF(AND(OR($H$70="Residential BTL",$H$70="Retention "),Rate_Type="Fixed"),IFERROR(AO83/($L83/12*(Term-$K83)*'Product Data'!$P$23),0),IF(AND(Rate_Type="Tracker",OR($H$70="Residential BTL",$H$70="Retention ")),IFERROR(AO83/($L83/12*(Term-$K83)*'Product Data'!$P$17),0),IF(AND($H$70="Semi-Commercial",Rate_Type="Tracker"),IFERROR(AP83/($L83/12*(Term-$K83)*'Product Data'!$P$17),0),IF(AND($H$70="Semi-Commercial",Rate_Type="Fixed"),IFERROR(AP83/($L83/12*(Term-$K83)*'Product Data'!$P$23),0),IF(AND($H$70="Commercial",Rate_Type="Tracker"),IFERROR(AP83/($L83/12*(Term-$K83)*'Product Data'!$P$17),0),IF(AND($H$70="Commercial",Rate_Type="Fixed"),IFERROR(AP83/($L83/12*(Term-$K83)*'Product Data'!$P$23),0)))))))</f>
        <v>0</v>
      </c>
      <c r="P83" s="2010" t="str">
        <f>IF('BTL Calculator'!$H$28="Fixed","",IF(OR(OR($H$70="Residential BTL",$H$70="Retention "),$H$70="Retention "),AO83/((((IF(AND('BTL Calculator'!$V$2="Core",H83-'Product Data'!$E$3+'Product Data'!$K$2-J83&lt;0.055),0.055,H83-'Product Data'!$E$3+'Product Data'!$K$2-J83))/12*(Term-K83)))*'Product Data'!$P$18),AP83/((((IF(AND('BTL Calculator'!$V$2="Core",H83-'Product Data'!$E$3+'Product Data'!$K$2-J83&lt;0.055),0.055,H83-'Product Data'!$E$3+'Product Data'!$K$2-J83))/12*(Term-K83)))*'Product Data'!$P$18)))</f>
        <v/>
      </c>
      <c r="Q83" s="1984">
        <f>IF('BTL Calculator'!$H$28="Tracker",MIN(N83,P83),MIN(O83,N83))</f>
        <v>0</v>
      </c>
      <c r="R83" s="1984">
        <f>ROUNDDOWN(Q83,-3)</f>
        <v>0</v>
      </c>
      <c r="S83" s="1985">
        <f t="shared" si="28"/>
        <v>0</v>
      </c>
      <c r="T83" s="1985">
        <f>((H83*IF(RoundDown,R83,Q83)/12))</f>
        <v>0</v>
      </c>
      <c r="U83" s="1985" t="str">
        <f>IF('BTL Calculator'!$H$28="Fixed","",(((L83+$U$73)*IF(RoundDown,R83,Q83)/12)))</f>
        <v/>
      </c>
      <c r="V83" s="1985">
        <f>((L83*IF(RoundDown,R83,Q83)/12))-IF('BTL Calculator'!$CY$11='Product Data'!$AG$9,AE83/Term,0)</f>
        <v>0</v>
      </c>
      <c r="W83" s="1986" t="str">
        <f t="shared" si="32"/>
        <v>-</v>
      </c>
      <c r="X83" s="1986" t="str">
        <f>IF('BTL Calculator'!$H$28="Fixed","",IF(OR($H$70="Residential BTL",$H$70="Retention "),IFERROR(AO83/AA83,"-"),IFERROR(AP83/AA83,"-")))</f>
        <v/>
      </c>
      <c r="Y83" s="1986" t="str">
        <f t="shared" si="17"/>
        <v>£00 @ - ICR</v>
      </c>
      <c r="Z83" s="1985">
        <f>(IF(RoundDown,R83,Q83)*L83)/12*(Term-K83)</f>
        <v>0</v>
      </c>
      <c r="AA83" s="1985" t="str">
        <f>IF('BTL Calculator'!$H$28="Fixed","",(IF(RoundDown,R83,Q83)*(H83-'Product Data'!$E$3+'Product Data'!$K$2-J83))/12*(Term-K83))</f>
        <v/>
      </c>
      <c r="AB83" s="1985">
        <f t="shared" si="18"/>
        <v>0</v>
      </c>
      <c r="AC83" s="1985">
        <f t="shared" si="19"/>
        <v>0</v>
      </c>
      <c r="AD83" s="1985">
        <f t="shared" si="13"/>
        <v>0</v>
      </c>
      <c r="AE83" s="1985">
        <f t="shared" si="33"/>
        <v>0</v>
      </c>
      <c r="AF83" s="1987">
        <f t="shared" si="20"/>
        <v>0</v>
      </c>
      <c r="AG83" s="1988">
        <f t="shared" si="21"/>
        <v>0</v>
      </c>
      <c r="AH83" s="1989">
        <f t="shared" si="22"/>
        <v>0</v>
      </c>
      <c r="AI83" s="1989"/>
      <c r="AJ83" s="1989"/>
      <c r="AK83" s="1989" t="str">
        <f t="shared" si="23"/>
        <v>2.00% (£00)</v>
      </c>
      <c r="AL83" s="1990">
        <f>AG83-AH83</f>
        <v>0</v>
      </c>
      <c r="AM83" s="1991" t="e">
        <f>AL83/Property_Value</f>
        <v>#DIV/0!</v>
      </c>
      <c r="AN83" s="1991" t="e">
        <f t="shared" si="25"/>
        <v>#DIV/0!</v>
      </c>
      <c r="AO83" s="1992">
        <f>Rent_Over_Term+AQ83</f>
        <v>0</v>
      </c>
      <c r="AP83" s="1992"/>
      <c r="AQ83" s="1992">
        <f>'BTL Calculator'!$L$80*Term</f>
        <v>0</v>
      </c>
      <c r="AR83" s="1993" t="b">
        <f t="shared" si="26"/>
        <v>0</v>
      </c>
      <c r="AS83" s="1973">
        <f t="shared" si="14"/>
        <v>1</v>
      </c>
      <c r="AT83" s="1973" t="str">
        <f t="shared" si="15"/>
        <v>-</v>
      </c>
      <c r="AU83" s="1973">
        <f t="shared" si="27"/>
        <v>1</v>
      </c>
      <c r="AV83" s="1973" t="str">
        <f>IF(IF(Rate_Type="Tracker",X83,W83)&gt;'Product Data'!$P$19,"Y","N")</f>
        <v>Y</v>
      </c>
    </row>
    <row r="84" spans="1:52" s="1973" customFormat="1" ht="18.75" hidden="1" outlineLevel="1" thickBot="1" x14ac:dyDescent="0.4">
      <c r="A84" s="3218"/>
      <c r="B84" s="2029" t="str">
        <f>IF(OR($H$70="Residential BTL",$H$70="Retention "),IF(AND('BTL Calculator'!$G$60=C82,F84='BTL Calculator'!$G$62),1,0),"")</f>
        <v/>
      </c>
      <c r="C84" s="1974"/>
      <c r="D84" s="1975" t="str">
        <f>IF(OR($H$70="Residential BTL",$H$70="Retention "),11,"")</f>
        <v/>
      </c>
      <c r="E84" s="1976" t="str">
        <f>IF(OR($H$70="Residential BTL",$H$70="Retention "),VALUE(LEFT(F84,1)),"")</f>
        <v/>
      </c>
      <c r="F84" s="1977" t="str">
        <f>IF(OR($H$70="Residential BTL",$H$70="Retention "),"3) Specialist BTL","")</f>
        <v/>
      </c>
      <c r="G84" s="1976"/>
      <c r="H84" s="1978" t="str">
        <f t="shared" si="29"/>
        <v/>
      </c>
      <c r="I84" s="1979">
        <f t="shared" si="29"/>
        <v>0.02</v>
      </c>
      <c r="J84" s="1980" t="str">
        <f>IF(OR($H$70="Residential BTL",$H$70="Retention "),'Product Data'!$P$10,"")</f>
        <v/>
      </c>
      <c r="K84" s="1981" t="str">
        <f>IF(OR($H$70="Residential BTL",$H$70="Retention "),IF(Term&lt;36,'Product Data'!$P$12,'Product Data'!$P$14),"")</f>
        <v/>
      </c>
      <c r="L84" s="1982" t="str">
        <f>IF(OR($H$70="Residential BTL",$H$70="Retention "),H84-J84,"")</f>
        <v/>
      </c>
      <c r="M84" s="1982" t="str">
        <f t="shared" si="30"/>
        <v/>
      </c>
      <c r="N84" s="1983" t="str">
        <f>IF(OR($H$70="Residential BTL",$H$70="Retention "),MIN(M84*Property_Value,'Product Data'!$P$16),"")</f>
        <v/>
      </c>
      <c r="O84" s="1983" t="b">
        <f>IF(AND(OR($H$70="Residential BTL",$H$70="Retention "),Rate_Type="Fixed"),IFERROR(AO84/($L84/12*(Term-$K84)*'Product Data'!$P$23),0),IF(AND(Rate_Type="Tracker",OR($H$70="Residential BTL",$H$70="Retention ")),IFERROR(AO84/($L84/12*(Term-$K84)*'Product Data'!$P$17),0),IF(AND($H$70="Semi-Commercial",Rate_Type="Tracker"),IFERROR(AP84/($L84/12*(Term-$K84)*'Product Data'!$P$17),0),IF(AND($H$70="Semi-Commercial",Rate_Type="Fixed"),IFERROR(AP84/($L84/12*(Term-$K84)*'Product Data'!$P$23),0),IF(AND($H$70="Commercial",Rate_Type="Tracker"),IFERROR(AP84/($L84/12*(Term-$K84)*'Product Data'!$P$17),0),IF(AND($H$70="Commercial",Rate_Type="Fixed"),IFERROR(AP84/($L84/12*(Term-$K84)*'Product Data'!$P$23),0)))))))</f>
        <v>0</v>
      </c>
      <c r="P84" s="2010" t="str">
        <f>IF('BTL Calculator'!$H$28="Fixed","",IF(OR(OR($H$70="Residential BTL",$H$70="Retention "),$H$70="Retention "),AO84/((((IF(AND('BTL Calculator'!$V$2="Core",H84-'Product Data'!$E$3+'Product Data'!$K$2-J84&lt;0.055),0.055,H84-'Product Data'!$E$3+'Product Data'!$K$2-J84))/12*(Term-K84)))*'Product Data'!$P$18),AP84/((((IF(AND('BTL Calculator'!$V$2="Core",H84-'Product Data'!$E$3+'Product Data'!$K$2-J84&lt;0.055),0.055,H84-'Product Data'!$E$3+'Product Data'!$K$2-J84))/12*(Term-K84)))*'Product Data'!$P$18)))</f>
        <v/>
      </c>
      <c r="Q84" s="1984" t="str">
        <f>IF(OR($H$70="Residential BTL",$H$70="Retention "),IF('BTL Calculator'!$H$28="Tracker",MIN(N84,P84),MIN(O84,N84)),"")</f>
        <v/>
      </c>
      <c r="R84" s="1984" t="str">
        <f>IF(OR($H$70="Residential BTL",$H$70="Retention "),ROUNDDOWN(Q84,-3),"")</f>
        <v/>
      </c>
      <c r="S84" s="1985" t="str">
        <f t="shared" si="28"/>
        <v>-</v>
      </c>
      <c r="T84" s="1985" t="str">
        <f>IF(OR($H$70="Residential BTL",$H$70="Retention "),((H84*IF(RoundDown,R84,Q84)/12)),"")</f>
        <v/>
      </c>
      <c r="U84" s="1985" t="str">
        <f>IF('BTL Calculator'!$H$28="Fixed","",(((L84+$U$73)*IF(RoundDown,R84,Q84)/12)))</f>
        <v/>
      </c>
      <c r="V84" s="1985" t="str">
        <f>IF(OR($H$70="Residential BTL",$H$70="Retention "),((L84*IF(RoundDown,R84,Q84)/12))-IF('BTL Calculator'!$CY$11='Product Data'!$AG$9,AE84/Term,0),"")</f>
        <v/>
      </c>
      <c r="W84" s="1986" t="str">
        <f>IF(OR($H$70="Residential BTL",$H$70="Retention "),IFERROR(AO84/Z84,"-"),"")</f>
        <v/>
      </c>
      <c r="X84" s="1986" t="str">
        <f>IF('BTL Calculator'!$H$28="Fixed","",IF(OR($H$70="Residential BTL",$H$70="Retention "),IFERROR(AO84/AA84,"-"),IFERROR(AP84/AA84,"-")))</f>
        <v/>
      </c>
      <c r="Y84" s="1986" t="str">
        <f>IF(OR($H$70="Residential BTL",$H$70="Retention "),TEXT(V84,"£0,0")&amp;" @ "&amp;TEXT(W84,"0%")&amp;" ICR","")</f>
        <v/>
      </c>
      <c r="Z84" s="1985" t="str">
        <f>IF(OR($H$70="Residential BTL",$H$70="Retention "),(IF(RoundDown,R84,Q84)*L84)/12*(Term-K84),"")</f>
        <v/>
      </c>
      <c r="AA84" s="1985" t="str">
        <f>IF('BTL Calculator'!$H$28="Fixed","",(IF(RoundDown,R84,Q84)*(H84-'Product Data'!$E$3+'Product Data'!$K$2-J84))/12*(Term-K84))</f>
        <v/>
      </c>
      <c r="AB84" s="1985" t="str">
        <f>IF(OR($H$70="Residential BTL",$H$70="Retention "),IFERROR(Monthly_Rent*Term,"-"),"")</f>
        <v/>
      </c>
      <c r="AC84" s="1985" t="str">
        <f>IF(OR($H$70="Residential BTL",$H$70="Retention "),IFERROR($U$22-V84,"-"),"")</f>
        <v/>
      </c>
      <c r="AD84" s="1985" t="e">
        <f t="shared" si="13"/>
        <v>#VALUE!</v>
      </c>
      <c r="AE84" s="1985" t="e">
        <f t="shared" si="33"/>
        <v>#VALUE!</v>
      </c>
      <c r="AF84" s="1987" t="str">
        <f>IF(OR($H$70="Residential BTL",$H$70="Retention "),SUM(AD84:AE84),"")</f>
        <v/>
      </c>
      <c r="AG84" s="1988" t="str">
        <f>IF(OR($H$70="Residential BTL",$H$70="Retention "),IF(RoundDown,R84,Q84)-AF84,"")</f>
        <v/>
      </c>
      <c r="AH84" s="1989" t="str">
        <f>IF(OR($H$70="Residential BTL",$H$70="Retention "),IF(RoundDown,R84,Q84)*I84,"")</f>
        <v/>
      </c>
      <c r="AI84" s="1989"/>
      <c r="AJ84" s="1989"/>
      <c r="AK84" s="1989" t="str">
        <f>IF(OR($H$70="Residential BTL",$H$70="Retention "),TEXT(I84,"0.00%")&amp;" ("&amp;TEXT(AH84,"£0,0")&amp;")","")</f>
        <v/>
      </c>
      <c r="AL84" s="1990" t="str">
        <f>IF(OR($H$70="Residential BTL",$H$70="Retention "),IF(OR($H$70="Residential BTL",$H$70="Retention "),AG84-AH84,""),"")</f>
        <v/>
      </c>
      <c r="AM84" s="1991" t="str">
        <f>IF(OR($H$70="Residential BTL",$H$70="Retention "),IF(OR($H$70="Residential BTL",$H$70="Retention "),AL84/Property_Value,""),"")</f>
        <v/>
      </c>
      <c r="AN84" s="1991" t="str">
        <f>IF(OR($H$70="Residential BTL",$H$70="Retention "),IF(OR($H$70="Residential BTL",$H$70="Retention "),IF(RoundDown,R84,Q84)/Property_Value,""),"")</f>
        <v/>
      </c>
      <c r="AO84" s="1992" t="str">
        <f>IF(OR($H$70="Residential BTL",$H$70="Retention "),Rent_Over_Term+AQ84,"")</f>
        <v/>
      </c>
      <c r="AP84" s="1992"/>
      <c r="AQ84" s="1992" t="str">
        <f>IF(OR($H$70="Residential BTL",$H$70="Retention "),'BTL Calculator'!$L$80*Term,"")</f>
        <v/>
      </c>
      <c r="AR84" s="1993" t="str">
        <f>IF(OR($H$70="Residential BTL",$H$70="Retention "),IF(ISERROR(FIND("Bespoke",F84,1)),FALSE,TRUE),"")</f>
        <v/>
      </c>
      <c r="AS84" s="1973" t="str">
        <f>IF(OR($H$70="Residential BTL",$H$70="Retention "),IFERROR(IF(AND(IF(RoundDown,R84,Q84)=MaxGrossLoan,E84&gt;=$F$36),1,0),"-"),"")</f>
        <v/>
      </c>
      <c r="AT84" s="1973" t="str">
        <f>IF(OR($H$70="Residential BTL",$H$70="Retention "),IFERROR(IF(AND(AL84=MaxNetLoan,E84&gt;=$F$36),1,0),"-"),"")</f>
        <v/>
      </c>
      <c r="AU84" s="1973" t="str">
        <f>IF(OR($H$70="Residential BTL",$H$70="Retention "),SUM(AS84:AT84),"")</f>
        <v/>
      </c>
      <c r="AV84" s="1973" t="str">
        <f>IF(OR($H$70="Residential BTL",$H$70="Retention "),IF(IF(Rate_Type="Tracker",X84,W84)&gt;'Product Data'!$P$19,"Y","N"),"")</f>
        <v/>
      </c>
    </row>
    <row r="85" spans="1:52" outlineLevel="1" x14ac:dyDescent="0.35">
      <c r="A85" s="3218"/>
      <c r="B85" s="308">
        <f>IF('BTL Calculator'!$V$2="Core",0,IF(AND('BTL Calculator'!$G$60=C85,F85='BTL Calculator'!$G$62),1,0))</f>
        <v>0</v>
      </c>
      <c r="C85" s="1994" t="s">
        <v>378</v>
      </c>
      <c r="D85" s="1995">
        <v>13</v>
      </c>
      <c r="E85" s="1996">
        <f t="shared" si="16"/>
        <v>0</v>
      </c>
      <c r="F85" s="1997">
        <f>IF($H$70='Product Data'!$BT5,'Product Data'!$B190,IF($H$70='Product Data'!$BT2,'Product Data'!$B9,IF($H$70='Product Data'!BT3,'Product Data'!B34,IF(H70='Product Data'!BT4,'Product Data'!B47,0))))</f>
        <v>0</v>
      </c>
      <c r="G85" s="2033"/>
      <c r="H85" s="2005" t="b">
        <f t="shared" ref="H85:I87" si="34">H79</f>
        <v>0</v>
      </c>
      <c r="I85" s="2016">
        <f t="shared" si="34"/>
        <v>0.02</v>
      </c>
      <c r="J85" s="2669" t="b">
        <f>IF(AND(Rate_Type="Fixed",H72="3 Year Fixed"),IF(Defer2&gt;'Product Data'!$P$24,'Product Data'!$P$24,Defer2),IF(AND(Rate_Type="Fixed",H72="2 Year Fixed"),IF(Defer2&gt;'Product Data'!$P$24,'Product Data'!$P$24,Defer2),IF(AND(Rate_Type="Fixed",H72="5 Year Fixed"),IF(Defer2&gt;'Product Data'!$P$33,'Product Data'!$P$33,Defer2),IF(AND(Rate_Type="Tracker",$H$70="Commercial"),IF(Defer2&gt;0.015,0.015,Defer2),IF(AND(Rate_Type="Tracker",$H$70="Semi-Commercial"),IF(Defer2&gt;0.015,0.015,Defer2),IF(AND(Rate_Type="Tracker",OR($H$70="Residential BTL",$H$70="Retention ")),IF(Defer2&gt;0.02,0.02,Defer2)))))))</f>
        <v>0</v>
      </c>
      <c r="K85" s="645">
        <f>IF(Roll2="",0,IF(OR(OR($H$70="Residential BTL",$H$70="Retention "),$H$70="Retention "),MAX(MIN(Roll2,'Product Data'!$P$12),0),MAX(MIN(Roll2,6),0)))</f>
        <v>0</v>
      </c>
      <c r="L85" s="2005">
        <f>IFERROR(H85-J85,"-")</f>
        <v>0</v>
      </c>
      <c r="M85" s="2006">
        <f>M79</f>
        <v>0.7</v>
      </c>
      <c r="N85" s="2007">
        <f>MIN(M85*Property_Value,'Product Data'!$P$16)</f>
        <v>0</v>
      </c>
      <c r="O85" s="2007" t="b">
        <f>IF(AND(OR(OR($H$70="Residential BTL",$H$70="Retention "),$H$70="Retention "),Rate_Type="Fixed"),IFERROR(AO85/($L85/12*(Term-$K85)*'Product Data'!$P$23),0),IF(AND(Rate_Type="Tracker",OR(OR($H$70="Residential BTL",$H$70="Retention "),$H$70="Retention ")),IFERROR(AO85/($L85/12*(Term-$K85)*'Product Data'!$P$17),0),IF(AND($H$70="Semi-Commercial",Rate_Type="Tracker"),IFERROR(AP85/($L85/12*(Term-$K85)*'Product Data'!$P$17),0),IF(AND($H$70="Semi-Commercial",Rate_Type="Fixed"),IFERROR(AP85/($L85/12*(Term-$K85)*'Product Data'!$P$23),0),IF(AND($H$70="Commercial",Rate_Type="Tracker"),IFERROR(AP85/($L85/12*(Term-$K85)*'Product Data'!$P$17),0),IF(AND($H$70="Commercial",Rate_Type="Fixed"),IFERROR(AP85/($L85/12*(Term-$K85)*'Product Data'!$P$23),0)))))))</f>
        <v>0</v>
      </c>
      <c r="P85" s="2007" t="str">
        <f>IF('BTL Calculator'!$H$28="Fixed","",IF(OR(OR($H$70="Residential BTL",$H$70="Retention "),$H$70="Retention "),AO85/((((H85-'Product Data'!$E$3+'Product Data'!$K$2-J85)/12*(Term-K85)))*'Product Data'!$P$18),AP85/((((H85-'Product Data'!$E$3+'Product Data'!$K$2-J85)/12*(Term-K85)))*'Product Data'!$P$18)))</f>
        <v/>
      </c>
      <c r="Q85" s="634">
        <f>IF('BTL Calculator'!$H$28="Tracker",MIN(N85,P85),MIN(O85,N85))</f>
        <v>0</v>
      </c>
      <c r="R85" s="634">
        <f>ROUNDDOWN(Q85,-3)</f>
        <v>0</v>
      </c>
      <c r="S85" s="2037">
        <f t="shared" si="28"/>
        <v>0</v>
      </c>
      <c r="T85" s="2037">
        <f>IFERROR(((H85*IF(RoundDown,R85,Q85)/12)),"-")</f>
        <v>0</v>
      </c>
      <c r="U85" s="2037" t="str">
        <f>IF('BTL Calculator'!$H$28="Fixed","",(((L85+$U$73)*IF(RoundDown,R85,Q85)/12)))</f>
        <v/>
      </c>
      <c r="V85" s="2037">
        <f>IFERROR(((L85*IF(RoundDown,R85,Q85)/12)),"-")</f>
        <v>0</v>
      </c>
      <c r="W85" s="2038" t="str">
        <f>IF(OR($H$70="Residential BTL",$H$70="Retention "),IFERROR(AO85/Z85,"-"),IFERROR(AP85/Z85,"-"))</f>
        <v>-</v>
      </c>
      <c r="X85" s="2038" t="str">
        <f>IF('BTL Calculator'!$H$28="Fixed","",IF(OR($H$70="Residential BTL",$H$70="Retention "),IFERROR(AO85/AA85,"-"),IFERROR(AP85/AA85,"-")))</f>
        <v/>
      </c>
      <c r="Y85" s="2038" t="str">
        <f t="shared" si="17"/>
        <v>£00 @ - ICR</v>
      </c>
      <c r="Z85" s="2037">
        <f>(IF(RoundDown,R85,Q85)*L85)/12*(Term-K85)</f>
        <v>0</v>
      </c>
      <c r="AA85" s="2037" t="str">
        <f>IF('BTL Calculator'!$H$28="Fixed","",(IF(RoundDown,R85,Q85)*(H85-'Product Data'!$E$3+'Product Data'!$K$2-J85))/12*(Term-K85))</f>
        <v/>
      </c>
      <c r="AB85" s="2037">
        <f t="shared" si="18"/>
        <v>0</v>
      </c>
      <c r="AC85" s="2037">
        <f t="shared" si="19"/>
        <v>0</v>
      </c>
      <c r="AD85" s="2037">
        <f>((J85*IF(RoundDown,R85,Q85))/12)*Term</f>
        <v>0</v>
      </c>
      <c r="AE85" s="2037">
        <f t="shared" si="33"/>
        <v>0</v>
      </c>
      <c r="AF85" s="2039">
        <f t="shared" si="20"/>
        <v>0</v>
      </c>
      <c r="AG85" s="2040">
        <f t="shared" si="21"/>
        <v>0</v>
      </c>
      <c r="AH85" s="2041">
        <f>IF(RoundDown,R85,Q85)*I85</f>
        <v>0</v>
      </c>
      <c r="AI85" s="2041"/>
      <c r="AJ85" s="2041"/>
      <c r="AK85" s="2041" t="str">
        <f t="shared" si="23"/>
        <v>2.00% (£00)</v>
      </c>
      <c r="AL85" s="2042">
        <f>AG85-AH85</f>
        <v>0</v>
      </c>
      <c r="AM85" s="2043" t="e">
        <f t="shared" si="24"/>
        <v>#DIV/0!</v>
      </c>
      <c r="AN85" s="2043" t="e">
        <f t="shared" si="25"/>
        <v>#DIV/0!</v>
      </c>
      <c r="AO85" s="653">
        <f>Rent_Over_Term+AQ85</f>
        <v>0</v>
      </c>
      <c r="AP85" s="653">
        <f t="shared" ref="AP85:AP86" si="35">IF($H$72="3 Year Fixed",$X$22*36+AQ85, $X$22*24+AQ85)</f>
        <v>0</v>
      </c>
      <c r="AQ85" s="653">
        <f>'BTL Calculator'!$L$80*Term</f>
        <v>0</v>
      </c>
      <c r="AR85" s="654" t="b">
        <f t="shared" si="26"/>
        <v>0</v>
      </c>
      <c r="AS85" s="67">
        <f t="shared" si="14"/>
        <v>0</v>
      </c>
      <c r="AT85" s="67" t="str">
        <f t="shared" si="15"/>
        <v>-</v>
      </c>
      <c r="AU85" s="67">
        <f t="shared" si="27"/>
        <v>0</v>
      </c>
      <c r="AV85" s="67" t="str">
        <f>IF(IF(Rate_Type="Tracker",X85,W85)&gt;'Product Data'!$P$19,"Y","N")</f>
        <v>Y</v>
      </c>
    </row>
    <row r="86" spans="1:52" outlineLevel="1" x14ac:dyDescent="0.35">
      <c r="A86" s="3218"/>
      <c r="B86" s="308">
        <f>IF('BTL Calculator'!$V$2="Core",0,IF(AND('BTL Calculator'!$G$60=C85,F86='BTL Calculator'!$G$62),1,0))</f>
        <v>0</v>
      </c>
      <c r="C86" s="1998"/>
      <c r="D86" s="1999">
        <v>14</v>
      </c>
      <c r="E86" s="308">
        <f t="shared" si="16"/>
        <v>0</v>
      </c>
      <c r="F86" s="2000">
        <f>IF($H$70='Product Data'!$BT5,'Product Data'!$B191,IF($H$70='Product Data'!$BT2,'Product Data'!$B10,IF($H$70='Product Data'!BT3,'Product Data'!B35,IF(H70='Product Data'!BT4,'Product Data'!B48,0))))</f>
        <v>0</v>
      </c>
      <c r="G86" s="2032"/>
      <c r="H86" s="2015" t="b">
        <f t="shared" si="34"/>
        <v>0</v>
      </c>
      <c r="I86" s="2017">
        <f t="shared" si="34"/>
        <v>0.02</v>
      </c>
      <c r="J86" s="2352" t="b">
        <f>IF(AND(Rate_Type="Fixed",H72="3 Year Fixed"),IF(Defer2&gt;'Product Data'!$P$24,'Product Data'!$P$24,Defer2),IF(AND(Rate_Type="Fixed",H72="2 Year Fixed"),IF(Defer2&gt;'Product Data'!$P$24,'Product Data'!$P$24,Defer2),IF(AND(Rate_Type="Fixed",H72="5 Year Fixed"),IF(Defer2&gt;'Product Data'!$P$33,'Product Data'!$P$33,Defer2),IF(AND(Rate_Type="Tracker",$H$70="Commercial"),IF(Defer2&gt;0.015,0.015,Defer2),IF(AND(Rate_Type="Tracker",$H$70="Semi-Commercial"),IF(Defer2&gt;0.015,0.015,Defer2),IF(AND(Rate_Type="Tracker",OR($H$70="Residential BTL",$H$70="Retention ")),IF(Defer2&gt;0.02,0.02,Defer2)))))))</f>
        <v>0</v>
      </c>
      <c r="K86" s="648">
        <f>IF(Roll2="",0,IF(OR(OR($H$70="Residential BTL",$H$70="Retention "),$H$70="Retention "),MAX(MIN(Roll2,'Product Data'!$P$12),0),MAX(MIN(Roll2,6),0)))</f>
        <v>0</v>
      </c>
      <c r="L86" s="2008">
        <f>H86-J86</f>
        <v>0</v>
      </c>
      <c r="M86" s="2009">
        <f>M80</f>
        <v>0.7</v>
      </c>
      <c r="N86" s="2010">
        <f>MIN(M86*Property_Value,'Product Data'!$P$16)</f>
        <v>0</v>
      </c>
      <c r="O86" s="2010" t="b">
        <f>IF(AND(OR(OR($H$70="Residential BTL",$H$70="Retention "),$H$70="Retention "),Rate_Type="Fixed"),IFERROR(AO86/($L86/12*(Term-$K86)*'Product Data'!$P$23),0),IF(AND(Rate_Type="Tracker",OR(OR($H$70="Residential BTL",$H$70="Retention "),$H$70="Retention ")),IFERROR(AO86/($L86/12*(Term-$K86)*'Product Data'!$P$17),0),IF(AND($H$70="Semi-Commercial",Rate_Type="Tracker"),IFERROR(AP86/($L86/12*(Term-$K86)*'Product Data'!$P$17),0),IF(AND($H$70="Semi-Commercial",Rate_Type="Fixed"),IFERROR(AP86/($L86/12*(Term-$K86)*'Product Data'!$P$23),0),IF(AND($H$70="Commercial",Rate_Type="Tracker"),IFERROR(AP86/($L86/12*(Term-$K86)*'Product Data'!$P$17),0),IF(AND($H$70="Commercial",Rate_Type="Fixed"),IFERROR(AP86/($L86/12*(Term-$K86)*'Product Data'!$P$23),0)))))))</f>
        <v>0</v>
      </c>
      <c r="P86" s="2010" t="str">
        <f>IF('BTL Calculator'!$H$28="Fixed","",IF(OR(OR($H$70="Residential BTL",$H$70="Retention "),$H$70="Retention "),AO86/((((H86-'Product Data'!$E$3+'Product Data'!$K$2-J86)/12*(Term-K86)))*'Product Data'!$P$18),AP86/((((H86-'Product Data'!$E$3+'Product Data'!$K$2-J86)/12*(Term-K86)))*'Product Data'!$P$18)))</f>
        <v/>
      </c>
      <c r="Q86" s="639">
        <f>IF('BTL Calculator'!$H$28="Tracker",MIN(N86,P86),MIN(O86,N86))</f>
        <v>0</v>
      </c>
      <c r="R86" s="639">
        <f>ROUNDDOWN(Q86,-3)</f>
        <v>0</v>
      </c>
      <c r="S86" s="2044">
        <f t="shared" si="28"/>
        <v>0</v>
      </c>
      <c r="T86" s="2044">
        <f>((H86*IF(RoundDown,R86,Q86)/12))</f>
        <v>0</v>
      </c>
      <c r="U86" s="2044" t="str">
        <f>IF('BTL Calculator'!$H$28="Fixed","",(((L86+$U$73)*IF(RoundDown,R86,Q86)/12)))</f>
        <v/>
      </c>
      <c r="V86" s="2044">
        <f>((L86*IF(RoundDown,R86,Q86)/12))-IF('BTL Calculator'!$CY$11='Product Data'!$AG$9,AE86/Term,0)</f>
        <v>0</v>
      </c>
      <c r="W86" s="2045" t="str">
        <f>IF(OR($H$70="Residential BTL",$H$70="Retention "),IFERROR(AO86/Z86,"-"),IFERROR(AP86/Z86,"-"))</f>
        <v>-</v>
      </c>
      <c r="X86" s="2045" t="str">
        <f>IF('BTL Calculator'!$H$28="Fixed","",IF(OR($H$70="Residential BTL",$H$70="Retention "),IFERROR(AO86/AA86,"-"),IFERROR(AP86/AA86,"-")))</f>
        <v/>
      </c>
      <c r="Y86" s="2045" t="str">
        <f t="shared" si="17"/>
        <v>£00 @ - ICR</v>
      </c>
      <c r="Z86" s="2044">
        <f>(IF(RoundDown,R86,Q86)*L86)/12*(Term-K86)</f>
        <v>0</v>
      </c>
      <c r="AA86" s="2044" t="str">
        <f>IF('BTL Calculator'!$H$28="Fixed","",(IF(RoundDown,R86,Q86)*(H86-'Product Data'!$E$3+'Product Data'!$K$2-J86))/12*(Term-K86))</f>
        <v/>
      </c>
      <c r="AB86" s="2044">
        <f t="shared" si="18"/>
        <v>0</v>
      </c>
      <c r="AC86" s="2044">
        <f t="shared" si="19"/>
        <v>0</v>
      </c>
      <c r="AD86" s="2044">
        <f t="shared" si="13"/>
        <v>0</v>
      </c>
      <c r="AE86" s="2044">
        <f t="shared" si="33"/>
        <v>0</v>
      </c>
      <c r="AF86" s="2046">
        <f t="shared" si="20"/>
        <v>0</v>
      </c>
      <c r="AG86" s="2047">
        <f t="shared" si="21"/>
        <v>0</v>
      </c>
      <c r="AH86" s="2048">
        <f>IF(RoundDown,R86,Q86)*I86</f>
        <v>0</v>
      </c>
      <c r="AI86" s="2048"/>
      <c r="AJ86" s="2048"/>
      <c r="AK86" s="2048" t="str">
        <f t="shared" si="23"/>
        <v>2.00% (£00)</v>
      </c>
      <c r="AL86" s="2049">
        <f>AG86-AH86</f>
        <v>0</v>
      </c>
      <c r="AM86" s="2050" t="e">
        <f t="shared" si="24"/>
        <v>#DIV/0!</v>
      </c>
      <c r="AN86" s="2050" t="e">
        <f t="shared" si="25"/>
        <v>#DIV/0!</v>
      </c>
      <c r="AO86" s="655">
        <f>Rent_Over_Term+AQ86</f>
        <v>0</v>
      </c>
      <c r="AP86" s="655">
        <f t="shared" si="35"/>
        <v>0</v>
      </c>
      <c r="AQ86" s="655">
        <f>'BTL Calculator'!$L$80*Term</f>
        <v>0</v>
      </c>
      <c r="AR86" s="656" t="b">
        <f t="shared" si="26"/>
        <v>0</v>
      </c>
      <c r="AS86" s="67">
        <f t="shared" si="14"/>
        <v>0</v>
      </c>
      <c r="AT86" s="67" t="str">
        <f t="shared" si="15"/>
        <v>-</v>
      </c>
      <c r="AU86" s="67">
        <f t="shared" si="27"/>
        <v>0</v>
      </c>
      <c r="AV86" s="67" t="str">
        <f>IF(IF(Rate_Type="Tracker",X86,W86)&gt;'Product Data'!$P$19,"Y","N")</f>
        <v>Y</v>
      </c>
    </row>
    <row r="87" spans="1:52" ht="18.75" outlineLevel="1" thickBot="1" x14ac:dyDescent="0.4">
      <c r="A87" s="3218"/>
      <c r="B87" s="308" t="str">
        <f>IF('BTL Calculator'!$V$2="Core",0,IF(OR($H$70="Residential BTL",$H$70="Retention "),IF(AND('BTL Calculator'!$G$60=C85,F87='BTL Calculator'!$G$62),1,0),""))</f>
        <v/>
      </c>
      <c r="C87" s="1998"/>
      <c r="D87" s="1999" t="str">
        <f>IF(OR(OR($H$70="Residential BTL",$H$70="Retention "),$H$70="Retention "),15,"")</f>
        <v/>
      </c>
      <c r="E87" s="308" t="str">
        <f>IF(OR(OR($H$70="Residential BTL",$H$70="Retention "),$H$70="Retention "),VALUE(LEFT(F87,1)),"")</f>
        <v/>
      </c>
      <c r="F87" s="2000" t="str">
        <f>IF(OR(OR($H$70="Residential BTL",$H$70="Retention "),$H$70="Retention "),"3) Specialist BTL","")</f>
        <v/>
      </c>
      <c r="G87" s="2032"/>
      <c r="H87" s="2015" t="str">
        <f t="shared" si="34"/>
        <v/>
      </c>
      <c r="I87" s="2017">
        <f t="shared" si="34"/>
        <v>0.02</v>
      </c>
      <c r="J87" s="2670" t="b">
        <f>IF(AND(Rate_Type="Fixed",H72="3 Year Fixed"),IF(Defer2&gt;'Product Data'!$P$24,'Product Data'!$P$24,Defer2),IF(AND(Rate_Type="Fixed",H72="2 Year Fixed"),IF(Defer2&gt;'Product Data'!$P$24,'Product Data'!$P$24,Defer2),IF(AND(Rate_Type="Fixed",H72="5 Year Fixed"),IF(Defer2&gt;'Product Data'!$P$33,'Product Data'!$P$33,Defer2),IF(AND(Rate_Type="Tracker",$H$70="Commercial"),IF(Defer2&gt;0.015,0.015,Defer2),IF(AND(Rate_Type="Tracker",$H$70="Semi-Commercial"),IF(Defer2&gt;0.015,0.015,Defer2),IF(AND(Rate_Type="Tracker",OR($H$70="Residential BTL",$H$70="Retention ")),IF(Defer2&gt;0.02,0.02,Defer2)))))))</f>
        <v>0</v>
      </c>
      <c r="K87" s="651" t="str">
        <f>IF(OR(OR($H$70="Residential BTL",$H$70="Retention "),$H$70="Retention "),IF(Roll2="",0,IF(OR($H$70="Residential BTL",$H$70="Retention "),MAX(MIN(Roll2,'Product Data'!$P$12),0),"")),"")</f>
        <v/>
      </c>
      <c r="L87" s="2008" t="str">
        <f>IF('BTL Calculator'!V2="Core","",IF(OR(OR($H$70="Residential BTL",$H$70="Retention "),$H$70="Retention "),H87-J87,""))</f>
        <v/>
      </c>
      <c r="M87" s="2009" t="str">
        <f>M81</f>
        <v/>
      </c>
      <c r="N87" s="2010" t="str">
        <f>IF(OR(OR($H$70="Residential BTL",$H$70="Retention "),$H$70="Retention "),MIN(M87*Property_Value,'Product Data'!$P$16),"")</f>
        <v/>
      </c>
      <c r="O87" s="2010" t="b">
        <f>IF(AND(OR(OR($H$70="Residential BTL",$H$70="Retention "),$H$70="Retention "),Rate_Type="Fixed"),IFERROR(AO87/($L87/12*(Term-$K87)*'Product Data'!$P$23),0),IF(AND(Rate_Type="Tracker",OR(OR($H$70="Residential BTL",$H$70="Retention "),$H$70="Retention ")),IFERROR(AO87/($L87/12*(Term-$K87)*'Product Data'!$P$17),0),IF(AND($H$70="Semi-Commercial",Rate_Type="Tracker"),IFERROR(AP87/($L87/12*(Term-$K87)*'Product Data'!$P$17),0),IF(AND($H$70="Semi-Commercial",Rate_Type="Fixed"),IFERROR(AP87/($L87/12*(Term-$K87)*'Product Data'!$P$23),0),IF(AND($H$70="Commercial",Rate_Type="Tracker"),IFERROR(AP87/($L87/12*(Term-$K87)*'Product Data'!$P$17),0),IF(AND($H$70="Commercial",Rate_Type="Fixed"),IFERROR(AP87/($L87/12*(Term-$K87)*'Product Data'!$P$23),0)))))))</f>
        <v>0</v>
      </c>
      <c r="P87" s="2010" t="str">
        <f>IF('BTL Calculator'!$H$28="Fixed","",IF(OR(OR($H$70="Residential BTL",$H$70="Retention "),$H$70="Retention "),AO87/((((H87-'Product Data'!$E$3+'Product Data'!$K$2-J87)/12*(Term-K87)))*'Product Data'!$P$18),AP87/((((H87-'Product Data'!$E$3+'Product Data'!$K$2-J87)/12*(Term-K87)))*'Product Data'!$P$18)))</f>
        <v/>
      </c>
      <c r="Q87" s="639" t="str">
        <f>IF(OR($H$70="Residential BTL",$H$70="Retention "),IF('BTL Calculator'!$H$28="Tracker",MIN(N87,P87),MIN(O87,N87)),"")</f>
        <v/>
      </c>
      <c r="R87" s="639" t="str">
        <f>IF(OR($H$70="Residential BTL",$H$70="Retention "),ROUNDDOWN(Q87,-3),"")</f>
        <v/>
      </c>
      <c r="S87" s="2044" t="str">
        <f t="shared" si="28"/>
        <v>-</v>
      </c>
      <c r="T87" s="2722" t="str">
        <f>IFERROR(((H87*IF(RoundDown,R87,Q87)/12)),"-")</f>
        <v>-</v>
      </c>
      <c r="U87" s="2044" t="str">
        <f>IF('BTL Calculator'!$H$28="Fixed","",(((L87+$U$73)*IF(RoundDown,R87,Q87)/12)))</f>
        <v/>
      </c>
      <c r="V87" s="2044" t="str">
        <f>IF('BTL Calculator'!$V$2="Core","",IF(OR($H$70="Residential BTL",$H$70="Retention "),((L87*IF(RoundDown,R87,Q87)/12))-IF('BTL Calculator'!$CY$11='Product Data'!$AG$9,AE87/Term,0),""))</f>
        <v/>
      </c>
      <c r="W87" s="2045" t="str">
        <f>IF(OR($H$70="Residential BTL",$H$70="Retention "),IFERROR(AO87/Z87,"-"),"")</f>
        <v/>
      </c>
      <c r="X87" s="2045" t="str">
        <f>IF('BTL Calculator'!$H$28="Fixed","",IF(OR($H$70="Residential BTL",$H$70="Retention "),IFERROR(AO87/AA87,"-"),IFERROR(AP87/AA87,"-")))</f>
        <v/>
      </c>
      <c r="Y87" s="2045" t="str">
        <f>IF('BTL Calculator'!V2="Core","",IF(OR($H$70="Residential BTL",$H$70="Retention "),TEXT(V87,"£0,0")&amp;" @ "&amp;TEXT(W87,"0%")&amp;" ICR",""))</f>
        <v/>
      </c>
      <c r="Z87" s="2044" t="str">
        <f>IF('BTL Calculator'!$V$2="Core","",IF(OR($H$70="Residential BTL",$H$70="Retention "),(IF(RoundDown,R87,Q87)*L87)/12*(Term-K87),""))</f>
        <v/>
      </c>
      <c r="AA87" s="2044" t="str">
        <f>IF('BTL Calculator'!$H$28="Fixed","",(IF(RoundDown,R87,Q87)*(H87-'Product Data'!$E$3+'Product Data'!$K$2-J87))/12*(Term-K87))</f>
        <v/>
      </c>
      <c r="AB87" s="2044" t="str">
        <f>IF(OR($H$70="Residential BTL",$H$70="Retention "),IFERROR(Monthly_Rent*Term,"-"),"")</f>
        <v/>
      </c>
      <c r="AC87" s="2044" t="str">
        <f>IF(OR($H$70="Residential BTL",$H$70="Retention "),IFERROR($U$22-V87,"-"),"")</f>
        <v/>
      </c>
      <c r="AD87" s="2044" t="e">
        <f t="shared" si="13"/>
        <v>#VALUE!</v>
      </c>
      <c r="AE87" s="2044" t="e">
        <f>IF('BTL Calculator'!$V$2="Core","",K87*L87/12*IF(RoundDown,R87,Q87))</f>
        <v>#VALUE!</v>
      </c>
      <c r="AF87" s="2046" t="str">
        <f>IF(OR($H$70="Residential BTL",$H$70="Retention "),SUM(AD87:AE87),"")</f>
        <v/>
      </c>
      <c r="AG87" s="2047" t="str">
        <f>IF(OR($H$70="Residential BTL",$H$70="Retention "),IF(RoundDown,R87,Q87)-AF87,"")</f>
        <v/>
      </c>
      <c r="AH87" s="2048" t="str">
        <f>IF(OR($H$70="Residential BTL",$H$70="Retention "),IF(RoundDown,R87,Q87)*I87,"")</f>
        <v/>
      </c>
      <c r="AI87" s="2048"/>
      <c r="AJ87" s="2048"/>
      <c r="AK87" s="2048" t="str">
        <f>IF(OR($H$70="Residential BTL",$H$70="Retention "),TEXT(I87,"0.00%")&amp;" ("&amp;TEXT(AH87,"£0,0")&amp;")","")</f>
        <v/>
      </c>
      <c r="AL87" s="2049" t="str">
        <f>IF(OR($H$70="Residential BTL",$H$70="Retention "),AG87-AH87,"")</f>
        <v/>
      </c>
      <c r="AM87" s="2050" t="str">
        <f>IF(OR($H$70="Residential BTL",$H$70="Retention "),AL87/Property_Value,"")</f>
        <v/>
      </c>
      <c r="AN87" s="2050" t="str">
        <f>IF(OR($H$70="Residential BTL",$H$70="Retention "),IF(RoundDown,R87,Q87)/Property_Value,"")</f>
        <v/>
      </c>
      <c r="AO87" s="649" t="str">
        <f>IF(OR($H$70="Residential BTL",$H$70="Retention "),Rent_Over_Term+AQ87,"")</f>
        <v/>
      </c>
      <c r="AP87" s="649"/>
      <c r="AQ87" s="649" t="str">
        <f>IF(OR($H$70="Residential BTL",$H$70="Retention "),'BTL Calculator'!$L$80*Term,"")</f>
        <v/>
      </c>
      <c r="AR87" s="650" t="str">
        <f>IF(OR($H$70="Residential BTL",$H$70="Retention "),IF(ISERROR(FIND("Bespoke",F87,1)),FALSE,TRUE),"")</f>
        <v/>
      </c>
      <c r="AS87" s="287" t="str">
        <f>IF(OR($H$70="Residential BTL",$H$70="Retention "),IFERROR(IF(AND(IF(RoundDown,R87,Q87)=MaxGrossLoan,E87&gt;=$F$36),1,0),"-"),"")</f>
        <v/>
      </c>
      <c r="AT87" s="287" t="str">
        <f>IF(OR($H$70="Residential BTL",$H$70="Retention "),IFERROR(IF(AND(AL87=MaxNetLoan,E87&gt;=$F$36),1,0),"-"),"")</f>
        <v/>
      </c>
      <c r="AU87" s="287" t="str">
        <f>IF(OR($H$70="Residential BTL",$H$70="Retention "),SUM(AS87:AT87),"")</f>
        <v/>
      </c>
      <c r="AV87" s="287" t="str">
        <f>IF(OR($H$70="Residential BTL",$H$70="Retention "),IF(IF(Rate_Type="Tracker",X87,W87)&gt;'Product Data'!$P$19,"Y","N"),"")</f>
        <v/>
      </c>
    </row>
    <row r="88" spans="1:52" outlineLevel="1" x14ac:dyDescent="0.35">
      <c r="A88" s="3218"/>
      <c r="B88" s="308">
        <f>IF(AND('BTL Calculator'!$G$60=C88,F88='BTL Calculator'!$G$62),1,0)</f>
        <v>0</v>
      </c>
      <c r="C88" s="2001" t="s">
        <v>589</v>
      </c>
      <c r="D88" s="1995">
        <v>17</v>
      </c>
      <c r="E88" s="1996">
        <f t="shared" si="16"/>
        <v>1</v>
      </c>
      <c r="F88" s="2002" t="str">
        <f>'BTL Calculator'!$G$62</f>
        <v>1) Standard</v>
      </c>
      <c r="G88" s="2034"/>
      <c r="H88" s="2005" t="e">
        <f>INDEX(H$76:H$78,MATCH($F$88,$F$76:$F$78,0))</f>
        <v>#N/A</v>
      </c>
      <c r="I88" s="2016" t="e">
        <f>INDEX(I$76:I$78,MATCH($F$88,$F$76:$F$78,0))</f>
        <v>#N/A</v>
      </c>
      <c r="J88" s="2352" t="b">
        <f>IF('BTL Calculator'!V2="Core",0,IF(AND(Rate_Type="Fixed",H72="3 Year Fixed"),IF(Defer2&gt;'Product Data'!$P$24,'Product Data'!$P$24,Defer2),IF(AND(Rate_Type="Fixed",H72="2 Year Fixed"),IF(Defer2&gt;'Product Data'!$P$24,'Product Data'!$P$24,Defer2),IF(AND(Rate_Type="Fixed",H72="5 Year Fixed"),IF(Defer2&gt;'Product Data'!$P$33,'Product Data'!$P$33,Defer2),IF(AND(Rate_Type="Tracker",$H$70="Commercial"),IF(Defer2&gt;0.015,0.015,Defer2),IF(AND(Rate_Type="Tracker",$H$70="Semi-Commercial"),IF(Defer2&gt;0.015,0.015,Defer2),IF(AND(Rate_Type="Tracker",OR($H$70="Residential BTL",$H$70="Retention ")),IF(Defer2&gt;0.02,0.02,Defer2))))))))</f>
        <v>0</v>
      </c>
      <c r="K88" s="648" t="e">
        <f>IF('BTL Calculator'!V2="Core",0,INDEX(K$85:K$87,MATCH($F$88,$F$85:$F$87,0)))</f>
        <v>#N/A</v>
      </c>
      <c r="L88" s="2013" t="str">
        <f>IFERROR(H88-J88,"-")</f>
        <v>-</v>
      </c>
      <c r="M88" s="2014" t="e">
        <f>INDEX(M$76:M$78,MATCH($F$88,$F$76:$F$78,0))</f>
        <v>#N/A</v>
      </c>
      <c r="N88" s="2007" t="e">
        <f>MIN(M88*Property_Value,'Product Data'!$P$16)</f>
        <v>#N/A</v>
      </c>
      <c r="O88" s="2007" t="b">
        <f>IF(AND(OR(OR($H$70="Residential BTL",$H$70="Retention "),$H$70="Retention "),Rate_Type="Fixed"),IFERROR(AO88/(IF(AND('BTL Calculator'!V2="Core",L88&lt;0.055),0.055,$L88)/12*(Term-$K88)*'Product Data'!$P$23),0),IF(AND(Rate_Type="Tracker",OR(OR($H$70="Residential BTL",$H$70="Retention "),$H$70="Retention ")),IFERROR(AO88/(IF(AND('BTL Calculator'!V2="Core",L88-BBR+'Product Data'!K2&lt;0.055),0.055,$L88)/12*(Term-$K88)*'Product Data'!$P$17),0),IF(AND($H$70="Semi-Commercial",Rate_Type="Tracker"),IFERROR(AP88/($L88/12*(Term-$K88)*'Product Data'!$P$17),0),IF(AND($H$70="Semi-Commercial",Rate_Type="Fixed"),IFERROR(AP88/($L88/12*(Term-$K88)*'Product Data'!$P$23),0),IF(AND($H$70="Commercial",Rate_Type="Tracker"),IFERROR(AP88/($L88/12*(Term-$K88)*'Product Data'!$P$17),0),IF(AND($H$70="Commercial",Rate_Type="Fixed"),IFERROR(AP88/($L88/12*(Term-$K88)*'Product Data'!$P$23),0)))))))</f>
        <v>0</v>
      </c>
      <c r="P88" s="2007" t="str">
        <f>IF('BTL Calculator'!$H$28="Fixed","",IF(OR(OR($H$70="Residential BTL",$H$70="Retention "),$H$70="Retention "),AO88/((((IF(AND('BTL Calculator'!V2="Core",H88-'Product Data'!$E$3+'Product Data'!$K$2-J88&lt;0.055),0.055,H88-'Product Data'!$E$3+'Product Data'!$K$2-J88))/12*(Term-K88)))*'Product Data'!$P$18),AP88/(((((H88-'Product Data'!$E$3+'Product Data'!$K$2-J88))/12*(Term-K88)))*'Product Data'!$P$18)))</f>
        <v/>
      </c>
      <c r="Q88" s="634" t="e">
        <f>IF('BTL Calculator'!$H$28="Tracker",MIN(N88,P88,'BTL Calculator'!L83),MIN(O88,N88,'BTL Calculator'!L83))</f>
        <v>#N/A</v>
      </c>
      <c r="R88" s="634" t="e">
        <f>ROUNDDOWN(Q88,-3)</f>
        <v>#N/A</v>
      </c>
      <c r="S88" s="2720" t="str">
        <f>IFERROR((IF(RoundDown,R88,Q88)*J88/12*Term)+
(IF(RoundDown,R88,Q88)*L88/12*K88)+
(IF(RoundDown,R88,Q88)*L88/12*(Term-K88)),"-")</f>
        <v>-</v>
      </c>
      <c r="T88" s="2720" t="str">
        <f>IFERROR(((IF(AND('BTL Calculator'!$V$2="Core",H88&lt;0.055),0.055,H88)*IF(RoundDown,R88,Q88)/12)),"-")</f>
        <v>-</v>
      </c>
      <c r="U88" s="2037" t="str">
        <f>IF('BTL Calculator'!$H$28="Fixed","",(((L88+$U$73)*IF(RoundDown,R88,Q88)/12)))</f>
        <v/>
      </c>
      <c r="V88" s="2720" t="str">
        <f>IFERROR(((IF(AND('BTL Calculator'!$V$2="Core",L88&lt;0.055),0.055,L88)*IF(RoundDown,R88,Q88)/12)),"-")</f>
        <v>-</v>
      </c>
      <c r="W88" s="2038" t="str">
        <f>IF(OR($H$70="Residential BTL",$H$70="Retention "),IFERROR(AO88/Z88,"-"),IFERROR(AP88/Z88,"-"))</f>
        <v>-</v>
      </c>
      <c r="X88" s="2038" t="str">
        <f>IF('BTL Calculator'!$H$28="Fixed","",IF(OR($H$70="Residential BTL",$H$70="Retention "),IFERROR(AO88/AA88,"-"),IFERROR(AP88/AA88,"-")))</f>
        <v/>
      </c>
      <c r="Y88" s="2038" t="str">
        <f t="shared" si="17"/>
        <v>- @ - ICR</v>
      </c>
      <c r="Z88" s="2720" t="e">
        <f>(IF(RoundDown,R88,Q88)*L88)/12*(Term-K88)</f>
        <v>#N/A</v>
      </c>
      <c r="AA88" s="2720" t="str">
        <f>IF('BTL Calculator'!$H$28="Fixed","",(IF(RoundDown,R88,Q88)*(IF(AND('BTL Calculator'!$V$2="Core",H88-BBR+'Product Data'!$K$2&lt;0.055),0.055,H88-'Product Data'!$E$3+'Product Data'!$K$2-J88)))/12*(Term-K88))</f>
        <v/>
      </c>
      <c r="AB88" s="2037">
        <f t="shared" si="18"/>
        <v>0</v>
      </c>
      <c r="AC88" s="2037" t="str">
        <f t="shared" si="19"/>
        <v>-</v>
      </c>
      <c r="AD88" s="2037" t="e">
        <f t="shared" si="13"/>
        <v>#N/A</v>
      </c>
      <c r="AE88" s="2037" t="e">
        <f>K88*IF(AND('BTL Calculator'!$V$2="Core",L88&lt;0.055),0.055,L88)/12*IF(RoundDown,R88,Q88)</f>
        <v>#N/A</v>
      </c>
      <c r="AF88" s="2039" t="e">
        <f t="shared" si="20"/>
        <v>#N/A</v>
      </c>
      <c r="AG88" s="2040" t="e">
        <f>IF(RoundDown,R88,Q88)-AF88</f>
        <v>#N/A</v>
      </c>
      <c r="AH88" s="2041" t="e">
        <f t="shared" si="22"/>
        <v>#N/A</v>
      </c>
      <c r="AI88" s="2041"/>
      <c r="AJ88" s="2041"/>
      <c r="AK88" s="2041" t="e">
        <f t="shared" si="23"/>
        <v>#N/A</v>
      </c>
      <c r="AL88" s="2068" t="e">
        <f>AG88-AH88</f>
        <v>#N/A</v>
      </c>
      <c r="AM88" s="2043" t="e">
        <f t="shared" si="24"/>
        <v>#N/A</v>
      </c>
      <c r="AN88" s="2043" t="e">
        <f t="shared" si="25"/>
        <v>#N/A</v>
      </c>
      <c r="AO88" s="845">
        <f>Rent_Over_Term+AQ88</f>
        <v>0</v>
      </c>
      <c r="AP88" s="845">
        <f t="shared" ref="AP88:AP89" si="36">IF($H$72="3 Year Fixed",$X$22*36+AQ88, $X$22*24+AQ88)</f>
        <v>0</v>
      </c>
      <c r="AQ88" s="2071">
        <f>'BTL Calculator'!$L$80*Term</f>
        <v>0</v>
      </c>
      <c r="AR88" s="2072"/>
      <c r="AS88" s="67" t="str">
        <f t="shared" si="14"/>
        <v>-</v>
      </c>
      <c r="AT88" s="67" t="str">
        <f t="shared" si="15"/>
        <v>-</v>
      </c>
      <c r="AU88" s="67">
        <f t="shared" si="27"/>
        <v>0</v>
      </c>
      <c r="AV88" s="67" t="str">
        <f>IF(IF(Rate_Type="Tracker",X88,W88)&gt;'Product Data'!$P$19,"Y","N")</f>
        <v>Y</v>
      </c>
    </row>
    <row r="89" spans="1:52" ht="18.75" outlineLevel="1" thickBot="1" x14ac:dyDescent="0.4">
      <c r="A89" s="3218"/>
      <c r="B89" s="308">
        <f>IF(AND('BTL Calculator'!$G$60=C89,F89='BTL Calculator'!$G$62),1,0)</f>
        <v>0</v>
      </c>
      <c r="C89" s="2003" t="s">
        <v>590</v>
      </c>
      <c r="D89" s="1999">
        <v>18</v>
      </c>
      <c r="E89" s="308">
        <f>VALUE(LEFT(F89,1))</f>
        <v>1</v>
      </c>
      <c r="F89" s="2004" t="str">
        <f>F88</f>
        <v>1) Standard</v>
      </c>
      <c r="G89" s="2035"/>
      <c r="H89" s="2015" t="e">
        <f>H88</f>
        <v>#N/A</v>
      </c>
      <c r="I89" s="2017" t="e">
        <f>I88</f>
        <v>#N/A</v>
      </c>
      <c r="J89" s="2352" t="b">
        <f>IF('BTL Calculator'!V2="Core",0,IF(AND(Rate_Type="Fixed",H72="3 Year Fixed"),IF(Defer2&gt;'Product Data'!$P$24,'Product Data'!$P$24,Defer2),IF(AND(Rate_Type="Fixed",H72="2 Year Fixed"),IF(Defer2&gt;'Product Data'!$P$24,'Product Data'!$P$24,Defer2),IF(AND(Rate_Type="Fixed",H72="5 Year Fixed"),IF(Defer2&gt;'Product Data'!$P$33,'Product Data'!$P$33,Defer2),IF(AND(Rate_Type="Tracker",$H$70="Commercial"),IF(Defer2&gt;0.015,0.015,Defer2),IF(AND(Rate_Type="Tracker",$H$70="Semi-Commercial"),IF(Defer2&gt;0.015,0.015,Defer2),IF(AND(Rate_Type="Tracker",OR($H$70="Residential BTL",$H$70="Retention ")),IF(Defer2&gt;0.02,0.02,Defer2))))))))</f>
        <v>0</v>
      </c>
      <c r="K89" s="648" t="e">
        <f>IF('BTL Calculator'!V2="Core",0,INDEX(K$85:K$87,MATCH($F$88,$F$85:$F$87,0)))</f>
        <v>#N/A</v>
      </c>
      <c r="L89" s="2018" t="str">
        <f>IFERROR(H89-J89,"-")</f>
        <v>-</v>
      </c>
      <c r="M89" s="2069" t="e">
        <f>M88</f>
        <v>#N/A</v>
      </c>
      <c r="N89" s="2012" t="e">
        <f>N88</f>
        <v>#N/A</v>
      </c>
      <c r="O89" s="2715" t="b">
        <f>IF(AND(OR(OR($H$70="Residential BTL",$H$70="Retention "),$H$70="Retention "),Rate_Type="Fixed"),IFERROR(AO89/(IF(AND('BTL Calculator'!V2="Core",L89&lt;0.055),0.055,$L89)/12*(Term-$K89)*'Product Data'!$P$23),0),IF(AND(Rate_Type="Tracker",OR(OR($H$70="Residential BTL",$H$70="Retention "),$H$70="Retention ")),IFERROR(AO89/(IF(AND('BTL Calculator'!V2="Core",L89-BBR+'Product Data'!K3&lt;0.055),0.055,$L89)/12*(Term-$K89)*'Product Data'!$P$17),0),IF(AND($H$70="Semi-Commercial",Rate_Type="Tracker"),IFERROR(AP89/($L89/12*(Term-$K89)*'Product Data'!$P$17),0),IF(AND($H$70="Semi-Commercial",Rate_Type="Fixed"),IFERROR(AP89/($L89/12*(Term-$K89)*'Product Data'!$P$23),0),IF(AND($H$70="Commercial",Rate_Type="Tracker"),IFERROR(AP89/($L89/12*(Term-$K89)*'Product Data'!$P$17),0),IF(AND($H$70="Commercial",Rate_Type="Fixed"),IFERROR(AP89/($L89/12*(Term-$K89)*'Product Data'!$P$23),0)))))))</f>
        <v>0</v>
      </c>
      <c r="P89" s="2010" t="str">
        <f>IF('BTL Calculator'!$H$28="Fixed","",IF(OR(OR($H$70="Residential BTL",$H$70="Retention "),$H$70="Retention "),AO89/((((IF(AND('BTL Calculator'!V2="Core",H89-'Product Data'!$E$3+'Product Data'!$K$2-J89&lt;0.055),0.055,H89-'Product Data'!$E$3+'Product Data'!$K$2-J89))/12*(Term-K89)))*'Product Data'!$P$18),AP89/(((((H89-'Product Data'!$E$3+'Product Data'!$K$2-J89))/12*(Term-K89)))*'Product Data'!$P$18)))</f>
        <v/>
      </c>
      <c r="Q89" s="642" t="e">
        <f>MIN(N89,P89,O89,AR89/(1-(J89/12*IF((Defer_Term_Override="No")*(Rate_Type="Tracker"),Term-K89,Term))-I89-(IF(('BTL Calculator'!H28="Tracker")*(Rolled_Rate_Override="Full Rate"),H89,L89)/12*K89)))</f>
        <v>#N/A</v>
      </c>
      <c r="R89" s="642" t="e">
        <f>ROUNDDOWN(Q89,-3)</f>
        <v>#N/A</v>
      </c>
      <c r="S89" s="2722" t="str">
        <f>IFERROR((IF(RoundDown,R89,Q89)*J89/12*Term)+
(IF(RoundDown,R89,Q89)*L89/12*K89)+
(IF(RoundDown,R89,Q89)*L89/12*(Term-K89)),"-")</f>
        <v>-</v>
      </c>
      <c r="T89" s="2721" t="str">
        <f>IFERROR(((IF(AND('BTL Calculator'!$V$2="Core",H89&lt;0.055),0.055,H89)*IF(RoundDown,R89,Q89)/12)),"-")</f>
        <v>-</v>
      </c>
      <c r="U89" s="2051" t="str">
        <f>IF('BTL Calculator'!$H$28="Fixed","",(((L89+$U$73)*IF(RoundDown,R89,Q89)/12)))</f>
        <v/>
      </c>
      <c r="V89" s="2721" t="str">
        <f>IFERROR(((IF(AND('BTL Calculator'!$V$2="Core",L89&lt;0.055),0.055,L89)*IF(RoundDown,R89,Q89)/12)),"-")</f>
        <v>-</v>
      </c>
      <c r="W89" s="2052" t="str">
        <f>IF(OR($H$70="Residential BTL",$H$70="Retention "),IFERROR(AO89/Z89,"-"),IFERROR(AP89/Z89,"-"))</f>
        <v>-</v>
      </c>
      <c r="X89" s="2052" t="str">
        <f>IF('BTL Calculator'!$H$28="Fixed","",IF(OR($H$70="Residential BTL",$H$70="Retention "),IFERROR(AO89/AA89,"-"),IFERROR(AP89/AA89,"-")))</f>
        <v/>
      </c>
      <c r="Y89" s="2052" t="str">
        <f t="shared" si="17"/>
        <v>- @ - ICR</v>
      </c>
      <c r="Z89" s="2721" t="e">
        <f>(IF(RoundDown,R89,Q89)*L89)/12*(Term-K89)</f>
        <v>#N/A</v>
      </c>
      <c r="AA89" s="2721" t="str">
        <f>IF('BTL Calculator'!$H$28="Fixed","",(IF(RoundDown,R89,Q89)*(IF(AND('BTL Calculator'!$V$2="Core",H89-BBR+'Product Data'!$K$2&lt;0.055),0.055,H89-'Product Data'!$E$3+'Product Data'!$K$2-J89)))/12*(Term-K89))</f>
        <v/>
      </c>
      <c r="AB89" s="2051">
        <f t="shared" si="18"/>
        <v>0</v>
      </c>
      <c r="AC89" s="2051" t="str">
        <f t="shared" si="19"/>
        <v>-</v>
      </c>
      <c r="AD89" s="2051" t="e">
        <f t="shared" si="13"/>
        <v>#N/A</v>
      </c>
      <c r="AE89" s="2722" t="e">
        <f>K89*IF(AND('BTL Calculator'!$V$2="Core",L89&lt;0.055),0.055,L89)/12*IF(RoundDown,R89,Q89)</f>
        <v>#N/A</v>
      </c>
      <c r="AF89" s="2053" t="e">
        <f>SUM(AD89:AE89)</f>
        <v>#N/A</v>
      </c>
      <c r="AG89" s="2054" t="e">
        <f>IF(RoundDown,R89,Q89)-AF89</f>
        <v>#N/A</v>
      </c>
      <c r="AH89" s="2055" t="e">
        <f t="shared" si="22"/>
        <v>#N/A</v>
      </c>
      <c r="AI89" s="2055"/>
      <c r="AJ89" s="2055"/>
      <c r="AK89" s="2055" t="e">
        <f t="shared" si="23"/>
        <v>#N/A</v>
      </c>
      <c r="AL89" s="2070" t="e">
        <f>AG89-AH89</f>
        <v>#N/A</v>
      </c>
      <c r="AM89" s="2050" t="e">
        <f t="shared" si="24"/>
        <v>#N/A</v>
      </c>
      <c r="AN89" s="2050" t="e">
        <f t="shared" si="25"/>
        <v>#N/A</v>
      </c>
      <c r="AO89" s="846">
        <f>Rent_Over_Term+AQ89</f>
        <v>0</v>
      </c>
      <c r="AP89" s="846">
        <f t="shared" si="36"/>
        <v>0</v>
      </c>
      <c r="AQ89" s="2074">
        <f>'BTL Calculator'!$L$80*Term</f>
        <v>0</v>
      </c>
      <c r="AR89" s="2075">
        <f>'BTL Calculator'!L83</f>
        <v>350000</v>
      </c>
      <c r="AS89" s="67" t="str">
        <f t="shared" si="14"/>
        <v>-</v>
      </c>
      <c r="AT89" s="67" t="str">
        <f t="shared" si="15"/>
        <v>-</v>
      </c>
      <c r="AU89" s="67">
        <f t="shared" si="27"/>
        <v>0</v>
      </c>
      <c r="AV89" s="67" t="str">
        <f>IF(IF(Rate_Type="Tracker",X89,W89)&gt;'Product Data'!$P$19,"Y","N")</f>
        <v>Y</v>
      </c>
    </row>
    <row r="90" spans="1:52" ht="18.75" outlineLevel="1" thickBot="1" x14ac:dyDescent="0.4">
      <c r="A90" s="3218"/>
      <c r="B90" s="2030"/>
      <c r="C90" s="657" t="s">
        <v>591</v>
      </c>
      <c r="D90" s="658" t="e">
        <f>INDEX(D76:D89,MATCH(1,$B$76:$B$89,0))</f>
        <v>#N/A</v>
      </c>
      <c r="E90" s="848" t="e">
        <f>LEFT(F90,1)</f>
        <v>#N/A</v>
      </c>
      <c r="F90" s="659" t="e">
        <f>INDEX(F76:F89,MATCH(1,$B$76:$B$89,0))</f>
        <v>#N/A</v>
      </c>
      <c r="G90" s="2036"/>
      <c r="H90" s="660" t="e">
        <f t="shared" ref="H90:N90" si="37">INDEX(H76:H89,MATCH(1,$B$76:$B$89,0))</f>
        <v>#N/A</v>
      </c>
      <c r="I90" s="661" t="e">
        <f t="shared" si="37"/>
        <v>#N/A</v>
      </c>
      <c r="J90" s="1953" t="e">
        <f t="shared" si="37"/>
        <v>#N/A</v>
      </c>
      <c r="K90" s="662" t="e">
        <f t="shared" si="37"/>
        <v>#N/A</v>
      </c>
      <c r="L90" s="2059" t="e">
        <f t="shared" si="37"/>
        <v>#N/A</v>
      </c>
      <c r="M90" s="2060" t="e">
        <f t="shared" si="37"/>
        <v>#N/A</v>
      </c>
      <c r="N90" s="2061" t="e">
        <f t="shared" si="37"/>
        <v>#N/A</v>
      </c>
      <c r="O90" s="2717" t="b">
        <f>IF(AND(OR(OR($H$70="Residential BTL",$H$70="Retention "),$H$70="Retention "),Rate_Type="Fixed"),IFERROR(AO90/(IF(AND('BTL Calculator'!V2="Core",L90&lt;0.055),0.055,$L90)/12*(Term-$K90)*'Product Data'!$P$23),0),IF(AND(Rate_Type="Tracker",OR(OR($H$70="Residential BTL",$H$70="Retention "),$H$70="Retention ")),IFERROR(AO90/(IF(AND('BTL Calculator'!V2="Core",L90-BBR+'Product Data'!K2&lt;0.055),0.055,$L90)/12*(Term-$K90)*'Product Data'!$P$17),0),IF(AND($H$70="Semi-Commercial",Rate_Type="Tracker"),IFERROR(AP90/($L90/12*(Term-$K90)*'Product Data'!$P$17),0),IF(AND($H$70="Semi-Commercial",Rate_Type="Fixed"),IFERROR(AP90/($L90/12*(Term-$K90)*'Product Data'!$P$23),0),IF(AND($H$70="Commercial",Rate_Type="Tracker"),IFERROR(AP90/($L90/12*(Term-$K90)*'Product Data'!$P$17),0),IF(AND($H$70="Commercial",Rate_Type="Fixed"),IFERROR(AP90/($L90/12*(Term-$K90)*'Product Data'!$P$23),0)))))))</f>
        <v>0</v>
      </c>
      <c r="P90" s="2713" t="str">
        <f>IF('BTL Calculator'!$H$28="Fixed","",IF(OR(OR($H$70="Residential BTL",$H$70="Retention "),$H$70="Retention "),AO90/((((IF(AND('BTL Calculator'!V2="Core",H90-'Product Data'!$E$3+'Product Data'!$K$2-J90&lt;0.055),0.055,H90-'Product Data'!$E$3+'Product Data'!$K$2-J90))/12*(Term-K90)))*'Product Data'!$P$18),AP90/(((((H90-'Product Data'!$E$3+'Product Data'!$K$2-J90))/12*(Term-K90)))*'Product Data'!$P$18)))</f>
        <v/>
      </c>
      <c r="Q90" s="2062" t="e">
        <f>INDEX(Q76:Q89,MATCH(1,$B$76:$B$89,0))</f>
        <v>#N/A</v>
      </c>
      <c r="R90" s="2062" t="e">
        <f>ROUNDDOWN(Q90,-3)</f>
        <v>#N/A</v>
      </c>
      <c r="S90" s="2063" t="str">
        <f>IFERROR((IF(RoundDown,R90,Q90)*J90/12*Term)+
(IF(RoundDown,R90,Q90)*L90/12*K90)+
(IF(RoundDown,R90,Q90)*L90/12*(Term-K90)),"-")</f>
        <v>-</v>
      </c>
      <c r="T90" s="2723" t="str">
        <f>IFERROR(((H90)*IF(RoundDown,R90,Q90)/12),"-")</f>
        <v>-</v>
      </c>
      <c r="U90" s="2063" t="str">
        <f>IF('BTL Calculator'!$H$28="Fixed","",(((L90+$U$73)*IF(RoundDown,R90,Q90)/12)))</f>
        <v/>
      </c>
      <c r="V90" s="2723" t="str">
        <f>IFERROR(((L90)*IF(RoundDown,R90,Q90)/12),"-")</f>
        <v>-</v>
      </c>
      <c r="W90" s="2064" t="str">
        <f>IF(OR($H$70="Residential BTL",$H$70="Retention "),IFERROR(AO90/Z90,"-"),IFERROR(AP90/Z90,"-"))</f>
        <v>-</v>
      </c>
      <c r="X90" s="2064" t="str">
        <f>IF('BTL Calculator'!$H$28="Fixed","",IF(OR($H$70="Residential BTL",$H$70="Retention "),IFERROR(AO90/AA90,"-"),IFERROR(AP90/AA90,"-")))</f>
        <v/>
      </c>
      <c r="Y90" s="2064" t="str">
        <f t="shared" si="17"/>
        <v>- @ - ICR</v>
      </c>
      <c r="Z90" s="2063" t="e">
        <f>(IF(RoundDown,R90,Q90)*L90)/12*(Term-K90)</f>
        <v>#N/A</v>
      </c>
      <c r="AA90" s="2723" t="str">
        <f>IF('BTL Calculator'!$H$28="Fixed","",(IF(RoundDown,R90,Q90)*(IF(AND('BTL Calculator'!$V$2="Core",H90-BBR+'Product Data'!$K$2&lt;0.055),0.055,H90-'Product Data'!$E$3+'Product Data'!$K$2-J90)))/12*(Term-K90))</f>
        <v/>
      </c>
      <c r="AB90" s="2063">
        <f t="shared" si="18"/>
        <v>0</v>
      </c>
      <c r="AC90" s="2063" t="e">
        <f>INDEX(AC76:AC89,MATCH(1,$B$76:$B$89,0))</f>
        <v>#N/A</v>
      </c>
      <c r="AD90" s="2063" t="e">
        <f t="shared" si="13"/>
        <v>#N/A</v>
      </c>
      <c r="AE90" s="2063" t="e">
        <f>K90*IF(AND('BTL Calculator'!$V$2="Core",L90&lt;0.055),0.055,L90)/12*IF(RoundDown,R90,Q90)</f>
        <v>#N/A</v>
      </c>
      <c r="AF90" s="2065" t="e">
        <f>INDEX(AF76:AF89,MATCH(1,$B$76:$B$89,0))</f>
        <v>#N/A</v>
      </c>
      <c r="AG90" s="2066" t="e">
        <f>ROUND(INDEX(AG76:AG89,MATCH(1,$B$76:$B$89,0)),0)</f>
        <v>#N/A</v>
      </c>
      <c r="AH90" s="2067" t="e">
        <f>ROUND(INDEX(AH76:AH89,MATCH(1,$B$76:$B$89,0)),0)</f>
        <v>#N/A</v>
      </c>
      <c r="AI90" s="2067"/>
      <c r="AJ90" s="2067"/>
      <c r="AK90" s="2067" t="e">
        <f>INDEX(AK76:AK89,MATCH(1,$B$76:$B$89,0))</f>
        <v>#N/A</v>
      </c>
      <c r="AL90" s="2058" t="e">
        <f>IF(AG90-AH90&lt;0,0,AG90-AH90)</f>
        <v>#N/A</v>
      </c>
      <c r="AM90" s="1340" t="e">
        <f t="shared" si="24"/>
        <v>#N/A</v>
      </c>
      <c r="AN90" s="1340" t="e">
        <f>INDEX(AN76:AN89,MATCH(1,$B$76:$B$89,0))</f>
        <v>#N/A</v>
      </c>
      <c r="AO90" s="2073">
        <f>Rent_Over_Term+AQ90</f>
        <v>0</v>
      </c>
      <c r="AP90" s="2073">
        <f>IF($H$72="3 Year Fixed",$X$22*36+AQ90, $X$22*24+AQ90)</f>
        <v>0</v>
      </c>
      <c r="AQ90" s="2076">
        <f>'BTL Calculator'!$L$80*Term</f>
        <v>0</v>
      </c>
      <c r="AR90" s="2077"/>
      <c r="AS90" s="67" t="str">
        <f t="shared" si="14"/>
        <v>-</v>
      </c>
      <c r="AT90" s="67" t="str">
        <f t="shared" si="15"/>
        <v>-</v>
      </c>
      <c r="AU90" s="67">
        <f t="shared" si="27"/>
        <v>0</v>
      </c>
      <c r="AV90" s="663" t="e">
        <f>INDEX(AV76:AV89,MATCH(1,$B$76:$B$89,0))</f>
        <v>#N/A</v>
      </c>
    </row>
    <row r="91" spans="1:52" x14ac:dyDescent="0.35">
      <c r="Q91" s="2728"/>
      <c r="R91" s="2727"/>
      <c r="S91" s="2729"/>
    </row>
    <row r="93" spans="1:52" ht="18.75" thickBot="1" x14ac:dyDescent="0.4">
      <c r="A93" s="3218" t="s">
        <v>592</v>
      </c>
      <c r="B93" s="2079"/>
      <c r="C93" s="626"/>
      <c r="D93" s="627"/>
      <c r="E93" s="627"/>
      <c r="F93" s="627"/>
      <c r="G93" s="631"/>
      <c r="H93" s="627"/>
      <c r="I93" s="627"/>
      <c r="J93" s="568"/>
      <c r="K93" s="568"/>
      <c r="L93" s="628"/>
      <c r="M93" s="627"/>
      <c r="N93" s="568"/>
      <c r="O93" s="568"/>
      <c r="P93" s="568"/>
      <c r="Q93" s="628"/>
      <c r="R93" s="628"/>
      <c r="S93" s="568"/>
      <c r="T93" s="627"/>
      <c r="U93" s="627"/>
      <c r="V93" s="627"/>
      <c r="W93" s="627"/>
      <c r="X93" s="568"/>
      <c r="Y93" s="627"/>
      <c r="Z93" s="629"/>
      <c r="AA93" s="629"/>
      <c r="AB93" s="629"/>
      <c r="AC93" s="629"/>
      <c r="AD93" s="627"/>
      <c r="AE93" s="627"/>
      <c r="AF93" s="630"/>
      <c r="AG93" s="631"/>
      <c r="AH93" s="627"/>
      <c r="AI93" s="627"/>
      <c r="AJ93" s="627"/>
      <c r="AK93" s="627"/>
      <c r="AL93" s="627"/>
      <c r="AM93" s="627"/>
      <c r="AN93" s="568"/>
      <c r="AO93" s="2093"/>
      <c r="AP93" s="2093"/>
      <c r="AQ93" s="2093"/>
      <c r="AR93" s="2094"/>
      <c r="AS93" s="2079"/>
      <c r="AT93" s="2079"/>
      <c r="AU93" s="2079"/>
      <c r="AV93" s="2079"/>
    </row>
    <row r="94" spans="1:52" x14ac:dyDescent="0.35">
      <c r="A94" s="3218"/>
      <c r="B94" s="308">
        <f>IF(AND('BTL Calculator'!$G$60=C103,F94='BTL Calculator'!$G$62,'BTL Calculator'!V2="Core"),1,IF(AND('BTL Calculator'!$G$60=C94,F94='BTL Calculator'!$G$62),1,0))</f>
        <v>0</v>
      </c>
      <c r="C94" s="1994" t="s">
        <v>108</v>
      </c>
      <c r="D94" s="1995">
        <v>1</v>
      </c>
      <c r="E94" s="1996">
        <f>VALUE(LEFT(F94,1))</f>
        <v>0</v>
      </c>
      <c r="F94" s="1997">
        <f>IF($H$70='Product Data'!$BT5,'Product Data'!$B190,IF($H$70='Product Data'!$BT2,'Product Data'!$B9,IF($H$70='Product Data'!BT3,'Product Data'!B34,IF(H70='Product Data'!BT4,'Product Data'!B47,0))))</f>
        <v>0</v>
      </c>
      <c r="G94" s="2730" t="b">
        <f>IF(AND($H$70='Product Data'!$BT$5,$H$72='Product Data'!$CA$5,L72=0.75),'Product Data'!C195,IF(AND($H$70='Product Data'!$BT$5,$H$72='Product Data'!$CA$5,L72=0.65),'Product Data'!C217,
  IF(AND($H$70='Product Data'!$BT$5,$H$72='Product Data'!$CA$4,L72=0.75),'Product Data'!G195,IF(AND($H$70='Product Data'!$BT$5,$H$72='Product Data'!$CA$4,L72=0.65),'Product Data'!G217,
  IF(AND($H$70='Product Data'!$BT$5,$H$72='Product Data'!$CA$3,L72=0.75),'Product Data'!K195,IF(AND($H$70='Product Data'!$BT$5,$H$72='Product Data'!$CA$3,L72=0.65),'Product Data'!K217,
  IF(AND($H$70='Product Data'!$BT$5,$H$72='Product Data'!$CA$2,L72=0.75),'Product Data'!O195,IF(AND($H$70='Product Data'!$BT$5,$H$72='Product Data'!$CA$2,L72=0.65),'Product Data'!O217,
IF(AND($H$70='Product Data'!$BT$4,$H$72='Product Data'!$CA$4),'Product Data'!C128,IF(AND($H$70='Product Data'!$BT$4,$H$72='Product Data'!$CA$3),'Product Data'!C115,IF(AND($H$70='Product Data'!$BT$4,$H$72='Product Data'!$CA$2),'Product Data'!C51,IF(AND($H$70='Product Data'!$BT$2,$H$72='Product Data'!$CA$4),'Product Data'!C91,IF(AND($H$70='Product Data'!$BT$2,$H$72='Product Data'!$CA$3),'Product Data'!C66,IF(AND($H$70='Product Data'!$BT$2,$H$72='Product Data'!$CA$2),'Product Data'!C15,IF(AND($H$70='Product Data'!$BT$3,$H$72='Product Data'!$CA$4),'Product Data'!C154,IF(AND($H$70='Product Data'!$BT$3,$H$72='Product Data'!$CA$3),'Product Data'!C141,IF(AND($H$70='Product Data'!$BT$3,$H$72='Product Data'!$CA$2),'Product Data'!C38,
IF(AND($H$70='Product Data'!$BT$2,$H$72='Product Data'!$CA$5),'Product Data'!C170))))))))))))))))))</f>
        <v>0</v>
      </c>
      <c r="H94" s="2005" t="b">
        <f>IF(AND(F94=Product_Selected,Rate_Override&lt;&gt;0, Rate_Override&lt;&gt;""),Rate_Override+G94,G94)</f>
        <v>0</v>
      </c>
      <c r="I94" s="2016">
        <f>IF(H70= "Retention ", IF('BTL Calculator'!$H$33&lt;&gt;"",3.5%-'BTL Calculator'!$H$33,3.5%),IF('BTL Calculator'!$H$33&lt;&gt;"",4%-'BTL Calculator'!$H$33,4%))</f>
        <v>0.04</v>
      </c>
      <c r="J94" s="632"/>
      <c r="K94" s="633"/>
      <c r="L94" s="2005">
        <f>IFERROR(H94-J94,"-")</f>
        <v>0</v>
      </c>
      <c r="M94" s="2006">
        <f xml:space="preserve">
IF(AND(H70="Retention ",L72=0.65),0.65,
IF(AND(H70="Retention ",L72=0.75),0.75,
IF(OR($H$70="Residential BTL",$H$70="Retention "),INDEX($O$36:$R$36,MATCH(D94,$O$38:$R$38,0)),70%)))</f>
        <v>0.7</v>
      </c>
      <c r="N94" s="2007">
        <f>MIN(M94*Property_Value,'Product Data'!$P$16)</f>
        <v>0</v>
      </c>
      <c r="O94" s="2714" t="b">
        <f>IF(AND(OR(OR($H$70="Residential BTL",$H$70="Retention "),$H$70="Retention "),Rate_Type="Fixed"),IFERROR(AO94/(IF(AND('BTL Calculator'!V2="Core",L94&lt;0.055),0.055,$L94)/12*(Term-$K94)*'Product Data'!$P$23),0),
IF(AND(Rate_Type="Tracker",OR(OR($H$70="Residential BTL",$H$70="Retention "),$H$70="Retention ")),IFERROR(AO94/(IF(AND('BTL Calculator'!V2="Core",L94-BBR+'Product Data'!K2&lt;0.055),0.055,$L94)/12*(Term-$K94)*'Product Data'!$P$17),0),
IF(AND($H$70="Semi-Commercial",Rate_Type="Tracker"),IFERROR(AP94/($L94/12*(Term-$K94)*'Product Data'!$P$17),0),
IF(AND($H$70="Semi-Commercial",Rate_Type="Fixed"),IFERROR(AP94/($L94/12*(Term-$K94)*'Product Data'!$P$23),0),
IF(AND($H$70="Commercial",Rate_Type="Tracker"),IFERROR(AP94/($L94/12*(Term-$K94)*'Product Data'!$P$17),0),
IF(AND($H$70="Commercial",Rate_Type="Fixed"),IFERROR(AP94/($L94/12*(Term-$K94)*'Product Data'!$P$23),0)))))))</f>
        <v>0</v>
      </c>
      <c r="P94" s="2007" t="str">
        <f>IF('BTL Calculator'!$H$28="Fixed","",IF(OR(OR($H$70="Residential BTL",$H$70="Retention "),$H$70="Retention "),AO94/((((IF(AND('BTL Calculator'!V2="Core",H94-'Product Data'!$E$3+'Product Data'!$K$2-J94&lt;0.055),0.055,H94-'Product Data'!$E$3+'Product Data'!$K$3-J94))/12*(Term-K94)))*'Product Data'!$P$18),AP94/(((((H94-'Product Data'!$E$3+'Product Data'!$K$2-J94))/12*(Term-K94)))*'Product Data'!$P$18)))</f>
        <v/>
      </c>
      <c r="Q94" s="634">
        <f>IF('BTL Calculator'!$H$28="Tracker",MIN(N94,P94),MIN(O94,N94))</f>
        <v>0</v>
      </c>
      <c r="R94" s="634">
        <f>ROUNDDOWN(Q94,-3)</f>
        <v>0</v>
      </c>
      <c r="S94" s="2037">
        <f>IFERROR((IF(RoundDown,R94,Q94)*J94/12*Term)+
(IF(RoundDown,R94,Q94)*L94/12*K94)+
(IF(RoundDown,R94,Q94)*L94/12*(Term-K94)),"-")</f>
        <v>0</v>
      </c>
      <c r="T94" s="2720">
        <f>IFERROR(((H94)*IF(RoundDown,R94,Q94)/12),"-")</f>
        <v>0</v>
      </c>
      <c r="U94" s="2037" t="str">
        <f>IF('BTL Calculator'!$H$28="Fixed","",(((L94+$U$73)*IF(RoundDown,R94,Q94)/12)))</f>
        <v/>
      </c>
      <c r="V94" s="2720">
        <f>IFERROR(((L94)*IF(RoundDown,R94,Q94)/12),"-")</f>
        <v>0</v>
      </c>
      <c r="W94" s="2038" t="str">
        <f>IF(OR($H$70="Residential BTL",$H$70="Retention "),IFERROR(AO94/Z94,"-"),IFERROR(AP94/Z94,"-"))</f>
        <v>-</v>
      </c>
      <c r="X94" s="2038" t="str">
        <f>IF('BTL Calculator'!$H$28="Fixed","",IF(OR($H$70="Residential BTL",$H$70="Retention "),IFERROR(AO94/AA94,"-"),IFERROR(AP94/AA94,"-")))</f>
        <v/>
      </c>
      <c r="Y94" s="2038" t="str">
        <f>TEXT(V94,"£0,0")&amp;" @ "&amp;TEXT(W94,"0%")&amp;" ICR"</f>
        <v>£00 @ - ICR</v>
      </c>
      <c r="Z94" s="2037">
        <f>(IF(RoundDown,R94,Q94)*L94)/12*(Term-K94)</f>
        <v>0</v>
      </c>
      <c r="AA94" s="2720" t="str">
        <f>IF('BTL Calculator'!$H$28="Fixed","",(IF(RoundDown,R94,Q94)*(IF(AND('BTL Calculator'!$V$2="Core",H94-BBR+'Product Data'!$K$2&lt;0.055),0.055,H94-'Product Data'!$E$3+'Product Data'!$K$2-J94)))/12*(Term-K94))</f>
        <v/>
      </c>
      <c r="AB94" s="2037">
        <f t="shared" ref="AB94:AB108" si="38">IFERROR(Monthly_Rent*Term,"-")</f>
        <v>0</v>
      </c>
      <c r="AC94" s="2037">
        <f>IFERROR($U$22-V94,"-")</f>
        <v>0</v>
      </c>
      <c r="AD94" s="2037">
        <f t="shared" ref="AD94:AD108" si="39">((J94*IF(RoundDown,R94,Q94))/12)*Term</f>
        <v>0</v>
      </c>
      <c r="AE94" s="2037">
        <f>K94*IF(AND('BTL Calculator'!$V$2="Core",L94&lt;0.055),0.055,L94)/12*IF(RoundDown,R94,Q94)</f>
        <v>0</v>
      </c>
      <c r="AF94" s="2039">
        <f>SUM(AD94:AE94)</f>
        <v>0</v>
      </c>
      <c r="AG94" s="2040">
        <f t="shared" ref="AG94:AG107" si="40">AL94+AI94</f>
        <v>0</v>
      </c>
      <c r="AH94" s="2041">
        <f t="shared" ref="AH94:AH99" si="41">+AI94+AJ94</f>
        <v>0</v>
      </c>
      <c r="AI94" s="2041">
        <f t="shared" ref="AI94:AI107" si="42">+IF(RoundDown,R94,Q94)*0.02</f>
        <v>0</v>
      </c>
      <c r="AJ94" s="2041">
        <f t="shared" ref="AJ94:AJ107" si="43">+IF(RoundDown,R94,Q94)*I94-AI94</f>
        <v>0</v>
      </c>
      <c r="AK94" s="2041" t="str">
        <f t="shared" ref="AK94:AK104" si="44">TEXT(I94,"0.00%")&amp;" ("&amp;TEXT(AH94,"£0,0")&amp;")"</f>
        <v>4.00% (£00)</v>
      </c>
      <c r="AL94" s="2042">
        <f>IF(RoundDown,R94,Q94)-AD94-AE94-AH94</f>
        <v>0</v>
      </c>
      <c r="AM94" s="2043" t="e">
        <f t="shared" ref="AM94:AM98" si="45">AL94/Property_Value</f>
        <v>#DIV/0!</v>
      </c>
      <c r="AN94" s="2043" t="e">
        <f t="shared" ref="AN94:AN107" si="46">IF(RoundDown,R94,Q94)/Property_Value</f>
        <v>#DIV/0!</v>
      </c>
      <c r="AO94" s="635">
        <f>Rent_Over_Term+AQ94</f>
        <v>0</v>
      </c>
      <c r="AP94" s="635">
        <f t="shared" ref="AP94:AP95" si="47">IF($H$72="3 Year Fixed",$X$22*36+AQ94, $X$22*24+AQ94)</f>
        <v>0</v>
      </c>
      <c r="AQ94" s="635">
        <f>'BTL Calculator'!$I$80*Term</f>
        <v>0</v>
      </c>
      <c r="AR94" s="636" t="b">
        <f>IF(ISERROR(FIND("Bespoke",F76,1)),FALSE,TRUE)</f>
        <v>0</v>
      </c>
      <c r="AS94" s="287">
        <f t="shared" ref="AS94:AS108" si="48">IFERROR(IF(AND(IF(RoundDown,R94,Q94)=$E$70,E94&gt;=$F$36),1,0),"-")</f>
        <v>0</v>
      </c>
      <c r="AT94" s="287" t="str">
        <f>IFERROR(IF(AND(AL94=$E$71,E94&gt;=$F$36),1,0),"-")</f>
        <v>-</v>
      </c>
      <c r="AU94" s="287">
        <f>SUM(AS94:AT94)</f>
        <v>0</v>
      </c>
      <c r="AV94" s="287" t="str">
        <f>IF(IF(Rate_Type="Tracker",X94,W94)&gt;'Product Data'!$P$19,"Y","N")</f>
        <v>Y</v>
      </c>
      <c r="AY94" s="2041" t="e">
        <f t="shared" ref="AY94:AY99" si="49">+IF(RoundDown,AH94,AG94)*Y94-AZ94</f>
        <v>#VALUE!</v>
      </c>
      <c r="AZ94" s="2041">
        <f t="shared" ref="AZ94:AZ99" si="50">+IF(RoundDown,AH94,AG94)*0.02</f>
        <v>0</v>
      </c>
    </row>
    <row r="95" spans="1:52" x14ac:dyDescent="0.35">
      <c r="A95" s="3218"/>
      <c r="B95" s="308">
        <f>IF(AND('BTL Calculator'!$G$60=C103,F95='BTL Calculator'!$G$62,'BTL Calculator'!$V$2="Core"),1,IF(AND('BTL Calculator'!$G$60=C94,F95='BTL Calculator'!$G$62),1,0))</f>
        <v>0</v>
      </c>
      <c r="C95" s="1998"/>
      <c r="D95" s="1999">
        <v>2</v>
      </c>
      <c r="E95" s="308">
        <f t="shared" ref="E95:E106" si="51">VALUE(LEFT(F95,1))</f>
        <v>0</v>
      </c>
      <c r="F95" s="2000">
        <f>IF($H$70='Product Data'!$BT5,'Product Data'!$B191,IF($H$70='Product Data'!$BT2,'Product Data'!$B10,IF($H$70='Product Data'!BT3,'Product Data'!B35,IF(H70='Product Data'!BT4,'Product Data'!B48,0))))</f>
        <v>0</v>
      </c>
      <c r="G95" s="2331" t="b">
        <f>IF(AND($H$70='Product Data'!$BT$5,$H$72='Product Data'!$CA$5,L72=0.75),'Product Data'!C196,IF(AND($H$70='Product Data'!$BT$5,$H$72='Product Data'!$CA$5,L72=0.65),'Product Data'!C218,
  IF(AND($H$70='Product Data'!$BT$5,$H$72='Product Data'!$CA$4,L72=0.75),'Product Data'!G196,IF(AND($H$70='Product Data'!$BT$5,$H$72='Product Data'!$CA$4,L72=0.65),'Product Data'!G218,
  IF(AND($H$70='Product Data'!$BT$5,$H$72='Product Data'!$CA$3,L72=0.75),'Product Data'!K196,IF(AND($H$70='Product Data'!$BT$5,$H$72='Product Data'!$CA$3,L72=0.65),'Product Data'!K218,
  IF(AND($H$70='Product Data'!$BT$5,$H$72='Product Data'!$CA$2,L72=0.75),'Product Data'!O196,IF(AND($H$70='Product Data'!$BT$5,$H$72='Product Data'!$CA$2,L72=0.65),'Product Data'!O218,
IF(AND($H$70='Product Data'!$BT$4,$H$72='Product Data'!$CA$4),'Product Data'!C129,IF(AND($H$70='Product Data'!$BT$4,$H$72='Product Data'!$CA$3),'Product Data'!C116,IF(AND($H$70='Product Data'!$BT$4,$H$72='Product Data'!$CA$2),'Product Data'!C52,IF(AND($H$70='Product Data'!$BT$2,$H$72='Product Data'!$CA$4),'Product Data'!C92,IF(AND($H$70='Product Data'!$BT$2,$H$72='Product Data'!$CA$3),'Product Data'!C67,IF(AND($H$70='Product Data'!$BT$2,$H$72='Product Data'!$CA$2),'Product Data'!C16,IF(AND($H$70='Product Data'!$BT$3,$H$72='Product Data'!$CA$4),'Product Data'!C155,IF(AND($H$70='Product Data'!$BT$3,$H$72='Product Data'!$CA$3),'Product Data'!C142,IF(AND($H$70='Product Data'!$BT$3,$H$72='Product Data'!$CA$2),'Product Data'!C39,
IF(AND($H$70='Product Data'!$BT$2,$H$72='Product Data'!$CA$5),'Product Data'!C171))))))))))))))))))</f>
        <v>0</v>
      </c>
      <c r="H95" s="2015" t="b">
        <f>IF(AND(F95=Product_Selected,Rate_Override&lt;&gt;0, Rate_Override&lt;&gt;""),Rate_Override+G95,G95)</f>
        <v>0</v>
      </c>
      <c r="I95" s="2017">
        <f>IF(H70= "Retention ", IF('BTL Calculator'!$H$33&lt;&gt;"",3.5%-'BTL Calculator'!$H$33,3.5%),IF('BTL Calculator'!$H$33&lt;&gt;"",4%-'BTL Calculator'!$H$33,4%))</f>
        <v>0.04</v>
      </c>
      <c r="J95" s="637"/>
      <c r="K95" s="638"/>
      <c r="L95" s="2008">
        <f>H95-J95</f>
        <v>0</v>
      </c>
      <c r="M95" s="2009">
        <f xml:space="preserve">
IF(AND(H70="Retention ",L72=0.65),0.65,
IF(AND(H70="Retention ",L72=0.75),0.75,
IF(OR($H$70="Residential BTL",$H$70="Retention "),INDEX($O$36:$R$36,MATCH(D95,$O$38:$R$38,0)),70%)))</f>
        <v>0.7</v>
      </c>
      <c r="N95" s="2010">
        <f>MIN(M95*Property_Value,'Product Data'!$P$16)</f>
        <v>0</v>
      </c>
      <c r="O95" s="2715" t="b">
        <f>IF(AND(OR(OR($H$70="Residential BTL",$H$70="Retention "),$H$70="Retention "),Rate_Type="Fixed"),IFERROR(AO95/(IF(AND('BTL Calculator'!V2="Core",L95&lt;0.055),0.055,$L95)/12*(Term-$K95)*'Product Data'!$P$23),0),IF(AND(Rate_Type="Tracker",OR(OR($H$70="Residential BTL",$H$70="Retention "),$H$70="Retention ")),IFERROR(AO95/(IF(AND('BTL Calculator'!V2="Core",L95-BBR+'Product Data'!K2&lt;0.055),0.055,$L95)/12*(Term-$K95)*'Product Data'!$P$17),0),IF(AND($H$70="Semi-Commercial",Rate_Type="Tracker"),IFERROR(AP95/($L95/12*(Term-$K95)*'Product Data'!$P$17),0),IF(AND($H$70="Semi-Commercial",Rate_Type="Fixed"),IFERROR(AP95/($L95/12*(Term-$K95)*'Product Data'!$P$23),0),IF(AND($H$70="Commercial",Rate_Type="Tracker"),IFERROR(AP95/($L95/12*(Term-$K95)*'Product Data'!$P$17),0),IF(AND($H$70="Commercial",Rate_Type="Fixed"),IFERROR(AP95/($L95/12*(Term-$K95)*'Product Data'!$P$23),0)))))))</f>
        <v>0</v>
      </c>
      <c r="P95" s="2010" t="str">
        <f>IF('BTL Calculator'!$H$28="Fixed","",IF(OR(OR($H$70="Residential BTL",$H$70="Retention "),$H$70="Retention "),AO95/((((IF(AND('BTL Calculator'!V2="Core",H95-'Product Data'!$E$3+'Product Data'!$K$2-J95&lt;0.055),0.055,H95-'Product Data'!$E$3+'Product Data'!$K$3-J95))/12*(Term-K95)))*'Product Data'!$P$18),AP95/(((((H95-'Product Data'!$E$3+'Product Data'!$K$2-J95))/12*(Term-K95)))*'Product Data'!$P$18)))</f>
        <v/>
      </c>
      <c r="Q95" s="639">
        <f>IF('BTL Calculator'!$H$28="Tracker",MIN(N95,P95),MIN(O95,N95))</f>
        <v>0</v>
      </c>
      <c r="R95" s="639">
        <f>ROUNDDOWN(Q95,-3)</f>
        <v>0</v>
      </c>
      <c r="S95" s="2044">
        <f>IFERROR((IF(RoundDown,R95,Q95)*J95/12*Term)+
(IF(RoundDown,R95,Q95)*L95/12*K95)+
(IF(RoundDown,R95,Q95)*L95/12*(Term-K95)),"-")</f>
        <v>0</v>
      </c>
      <c r="T95" s="2721">
        <f>IFERROR(((H95)*IF(RoundDown,R95,Q95)/12),"-")</f>
        <v>0</v>
      </c>
      <c r="U95" s="2044" t="str">
        <f>IF('BTL Calculator'!$H$28="Fixed","",(((L95+$U$73)*IF(RoundDown,R95,Q95)/12)))</f>
        <v/>
      </c>
      <c r="V95" s="2721">
        <f>IFERROR(((L95)*IF(RoundDown,R95,Q95)/12),"-")</f>
        <v>0</v>
      </c>
      <c r="W95" s="2045" t="str">
        <f>IF(OR($H$70="Residential BTL",$H$70="Retention "),IFERROR(AO95/Z95,"-"),IFERROR(AP95/Z95,"-"))</f>
        <v>-</v>
      </c>
      <c r="X95" s="2045" t="str">
        <f>IF('BTL Calculator'!$H$28="Fixed","",IF(OR($H$70="Residential BTL",$H$70="Retention "),IFERROR(AO95/AA95,"-"),IFERROR(AP95/AA95,"-")))</f>
        <v/>
      </c>
      <c r="Y95" s="2045" t="str">
        <f t="shared" ref="Y95:Y108" si="52">TEXT(V95,"£0,0")&amp;" @ "&amp;TEXT(W95,"0%")&amp;" ICR"</f>
        <v>£00 @ - ICR</v>
      </c>
      <c r="Z95" s="2044">
        <f>(IF(RoundDown,R95,Q95)*L95)/12*(Term-K95)</f>
        <v>0</v>
      </c>
      <c r="AA95" s="2721" t="str">
        <f>IF('BTL Calculator'!$H$28="Fixed","",(IF(RoundDown,R95,Q95)*(IF(AND('BTL Calculator'!$V$2="Core",H95-BBR+'Product Data'!$K$2&lt;0.055),0.055,H95-'Product Data'!$E$3+'Product Data'!$K$2-J95)))/12*(Term-K95))</f>
        <v/>
      </c>
      <c r="AB95" s="2044">
        <f t="shared" si="38"/>
        <v>0</v>
      </c>
      <c r="AC95" s="2044">
        <f t="shared" ref="AC95:AC107" si="53">IFERROR($U$22-V95,"-")</f>
        <v>0</v>
      </c>
      <c r="AD95" s="2044">
        <f t="shared" si="39"/>
        <v>0</v>
      </c>
      <c r="AE95" s="2721">
        <f>K95*IF(AND('BTL Calculator'!$V$2="Core",L95&lt;0.055),0.055,L95)/12*IF(RoundDown,R95,Q95)</f>
        <v>0</v>
      </c>
      <c r="AF95" s="2046">
        <f t="shared" ref="AF95:AF107" si="54">SUM(AD95:AE95)</f>
        <v>0</v>
      </c>
      <c r="AG95" s="2047">
        <f t="shared" si="40"/>
        <v>0</v>
      </c>
      <c r="AH95" s="2048">
        <f t="shared" si="41"/>
        <v>0</v>
      </c>
      <c r="AI95" s="2048">
        <f t="shared" si="42"/>
        <v>0</v>
      </c>
      <c r="AJ95" s="2048">
        <f t="shared" si="43"/>
        <v>0</v>
      </c>
      <c r="AK95" s="2048" t="str">
        <f t="shared" si="44"/>
        <v>4.00% (£00)</v>
      </c>
      <c r="AL95" s="2049">
        <f t="shared" ref="AL95:AL108" si="55">IF(RoundDown,R95,Q95)-AD95-AE95-AH95</f>
        <v>0</v>
      </c>
      <c r="AM95" s="2050" t="e">
        <f t="shared" si="45"/>
        <v>#DIV/0!</v>
      </c>
      <c r="AN95" s="2050" t="e">
        <f t="shared" si="46"/>
        <v>#DIV/0!</v>
      </c>
      <c r="AO95" s="640">
        <f>Rent_Over_Term+AQ95</f>
        <v>0</v>
      </c>
      <c r="AP95" s="640">
        <f t="shared" si="47"/>
        <v>0</v>
      </c>
      <c r="AQ95" s="640">
        <f>'BTL Calculator'!$I$80*Term</f>
        <v>0</v>
      </c>
      <c r="AR95" s="641" t="b">
        <f>IF(ISERROR(FIND("Bespoke",F77,1)),FALSE,TRUE)</f>
        <v>0</v>
      </c>
      <c r="AS95" s="287">
        <f t="shared" si="48"/>
        <v>0</v>
      </c>
      <c r="AT95" s="287" t="str">
        <f t="shared" ref="AT95:AT108" si="56">IFERROR(IF(AND(AL95=$E$71,E95&gt;=$F$36),1,0),"-")</f>
        <v>-</v>
      </c>
      <c r="AU95" s="287">
        <f t="shared" ref="AU95:AU108" si="57">SUM(AS95:AT95)</f>
        <v>0</v>
      </c>
      <c r="AV95" s="287" t="str">
        <f>IF(IF(Rate_Type="Tracker",X95,W95)&gt;'Product Data'!$P$19,"Y","N")</f>
        <v>Y</v>
      </c>
      <c r="AY95" s="2048" t="e">
        <f t="shared" si="49"/>
        <v>#VALUE!</v>
      </c>
      <c r="AZ95" s="2048">
        <f t="shared" si="50"/>
        <v>0</v>
      </c>
    </row>
    <row r="96" spans="1:52" ht="18.75" thickBot="1" x14ac:dyDescent="0.4">
      <c r="A96" s="3218"/>
      <c r="B96" s="308" t="str">
        <f>IF(OR($H$70="Residential BTL",$H$70="Retention "),IF(AND('BTL Calculator'!$G$60=C94,F96='BTL Calculator'!$G$62),1,0),"")</f>
        <v/>
      </c>
      <c r="C96" s="1998"/>
      <c r="D96" s="1999" t="str">
        <f>IF(OR(OR($H$70="Residential BTL",$H$70="Retention "),$H$70="Retention "),3,"")</f>
        <v/>
      </c>
      <c r="E96" s="308" t="str">
        <f>IF(OR(OR($H$70="Residential BTL",$H$70="Retention "),$H$70="Retention "),VALUE(LEFT(F96,1)),"")</f>
        <v/>
      </c>
      <c r="F96" s="2000" t="str">
        <f>IF(OR(OR($H$70="Residential BTL",$H$70="Retention "),$H$70="Retention "),"3) Specialist BTL","")</f>
        <v/>
      </c>
      <c r="G96" s="2331" t="str">
        <f>IF(AND($H$70='Product Data'!$BT$5,$H$72='Product Data'!$CA$5,L72=0.75),'Product Data'!C197,IF(AND($H$70='Product Data'!$BT$5,$H$72='Product Data'!$CA$5,L72=0.65),'Product Data'!C219,
  IF(AND($H$70='Product Data'!$BT$5,$H$72='Product Data'!$CA$4,L72=0.75),'Product Data'!G197,IF(AND($H$70='Product Data'!$BT$5,$H$72='Product Data'!$CA$4,L72=0.65),'Product Data'!G219,
  IF(AND($H$70='Product Data'!$BT$5,$H$72='Product Data'!$CA$3,L72=0.75),'Product Data'!K197,IF(AND($H$70='Product Data'!$BT$5,$H$72='Product Data'!$CA$3,L72=0.65),'Product Data'!K219,
  IF(AND($H$70='Product Data'!$BT$5,$H$72='Product Data'!$CA$2,L72=0.75),'Product Data'!O197,IF(AND($H$70='Product Data'!$BT$5,$H$72='Product Data'!$CA$2,L72=0.65),'Product Data'!O219,
IF(H70="Residential BTL",IF(H72='Product Data'!CA2,'Product Data'!C17,IF(H72='Product Data'!CA3,'Product Data'!C68,IF(H72='Product Data'!CA4,'Product Data'!C93,IF(H72='Product Data'!CA5,'Product Data'!C172)))),"")))))))))</f>
        <v/>
      </c>
      <c r="H96" s="2015" t="str">
        <f>IF(AND(F96=Product_Selected,Rate_Override&lt;&gt;0, Rate_Override&lt;&gt;""),Rate_Override+G96,G96)</f>
        <v/>
      </c>
      <c r="I96" s="2017">
        <f>I95</f>
        <v>0.04</v>
      </c>
      <c r="J96" s="637"/>
      <c r="K96" s="638"/>
      <c r="L96" s="2008" t="str">
        <f>IF('BTL Calculator'!V2="Core","",IF(OR(OR($H$70="Residential BTL",$H$70="Retention "),$H$70="Retention "),H96-J96,""))</f>
        <v/>
      </c>
      <c r="M96" s="2009" t="str">
        <f xml:space="preserve">
IF(AND(H70="Retention ",L72=0.65),0.65,
IF(AND(H70="Retention ",L72=0.75),0.75,
IF(OR($H$70="Residential BTL",$H$70="Retention "),INDEX($O$36:$R$36,MATCH(D96,$O$38:$R$38,0)),"")))</f>
        <v/>
      </c>
      <c r="N96" s="2010" t="str">
        <f>IF(OR(OR($H$70="Residential BTL",$H$70="Retention "),$H$70="Retention "),MIN(M96*Property_Value,'Product Data'!$P$16),"")</f>
        <v/>
      </c>
      <c r="O96" s="2010" t="b">
        <f>IF(AND(OR(OR($H$70="Residential BTL",$H$70="Retention "),$H$70="Retention "),Rate_Type="Fixed"),IFERROR(AO96/($L96/12*(Term-$K96)*'Product Data'!$P$23),0),IF(AND(Rate_Type="Tracker",OR(OR($H$70="Residential BTL",$H$70="Retention "),$H$70="Retention ")),IFERROR(AO96/($L96/12*(Term-$K96)*'Product Data'!$P$17),0),IF(AND($H$70="Semi-Commercial",Rate_Type="Tracker"),IFERROR(AP96/($L96/12*(Term-$K96)*'Product Data'!$P$17),0),IF(AND($H$70="Semi-Commercial",Rate_Type="Fixed"),IFERROR(AP96/($L96/12*(Term-$K96)*'Product Data'!$P$23),0),IF(AND($H$70="Commercial",Rate_Type="Tracker"),IFERROR(AP96/($L96/12*(Term-$K96)*'Product Data'!$P$17),0),IF(AND($H$70="Commercial",Rate_Type="Fixed"),IFERROR(AP96/($L96/12*(Term-$K96)*'Product Data'!$P$23),0)))))))</f>
        <v>0</v>
      </c>
      <c r="P96" s="2012" t="str">
        <f>IF('BTL Calculator'!$H$28="Fixed","",IF(OR(OR($H$70="Residential BTL",$H$70="Retention "),$H$70="Retention "),AO96/((((IF(AND('BTL Calculator'!V2="Core",H96-'Product Data'!$E$3+'Product Data'!$K$2-J96&lt;0.055),0.055,H96-'Product Data'!$E$3+'Product Data'!$K$3-J96))/12*(Term-K96)))*'Product Data'!$P$18),AP96/(((((H96-'Product Data'!$E$3+'Product Data'!$K$2-J96))/12*(Term-K96)))*'Product Data'!$P$18)))</f>
        <v/>
      </c>
      <c r="Q96" s="639" t="str">
        <f>IF(OR($H$70="Residential BTL",$H$70="Retention "),IF('BTL Calculator'!$H$28="Tracker",MIN(N96,P96),MIN(O96,N96)),"")</f>
        <v/>
      </c>
      <c r="R96" s="639" t="str">
        <f>IF(OR($H$70="Residential BTL",$H$70="Retention "),ROUNDDOWN(Q96,-3),"")</f>
        <v/>
      </c>
      <c r="S96" s="2044" t="str">
        <f t="shared" ref="S96:S105" si="58">IFERROR((IF(RoundDown,R96,Q96)*J96/12*Term)+
(IF(RoundDown,R96,Q96)*L96/12*K96)+
(IF(RoundDown,R96,Q96)*L96/12*(Term-K96)),"-")</f>
        <v>-</v>
      </c>
      <c r="T96" s="2044" t="str">
        <f>IF('BTL Calculator'!$V$2="Core","",IF(OR($H$70="Residential BTL",$H$70="Retention "),((H96*IF(RoundDown,R96,Q96)/12)),""))</f>
        <v/>
      </c>
      <c r="U96" s="2044" t="str">
        <f>IF('BTL Calculator'!$H$28="Fixed","",(((L96+$U$73)*IF(RoundDown,R96,Q96)/12)))</f>
        <v/>
      </c>
      <c r="V96" s="2044" t="str">
        <f>IF('BTL Calculator'!$V$2="Core","",IF(OR($H$70="Residential BTL",$H$70="Retention "),((L96*IF(RoundDown,R96,Q96)/12)),""))</f>
        <v/>
      </c>
      <c r="W96" s="2045" t="str">
        <f>IF(OR($H$70="Residential BTL",$H$70="Retention "),IFERROR(AO96/Z96,"-"),"")</f>
        <v/>
      </c>
      <c r="X96" s="2045" t="str">
        <f>IF('BTL Calculator'!$H$28="Fixed","",IF(OR($H$70="Residential BTL",$H$70="Retention "),IFERROR(AO96/AA96,"-"),IFERROR(AP96/AA96,"-")))</f>
        <v/>
      </c>
      <c r="Y96" s="2045" t="str">
        <f>IF(OR($H$70="Residential BTL",$H$70="Retention "),TEXT(V96,"£0,0")&amp;" @ "&amp;TEXT(W96,"0%")&amp;" ICR","")</f>
        <v/>
      </c>
      <c r="Z96" s="2044" t="str">
        <f>IF('BTL Calculator'!$V$2="Core","",IF(OR($H$70="Residential BTL",$H$70="Retention "),(IF(RoundDown,R96,Q96)*L96)/12*(Term-K96),""))</f>
        <v/>
      </c>
      <c r="AA96" s="2044" t="str">
        <f>IF('BTL Calculator'!$H$28="Fixed","",(IF(RoundDown,R96,Q96)*(H96-'Product Data'!$E$3+'Product Data'!$K$2-J96))/12*(Term-K96))</f>
        <v/>
      </c>
      <c r="AB96" s="2044" t="str">
        <f>IF(OR($H$70="Residential BTL",$H$70="Retention "),IFERROR(Monthly_Rent*Term,"-"),"")</f>
        <v/>
      </c>
      <c r="AC96" s="2044" t="str">
        <f>IF(OR($H$70="Residential BTL",$H$70="Retention "),IFERROR($U$22-V96,"-"),"")</f>
        <v/>
      </c>
      <c r="AD96" s="2044" t="e">
        <f t="shared" si="39"/>
        <v>#VALUE!</v>
      </c>
      <c r="AE96" s="2044" t="e">
        <f>IF('BTL Calculator'!$V$2="Core","",K96*L96/12*IF(RoundDown,R96,Q96))</f>
        <v>#VALUE!</v>
      </c>
      <c r="AF96" s="2046" t="str">
        <f>IF(OR($H$70="Residential BTL",$H$70="Retention "),SUM(AD96:AE96),"")</f>
        <v/>
      </c>
      <c r="AG96" s="2047" t="str">
        <f>IF('BTL Calculator'!V2="Core","",IF(OR($H$70="Residential BTL",$H$70="Retention "),AL96+AI96,""))</f>
        <v/>
      </c>
      <c r="AH96" s="2048" t="e">
        <f t="shared" si="41"/>
        <v>#VALUE!</v>
      </c>
      <c r="AI96" s="2048" t="e">
        <f t="shared" si="42"/>
        <v>#VALUE!</v>
      </c>
      <c r="AJ96" s="2048" t="e">
        <f t="shared" si="43"/>
        <v>#VALUE!</v>
      </c>
      <c r="AK96" s="2048" t="str">
        <f>IF(OR($H$70="Residential BTL",$H$70="Retention "),TEXT(I96,"0.00%")&amp;" ("&amp;TEXT(AH96,"£0,0")&amp;")","")</f>
        <v/>
      </c>
      <c r="AL96" s="2049" t="str">
        <f>IF('BTL Calculator'!V2="Core","",IF(OR($H$70="Residential BTL",$H$70="Retention "),IF(RoundDown,R96,Q96)-AD96-AE96-AH96,""))</f>
        <v/>
      </c>
      <c r="AM96" s="2050" t="str">
        <f>IF(OR($H$70="Residential BTL",$H$70="Retention "),AL96/Property_Value,"")</f>
        <v/>
      </c>
      <c r="AN96" s="2050" t="str">
        <f>IF(OR($H$70="Residential BTL",$H$70="Retention "),IF(RoundDown,R96,Q96)/Property_Value,"")</f>
        <v/>
      </c>
      <c r="AO96" s="640" t="str">
        <f>IF(OR($H$70="Residential BTL",$H$70="Retention "),Rent_Over_Term+AQ96,"")</f>
        <v/>
      </c>
      <c r="AP96" s="640"/>
      <c r="AQ96" s="640" t="str">
        <f>IF(OR($H$70="Residential BTL",$H$70="Retention "),'BTL Calculator'!$I$80*Term,"")</f>
        <v/>
      </c>
      <c r="AR96" s="641" t="str">
        <f>IF(OR($H$70="Residential BTL",$H$70="Retention "),IF(ISERROR(FIND("Bespoke",F78,1)),FALSE,TRUE),"")</f>
        <v/>
      </c>
      <c r="AS96" s="287" t="str">
        <f>IF(OR($H$70="Residential BTL",$H$70="Retention "),IFERROR(IF(AND(IF(RoundDown,R96,Q96)=$E$70,E96&gt;=$F$36),1,0),"-"),"")</f>
        <v/>
      </c>
      <c r="AT96" s="287" t="str">
        <f>IF(OR($H$70="Residential BTL",$H$70="Retention "),IFERROR(IF(AND(AL96=$E$71,E96&gt;=$F$36),1,0),"-"),"")</f>
        <v/>
      </c>
      <c r="AU96" s="287" t="str">
        <f>IF(OR($H$70="Residential BTL",$H$70="Retention "),SUM(AS96:AT96),"")</f>
        <v/>
      </c>
      <c r="AV96" s="287" t="str">
        <f>IF(OR($H$70="Residential BTL",$H$70="Retention "),IF(IF(Rate_Type="Tracker",X96,W96)&gt;'Product Data'!$P$19,"Y","N"),"")</f>
        <v/>
      </c>
      <c r="AY96" s="2048" t="e">
        <f t="shared" si="49"/>
        <v>#VALUE!</v>
      </c>
      <c r="AZ96" s="2048" t="e">
        <f t="shared" si="50"/>
        <v>#VALUE!</v>
      </c>
    </row>
    <row r="97" spans="1:52" ht="15.75" customHeight="1" x14ac:dyDescent="0.35">
      <c r="A97" s="3218"/>
      <c r="B97" s="308">
        <f>IF(AND('BTL Calculator'!$G$60=C97,F97='BTL Calculator'!$G$62),1,0)</f>
        <v>0</v>
      </c>
      <c r="C97" s="1994" t="s">
        <v>587</v>
      </c>
      <c r="D97" s="1995">
        <v>5</v>
      </c>
      <c r="E97" s="1996">
        <f t="shared" si="51"/>
        <v>0</v>
      </c>
      <c r="F97" s="1997">
        <f>IF($H$70='Product Data'!$BT5,'Product Data'!$B190,IF($H$70='Product Data'!$BT2,'Product Data'!$B9,IF($H$70='Product Data'!BT3,'Product Data'!B34,IF(H70='Product Data'!BT4,'Product Data'!B47,0))))</f>
        <v>0</v>
      </c>
      <c r="G97" s="2031"/>
      <c r="H97" s="2005" t="b">
        <f t="shared" ref="H97:I102" si="59">H94</f>
        <v>0</v>
      </c>
      <c r="I97" s="2016">
        <f t="shared" si="59"/>
        <v>0.04</v>
      </c>
      <c r="J97" s="2332">
        <f>IF(AND(H70="Retention ",H72="Tracker"),2%,IF(AND($H$70='Product Data'!$BT$2,$H$72='Product Data'!$CA$2),2%,IF(AND($H$70='Product Data'!$BT$3,$H$72='Product Data'!$CA$2),1.5%,IF(AND($H$70='Product Data'!$BT$4,$H$72='Product Data'!$CA$2),1.5%,IF(AND($H$70='Product Data'!$BT$2,$H$72='Product Data'!$CA$5),0.75%,1.25%)))))</f>
        <v>1.2500000000000001E-2</v>
      </c>
      <c r="K97" s="645">
        <f>IF(OR(OR($H$70="Residential BTL",$H$70="Retention "),$H$70="Retention "),IF(Term&lt;36,'Product Data'!$P$11,'Product Data'!$P$13),6)</f>
        <v>6</v>
      </c>
      <c r="L97" s="2005">
        <f>IFERROR(H97-J97,"-")</f>
        <v>-1.2500000000000001E-2</v>
      </c>
      <c r="M97" s="2006">
        <f t="shared" ref="M97:M102" si="60">M94</f>
        <v>0.7</v>
      </c>
      <c r="N97" s="2007">
        <f>MIN(M97*Property_Value,'Product Data'!$P$16)</f>
        <v>0</v>
      </c>
      <c r="O97" s="2007" t="b">
        <f>IF(AND(OR(OR($H$70="Residential BTL",$H$70="Retention "),$H$70="Retention "),Rate_Type="Fixed"),IFERROR(AO97/($L97/12*(Term-$K97)*'Product Data'!$P$23),0),IF(AND(Rate_Type="Tracker",OR(OR($H$70="Residential BTL",$H$70="Retention "),$H$70="Retention ")),IFERROR(AO97/($L97/12*(Term-$K97)*'Product Data'!$P$17),0),IF(AND($H$70="Semi-Commercial",Rate_Type="Tracker"),IFERROR(AP97/($L97/12*(Term-$K97)*'Product Data'!$P$17),0),IF(AND($H$70="Semi-Commercial",Rate_Type="Fixed"),IFERROR(AP97/($L97/12*(Term-$K97)*'Product Data'!$P$23),0),IF(AND($H$70="Commercial",Rate_Type="Tracker"),IFERROR(AP97/($L97/12*(Term-$K97)*'Product Data'!$P$17),0),IF(AND($H$70="Commercial",Rate_Type="Fixed"),IFERROR(AP97/($L97/12*(Term-$K97)*'Product Data'!$P$23),0)))))))</f>
        <v>0</v>
      </c>
      <c r="P97" s="2007" t="str">
        <f>IF('BTL Calculator'!$H$28="Fixed","",IF(OR(OR($H$70="Residential BTL",$H$70="Retention "),$H$70="Retention "),AO97/((((H97-'Product Data'!$E$3+'Product Data'!$K$3-J97)/12*(Term-K97)))*'Product Data'!$P$18),AP97/((((H97-'Product Data'!$E$3+'Product Data'!$K$3-J97)/12*(Term-K97)))*'Product Data'!$P$18)))</f>
        <v/>
      </c>
      <c r="Q97" s="634">
        <f>IF('BTL Calculator'!$H$28="Tracker",MIN(N97,P97),MIN(O97,N97))</f>
        <v>0</v>
      </c>
      <c r="R97" s="634">
        <f>ROUNDDOWN(Q97,-3)</f>
        <v>0</v>
      </c>
      <c r="S97" s="2037">
        <f t="shared" si="58"/>
        <v>0</v>
      </c>
      <c r="T97" s="2037">
        <f>IFERROR(((H97*IF(RoundDown,R97,Q97)/12)),"-")</f>
        <v>0</v>
      </c>
      <c r="U97" s="2037" t="str">
        <f>IF('BTL Calculator'!$H$28="Fixed","",(((L97+$U$73)*IF(RoundDown,R97,Q97)/12)))</f>
        <v/>
      </c>
      <c r="V97" s="2037">
        <f>IFERROR(((L97*IF(RoundDown,R97,Q97)/12)),"-")</f>
        <v>0</v>
      </c>
      <c r="W97" s="2038" t="str">
        <f>IF(OR($H$70="Residential BTL",$H$70="Retention "),IFERROR(AO97/Z97,"-"),IFERROR(AP97/Z97,"-"))</f>
        <v>-</v>
      </c>
      <c r="X97" s="2038" t="str">
        <f>IF('BTL Calculator'!$H$28="Fixed","",IF(OR($H$70="Residential BTL",$H$70="Retention "),IFERROR(AO97/AA97,"-"),IFERROR(AP97/AA97,"-")))</f>
        <v/>
      </c>
      <c r="Y97" s="2038" t="str">
        <f t="shared" si="52"/>
        <v>£00 @ - ICR</v>
      </c>
      <c r="Z97" s="2037">
        <f>(IF(RoundDown,R97,Q97)*L97)/12*(Term-K97)</f>
        <v>0</v>
      </c>
      <c r="AA97" s="2037" t="str">
        <f>IF('BTL Calculator'!$H$28="Fixed","",(IF(RoundDown,R97,Q97)*(H97-'Product Data'!$E$3+'Product Data'!$K$2-J97))/12*(Term-K97))</f>
        <v/>
      </c>
      <c r="AB97" s="2037">
        <f t="shared" si="38"/>
        <v>0</v>
      </c>
      <c r="AC97" s="2037">
        <f t="shared" si="53"/>
        <v>0</v>
      </c>
      <c r="AD97" s="2037">
        <f>((J97*IF(RoundDown,R97,Q97))/12)*Term</f>
        <v>0</v>
      </c>
      <c r="AE97" s="2037">
        <f>K97*L97/12*IF(RoundDown,R97,Q97)</f>
        <v>0</v>
      </c>
      <c r="AF97" s="2039">
        <f t="shared" si="54"/>
        <v>0</v>
      </c>
      <c r="AG97" s="2040">
        <f t="shared" si="40"/>
        <v>0</v>
      </c>
      <c r="AH97" s="2041">
        <f t="shared" si="41"/>
        <v>0</v>
      </c>
      <c r="AI97" s="2041">
        <f t="shared" si="42"/>
        <v>0</v>
      </c>
      <c r="AJ97" s="2041">
        <f t="shared" si="43"/>
        <v>0</v>
      </c>
      <c r="AK97" s="2041" t="str">
        <f t="shared" si="44"/>
        <v>4.00% (£00)</v>
      </c>
      <c r="AL97" s="2042">
        <f>IF(RoundDown,R97,Q97)-AD97-AE97-AH97</f>
        <v>0</v>
      </c>
      <c r="AM97" s="2043" t="e">
        <f t="shared" si="45"/>
        <v>#DIV/0!</v>
      </c>
      <c r="AN97" s="2043" t="e">
        <f t="shared" si="46"/>
        <v>#DIV/0!</v>
      </c>
      <c r="AO97" s="646">
        <f>Rent_Over_Term+AQ97</f>
        <v>0</v>
      </c>
      <c r="AP97" s="646">
        <f t="shared" ref="AP97:AP98" si="61">IF($H$72="3 Year Fixed",$X$22*36+AQ97, $X$22*24+AQ97)</f>
        <v>0</v>
      </c>
      <c r="AQ97" s="646">
        <f>'BTL Calculator'!$I$80*Term</f>
        <v>0</v>
      </c>
      <c r="AR97" s="647" t="b">
        <f>IF(ISERROR(FIND("Bespoke",F79,1)),FALSE,TRUE)</f>
        <v>0</v>
      </c>
      <c r="AS97" s="287">
        <f t="shared" si="48"/>
        <v>0</v>
      </c>
      <c r="AT97" s="287" t="str">
        <f t="shared" si="56"/>
        <v>-</v>
      </c>
      <c r="AU97" s="287">
        <f t="shared" si="57"/>
        <v>0</v>
      </c>
      <c r="AV97" s="287" t="str">
        <f>IF(IF(Rate_Type="Tracker",X97,W97)&gt;'Product Data'!$P$19,"Y","N")</f>
        <v>Y</v>
      </c>
      <c r="AY97" s="2041" t="e">
        <f t="shared" si="49"/>
        <v>#VALUE!</v>
      </c>
      <c r="AZ97" s="2041">
        <f t="shared" si="50"/>
        <v>0</v>
      </c>
    </row>
    <row r="98" spans="1:52" x14ac:dyDescent="0.35">
      <c r="A98" s="3218"/>
      <c r="B98" s="308">
        <f>IF(AND('BTL Calculator'!$G$60=C97,F98='BTL Calculator'!$G$62),1,0)</f>
        <v>0</v>
      </c>
      <c r="C98" s="1998"/>
      <c r="D98" s="1999">
        <v>6</v>
      </c>
      <c r="E98" s="308">
        <f t="shared" si="51"/>
        <v>0</v>
      </c>
      <c r="F98" s="2000">
        <f>IF($H$70='Product Data'!$BT5,'Product Data'!$B191,IF($H$70='Product Data'!$BT2,'Product Data'!$B10,IF($H$70='Product Data'!BT3,'Product Data'!B35,IF(H70='Product Data'!BT4,'Product Data'!B48,0))))</f>
        <v>0</v>
      </c>
      <c r="G98" s="2032"/>
      <c r="H98" s="2015" t="b">
        <f t="shared" si="59"/>
        <v>0</v>
      </c>
      <c r="I98" s="2017">
        <f t="shared" si="59"/>
        <v>0.04</v>
      </c>
      <c r="J98" s="2333">
        <f>IF(AND(H70="Retention ",H72="Tracker"),2%,IF(AND($H$70='Product Data'!$BT$2,$H$72='Product Data'!$CA$2),2%,IF(AND($H$70='Product Data'!$BT$3,$H$72='Product Data'!$CA$2),1.5%,IF(AND($H$70='Product Data'!$BT$4,$H$72='Product Data'!$CA$2),1.5%,IF(AND($H$70='Product Data'!$BT$2,$H$72='Product Data'!$CA$5),0.75%,1.25%)))))</f>
        <v>1.2500000000000001E-2</v>
      </c>
      <c r="K98" s="648">
        <f>IF(OR(OR($H$70="Residential BTL",$H$70="Retention "),$H$70="Retention "),IF(Term&lt;36,'Product Data'!$P$11,'Product Data'!$P$13),6)</f>
        <v>6</v>
      </c>
      <c r="L98" s="2008">
        <f>H98-J98</f>
        <v>-1.2500000000000001E-2</v>
      </c>
      <c r="M98" s="2009">
        <f t="shared" si="60"/>
        <v>0.7</v>
      </c>
      <c r="N98" s="2010">
        <f>MIN(M98*Property_Value,'Product Data'!$P$16)</f>
        <v>0</v>
      </c>
      <c r="O98" s="2010" t="b">
        <f>IF(AND(OR(OR($H$70="Residential BTL",$H$70="Retention "),$H$70="Retention "),Rate_Type="Fixed"),IFERROR(AO98/($L98/12*(Term-$K98)*'Product Data'!$P$23),0),IF(AND(Rate_Type="Tracker",OR(OR($H$70="Residential BTL",$H$70="Retention "),$H$70="Retention ")),IFERROR(AO98/($L98/12*(Term-$K98)*'Product Data'!$P$17),0),IF(AND($H$70="Semi-Commercial",Rate_Type="Tracker"),IFERROR(AP98/($L98/12*(Term-$K98)*'Product Data'!$P$17),0),IF(AND($H$70="Semi-Commercial",Rate_Type="Fixed"),IFERROR(AP98/($L98/12*(Term-$K98)*'Product Data'!$P$23),0),IF(AND($H$70="Commercial",Rate_Type="Tracker"),IFERROR(AP98/($L98/12*(Term-$K98)*'Product Data'!$P$17),0),IF(AND($H$70="Commercial",Rate_Type="Fixed"),IFERROR(AP98/($L98/12*(Term-$K98)*'Product Data'!$P$23),0)))))))</f>
        <v>0</v>
      </c>
      <c r="P98" s="2010" t="str">
        <f>IF('BTL Calculator'!$H$28="Fixed","",IF(OR(OR($H$70="Residential BTL",$H$70="Retention "),$H$70="Retention "),AO98/((((H98-'Product Data'!$E$3+'Product Data'!$K$3-J98)/12*(Term-K98)))*'Product Data'!$P$18),AP98/((((H98-'Product Data'!$E$3+'Product Data'!$K$3-J98)/12*(Term-K98)))*'Product Data'!$P$18)))</f>
        <v/>
      </c>
      <c r="Q98" s="639">
        <f>IF('BTL Calculator'!$H$28="Tracker",MIN(N98,P98),MIN(O98,N98))</f>
        <v>0</v>
      </c>
      <c r="R98" s="639">
        <f>ROUNDDOWN(Q98,-3)</f>
        <v>0</v>
      </c>
      <c r="S98" s="2044">
        <f t="shared" si="58"/>
        <v>0</v>
      </c>
      <c r="T98" s="2721">
        <f>IFERROR(((H98*IF(RoundDown,R98,Q98)/12)),"-")</f>
        <v>0</v>
      </c>
      <c r="U98" s="2044" t="str">
        <f>IF('BTL Calculator'!$H$28="Fixed","",(((L98+$U$73)*IF(RoundDown,R98,Q98)/12)))</f>
        <v/>
      </c>
      <c r="V98" s="2044">
        <f>((L98*IF(RoundDown,R98,Q98)/12))-IF('BTL Calculator'!$CY$11='Product Data'!$AG$9,AE98/Term,0)</f>
        <v>0</v>
      </c>
      <c r="W98" s="2045" t="str">
        <f>IF(OR($H$70="Residential BTL",$H$70="Retention "),IFERROR(AO98/Z98,"-"),IFERROR(AP98/Z98,"-"))</f>
        <v>-</v>
      </c>
      <c r="X98" s="2045" t="str">
        <f>IF('BTL Calculator'!$H$28="Fixed","",IF(OR($H$70="Residential BTL",$H$70="Retention "),IFERROR(AO98/AA98,"-"),IFERROR(AP98/AA98,"-")))</f>
        <v/>
      </c>
      <c r="Y98" s="2045" t="str">
        <f t="shared" si="52"/>
        <v>£00 @ - ICR</v>
      </c>
      <c r="Z98" s="2044">
        <f>(IF(RoundDown,R98,Q98)*L98)/12*(Term-K98)</f>
        <v>0</v>
      </c>
      <c r="AA98" s="2044" t="str">
        <f>IF('BTL Calculator'!$H$28="Fixed","",(IF(RoundDown,R98,Q98)*(H98-'Product Data'!$E$3+'Product Data'!$K$2-J98))/12*(Term-K98))</f>
        <v/>
      </c>
      <c r="AB98" s="2044">
        <f t="shared" si="38"/>
        <v>0</v>
      </c>
      <c r="AC98" s="2044">
        <f t="shared" si="53"/>
        <v>0</v>
      </c>
      <c r="AD98" s="2044">
        <f t="shared" si="39"/>
        <v>0</v>
      </c>
      <c r="AE98" s="2044">
        <f>K98*L98/12*IF(RoundDown,R98,Q98)</f>
        <v>0</v>
      </c>
      <c r="AF98" s="2046">
        <f t="shared" si="54"/>
        <v>0</v>
      </c>
      <c r="AG98" s="2047">
        <f t="shared" si="40"/>
        <v>0</v>
      </c>
      <c r="AH98" s="2048">
        <f t="shared" si="41"/>
        <v>0</v>
      </c>
      <c r="AI98" s="2048">
        <f t="shared" si="42"/>
        <v>0</v>
      </c>
      <c r="AJ98" s="2048">
        <f t="shared" si="43"/>
        <v>0</v>
      </c>
      <c r="AK98" s="2048" t="str">
        <f t="shared" si="44"/>
        <v>4.00% (£00)</v>
      </c>
      <c r="AL98" s="2049">
        <f t="shared" si="55"/>
        <v>0</v>
      </c>
      <c r="AM98" s="2050" t="e">
        <f t="shared" si="45"/>
        <v>#DIV/0!</v>
      </c>
      <c r="AN98" s="2050" t="e">
        <f t="shared" si="46"/>
        <v>#DIV/0!</v>
      </c>
      <c r="AO98" s="649">
        <f>Rent_Over_Term+AQ98</f>
        <v>0</v>
      </c>
      <c r="AP98" s="649">
        <f t="shared" si="61"/>
        <v>0</v>
      </c>
      <c r="AQ98" s="649">
        <f>'BTL Calculator'!$I$80*Term</f>
        <v>0</v>
      </c>
      <c r="AR98" s="650" t="b">
        <f>IF(ISERROR(FIND("Bespoke",F80,1)),FALSE,TRUE)</f>
        <v>0</v>
      </c>
      <c r="AS98" s="287">
        <f t="shared" si="48"/>
        <v>0</v>
      </c>
      <c r="AT98" s="287" t="str">
        <f t="shared" si="56"/>
        <v>-</v>
      </c>
      <c r="AU98" s="287">
        <f t="shared" si="57"/>
        <v>0</v>
      </c>
      <c r="AV98" s="287" t="str">
        <f>IF(IF(Rate_Type="Tracker",X98,W98)&gt;'Product Data'!$P$19,"Y","N")</f>
        <v>Y</v>
      </c>
      <c r="AY98" s="2048" t="e">
        <f t="shared" si="49"/>
        <v>#VALUE!</v>
      </c>
      <c r="AZ98" s="2048">
        <f t="shared" si="50"/>
        <v>0</v>
      </c>
    </row>
    <row r="99" spans="1:52" ht="18.75" thickBot="1" x14ac:dyDescent="0.4">
      <c r="A99" s="3218"/>
      <c r="B99" s="308" t="str">
        <f>IF(OR($H$70="Residential BTL",$H$70="Retention "),IF(AND('BTL Calculator'!$G$60=C97,F99='BTL Calculator'!$G$62),1,0),"")</f>
        <v/>
      </c>
      <c r="C99" s="1998"/>
      <c r="D99" s="1999" t="str">
        <f>IF(OR(OR($H$70="Residential BTL",$H$70="Retention "),$H$70="Retention "),7,"")</f>
        <v/>
      </c>
      <c r="E99" s="308" t="str">
        <f>IF(OR(OR($H$70="Residential BTL",$H$70="Retention "),$H$70="Retention "),VALUE(LEFT(F99,1)),"")</f>
        <v/>
      </c>
      <c r="F99" s="2000" t="str">
        <f>IF(OR(OR($H$70="Residential BTL",$H$70="Retention "),$H$70="Retention "),"3) Specialist BTL","")</f>
        <v/>
      </c>
      <c r="G99" s="2032"/>
      <c r="H99" s="2015" t="str">
        <f t="shared" si="59"/>
        <v/>
      </c>
      <c r="I99" s="2017">
        <f t="shared" si="59"/>
        <v>0.04</v>
      </c>
      <c r="J99" s="2333">
        <f>IF(AND(H70="Retention ",H72="Tracker"),2%,IF(AND($H$70='Product Data'!$BT$2,$H$72='Product Data'!$CA$2),2%,IF(AND($H$70='Product Data'!$BT$3,$H$72='Product Data'!$CA$2),1.5%,IF(AND($H$70='Product Data'!$BT$4,$H$72='Product Data'!$CA$2),1.5%,IF(AND($H$70='Product Data'!$BT$2,$H$72='Product Data'!$CA$5),0.75%,1.25%)))))</f>
        <v>1.2500000000000001E-2</v>
      </c>
      <c r="K99" s="648" t="str">
        <f>IF(OR(OR($H$70="Residential BTL",$H$70="Retention "),$H$70="Retention "),IF(Term&lt;36,'Product Data'!$P$11,'Product Data'!$P$13),"")</f>
        <v/>
      </c>
      <c r="L99" s="2008" t="str">
        <f>IF('BTL Calculator'!V2="Core","",IF(OR(OR($H$70="Residential BTL",$H$70="Retention "),$H$70="Retention "),H99-J99,""))</f>
        <v/>
      </c>
      <c r="M99" s="2009" t="str">
        <f t="shared" si="60"/>
        <v/>
      </c>
      <c r="N99" s="2010" t="str">
        <f>IF(OR(OR($H$70="Residential BTL",$H$70="Retention "),$H$70="Retention "),MIN(M99*Property_Value,'Product Data'!$P$16),"")</f>
        <v/>
      </c>
      <c r="O99" s="2010" t="b">
        <f>IF(AND(OR(OR($H$70="Residential BTL",$H$70="Retention "),$H$70="Retention "),Rate_Type="Fixed"),IFERROR(AO99/($L99/12*(Term-$K99)*'Product Data'!$P$23),0),IF(AND(Rate_Type="Tracker",OR(OR($H$70="Residential BTL",$H$70="Retention "),$H$70="Retention ")),IFERROR(AO99/($L99/12*(Term-$K99)*'Product Data'!$P$17),0),IF(AND($H$70="Semi-Commercial",Rate_Type="Tracker"),IFERROR(AP99/($L99/12*(Term-$K99)*'Product Data'!$P$17),0),IF(AND($H$70="Semi-Commercial",Rate_Type="Fixed"),IFERROR(AP99/($L99/12*(Term-$K99)*'Product Data'!$P$23),0),IF(AND($H$70="Commercial",Rate_Type="Tracker"),IFERROR(AP99/($L99/12*(Term-$K99)*'Product Data'!$P$17),0),IF(AND($H$70="Commercial",Rate_Type="Fixed"),IFERROR(AP99/($L99/12*(Term-$K99)*'Product Data'!$P$23),0)))))))</f>
        <v>0</v>
      </c>
      <c r="P99" s="2010" t="str">
        <f>IF('BTL Calculator'!$H$28="Fixed","",IF(OR(OR($H$70="Residential BTL",$H$70="Retention "),$H$70="Retention "),AO99/((((H99-'Product Data'!$E$3+'Product Data'!$K$3-J99)/12*(Term-K99)))*'Product Data'!$P$18),AP99/((((H99-'Product Data'!$E$3+'Product Data'!$K$3-J99)/12*(Term-K99)))*'Product Data'!$P$18)))</f>
        <v/>
      </c>
      <c r="Q99" s="639" t="str">
        <f>IF(OR($H$70="Residential BTL",$H$70="Retention "),IF('BTL Calculator'!$H$28="Tracker",MIN(N99,P99),MIN(O99,N99)),"")</f>
        <v/>
      </c>
      <c r="R99" s="639" t="str">
        <f>IF(OR($H$70="Residential BTL",$H$70="Retention "),ROUNDDOWN(Q99,-3),"")</f>
        <v/>
      </c>
      <c r="S99" s="2044" t="str">
        <f t="shared" si="58"/>
        <v>-</v>
      </c>
      <c r="T99" s="2722" t="str">
        <f>IFERROR(((H99*IF(RoundDown,R99,Q99)/12)),"-")</f>
        <v>-</v>
      </c>
      <c r="U99" s="2044" t="str">
        <f>IF('BTL Calculator'!$H$28="Fixed","",(((L99+$U$73)*IF(RoundDown,R99,Q99)/12)))</f>
        <v/>
      </c>
      <c r="V99" s="2044" t="str">
        <f>IF('BTL Calculator'!$V$2="Core","",IF(OR($H$70="Residential BTL",$H$70="Retention "),((L99*IF(RoundDown,R99,Q99)/12))-IF('BTL Calculator'!$CY$11='Product Data'!$AG$9,AE99/Term,0),""))</f>
        <v/>
      </c>
      <c r="W99" s="2045" t="str">
        <f>IF(OR($H$70="Residential BTL",$H$70="Retention "),IFERROR(AO99/Z99,"-"),"")</f>
        <v/>
      </c>
      <c r="X99" s="2045" t="str">
        <f>IF('BTL Calculator'!$H$28="Fixed","",IF(OR($H$70="Residential BTL",$H$70="Retention "),IFERROR(AO99/AA99,"-"),IFERROR(AP99/AA99,"-")))</f>
        <v/>
      </c>
      <c r="Y99" s="2045" t="str">
        <f>IF(OR($H$70="Residential BTL",$H$70="Retention "),TEXT(V99,"£0,0")&amp;" @ "&amp;TEXT(W99,"0%")&amp;" ICR","")</f>
        <v/>
      </c>
      <c r="Z99" s="2044" t="str">
        <f>IF('BTL Calculator'!$V$2="Core","",IF(OR($H$70="Residential BTL",$H$70="Retention "),(IF(RoundDown,R99,Q99)*L99)/12*(Term-K99),""))</f>
        <v/>
      </c>
      <c r="AA99" s="2044" t="str">
        <f>IF('BTL Calculator'!$H$28="Fixed","",(IF(RoundDown,R99,Q99)*(H99-'Product Data'!$E$3+'Product Data'!$K$2-J99))/12*(Term-K99))</f>
        <v/>
      </c>
      <c r="AB99" s="2044" t="str">
        <f>IF(OR($H$70="Residential BTL",$H$70="Retention "),IFERROR(Monthly_Rent*Term,"-"),"")</f>
        <v/>
      </c>
      <c r="AC99" s="2044" t="str">
        <f>IF(OR($H$70="Residential BTL",$H$70="Retention "),IFERROR($U$22-V99,"-"),"")</f>
        <v/>
      </c>
      <c r="AD99" s="2044" t="e">
        <f t="shared" si="39"/>
        <v>#VALUE!</v>
      </c>
      <c r="AE99" s="2044" t="e">
        <f>IF('BTL Calculator'!$V$2="Core","",K99*L99/12*IF(RoundDown,R99,Q99))</f>
        <v>#VALUE!</v>
      </c>
      <c r="AF99" s="2046" t="str">
        <f>IF(OR($H$70="Residential BTL",$H$70="Retention "),SUM(AD99:AE99),"")</f>
        <v/>
      </c>
      <c r="AG99" s="2047" t="str">
        <f>IF('BTL Calculator'!V2="Core","",IF(OR($H$70="Residential BTL",$H$70="Retention "),AL99+AI99,""))</f>
        <v/>
      </c>
      <c r="AH99" s="2048" t="e">
        <f t="shared" si="41"/>
        <v>#VALUE!</v>
      </c>
      <c r="AI99" s="2048" t="e">
        <f t="shared" si="42"/>
        <v>#VALUE!</v>
      </c>
      <c r="AJ99" s="2048" t="e">
        <f t="shared" si="43"/>
        <v>#VALUE!</v>
      </c>
      <c r="AK99" s="2048" t="str">
        <f>IF(OR($H$70="Residential BTL",$H$70="Retention "),TEXT(I99,"0.00%")&amp;" ("&amp;TEXT(AH99,"£0,0")&amp;")","")</f>
        <v/>
      </c>
      <c r="AL99" s="2049" t="str">
        <f>IF('BTL Calculator'!V2="Core","",IF(OR($H$70="Residential BTL",$H$70="Retention "),IF(RoundDown,R99,Q99)-AD99-AE99-AH99,""))</f>
        <v/>
      </c>
      <c r="AM99" s="2050" t="str">
        <f>IF(OR($H$70="Residential BTL",$H$70="Retention "),AL99/Property_Value,"")</f>
        <v/>
      </c>
      <c r="AN99" s="2050" t="str">
        <f>IF(OR($H$70="Residential BTL",$H$70="Retention "),IF(RoundDown,R99,Q99)/Property_Value,"")</f>
        <v/>
      </c>
      <c r="AO99" s="640" t="str">
        <f>IF(OR($H$70="Residential BTL",$H$70="Retention "),Rent_Over_Term+AQ99,"")</f>
        <v/>
      </c>
      <c r="AP99" s="649"/>
      <c r="AQ99" s="640" t="str">
        <f>IF(OR($H$70="Residential BTL",$H$70="Retention "),'BTL Calculator'!$I$80*Term,"")</f>
        <v/>
      </c>
      <c r="AR99" s="641" t="str">
        <f>IF(OR($H$70="Residential BTL",$H$70="Retention "),IF(ISERROR(FIND("Bespoke",F81,1)),FALSE,TRUE),"")</f>
        <v/>
      </c>
      <c r="AS99" s="287" t="str">
        <f>IF(OR($H$70="Residential BTL",$H$70="Retention "),IFERROR(IF(AND(IF(RoundDown,R99,Q99)=$E$70,E99&gt;=$F$36),1,0),"-"),"")</f>
        <v/>
      </c>
      <c r="AT99" s="287" t="str">
        <f>IF(OR($H$70="Residential BTL",$H$70="Retention "),IFERROR(IF(AND(AL99=$E$71,E99&gt;=$F$36),1,0),"-"),"")</f>
        <v/>
      </c>
      <c r="AU99" s="287" t="str">
        <f>IF(OR($H$70="Residential BTL",$H$70="Retention "),SUM(AS99:AT99),"")</f>
        <v/>
      </c>
      <c r="AV99" s="287" t="str">
        <f>IF(OR($H$70="Residential BTL",$H$70="Retention "),IF(IF(Rate_Type="Tracker",X99,W99)&gt;'Product Data'!$P$19,"Y","N"),"")</f>
        <v/>
      </c>
      <c r="AY99" s="2048" t="e">
        <f t="shared" si="49"/>
        <v>#VALUE!</v>
      </c>
      <c r="AZ99" s="2048" t="e">
        <f t="shared" si="50"/>
        <v>#VALUE!</v>
      </c>
    </row>
    <row r="100" spans="1:52" ht="18.75" hidden="1" thickBot="1" x14ac:dyDescent="0.4">
      <c r="A100" s="3218"/>
      <c r="B100" s="2029">
        <f>IF(AND('BTL Calculator'!$G$60=C100,F100='BTL Calculator'!$G$62),1,0)</f>
        <v>0</v>
      </c>
      <c r="C100" s="1954" t="s">
        <v>588</v>
      </c>
      <c r="D100" s="1955">
        <v>9</v>
      </c>
      <c r="E100" s="1956">
        <f t="shared" si="51"/>
        <v>1</v>
      </c>
      <c r="F100" s="1957" t="s">
        <v>432</v>
      </c>
      <c r="G100" s="1959"/>
      <c r="H100" s="1958" t="b">
        <f t="shared" si="59"/>
        <v>0</v>
      </c>
      <c r="I100" s="1959">
        <f t="shared" si="59"/>
        <v>0.04</v>
      </c>
      <c r="J100" s="1980">
        <f>'Product Data'!$P$10</f>
        <v>0.02</v>
      </c>
      <c r="K100" s="1960">
        <f>IF(Term&lt;36,'Product Data'!$P$12,'Product Data'!$P$14)</f>
        <v>9</v>
      </c>
      <c r="L100" s="1958">
        <f>IFERROR(H100-J100,"-")</f>
        <v>-0.02</v>
      </c>
      <c r="M100" s="1961">
        <f t="shared" si="60"/>
        <v>0.7</v>
      </c>
      <c r="N100" s="1962">
        <f>MIN(M100*Property_Value,'Product Data'!$P$16)</f>
        <v>0</v>
      </c>
      <c r="O100" s="1962" t="b">
        <f>IF(AND(OR(OR($H$70="Residential BTL",$H$70="Retention "),$H$70="Retention "),Rate_Type="Fixed"),IFERROR(AO100/($L100/12*(Term-$K100)*'Product Data'!$P$23),0),IF(AND(Rate_Type="Tracker",OR(OR($H$70="Residential BTL",$H$70="Retention "),$H$70="Retention ")),IFERROR(AO100/($L100/12*(Term-$K100)*'Product Data'!$P$17),0),IF(AND($H$70="Semi-Commercial",Rate_Type="Tracker"),IFERROR(AP100/($L100/12*(Term-$K100)*'Product Data'!$P$17),0),IF(AND($H$70="Semi-Commercial",Rate_Type="Fixed"),IFERROR(AP100/($L100/12*(Term-$K100)*'Product Data'!$P$23),0),IF(AND($H$70="Commercial",Rate_Type="Tracker"),IFERROR(AP100/($L100/12*(Term-$K100)*'Product Data'!$P$17),0),IF(AND($H$70="Commercial",Rate_Type="Fixed"),IFERROR(AP100/($L100/12*(Term-$K100)*'Product Data'!$P$23),0)))))))</f>
        <v>0</v>
      </c>
      <c r="P100" s="1962" t="str">
        <f>IF('BTL Calculator'!$H$28="Fixed","",IF(OR(OR($H$70="Residential BTL",$H$70="Retention "),$H$70="Retention "),AO100/((((H100-'Product Data'!$E$3+'Product Data'!$K$3-J100)/12*(Term-K100)))*'Product Data'!$P$18),AP100/((((H100-'Product Data'!$E$3+'Product Data'!$K$3-J100)/12*(Term-K100)))*'Product Data'!$P$18)))</f>
        <v/>
      </c>
      <c r="Q100" s="1963">
        <f>IF('BTL Calculator'!$H$28="Tracker",MIN(N100,P100),MIN(O100,N100))</f>
        <v>0</v>
      </c>
      <c r="R100" s="1963">
        <f>ROUNDDOWN(Q100,-3)</f>
        <v>0</v>
      </c>
      <c r="S100" s="1964">
        <f t="shared" si="58"/>
        <v>0</v>
      </c>
      <c r="T100" s="1964">
        <f>IFERROR(((H100*IF(RoundDown,R100,Q100)/12)),"-")</f>
        <v>0</v>
      </c>
      <c r="U100" s="1964" t="str">
        <f>IF('BTL Calculator'!$H$28="Fixed","",(((L100+$U$73)*IF(RoundDown,R100,Q100)/12)))</f>
        <v/>
      </c>
      <c r="V100" s="1964">
        <f>IFERROR(((L100*IF(RoundDown,R100,Q100)/12)),"-")</f>
        <v>0</v>
      </c>
      <c r="W100" s="1965" t="str">
        <f t="shared" ref="W100:W101" si="62">IFERROR(AO100/Z100,"-")</f>
        <v>-</v>
      </c>
      <c r="X100" s="1965" t="str">
        <f>IF('BTL Calculator'!$H$28="Fixed","",IF(OR($H$70="Residential BTL",$H$70="Retention "),IFERROR(AO100/AA100,"-"),IFERROR(AP100/AA100,"-")))</f>
        <v/>
      </c>
      <c r="Y100" s="1965" t="str">
        <f t="shared" si="52"/>
        <v>£00 @ - ICR</v>
      </c>
      <c r="Z100" s="1964">
        <f>(IF(RoundDown,R100,Q100)*L100)/12*(Term-K100)</f>
        <v>0</v>
      </c>
      <c r="AA100" s="1964" t="str">
        <f>IF('BTL Calculator'!$H$28="Fixed","",(IF(RoundDown,R100,Q100)*(H100-'Product Data'!$E$3+'Product Data'!$K$2-J100))/12*(Term-K100))</f>
        <v/>
      </c>
      <c r="AB100" s="1964">
        <f t="shared" si="38"/>
        <v>0</v>
      </c>
      <c r="AC100" s="1964">
        <f t="shared" si="53"/>
        <v>0</v>
      </c>
      <c r="AD100" s="1964">
        <f t="shared" si="39"/>
        <v>0</v>
      </c>
      <c r="AE100" s="1964">
        <f t="shared" ref="AE100:AE104" si="63">K100*L100/12*IF(RoundDown,R100,Q100)</f>
        <v>0</v>
      </c>
      <c r="AF100" s="1966">
        <f t="shared" si="54"/>
        <v>0</v>
      </c>
      <c r="AG100" s="1967">
        <f t="shared" si="40"/>
        <v>0</v>
      </c>
      <c r="AH100" s="1968">
        <f t="shared" ref="AH100:AH101" si="64">IF(RoundDown,R100,Q100)*I100</f>
        <v>0</v>
      </c>
      <c r="AI100" s="1968">
        <f t="shared" si="42"/>
        <v>0</v>
      </c>
      <c r="AJ100" s="1968">
        <f t="shared" si="43"/>
        <v>0</v>
      </c>
      <c r="AK100" s="1968" t="str">
        <f t="shared" si="44"/>
        <v>4.00% (£00)</v>
      </c>
      <c r="AL100" s="1969">
        <f t="shared" si="55"/>
        <v>0</v>
      </c>
      <c r="AM100" s="1970" t="e">
        <f>AL100/Property_Value</f>
        <v>#DIV/0!</v>
      </c>
      <c r="AN100" s="1970" t="e">
        <f t="shared" si="46"/>
        <v>#DIV/0!</v>
      </c>
      <c r="AO100" s="1971">
        <f>Rent_Over_Term+AQ100</f>
        <v>0</v>
      </c>
      <c r="AP100" s="1971"/>
      <c r="AQ100" s="1971">
        <f>'BTL Calculator'!$I$80*Term</f>
        <v>0</v>
      </c>
      <c r="AR100" s="1972" t="b">
        <f>IF(ISERROR(FIND("Bespoke",F82,1)),FALSE,TRUE)</f>
        <v>0</v>
      </c>
      <c r="AS100" s="1973">
        <f t="shared" si="48"/>
        <v>1</v>
      </c>
      <c r="AT100" s="1973" t="str">
        <f t="shared" si="56"/>
        <v>-</v>
      </c>
      <c r="AU100" s="1973">
        <f t="shared" si="57"/>
        <v>1</v>
      </c>
      <c r="AV100" s="1973" t="str">
        <f>IF(IF(Rate_Type="Tracker",X100,W100)&gt;'Product Data'!$P$19,"Y","N")</f>
        <v>Y</v>
      </c>
      <c r="AY100" s="1968">
        <f t="shared" ref="AY100:AY101" si="65">AX100/2</f>
        <v>0</v>
      </c>
      <c r="AZ100" s="1968">
        <f t="shared" ref="AZ100:AZ101" si="66">AX100-AY100</f>
        <v>0</v>
      </c>
    </row>
    <row r="101" spans="1:52" ht="18.75" hidden="1" thickBot="1" x14ac:dyDescent="0.4">
      <c r="A101" s="3218"/>
      <c r="B101" s="2029">
        <f>IF(AND('BTL Calculator'!$G$60=C100,F101='BTL Calculator'!$G$62),1,0)</f>
        <v>0</v>
      </c>
      <c r="C101" s="1974"/>
      <c r="D101" s="1975">
        <v>10</v>
      </c>
      <c r="E101" s="1976">
        <f t="shared" si="51"/>
        <v>2</v>
      </c>
      <c r="F101" s="1977" t="s">
        <v>433</v>
      </c>
      <c r="G101" s="1976"/>
      <c r="H101" s="1978" t="b">
        <f t="shared" si="59"/>
        <v>0</v>
      </c>
      <c r="I101" s="1979">
        <f t="shared" si="59"/>
        <v>0.04</v>
      </c>
      <c r="J101" s="1980">
        <f>'Product Data'!$P$10</f>
        <v>0.02</v>
      </c>
      <c r="K101" s="1981">
        <f>IF(Term&lt;36,'Product Data'!$P$12,'Product Data'!$P$14)</f>
        <v>9</v>
      </c>
      <c r="L101" s="1978">
        <f>H101-J101</f>
        <v>-0.02</v>
      </c>
      <c r="M101" s="1982">
        <f t="shared" si="60"/>
        <v>0.7</v>
      </c>
      <c r="N101" s="1983">
        <f>MIN(M101*Property_Value,'Product Data'!$P$16)</f>
        <v>0</v>
      </c>
      <c r="O101" s="1983" t="b">
        <f>IF(AND(OR(OR($H$70="Residential BTL",$H$70="Retention "),$H$70="Retention "),Rate_Type="Fixed"),IFERROR(AO101/($L101/12*(Term-$K101)*'Product Data'!$P$23),0),IF(AND(Rate_Type="Tracker",OR(OR($H$70="Residential BTL",$H$70="Retention "),$H$70="Retention ")),IFERROR(AO101/($L101/12*(Term-$K101)*'Product Data'!$P$17),0),IF(AND($H$70="Semi-Commercial",Rate_Type="Tracker"),IFERROR(AP101/($L101/12*(Term-$K101)*'Product Data'!$P$17),0),IF(AND($H$70="Semi-Commercial",Rate_Type="Fixed"),IFERROR(AP101/($L101/12*(Term-$K101)*'Product Data'!$P$23),0),IF(AND($H$70="Commercial",Rate_Type="Tracker"),IFERROR(AP101/($L101/12*(Term-$K101)*'Product Data'!$P$17),0),IF(AND($H$70="Commercial",Rate_Type="Fixed"),IFERROR(AP101/($L101/12*(Term-$K101)*'Product Data'!$P$23),0)))))))</f>
        <v>0</v>
      </c>
      <c r="P101" s="1983" t="str">
        <f>IF('BTL Calculator'!$H$28="Fixed","",IF(OR(OR($H$70="Residential BTL",$H$70="Retention "),$H$70="Retention "),AO101/((((H101-'Product Data'!$E$3+'Product Data'!$K$3-J101)/12*(Term-K101)))*'Product Data'!$P$18),AP101/((((H101-'Product Data'!$E$3+'Product Data'!$K$3-J101)/12*(Term-K101)))*'Product Data'!$P$18)))</f>
        <v/>
      </c>
      <c r="Q101" s="1984">
        <f>IF('BTL Calculator'!$H$28="Tracker",MIN(N101,P101),MIN(O101,N101))</f>
        <v>0</v>
      </c>
      <c r="R101" s="1984">
        <f>ROUNDDOWN(Q101,-3)</f>
        <v>0</v>
      </c>
      <c r="S101" s="1985">
        <f t="shared" si="58"/>
        <v>0</v>
      </c>
      <c r="T101" s="1985">
        <f>((H101*IF(RoundDown,R101,Q101)/12))</f>
        <v>0</v>
      </c>
      <c r="U101" s="1985" t="str">
        <f>IF('BTL Calculator'!$H$28="Fixed","",(((L101+$U$73)*IF(RoundDown,R101,Q101)/12)))</f>
        <v/>
      </c>
      <c r="V101" s="1985">
        <f>((L101*IF(RoundDown,R101,Q101)/12))-IF('BTL Calculator'!$CY$11='Product Data'!$AG$9,AE101/Term,0)</f>
        <v>0</v>
      </c>
      <c r="W101" s="1986" t="str">
        <f t="shared" si="62"/>
        <v>-</v>
      </c>
      <c r="X101" s="1986" t="str">
        <f>IF('BTL Calculator'!$H$28="Fixed","",IF(OR($H$70="Residential BTL",$H$70="Retention "),IFERROR(AO101/AA101,"-"),IFERROR(AP101/AA101,"-")))</f>
        <v/>
      </c>
      <c r="Y101" s="1986" t="str">
        <f t="shared" si="52"/>
        <v>£00 @ - ICR</v>
      </c>
      <c r="Z101" s="1985">
        <f>(IF(RoundDown,R101,Q101)*L101)/12*(Term-K101)</f>
        <v>0</v>
      </c>
      <c r="AA101" s="1985" t="str">
        <f>IF('BTL Calculator'!$H$28="Fixed","",(IF(RoundDown,R101,Q101)*(H101-'Product Data'!$E$3+'Product Data'!$K$2-J101))/12*(Term-K101))</f>
        <v/>
      </c>
      <c r="AB101" s="1985">
        <f t="shared" si="38"/>
        <v>0</v>
      </c>
      <c r="AC101" s="1985">
        <f t="shared" si="53"/>
        <v>0</v>
      </c>
      <c r="AD101" s="1985">
        <f t="shared" si="39"/>
        <v>0</v>
      </c>
      <c r="AE101" s="1985">
        <f t="shared" si="63"/>
        <v>0</v>
      </c>
      <c r="AF101" s="1987">
        <f t="shared" si="54"/>
        <v>0</v>
      </c>
      <c r="AG101" s="1988">
        <f t="shared" si="40"/>
        <v>0</v>
      </c>
      <c r="AH101" s="1989">
        <f t="shared" si="64"/>
        <v>0</v>
      </c>
      <c r="AI101" s="1989">
        <f t="shared" si="42"/>
        <v>0</v>
      </c>
      <c r="AJ101" s="1989">
        <f t="shared" si="43"/>
        <v>0</v>
      </c>
      <c r="AK101" s="1989" t="str">
        <f t="shared" si="44"/>
        <v>4.00% (£00)</v>
      </c>
      <c r="AL101" s="1990">
        <f t="shared" si="55"/>
        <v>0</v>
      </c>
      <c r="AM101" s="1991" t="e">
        <f>AL101/Property_Value</f>
        <v>#DIV/0!</v>
      </c>
      <c r="AN101" s="1991" t="e">
        <f t="shared" si="46"/>
        <v>#DIV/0!</v>
      </c>
      <c r="AO101" s="1992">
        <f>Rent_Over_Term+AQ101</f>
        <v>0</v>
      </c>
      <c r="AP101" s="1992"/>
      <c r="AQ101" s="1992">
        <f>'BTL Calculator'!$I$80*Term</f>
        <v>0</v>
      </c>
      <c r="AR101" s="1993" t="b">
        <f>IF(ISERROR(FIND("Bespoke",F83,1)),FALSE,TRUE)</f>
        <v>0</v>
      </c>
      <c r="AS101" s="1973">
        <f t="shared" si="48"/>
        <v>1</v>
      </c>
      <c r="AT101" s="1973" t="str">
        <f t="shared" si="56"/>
        <v>-</v>
      </c>
      <c r="AU101" s="1973">
        <f t="shared" si="57"/>
        <v>1</v>
      </c>
      <c r="AV101" s="1973" t="str">
        <f>IF(IF(Rate_Type="Tracker",X101,W101)&gt;'Product Data'!$P$19,"Y","N")</f>
        <v>Y</v>
      </c>
      <c r="AY101" s="1989">
        <f t="shared" si="65"/>
        <v>0</v>
      </c>
      <c r="AZ101" s="1989">
        <f t="shared" si="66"/>
        <v>0</v>
      </c>
    </row>
    <row r="102" spans="1:52" ht="18.75" hidden="1" thickBot="1" x14ac:dyDescent="0.4">
      <c r="A102" s="3218"/>
      <c r="B102" s="2029" t="str">
        <f>IF(OR($H$70="Residential BTL",$H$70="Retention "),IF(AND('BTL Calculator'!$G$60=C100,F102='BTL Calculator'!$G$62),1,0),"")</f>
        <v/>
      </c>
      <c r="C102" s="1974"/>
      <c r="D102" s="1975" t="str">
        <f>IF(OR($H$70="Residential BTL",$H$70="Retention "),11,"")</f>
        <v/>
      </c>
      <c r="E102" s="1976" t="str">
        <f>IF(OR($H$70="Residential BTL",$H$70="Retention "),VALUE(LEFT(F102,1)),"")</f>
        <v/>
      </c>
      <c r="F102" s="1977" t="str">
        <f>IF(OR($H$70="Residential BTL",$H$70="Retention "),"3) Specialist BTL","")</f>
        <v/>
      </c>
      <c r="G102" s="1976"/>
      <c r="H102" s="1978" t="str">
        <f t="shared" si="59"/>
        <v/>
      </c>
      <c r="I102" s="1979">
        <f t="shared" si="59"/>
        <v>0.04</v>
      </c>
      <c r="J102" s="1980" t="str">
        <f>IF(OR($H$70="Residential BTL",$H$70="Retention "),'Product Data'!$P$10,"")</f>
        <v/>
      </c>
      <c r="K102" s="1981" t="str">
        <f>IF(OR($H$70="Residential BTL",$H$70="Retention "),IF(Term&lt;36,'Product Data'!$P$12,'Product Data'!$P$14),"")</f>
        <v/>
      </c>
      <c r="L102" s="1982" t="str">
        <f>IF(OR($H$70="Residential BTL",$H$70="Retention "),H102-J102,"")</f>
        <v/>
      </c>
      <c r="M102" s="1982" t="str">
        <f t="shared" si="60"/>
        <v/>
      </c>
      <c r="N102" s="1983" t="str">
        <f>IF(OR($H$70="Residential BTL",$H$70="Retention "),MIN(M102*Property_Value,'Product Data'!$P$16),"")</f>
        <v/>
      </c>
      <c r="O102" s="1983" t="b">
        <f>IF(AND(OR(OR($H$70="Residential BTL",$H$70="Retention "),$H$70="Retention "),Rate_Type="Fixed"),IFERROR(AO102/($L102/12*(Term-$K102)*'Product Data'!$P$23),0),IF(AND(Rate_Type="Tracker",OR(OR($H$70="Residential BTL",$H$70="Retention "),$H$70="Retention ")),IFERROR(AO102/($L102/12*(Term-$K102)*'Product Data'!$P$17),0),IF(AND($H$70="Semi-Commercial",Rate_Type="Tracker"),IFERROR(AP102/($L102/12*(Term-$K102)*'Product Data'!$P$17),0),IF(AND($H$70="Semi-Commercial",Rate_Type="Fixed"),IFERROR(AP102/($L102/12*(Term-$K102)*'Product Data'!$P$23),0),IF(AND($H$70="Commercial",Rate_Type="Tracker"),IFERROR(AP102/($L102/12*(Term-$K102)*'Product Data'!$P$17),0),IF(AND($H$70="Commercial",Rate_Type="Fixed"),IFERROR(AP102/($L102/12*(Term-$K102)*'Product Data'!$P$23),0)))))))</f>
        <v>0</v>
      </c>
      <c r="P102" s="1983" t="str">
        <f>IF('BTL Calculator'!$H$28="Fixed","",IF(OR(OR($H$70="Residential BTL",$H$70="Retention "),$H$70="Retention "),AO102/((((H102-'Product Data'!$E$3+'Product Data'!$K$3-J102)/12*(Term-K102)))*'Product Data'!$P$18),AP102/((((H102-'Product Data'!$E$3+'Product Data'!$K$3-J102)/12*(Term-K102)))*'Product Data'!$P$18)))</f>
        <v/>
      </c>
      <c r="Q102" s="1984" t="str">
        <f>IF(OR($H$70="Residential BTL",$H$70="Retention "),IF('BTL Calculator'!$H$28="Tracker",MIN(N102,P102),MIN(O102,N102)),"")</f>
        <v/>
      </c>
      <c r="R102" s="1984" t="str">
        <f>IF(OR($H$70="Residential BTL",$H$70="Retention "),ROUNDDOWN(Q102,-3),"")</f>
        <v/>
      </c>
      <c r="S102" s="1985" t="str">
        <f t="shared" si="58"/>
        <v>-</v>
      </c>
      <c r="T102" s="1985" t="str">
        <f>IF(OR($H$70="Residential BTL",$H$70="Retention "),((H102*IF(RoundDown,R102,Q102)/12)),"")</f>
        <v/>
      </c>
      <c r="U102" s="1985" t="str">
        <f>IF('BTL Calculator'!$H$28="Fixed","",(((L102+$U$73)*IF(RoundDown,R102,Q102)/12)))</f>
        <v/>
      </c>
      <c r="V102" s="1985" t="str">
        <f>IF(OR($H$70="Residential BTL",$H$70="Retention "),((L102*IF(RoundDown,R102,Q102)/12))-IF('BTL Calculator'!$CY$11='Product Data'!$AG$9,AE102/Term,0),"")</f>
        <v/>
      </c>
      <c r="W102" s="1986" t="str">
        <f>IF(OR($H$70="Residential BTL",$H$70="Retention "),IFERROR(AO102/Z102,"-"),"")</f>
        <v/>
      </c>
      <c r="X102" s="1986" t="str">
        <f>IF('BTL Calculator'!$H$28="Fixed","",IF(OR($H$70="Residential BTL",$H$70="Retention "),IFERROR(AO102/AA102,"-"),IFERROR(AP102/AA102,"-")))</f>
        <v/>
      </c>
      <c r="Y102" s="1986" t="str">
        <f>IF(OR($H$70="Residential BTL",$H$70="Retention "),TEXT(V102,"£0,0")&amp;" @ "&amp;TEXT(W102,"0%")&amp;" ICR","")</f>
        <v/>
      </c>
      <c r="Z102" s="1985" t="str">
        <f>IF(OR($H$70="Residential BTL",$H$70="Retention "),(IF(RoundDown,R102,Q102)*L102)/12*(Term-K102),"")</f>
        <v/>
      </c>
      <c r="AA102" s="1985" t="str">
        <f>IF('BTL Calculator'!$H$28="Fixed","",(IF(RoundDown,R102,Q102)*(H102-'Product Data'!$E$3+'Product Data'!$K$2-J102))/12*(Term-K102))</f>
        <v/>
      </c>
      <c r="AB102" s="1985" t="str">
        <f>IF(OR($H$70="Residential BTL",$H$70="Retention "),IFERROR(Monthly_Rent*Term,"-"),"")</f>
        <v/>
      </c>
      <c r="AC102" s="1985" t="str">
        <f>IF(OR($H$70="Residential BTL",$H$70="Retention "),IFERROR($U$22-V102,"-"),"")</f>
        <v/>
      </c>
      <c r="AD102" s="1985" t="e">
        <f t="shared" si="39"/>
        <v>#VALUE!</v>
      </c>
      <c r="AE102" s="1985" t="e">
        <f t="shared" si="63"/>
        <v>#VALUE!</v>
      </c>
      <c r="AF102" s="1987" t="str">
        <f>IF(OR($H$70="Residential BTL",$H$70="Retention "),SUM(AD102:AE102),"")</f>
        <v/>
      </c>
      <c r="AG102" s="1988" t="str">
        <f>IF(OR($H$70="Residential BTL",$H$70="Retention "),AL102+AI102,"")</f>
        <v/>
      </c>
      <c r="AH102" s="1989" t="str">
        <f>IF(OR($H$70="Residential BTL",$H$70="Retention "),IF(RoundDown,R102,Q102)*I102,"")</f>
        <v/>
      </c>
      <c r="AI102" s="1989" t="e">
        <f t="shared" si="42"/>
        <v>#VALUE!</v>
      </c>
      <c r="AJ102" s="1989" t="e">
        <f t="shared" si="43"/>
        <v>#VALUE!</v>
      </c>
      <c r="AK102" s="1989" t="str">
        <f>IF(OR($H$70="Residential BTL",$H$70="Retention "),TEXT(I102,"0.00%")&amp;" ("&amp;TEXT(AH102,"£0,0")&amp;")","")</f>
        <v/>
      </c>
      <c r="AL102" s="1990" t="str">
        <f>IF(OR($H$70="Residential BTL",$H$70="Retention "),IF(RoundDown,R102,Q102)-AD102-AE102-AH102,"")</f>
        <v/>
      </c>
      <c r="AM102" s="1991" t="str">
        <f>IF(OR($H$70="Residential BTL",$H$70="Retention "),AL102/Property_Value,"")</f>
        <v/>
      </c>
      <c r="AN102" s="1991" t="str">
        <f>IF(OR($H$70="Residential BTL",$H$70="Retention "),IF(RoundDown,R102,Q102)/Property_Value,"")</f>
        <v/>
      </c>
      <c r="AO102" s="1992" t="str">
        <f>IF(OR($H$70="Residential BTL",$H$70="Retention "),Rent_Over_Term+AQ102,"")</f>
        <v/>
      </c>
      <c r="AP102" s="1992"/>
      <c r="AQ102" s="1992" t="str">
        <f>IF(OR($H$70="Residential BTL",$H$70="Retention "),'BTL Calculator'!$I$80*Term,"")</f>
        <v/>
      </c>
      <c r="AR102" s="1993" t="str">
        <f>IF(OR($H$70="Residential BTL",$H$70="Retention "),IF(ISERROR(FIND("Bespoke",F84,1)),FALSE,TRUE),"")</f>
        <v/>
      </c>
      <c r="AS102" s="1973" t="str">
        <f>IF(OR($H$70="Residential BTL",$H$70="Retention "),IFERROR(IF(AND(IF(RoundDown,R102,Q102)=$E$70,E102&gt;=$F$36),1,0),"-"),"")</f>
        <v/>
      </c>
      <c r="AT102" s="1973" t="str">
        <f>IF(OR($H$70="Residential BTL",$H$70="Retention "),IFERROR(IF(AND(AL102=$E$71,E102&gt;=$F$36),1,0),"-"),"")</f>
        <v/>
      </c>
      <c r="AU102" s="1973" t="str">
        <f>IF(OR($H$70="Residential BTL",$H$70="Retention "),SUM(AS102:AT102),"")</f>
        <v/>
      </c>
      <c r="AV102" s="1973" t="str">
        <f>IF(OR($H$70="Residential BTL",$H$70="Retention "),IF(IF(Rate_Type="Tracker",X102,W102)&gt;'Product Data'!$P$19,"Y","N"),"")</f>
        <v/>
      </c>
      <c r="AW102" s="2134"/>
      <c r="AX102" s="2134"/>
      <c r="AY102" s="1989" t="str">
        <f>IF(OR($H$70="Residential BTL",$H$70="Retention "),AX102/2,"")</f>
        <v/>
      </c>
      <c r="AZ102" s="1989" t="str">
        <f>IF(OR($H$70="Residential BTL",$H$70="Retention "),AX102-AY102,"")</f>
        <v/>
      </c>
    </row>
    <row r="103" spans="1:52" x14ac:dyDescent="0.35">
      <c r="A103" s="3218"/>
      <c r="B103" s="308">
        <f>IF('BTL Calculator'!$V$2="Core",0,IF(AND('BTL Calculator'!$G$60=C103,F103='BTL Calculator'!$G$62),1,0))</f>
        <v>0</v>
      </c>
      <c r="C103" s="1994" t="s">
        <v>378</v>
      </c>
      <c r="D103" s="1995">
        <v>13</v>
      </c>
      <c r="E103" s="1996">
        <f t="shared" si="51"/>
        <v>0</v>
      </c>
      <c r="F103" s="1997">
        <f>IF($H$70='Product Data'!$BT5,'Product Data'!$B190,IF($H$70='Product Data'!$BT2,'Product Data'!$B9,IF($H$70='Product Data'!BT3,'Product Data'!B34,IF(H70='Product Data'!BT4,'Product Data'!B47,0))))</f>
        <v>0</v>
      </c>
      <c r="G103" s="2033"/>
      <c r="H103" s="2005" t="b">
        <f t="shared" ref="H103:I105" si="67">H97</f>
        <v>0</v>
      </c>
      <c r="I103" s="2016">
        <f t="shared" si="67"/>
        <v>0.04</v>
      </c>
      <c r="J103" s="2518" t="b">
        <f>IF(AND(Rate_Type="Fixed",H72="3 Year Fixed"),IF(Defer4&gt;'Product Data'!$P$24,'Product Data'!$P$24,Defer4),IF(AND(Rate_Type="Fixed",H72="2 Year Fixed"),IF(Defer4&gt;'Product Data'!$P$24,'Product Data'!$P$24,Defer4),IF(AND(Rate_Type="Fixed",H72="5 Year Fixed"),IF(Defer4&gt;'Product Data'!$P$33,'Product Data'!$P$33,Defer4),IF(AND(Rate_Type="Tracker",$H$70="Commercial"),IF(Defer4&gt;0.015,0.015,Defer4),IF(AND(Rate_Type="Tracker",$H$70="Semi-Commercial"),IF(Defer4&gt;0.015,0.015,Defer4),IF(AND(Rate_Type="Tracker",OR($H$70="Residential BTL",$H$70="Retention ")),IF(Defer4&gt;0.02,0.02,Defer4)))))))</f>
        <v>0</v>
      </c>
      <c r="K103" s="645">
        <f>IF(Roll4="",0,IF(OR(OR($H$70="Residential BTL",$H$70="Retention "),$H$70="Retention "),MAX(MIN(Roll4,'Product Data'!$P$12),0),MAX(MIN(Roll4,6),0)))</f>
        <v>0</v>
      </c>
      <c r="L103" s="2005">
        <f>IFERROR(H103-J103,"-")</f>
        <v>0</v>
      </c>
      <c r="M103" s="2006">
        <f>M97</f>
        <v>0.7</v>
      </c>
      <c r="N103" s="2007">
        <f>MIN(M103*Property_Value,'Product Data'!$P$16)</f>
        <v>0</v>
      </c>
      <c r="O103" s="2007" t="b">
        <f>IF(AND(OR(OR($H$70="Residential BTL",$H$70="Retention "),$H$70="Retention "),Rate_Type="Fixed"),IFERROR(AO103/($L103/12*(Term-$K103)*'Product Data'!$P$23),0),IF(AND(Rate_Type="Tracker",OR(OR($H$70="Residential BTL",$H$70="Retention "),$H$70="Retention ")),IFERROR(AO103/($L103/12*(Term-$K103)*'Product Data'!$P$17),0),IF(AND($H$70="Semi-Commercial",Rate_Type="Tracker"),IFERROR(AP103/($L103/12*(Term-$K103)*'Product Data'!$P$17),0),IF(AND($H$70="Semi-Commercial",Rate_Type="Fixed"),IFERROR(AP103/($L103/12*(Term-$K103)*'Product Data'!$P$23),0),IF(AND($H$70="Commercial",Rate_Type="Tracker"),IFERROR(AP103/($L103/12*(Term-$K103)*'Product Data'!$P$17),0),IF(AND($H$70="Commercial",Rate_Type="Fixed"),IFERROR(AP103/($L103/12*(Term-$K103)*'Product Data'!$P$23),0)))))))</f>
        <v>0</v>
      </c>
      <c r="P103" s="2007" t="str">
        <f>IF('BTL Calculator'!$H$28="Fixed","",IF(OR(OR($H$70="Residential BTL",$H$70="Retention "),$H$70="Retention "),AO103/((((H103-'Product Data'!$E$3+'Product Data'!$K$3-J103)/12*(Term-K103)))*'Product Data'!$P$18),AP103/((((H103-'Product Data'!$E$3+'Product Data'!$K$3-J103)/12*(Term-K103)))*'Product Data'!$P$18)))</f>
        <v/>
      </c>
      <c r="Q103" s="634">
        <f>IF('BTL Calculator'!$H$28="Tracker",MIN(N103,P103),MIN(O103,N103))</f>
        <v>0</v>
      </c>
      <c r="R103" s="634">
        <f>ROUNDDOWN(Q103,-3)</f>
        <v>0</v>
      </c>
      <c r="S103" s="2037">
        <f t="shared" si="58"/>
        <v>0</v>
      </c>
      <c r="T103" s="2037">
        <f>IFERROR(((H103*IF(RoundDown,R103,Q103)/12)),"-")</f>
        <v>0</v>
      </c>
      <c r="U103" s="2037" t="str">
        <f>IF('BTL Calculator'!$H$28="Fixed","",(((L103+$U$73)*IF(RoundDown,R103,Q103)/12)))</f>
        <v/>
      </c>
      <c r="V103" s="2037">
        <f>IFERROR(((L103*IF(RoundDown,R103,Q103)/12)),"-")</f>
        <v>0</v>
      </c>
      <c r="W103" s="2038" t="str">
        <f>IF(OR($H$70="Residential BTL",$H$70="Retention "),IFERROR(AO103/Z103,"-"),IFERROR(AP103/Z103,"-"))</f>
        <v>-</v>
      </c>
      <c r="X103" s="2038" t="str">
        <f>IF('BTL Calculator'!$H$28="Fixed","",IF(OR($H$70="Residential BTL",$H$70="Retention "),IFERROR(AO103/AA103,"-"),IFERROR(AP103/AA103,"-")))</f>
        <v/>
      </c>
      <c r="Y103" s="2038" t="str">
        <f t="shared" si="52"/>
        <v>£00 @ - ICR</v>
      </c>
      <c r="Z103" s="2037">
        <f>(IF(RoundDown,R103,Q103)*L103)/12*(Term-K103)</f>
        <v>0</v>
      </c>
      <c r="AA103" s="2037" t="str">
        <f>IF('BTL Calculator'!$H$28="Fixed","",(IF(RoundDown,R103,Q103)*(H103-'Product Data'!$E$3+'Product Data'!$K$2-J103))/12*(Term-K103))</f>
        <v/>
      </c>
      <c r="AB103" s="2037">
        <f t="shared" si="38"/>
        <v>0</v>
      </c>
      <c r="AC103" s="2037">
        <f t="shared" si="53"/>
        <v>0</v>
      </c>
      <c r="AD103" s="2037">
        <f>((J103*IF(RoundDown,R103,Q103))/12)*Term</f>
        <v>0</v>
      </c>
      <c r="AE103" s="2037">
        <f t="shared" si="63"/>
        <v>0</v>
      </c>
      <c r="AF103" s="2039">
        <f>SUM(AD103:AE103)</f>
        <v>0</v>
      </c>
      <c r="AG103" s="2040">
        <f t="shared" si="40"/>
        <v>0</v>
      </c>
      <c r="AH103" s="2041">
        <f t="shared" ref="AH103:AH107" si="68">+AI103+AJ103</f>
        <v>0</v>
      </c>
      <c r="AI103" s="2041">
        <f t="shared" si="42"/>
        <v>0</v>
      </c>
      <c r="AJ103" s="2041">
        <f t="shared" si="43"/>
        <v>0</v>
      </c>
      <c r="AK103" s="2041" t="str">
        <f t="shared" si="44"/>
        <v>4.00% (£00)</v>
      </c>
      <c r="AL103" s="2042">
        <f>IF(RoundDown,R103,Q103)-AD103-AE103-AH103</f>
        <v>0</v>
      </c>
      <c r="AM103" s="2043" t="e">
        <f t="shared" ref="AM103:AM108" si="69">AL103/Property_Value</f>
        <v>#DIV/0!</v>
      </c>
      <c r="AN103" s="2043" t="e">
        <f t="shared" si="46"/>
        <v>#DIV/0!</v>
      </c>
      <c r="AO103" s="653">
        <f>Rent_Over_Term+AQ103</f>
        <v>0</v>
      </c>
      <c r="AP103" s="653">
        <f t="shared" ref="AP103:AP104" si="70">IF($H$72="3 Year Fixed",$X$22*36+AQ103, $X$22*24+AQ103)</f>
        <v>0</v>
      </c>
      <c r="AQ103" s="653">
        <f>'BTL Calculator'!$I$80*Term</f>
        <v>0</v>
      </c>
      <c r="AR103" s="654" t="b">
        <f>IF(ISERROR(FIND("Bespoke",F85,1)),FALSE,TRUE)</f>
        <v>0</v>
      </c>
      <c r="AS103" s="287">
        <f t="shared" si="48"/>
        <v>0</v>
      </c>
      <c r="AT103" s="287" t="str">
        <f t="shared" si="56"/>
        <v>-</v>
      </c>
      <c r="AU103" s="67">
        <f t="shared" si="57"/>
        <v>0</v>
      </c>
      <c r="AV103" s="67" t="str">
        <f>IF(IF(Rate_Type="Tracker",X103,W103)&gt;'Product Data'!$P$19,"Y","N")</f>
        <v>Y</v>
      </c>
      <c r="AY103" s="2041" t="e">
        <f t="shared" ref="AY103:AY107" si="71">+IF(RoundDown,AH103,AG103)*Y103-AZ103</f>
        <v>#VALUE!</v>
      </c>
      <c r="AZ103" s="2041">
        <f t="shared" ref="AZ103:AZ107" si="72">+IF(RoundDown,AH103,AG103)*0.02</f>
        <v>0</v>
      </c>
    </row>
    <row r="104" spans="1:52" x14ac:dyDescent="0.35">
      <c r="A104" s="3218"/>
      <c r="B104" s="308">
        <f>IF('BTL Calculator'!$V$2="Core",0,IF(AND('BTL Calculator'!$G$60=C103,F104='BTL Calculator'!$G$62),1,0))</f>
        <v>0</v>
      </c>
      <c r="C104" s="1998"/>
      <c r="D104" s="1999">
        <v>14</v>
      </c>
      <c r="E104" s="308">
        <f t="shared" si="51"/>
        <v>0</v>
      </c>
      <c r="F104" s="2000">
        <f>IF($H$70='Product Data'!$BT5,'Product Data'!$B191,IF($H$70='Product Data'!$BT2,'Product Data'!$B10,IF($H$70='Product Data'!BT3,'Product Data'!B35,IF(H70='Product Data'!BT4,'Product Data'!B48,0))))</f>
        <v>0</v>
      </c>
      <c r="G104" s="2032"/>
      <c r="H104" s="2015" t="b">
        <f t="shared" si="67"/>
        <v>0</v>
      </c>
      <c r="I104" s="2017">
        <f t="shared" si="67"/>
        <v>0.04</v>
      </c>
      <c r="J104" s="2518" t="b">
        <f>IF(AND(Rate_Type="Fixed",H72="3 Year Fixed"),IF(Defer4&gt;'Product Data'!$P$24,'Product Data'!$P$24,Defer4),IF(AND(Rate_Type="Fixed",H72="2 Year Fixed"),IF(Defer4&gt;'Product Data'!$P$24,'Product Data'!$P$24,Defer4),IF(AND(Rate_Type="Fixed",H72="5 Year Fixed"),IF(Defer4&gt;'Product Data'!$P$33,'Product Data'!$P$33,Defer4),IF(AND(Rate_Type="Tracker",$H$70="Commercial"),IF(Defer4&gt;0.015,0.015,Defer4),IF(AND(Rate_Type="Tracker",$H$70="Semi-Commercial"),IF(Defer4&gt;0.015,0.015,Defer4),IF(AND(Rate_Type="Tracker",OR($H$70="Residential BTL",$H$70="Retention ")),IF(Defer4&gt;0.02,0.02,Defer4)))))))</f>
        <v>0</v>
      </c>
      <c r="K104" s="648">
        <f>IF(Roll4="",0,IF(OR(OR($H$70="Residential BTL",$H$70="Retention "),$H$70="Retention "),MAX(MIN(Roll4,'Product Data'!$P$12),0),MAX(MIN(Roll4,6),0)))</f>
        <v>0</v>
      </c>
      <c r="L104" s="2008">
        <f>H104-J104</f>
        <v>0</v>
      </c>
      <c r="M104" s="2009">
        <f>M98</f>
        <v>0.7</v>
      </c>
      <c r="N104" s="2010">
        <f>MIN(M104*Property_Value,'Product Data'!$P$16)</f>
        <v>0</v>
      </c>
      <c r="O104" s="2010" t="b">
        <f>IF(AND(OR(OR($H$70="Residential BTL",$H$70="Retention "),$H$70="Retention "),Rate_Type="Fixed"),IFERROR(AO104/($L104/12*(Term-$K104)*'Product Data'!$P$23),0),IF(AND(Rate_Type="Tracker",OR(OR($H$70="Residential BTL",$H$70="Retention "),$H$70="Retention ")),IFERROR(AO104/($L104/12*(Term-$K104)*'Product Data'!$P$17),0),IF(AND($H$70="Semi-Commercial",Rate_Type="Tracker"),IFERROR(AP104/($L104/12*(Term-$K104)*'Product Data'!$P$17),0),IF(AND($H$70="Semi-Commercial",Rate_Type="Fixed"),IFERROR(AP104/($L104/12*(Term-$K104)*'Product Data'!$P$23),0),IF(AND($H$70="Commercial",Rate_Type="Tracker"),IFERROR(AP104/($L104/12*(Term-$K104)*'Product Data'!$P$17),0),IF(AND($H$70="Commercial",Rate_Type="Fixed"),IFERROR(AP104/($L104/12*(Term-$K104)*'Product Data'!$P$23),0)))))))</f>
        <v>0</v>
      </c>
      <c r="P104" s="2010" t="str">
        <f>IF('BTL Calculator'!$H$28="Fixed","",IF(OR(OR($H$70="Residential BTL",$H$70="Retention "),$H$70="Retention "),AO104/((((H104-'Product Data'!$E$3+'Product Data'!$K$3-J104)/12*(Term-K104)))*'Product Data'!$P$18),AP104/((((H104-'Product Data'!$E$3+'Product Data'!$K$3-J104)/12*(Term-K104)))*'Product Data'!$P$18)))</f>
        <v/>
      </c>
      <c r="Q104" s="639">
        <f>IF('BTL Calculator'!$H$28="Tracker",MIN(N104,P104),MIN(O104,N104))</f>
        <v>0</v>
      </c>
      <c r="R104" s="639">
        <f>ROUNDDOWN(Q104,-3)</f>
        <v>0</v>
      </c>
      <c r="S104" s="2044">
        <f t="shared" si="58"/>
        <v>0</v>
      </c>
      <c r="T104" s="2044">
        <f>((H104*IF(RoundDown,R104,Q104)/12))</f>
        <v>0</v>
      </c>
      <c r="U104" s="2044" t="str">
        <f>IF('BTL Calculator'!$H$28="Fixed","",(((L104+$U$73)*IF(RoundDown,R104,Q104)/12)))</f>
        <v/>
      </c>
      <c r="V104" s="2044">
        <f>((L104*IF(RoundDown,R104,Q104)/12))-IF('BTL Calculator'!$CY$11='Product Data'!$AG$9,AE104/Term,0)</f>
        <v>0</v>
      </c>
      <c r="W104" s="2045" t="str">
        <f>IF(OR($H$70="Residential BTL",$H$70="Retention "),IFERROR(AO104/Z104,"-"),IFERROR(AP104/Z104,"-"))</f>
        <v>-</v>
      </c>
      <c r="X104" s="2045" t="str">
        <f>IF('BTL Calculator'!$H$28="Fixed","",IF(OR($H$70="Residential BTL",$H$70="Retention "),IFERROR(AO104/AA104,"-"),IFERROR(AP104/AA104,"-")))</f>
        <v/>
      </c>
      <c r="Y104" s="2045" t="str">
        <f t="shared" si="52"/>
        <v>£00 @ - ICR</v>
      </c>
      <c r="Z104" s="2044">
        <f>(IF(RoundDown,R104,Q104)*L104)/12*(Term-K104)</f>
        <v>0</v>
      </c>
      <c r="AA104" s="2044" t="str">
        <f>IF('BTL Calculator'!$H$28="Fixed","",(IF(RoundDown,R104,Q104)*(H104-'Product Data'!$E$3+'Product Data'!$K$2-J104))/12*(Term-K104))</f>
        <v/>
      </c>
      <c r="AB104" s="2044">
        <f t="shared" si="38"/>
        <v>0</v>
      </c>
      <c r="AC104" s="2044">
        <f t="shared" si="53"/>
        <v>0</v>
      </c>
      <c r="AD104" s="2044">
        <f t="shared" si="39"/>
        <v>0</v>
      </c>
      <c r="AE104" s="2044">
        <f t="shared" si="63"/>
        <v>0</v>
      </c>
      <c r="AF104" s="2046">
        <f t="shared" si="54"/>
        <v>0</v>
      </c>
      <c r="AG104" s="2047">
        <f t="shared" si="40"/>
        <v>0</v>
      </c>
      <c r="AH104" s="2048">
        <f t="shared" si="68"/>
        <v>0</v>
      </c>
      <c r="AI104" s="2048">
        <f t="shared" si="42"/>
        <v>0</v>
      </c>
      <c r="AJ104" s="2048">
        <f t="shared" si="43"/>
        <v>0</v>
      </c>
      <c r="AK104" s="2048" t="str">
        <f t="shared" si="44"/>
        <v>4.00% (£00)</v>
      </c>
      <c r="AL104" s="2049">
        <f t="shared" si="55"/>
        <v>0</v>
      </c>
      <c r="AM104" s="2050" t="e">
        <f t="shared" si="69"/>
        <v>#DIV/0!</v>
      </c>
      <c r="AN104" s="2050" t="e">
        <f t="shared" si="46"/>
        <v>#DIV/0!</v>
      </c>
      <c r="AO104" s="655">
        <f>Rent_Over_Term+AQ104</f>
        <v>0</v>
      </c>
      <c r="AP104" s="655">
        <f t="shared" si="70"/>
        <v>0</v>
      </c>
      <c r="AQ104" s="655">
        <f>'BTL Calculator'!$I$80*Term</f>
        <v>0</v>
      </c>
      <c r="AR104" s="656" t="b">
        <f>IF(ISERROR(FIND("Bespoke",F86,1)),FALSE,TRUE)</f>
        <v>0</v>
      </c>
      <c r="AS104" s="287">
        <f t="shared" si="48"/>
        <v>0</v>
      </c>
      <c r="AT104" s="287" t="str">
        <f t="shared" si="56"/>
        <v>-</v>
      </c>
      <c r="AU104" s="67">
        <f t="shared" si="57"/>
        <v>0</v>
      </c>
      <c r="AV104" s="67" t="str">
        <f>IF(IF(Rate_Type="Tracker",X104,W104)&gt;'Product Data'!$P$19,"Y","N")</f>
        <v>Y</v>
      </c>
      <c r="AY104" s="2048" t="e">
        <f t="shared" si="71"/>
        <v>#VALUE!</v>
      </c>
      <c r="AZ104" s="2048">
        <f t="shared" si="72"/>
        <v>0</v>
      </c>
    </row>
    <row r="105" spans="1:52" ht="18.75" thickBot="1" x14ac:dyDescent="0.4">
      <c r="A105" s="3218"/>
      <c r="B105" s="308" t="str">
        <f>IF(OR($H$70="Residential BTL",$H$70="Retention "),IF(AND('BTL Calculator'!$G$60=C103,F105='BTL Calculator'!$G$62),1,0),"")</f>
        <v/>
      </c>
      <c r="C105" s="1998"/>
      <c r="D105" s="1999" t="str">
        <f>IF(OR(OR($H$70="Residential BTL",$H$70="Retention "),$H$70="Retention "),15,"")</f>
        <v/>
      </c>
      <c r="E105" s="308" t="str">
        <f>IF(OR(OR($H$70="Residential BTL",$H$70="Retention "),$H$70="Retention "),VALUE(LEFT(F105,1)),"")</f>
        <v/>
      </c>
      <c r="F105" s="2000" t="str">
        <f>IF(OR(OR($H$70="Residential BTL",$H$70="Retention "),$H$70="Retention "),"3) Specialist BTL","")</f>
        <v/>
      </c>
      <c r="G105" s="2032"/>
      <c r="H105" s="2015" t="str">
        <f t="shared" si="67"/>
        <v/>
      </c>
      <c r="I105" s="2017">
        <f t="shared" si="67"/>
        <v>0.04</v>
      </c>
      <c r="J105" s="2518" t="b">
        <f>IF(AND(Rate_Type="Fixed",H72="3 Year Fixed"),IF(Defer4&gt;'Product Data'!$P$24,'Product Data'!$P$24,Defer4),IF(AND(Rate_Type="Fixed",H72="2 Year Fixed"),IF(Defer4&gt;'Product Data'!$P$24,'Product Data'!$P$24,Defer4),IF(AND(Rate_Type="Fixed",H72="5 Year Fixed"),IF(Defer4&gt;'Product Data'!$P$33,'Product Data'!$P$33,Defer4),IF(AND(Rate_Type="Tracker",$H$70="Commercial"),IF(Defer4&gt;0.015,0.015,Defer4),IF(AND(Rate_Type="Tracker",$H$70="Semi-Commercial"),IF(Defer4&gt;0.015,0.015,Defer4),IF(AND(Rate_Type="Tracker",OR($H$70="Residential BTL",$H$70="Retention ")),IF(Defer4&gt;0.02,0.02,Defer4)))))))</f>
        <v>0</v>
      </c>
      <c r="K105" s="648" t="str">
        <f>IF(OR(OR($H$70="Residential BTL",$H$70="Retention "),$H$70="Retention "),IF(Roll4="",0,IF(OR($H$70="Residential BTL",$H$70="Retention "),MAX(MIN(Roll4,'Product Data'!$P$12),0),"")),"")</f>
        <v/>
      </c>
      <c r="L105" s="2008" t="str">
        <f>IF('BTL Calculator'!V2="Core","",IF(OR(OR($H$70="Residential BTL",$H$70="Retention "),$H$70="Retention "),H105-J105,""))</f>
        <v/>
      </c>
      <c r="M105" s="2009" t="str">
        <f>M99</f>
        <v/>
      </c>
      <c r="N105" s="2010" t="str">
        <f>IF(OR(OR($H$70="Residential BTL",$H$70="Retention "),$H$70="Retention "),MIN(M105*Property_Value,'Product Data'!$P$16),"")</f>
        <v/>
      </c>
      <c r="O105" s="2010" t="b">
        <f>IF(AND(OR(OR($H$70="Residential BTL",$H$70="Retention "),$H$70="Retention "),Rate_Type="Fixed"),IFERROR(AO105/($L105/12*(Term-$K105)*'Product Data'!$P$23),0),IF(AND(Rate_Type="Tracker",OR(OR($H$70="Residential BTL",$H$70="Retention "),$H$70="Retention ")),IFERROR(AO105/($L105/12*(Term-$K105)*'Product Data'!$P$17),0),IF(AND($H$70="Semi-Commercial",Rate_Type="Tracker"),IFERROR(AP105/($L105/12*(Term-$K105)*'Product Data'!$P$17),0),IF(AND($H$70="Semi-Commercial",Rate_Type="Fixed"),IFERROR(AP105/($L105/12*(Term-$K105)*'Product Data'!$P$23),0),IF(AND($H$70="Commercial",Rate_Type="Tracker"),IFERROR(AP105/($L105/12*(Term-$K105)*'Product Data'!$P$17),0),IF(AND($H$70="Commercial",Rate_Type="Fixed"),IFERROR(AP105/($L105/12*(Term-$K105)*'Product Data'!$P$23),0)))))))</f>
        <v>0</v>
      </c>
      <c r="P105" s="2010" t="str">
        <f>IF('BTL Calculator'!$H$28="Fixed","",IF(OR(OR($H$70="Residential BTL",$H$70="Retention "),$H$70="Retention "),AO105/((((H105-'Product Data'!$E$3+'Product Data'!$K$3-J105)/12*(Term-K105)))*'Product Data'!$P$18),AP105/((((H105-'Product Data'!$E$3+'Product Data'!$K$3-J105)/12*(Term-K105)))*'Product Data'!$P$18)))</f>
        <v/>
      </c>
      <c r="Q105" s="639" t="str">
        <f>IF(OR($H$70="Residential BTL",$H$70="Retention "),IF('BTL Calculator'!$H$28="Tracker",MIN(N105,P105),MIN(O105,N105)),"")</f>
        <v/>
      </c>
      <c r="R105" s="639" t="str">
        <f>IF(OR($H$70="Residential BTL",$H$70="Retention "),ROUNDDOWN(Q105,-3),"")</f>
        <v/>
      </c>
      <c r="S105" s="2044" t="str">
        <f t="shared" si="58"/>
        <v>-</v>
      </c>
      <c r="T105" s="2722" t="str">
        <f>IFERROR(((H105*IF(RoundDown,R105,Q105)/12)),"-")</f>
        <v>-</v>
      </c>
      <c r="U105" s="2044" t="str">
        <f>IF('BTL Calculator'!$H$28="Fixed","",(((L105+$U$73)*IF(RoundDown,R105,Q105)/12)))</f>
        <v/>
      </c>
      <c r="V105" s="2044" t="str">
        <f>IF('BTL Calculator'!$V$2="Core","",IF(OR($H$70="Residential BTL",$H$70="Retention "),((L105*IF(RoundDown,R105,Q105)/12))-IF('BTL Calculator'!$CY$11='Product Data'!$AG$9,AE105/Term,0),""))</f>
        <v/>
      </c>
      <c r="W105" s="2045" t="str">
        <f>IF(OR($H$70="Residential BTL",$H$70="Retention "),IFERROR(AO105/Z105,"-"),"")</f>
        <v/>
      </c>
      <c r="X105" s="2045" t="str">
        <f>IF('BTL Calculator'!$H$28="Fixed","",IF(OR($H$70="Residential BTL",$H$70="Retention "),IFERROR(AO105/AA105,"-"),IFERROR(AP105/AA105,"-")))</f>
        <v/>
      </c>
      <c r="Y105" s="2045" t="str">
        <f>IF(OR($H$70="Residential BTL",$H$70="Retention "),TEXT(V105,"£0,0")&amp;" @ "&amp;TEXT(W105,"0%")&amp;" ICR","")</f>
        <v/>
      </c>
      <c r="Z105" s="2044" t="str">
        <f>IF('BTL Calculator'!$V$2="Core","",IF(OR($H$70="Residential BTL",$H$70="Retention "),(IF(RoundDown,R105,Q105)*L105)/12*(Term-K105),""))</f>
        <v/>
      </c>
      <c r="AA105" s="2044" t="str">
        <f>IF('BTL Calculator'!$H$28="Fixed","",(IF(RoundDown,R105,Q105)*(H105-'Product Data'!$E$3+'Product Data'!$K$2-J105))/12*(Term-K105))</f>
        <v/>
      </c>
      <c r="AB105" s="2044" t="str">
        <f>IF(OR($H$70="Residential BTL",$H$70="Retention "),IFERROR(Monthly_Rent*Term,"-"),"")</f>
        <v/>
      </c>
      <c r="AC105" s="2044" t="str">
        <f>IF(OR($H$70="Residential BTL",$H$70="Retention "),IFERROR($U$22-V105,"-"),"")</f>
        <v/>
      </c>
      <c r="AD105" s="2044" t="e">
        <f t="shared" si="39"/>
        <v>#VALUE!</v>
      </c>
      <c r="AE105" s="2044" t="e">
        <f>IF('BTL Calculator'!$V$2="Core","",K105*L105/12*IF(RoundDown,R105,Q105))</f>
        <v>#VALUE!</v>
      </c>
      <c r="AF105" s="2046" t="str">
        <f>IF(OR($H$70="Residential BTL",$H$70="Retention "),SUM(AD105:AE105),"")</f>
        <v/>
      </c>
      <c r="AG105" s="2047" t="str">
        <f>IF('BTL Calculator'!V2="Core","",IF(OR($H$70="Residential BTL",$H$70="Retention "),AL105+AI105,""))</f>
        <v/>
      </c>
      <c r="AH105" s="2048" t="e">
        <f t="shared" si="68"/>
        <v>#VALUE!</v>
      </c>
      <c r="AI105" s="2048" t="e">
        <f t="shared" si="42"/>
        <v>#VALUE!</v>
      </c>
      <c r="AJ105" s="2048" t="e">
        <f t="shared" si="43"/>
        <v>#VALUE!</v>
      </c>
      <c r="AK105" s="2048" t="str">
        <f>IF(OR($H$70="Residential BTL",$H$70="Retention "),TEXT(I105,"0.00%")&amp;" ("&amp;TEXT(AH105,"£0,0")&amp;")","")</f>
        <v/>
      </c>
      <c r="AL105" s="2049" t="str">
        <f>IF('BTL Calculator'!V2="Core","",IF(OR($H$70="Residential BTL",$H$70="Retention "),IF(RoundDown,R105,Q105)-AD105-AE105-AH105,""))</f>
        <v/>
      </c>
      <c r="AM105" s="2050" t="str">
        <f>IF(OR($H$70="Residential BTL",$H$70="Retention "),AL105/Property_Value,"")</f>
        <v/>
      </c>
      <c r="AN105" s="2050" t="str">
        <f>IF(OR($H$70="Residential BTL",$H$70="Retention "),IF(RoundDown,R105,Q105)/Property_Value,"")</f>
        <v/>
      </c>
      <c r="AO105" s="640" t="str">
        <f>IF(OR($H$70="Residential BTL",$H$70="Retention "),Rent_Over_Term+AQ105,"")</f>
        <v/>
      </c>
      <c r="AP105" s="649"/>
      <c r="AQ105" s="640" t="str">
        <f>IF(OR($H$70="Residential BTL",$H$70="Retention "),'BTL Calculator'!$I$80*Term,"")</f>
        <v/>
      </c>
      <c r="AR105" s="641" t="str">
        <f>IF(OR($H$70="Residential BTL",$H$70="Retention "),IF(ISERROR(FIND("Bespoke",F87,1)),FALSE,TRUE),"")</f>
        <v/>
      </c>
      <c r="AS105" s="287" t="str">
        <f>IF(OR($H$70="Residential BTL",$H$70="Retention "),IFERROR(IF(AND(IF(RoundDown,R105,Q105)=$E$70,E105&gt;=$F$36),1,0),"-"),"")</f>
        <v/>
      </c>
      <c r="AT105" s="287" t="str">
        <f>IF(OR($H$70="Residential BTL",$H$70="Retention "),IFERROR(IF(AND(AL105=$E$71,E105&gt;=$F$36),1,0),"-"),"")</f>
        <v/>
      </c>
      <c r="AU105" s="287" t="str">
        <f>IF(OR($H$70="Residential BTL",$H$70="Retention "),SUM(AS105:AT105),"")</f>
        <v/>
      </c>
      <c r="AV105" s="287" t="str">
        <f>IF(OR($H$70="Residential BTL",$H$70="Retention "),IF(IF(Rate_Type="Tracker",X105,W105)&gt;'Product Data'!$P$19,"Y","N"),"")</f>
        <v/>
      </c>
      <c r="AY105" s="2048" t="e">
        <f t="shared" si="71"/>
        <v>#VALUE!</v>
      </c>
      <c r="AZ105" s="2048" t="e">
        <f t="shared" si="72"/>
        <v>#VALUE!</v>
      </c>
    </row>
    <row r="106" spans="1:52" x14ac:dyDescent="0.35">
      <c r="A106" s="3218"/>
      <c r="B106" s="308">
        <f>IF(AND('BTL Calculator'!$G$60=C106,F106='BTL Calculator'!$G$62),1,0)</f>
        <v>0</v>
      </c>
      <c r="C106" s="2001" t="s">
        <v>589</v>
      </c>
      <c r="D106" s="1995">
        <v>17</v>
      </c>
      <c r="E106" s="1996">
        <f t="shared" si="51"/>
        <v>1</v>
      </c>
      <c r="F106" s="2002" t="str">
        <f>'BTL Calculator'!$G$62</f>
        <v>1) Standard</v>
      </c>
      <c r="G106" s="2034"/>
      <c r="H106" s="2005" t="e">
        <f>INDEX(H$94:H$96,MATCH($F$106,$F$94:$F$96,0))</f>
        <v>#N/A</v>
      </c>
      <c r="I106" s="2016" t="e">
        <f>INDEX(I$94:I$96,MATCH($E$106,$E$94:$E$96,0))</f>
        <v>#N/A</v>
      </c>
      <c r="J106" s="2518" t="b">
        <f>IF('BTL Calculator'!V2="Core",0,IF(AND(Rate_Type="Fixed",H72="3 Year Fixed"),IF(Defer4&gt;'Product Data'!$P$24,'Product Data'!$P$24,Defer4),IF(AND(Rate_Type="Fixed",H72="2 Year Fixed"),IF(Defer4&gt;'Product Data'!$P$24,'Product Data'!$P$24,Defer4),IF(AND(Rate_Type="Fixed",H72="5 Year Fixed"),IF(Defer4&gt;'Product Data'!$P$33,'Product Data'!$P$33,Defer4),IF(AND(Rate_Type="Tracker",$H$70="Commercial"),IF(Defer4&gt;0.015,0.015,Defer4),IF(AND(Rate_Type="Tracker",$H$70="Semi-Commercial"),IF(Defer4&gt;0.015,0.015,Defer4),IF(AND(Rate_Type="Tracker",OR($H$70="Residential BTL",$H$70="Retention ")),IF(Defer4&gt;0.02,0.02,Defer4))))))))</f>
        <v>0</v>
      </c>
      <c r="K106" s="645" t="e">
        <f>IF('BTL Calculator'!V2="Core",0,INDEX(K$103:K$105,MATCH($E$106,$E$103:$E$105,0)))</f>
        <v>#N/A</v>
      </c>
      <c r="L106" s="2013" t="str">
        <f>IFERROR(H106-J106,"-")</f>
        <v>-</v>
      </c>
      <c r="M106" s="2014" t="e">
        <f>INDEX(M$76:M$78,MATCH($F$88,$F$76:$F$78,0))</f>
        <v>#N/A</v>
      </c>
      <c r="N106" s="2007" t="e">
        <f>MIN(M106*Property_Value,'Product Data'!$P$16)</f>
        <v>#N/A</v>
      </c>
      <c r="O106" s="2007" t="b">
        <f>IF(AND(OR(OR($H$70="Residential BTL",$H$70="Retention "),$H$70="Retention "),Rate_Type="Fixed"),IFERROR(AO106/(IF(AND('BTL Calculator'!V2="Core",L106&lt;0.055),0.055,$L106)/12*(Term-$K106)*'Product Data'!$P$23),0),IF(AND(Rate_Type="Tracker",OR(OR($H$70="Residential BTL",$H$70="Retention "),$H$70="Retention ")),IFERROR(AO106/(IF(AND('BTL Calculator'!V2="Core",L106-BBR+'Product Data'!K2&lt;0.055),0.055,$L106)/12*(Term-$K106)*'Product Data'!$P$17),0),IF(AND($H$70="Semi-Commercial",Rate_Type="Tracker"),IFERROR(AP106/($L106/12*(Term-$K106)*'Product Data'!$P$17),0),IF(AND($H$70="Semi-Commercial",Rate_Type="Fixed"),IFERROR(AP106/($L106/12*(Term-$K106)*'Product Data'!$P$23),0),IF(AND($H$70="Commercial",Rate_Type="Tracker"),IFERROR(AP106/($L106/12*(Term-$K106)*'Product Data'!$P$17),0),IF(AND($H$70="Commercial",Rate_Type="Fixed"),IFERROR(AP106/($L106/12*(Term-$K106)*'Product Data'!$P$23),0)))))))</f>
        <v>0</v>
      </c>
      <c r="P106" s="2007" t="str">
        <f>IF('BTL Calculator'!$H$28="Fixed","",IF(OR(OR($H$70="Residential BTL",$H$70="Retention "),$H$70="Retention "),AO106/((((IF(AND('BTL Calculator'!V2="Core",H106-'Product Data'!$E$3+'Product Data'!$K$2-J106&lt;0.055),0.055,H106-'Product Data'!$E$3+'Product Data'!$K$3-J106))/12*(Term-K106)))*'Product Data'!$P$18),AP106/(((((H106-'Product Data'!$E$3+'Product Data'!$K$2-J106))/12*(Term-K106)))*'Product Data'!$P$18)))</f>
        <v/>
      </c>
      <c r="Q106" s="634" t="e">
        <f>IF('BTL Calculator'!$H$28="Tracker",MIN(N106,P106,'BTL Calculator'!I83),MIN(O106,N106,'BTL Calculator'!I83))</f>
        <v>#N/A</v>
      </c>
      <c r="R106" s="634" t="e">
        <f>ROUNDDOWN(Q106,-3)</f>
        <v>#N/A</v>
      </c>
      <c r="S106" s="2720" t="str">
        <f>IFERROR((IF(RoundDown,R106,Q106)*J106/12*Term)+
(IF(RoundDown,R106,Q106)*L106/12*K106)+
(IF(RoundDown,R106,Q106)*L106/12*(Term-K106)),"-")</f>
        <v>-</v>
      </c>
      <c r="T106" s="2720" t="str">
        <f>IFERROR(((IF(AND('BTL Calculator'!$V$2="Core",H106&lt;0.055),0.055,H106)*IF(RoundDown,R106,Q106)/12)),"-")</f>
        <v>-</v>
      </c>
      <c r="U106" s="2037" t="str">
        <f>IF('BTL Calculator'!$H$28="Fixed","",(((L106+$U$73)*IF(RoundDown,R106,Q106)/12)))</f>
        <v/>
      </c>
      <c r="V106" s="2720" t="str">
        <f>IFERROR(((IF(AND('BTL Calculator'!$V$2="Core",L106&lt;0.055),0.055,L106)*IF(RoundDown,R106,Q106)/12)),"-")</f>
        <v>-</v>
      </c>
      <c r="W106" s="2038" t="str">
        <f>IF(OR($H$70="Residential BTL",$H$70="Retention "),IFERROR(AO106/Z106,"-"),IFERROR(AP106/Z106,"-"))</f>
        <v>-</v>
      </c>
      <c r="X106" s="2038" t="str">
        <f>IF('BTL Calculator'!$H$28="Fixed","",IF(OR($H$70="Residential BTL",$H$70="Retention "),IFERROR(AO106/AA106,"-"),IFERROR(AP106/AA106,"-")))</f>
        <v/>
      </c>
      <c r="Y106" s="2038" t="str">
        <f t="shared" si="52"/>
        <v>- @ - ICR</v>
      </c>
      <c r="Z106" s="2720" t="e">
        <f>(IF(RoundDown,R106,Q106)*L106)/12*(Term-K106)</f>
        <v>#N/A</v>
      </c>
      <c r="AA106" s="2720" t="str">
        <f>IF('BTL Calculator'!$H$28="Fixed","",(IF(RoundDown,R106,Q106)*(IF(AND('BTL Calculator'!$V$2="Core",H106-BBR+'Product Data'!$K$2&lt;0.055),0.055,H106-'Product Data'!$E$3+'Product Data'!$K$2-J106)))/12*(Term-K106))</f>
        <v/>
      </c>
      <c r="AB106" s="2037">
        <f t="shared" si="38"/>
        <v>0</v>
      </c>
      <c r="AC106" s="2037" t="str">
        <f t="shared" si="53"/>
        <v>-</v>
      </c>
      <c r="AD106" s="2037" t="e">
        <f>((J106*IF(RoundDown,R106,Q106))/12)*Term</f>
        <v>#N/A</v>
      </c>
      <c r="AE106" s="2037" t="e">
        <f>K106*IF(AND('BTL Calculator'!$V$2="Core",L106&lt;0.055),0.055,L106)/12*IF(RoundDown,R106,Q106)</f>
        <v>#N/A</v>
      </c>
      <c r="AF106" s="2039" t="e">
        <f t="shared" si="54"/>
        <v>#N/A</v>
      </c>
      <c r="AG106" s="2040" t="e">
        <f t="shared" si="40"/>
        <v>#N/A</v>
      </c>
      <c r="AH106" s="2041" t="e">
        <f t="shared" si="68"/>
        <v>#N/A</v>
      </c>
      <c r="AI106" s="2041" t="e">
        <f t="shared" si="42"/>
        <v>#N/A</v>
      </c>
      <c r="AJ106" s="2041" t="e">
        <f t="shared" si="43"/>
        <v>#N/A</v>
      </c>
      <c r="AK106" s="2041" t="e">
        <f>TEXT(I106,"0.00%")&amp;" ("&amp;TEXT(AH106,"£0,0")&amp;")"</f>
        <v>#N/A</v>
      </c>
      <c r="AL106" s="2068" t="e">
        <f t="shared" si="55"/>
        <v>#N/A</v>
      </c>
      <c r="AM106" s="2043" t="e">
        <f t="shared" si="69"/>
        <v>#N/A</v>
      </c>
      <c r="AN106" s="2043" t="e">
        <f t="shared" si="46"/>
        <v>#N/A</v>
      </c>
      <c r="AO106" s="845">
        <f>Rent_Over_Term+AQ106</f>
        <v>0</v>
      </c>
      <c r="AP106" s="845">
        <f t="shared" ref="AP106:AP108" si="73">IF($H$72="3 Year Fixed",$X$22*36+AQ106, $X$22*24+AQ106)</f>
        <v>0</v>
      </c>
      <c r="AQ106" s="2071">
        <f>'BTL Calculator'!$I$80*Term</f>
        <v>0</v>
      </c>
      <c r="AR106" s="2072"/>
      <c r="AS106" s="287" t="str">
        <f t="shared" si="48"/>
        <v>-</v>
      </c>
      <c r="AT106" s="287" t="str">
        <f t="shared" si="56"/>
        <v>-</v>
      </c>
      <c r="AU106" s="67">
        <f t="shared" si="57"/>
        <v>0</v>
      </c>
      <c r="AV106" s="67" t="str">
        <f>IF(IF(Rate_Type="Tracker",X106,W106)&gt;'Product Data'!$P$19,"Y","N")</f>
        <v>Y</v>
      </c>
      <c r="AY106" s="2041" t="e">
        <f t="shared" si="71"/>
        <v>#N/A</v>
      </c>
      <c r="AZ106" s="2041" t="e">
        <f t="shared" si="72"/>
        <v>#N/A</v>
      </c>
    </row>
    <row r="107" spans="1:52" ht="18.75" thickBot="1" x14ac:dyDescent="0.4">
      <c r="A107" s="3218"/>
      <c r="B107" s="308">
        <f>IF(AND('BTL Calculator'!$G$60=C107,F107='BTL Calculator'!$G$62),1,0)</f>
        <v>0</v>
      </c>
      <c r="C107" s="2003" t="s">
        <v>590</v>
      </c>
      <c r="D107" s="1999">
        <v>18</v>
      </c>
      <c r="E107" s="308">
        <f>VALUE(LEFT(F107,1))</f>
        <v>1</v>
      </c>
      <c r="F107" s="2004" t="str">
        <f>F106</f>
        <v>1) Standard</v>
      </c>
      <c r="G107" s="2035"/>
      <c r="H107" s="2015" t="e">
        <f>H106</f>
        <v>#N/A</v>
      </c>
      <c r="I107" s="2017" t="e">
        <f>I106</f>
        <v>#N/A</v>
      </c>
      <c r="J107" s="2518" t="b">
        <f>IF('BTL Calculator'!V2="Core",0,IF(AND(Rate_Type="Fixed",H72="3 Year Fixed"),IF(Defer4&gt;'Product Data'!$P$24,'Product Data'!$P$24,Defer4),IF(AND(Rate_Type="Fixed",H72="2 Year Fixed"),IF(Defer4&gt;'Product Data'!$P$24,'Product Data'!$P$24,Defer4),IF(AND(Rate_Type="Fixed",H72="5 Year Fixed"),IF(Defer4&gt;'Product Data'!$P$33,'Product Data'!$P$33,Defer4),IF(AND(Rate_Type="Tracker",$H$70="Commercial"),IF(Defer4&gt;0.015,0.015,Defer4),IF(AND(Rate_Type="Tracker",$H$70="Semi-Commercial"),IF(Defer4&gt;0.015,0.015,Defer4),IF(AND(Rate_Type="Tracker",OR($H$70="Residential BTL",$H$70="Retention ")),IF(Defer4&gt;0.02,0.02,Defer4))))))))</f>
        <v>0</v>
      </c>
      <c r="K107" s="648" t="e">
        <f>IF('BTL Calculator'!V2="Core",0,INDEX(K$103:K$105,MATCH($E$107,$E$103:$E$105,0)))</f>
        <v>#N/A</v>
      </c>
      <c r="L107" s="2018" t="str">
        <f>IFERROR(H107-J107,"-")</f>
        <v>-</v>
      </c>
      <c r="M107" s="2069" t="e">
        <f>M106</f>
        <v>#N/A</v>
      </c>
      <c r="N107" s="2012" t="e">
        <f>N106</f>
        <v>#N/A</v>
      </c>
      <c r="O107" s="2012" t="b">
        <f>IF(AND(OR(OR($H$70="Residential BTL",$H$70="Retention "),$H$70="Retention "),Rate_Type="Fixed"),IFERROR(AO107/(IF(AND('BTL Calculator'!V2="Core",L107&lt;0.055),0.055,$L107)/12*(Term-$K107)*'Product Data'!$P$23),0),IF(AND(Rate_Type="Tracker",OR(OR($H$70="Residential BTL",$H$70="Retention "),$H$70="Retention ")),IFERROR(AO107/(IF(AND('BTL Calculator'!V2="Core",L107-BBR+'Product Data'!K2&lt;0.055),0.055,$L107)/12*(Term-$K107)*'Product Data'!$P$17),0),IF(AND($H$70="Semi-Commercial",Rate_Type="Tracker"),IFERROR(AP107/($L107/12*(Term-$K107)*'Product Data'!$P$17),0),IF(AND($H$70="Semi-Commercial",Rate_Type="Fixed"),IFERROR(AP107/($L107/12*(Term-$K107)*'Product Data'!$P$23),0),IF(AND($H$70="Commercial",Rate_Type="Tracker"),IFERROR(AP107/($L107/12*(Term-$K107)*'Product Data'!$P$17),0),IF(AND($H$70="Commercial",Rate_Type="Fixed"),IFERROR(AP107/($L107/12*(Term-$K107)*'Product Data'!$P$23),0)))))))</f>
        <v>0</v>
      </c>
      <c r="P107" s="2010" t="str">
        <f>IF('BTL Calculator'!$H$28="Fixed","",IF(OR(OR($H$70="Residential BTL",$H$70="Retention "),$H$70="Retention "),AO107/((((IF(AND('BTL Calculator'!V2="Core",H107-'Product Data'!$E$3+'Product Data'!$K$2-J107&lt;0.055),0.055,H107-'Product Data'!$E$3+'Product Data'!$K$3-J107))/12*(Term-K107)))*'Product Data'!$P$18),AP107/(((((H107-'Product Data'!$E$3+'Product Data'!$K$2-J107))/12*(Term-K107)))*'Product Data'!$P$18)))</f>
        <v/>
      </c>
      <c r="Q107" s="642" t="e">
        <f>MIN(N107,P107,O107,AR107/(1-(J107/12*IF((Defer_Term_Override="No")*(Rate_Type="Tracker"),Term-K107,Term))-I107-(IF(('BTL Calculator'!H53="Tracker")*(Rolled_Rate_Override="Full Rate"),H107,L107)/12*K107)))</f>
        <v>#N/A</v>
      </c>
      <c r="R107" s="642" t="e">
        <f>ROUNDDOWN(Q107,-3)</f>
        <v>#N/A</v>
      </c>
      <c r="S107" s="2722" t="str">
        <f>IFERROR((IF(RoundDown,R107,Q107)*J107/12*Term)+
(IF(RoundDown,R107,Q107)*L107/12*K107)+
(IF(RoundDown,R107,Q107)*L107/12*(Term-K107)),"-")</f>
        <v>-</v>
      </c>
      <c r="T107" s="2721" t="str">
        <f>IFERROR(((IF(AND('BTL Calculator'!$V$2="Core",H107&lt;0.055),0.055,H107)*IF(RoundDown,R107,Q107)/12)),"-")</f>
        <v>-</v>
      </c>
      <c r="U107" s="2051" t="str">
        <f>IF('BTL Calculator'!$H$28="Fixed","",(((L107+$U$73)*IF(RoundDown,R107,Q107)/12)))</f>
        <v/>
      </c>
      <c r="V107" s="2721" t="str">
        <f>IFERROR(((IF(AND('BTL Calculator'!$V$2="Core",L107&lt;0.055),0.055,L107)*IF(RoundDown,R107,Q107)/12)),"-")</f>
        <v>-</v>
      </c>
      <c r="W107" s="2052" t="str">
        <f>IF(OR($H$70="Residential BTL",$H$70="Retention "),IFERROR(AO107/Z107,"-"),IFERROR(AP107/Z107,"-"))</f>
        <v>-</v>
      </c>
      <c r="X107" s="2052" t="str">
        <f>IF('BTL Calculator'!$H$28="Fixed","",IF(OR($H$70="Residential BTL",$H$70="Retention "),IFERROR(AO107/AA107,"-"),IFERROR(AP107/AA107,"-")))</f>
        <v/>
      </c>
      <c r="Y107" s="2052" t="str">
        <f t="shared" si="52"/>
        <v>- @ - ICR</v>
      </c>
      <c r="Z107" s="2721" t="e">
        <f>(IF(RoundDown,R107,Q107)*L107)/12*(Term-K107)</f>
        <v>#N/A</v>
      </c>
      <c r="AA107" s="2721" t="str">
        <f>IF('BTL Calculator'!$H$28="Fixed","",(IF(RoundDown,R107,Q107)*(IF(AND('BTL Calculator'!$V$2="Core",H107-BBR+'Product Data'!$K$2&lt;0.055),0.055,H107-'Product Data'!$E$3+'Product Data'!$K$2-J107)))/12*(Term-K107))</f>
        <v/>
      </c>
      <c r="AB107" s="2051">
        <f t="shared" si="38"/>
        <v>0</v>
      </c>
      <c r="AC107" s="2051" t="str">
        <f t="shared" si="53"/>
        <v>-</v>
      </c>
      <c r="AD107" s="2051" t="e">
        <f>((J107*IF(RoundDown,R107,Q107))/12)*Term</f>
        <v>#N/A</v>
      </c>
      <c r="AE107" s="2722" t="e">
        <f>K107*IF(AND('BTL Calculator'!$V$2="Core",L107&lt;0.055),0.055,L107)/12*IF(RoundDown,R107,Q107)</f>
        <v>#N/A</v>
      </c>
      <c r="AF107" s="2053" t="e">
        <f t="shared" si="54"/>
        <v>#N/A</v>
      </c>
      <c r="AG107" s="2054" t="e">
        <f t="shared" si="40"/>
        <v>#N/A</v>
      </c>
      <c r="AH107" s="2055" t="e">
        <f t="shared" si="68"/>
        <v>#N/A</v>
      </c>
      <c r="AI107" s="2055" t="e">
        <f t="shared" si="42"/>
        <v>#N/A</v>
      </c>
      <c r="AJ107" s="2055" t="e">
        <f t="shared" si="43"/>
        <v>#N/A</v>
      </c>
      <c r="AK107" s="2055" t="e">
        <f>TEXT(I107,"0.00%")&amp;" ("&amp;TEXT(AH107,"£0,0")&amp;")"</f>
        <v>#N/A</v>
      </c>
      <c r="AL107" s="2070" t="e">
        <f>IF(RoundDown,R107,Q107)-AD107-AE107-AH107</f>
        <v>#N/A</v>
      </c>
      <c r="AM107" s="2050" t="e">
        <f t="shared" si="69"/>
        <v>#N/A</v>
      </c>
      <c r="AN107" s="2050" t="e">
        <f t="shared" si="46"/>
        <v>#N/A</v>
      </c>
      <c r="AO107" s="846">
        <f>Rent_Over_Term+AQ107</f>
        <v>0</v>
      </c>
      <c r="AP107" s="846">
        <f t="shared" si="73"/>
        <v>0</v>
      </c>
      <c r="AQ107" s="2074">
        <f>'BTL Calculator'!$I$80*Term</f>
        <v>0</v>
      </c>
      <c r="AR107" s="2075">
        <f>'BTL Calculator'!I83</f>
        <v>350000</v>
      </c>
      <c r="AS107" s="287" t="str">
        <f t="shared" si="48"/>
        <v>-</v>
      </c>
      <c r="AT107" s="287" t="str">
        <f t="shared" si="56"/>
        <v>-</v>
      </c>
      <c r="AU107" s="67">
        <f t="shared" si="57"/>
        <v>0</v>
      </c>
      <c r="AV107" s="67" t="str">
        <f>IF(IF(Rate_Type="Tracker",X107,W107)&gt;'Product Data'!$P$19,"Y","N")</f>
        <v>Y</v>
      </c>
      <c r="AY107" s="2055" t="e">
        <f t="shared" si="71"/>
        <v>#N/A</v>
      </c>
      <c r="AZ107" s="2055" t="e">
        <f t="shared" si="72"/>
        <v>#N/A</v>
      </c>
    </row>
    <row r="108" spans="1:52" ht="18.75" thickBot="1" x14ac:dyDescent="0.4">
      <c r="A108" s="3218"/>
      <c r="B108" s="2030"/>
      <c r="C108" s="657" t="s">
        <v>591</v>
      </c>
      <c r="D108" s="658" t="e">
        <f>INDEX(D94:D107,MATCH(1,$B$94:$B$107,0))</f>
        <v>#N/A</v>
      </c>
      <c r="E108" s="848" t="e">
        <f>LEFT(F108,1)</f>
        <v>#N/A</v>
      </c>
      <c r="F108" s="659" t="e">
        <f>INDEX(F94:F107,MATCH(1,$B$94:$B$107,0))</f>
        <v>#N/A</v>
      </c>
      <c r="G108" s="2036"/>
      <c r="H108" s="660" t="e">
        <f t="shared" ref="H108:N108" si="74">INDEX(H94:H107,MATCH(1,$B$94:$B$107,0))</f>
        <v>#N/A</v>
      </c>
      <c r="I108" s="661" t="e">
        <f t="shared" si="74"/>
        <v>#N/A</v>
      </c>
      <c r="J108" s="1953" t="e">
        <f t="shared" si="74"/>
        <v>#N/A</v>
      </c>
      <c r="K108" s="662" t="e">
        <f t="shared" si="74"/>
        <v>#N/A</v>
      </c>
      <c r="L108" s="2059" t="e">
        <f t="shared" si="74"/>
        <v>#N/A</v>
      </c>
      <c r="M108" s="2060" t="e">
        <f t="shared" si="74"/>
        <v>#N/A</v>
      </c>
      <c r="N108" s="2061" t="e">
        <f t="shared" si="74"/>
        <v>#N/A</v>
      </c>
      <c r="O108" s="2248">
        <f>IF(Rate_Type="Fixed",IFERROR(AO108/(IF(AND('BTL Calculator'!V2="Core",L108&lt;0.055),0.055,$L108)/12*(Term-$K108)*'Product Data'!$P$23),0),IF(OR(OR($H$70="Residential BTL",$H$70="Retention "),$H$70="Retention "),IFERROR(AO108/(IF(AND('BTL Calculator'!V2="Core",L108-BBR+'Product Data'!K2&lt;0.055),0.055,$L108)/12*(Term-$K108)*'Product Data'!$P$17),0),IFERROR(AP108/($L108/12*(Term-$K108)*'Product Data'!$P$17),0)))</f>
        <v>0</v>
      </c>
      <c r="P108" s="2713" t="str">
        <f>IF('BTL Calculator'!$H$28="Fixed","",IF(OR(OR($H$70="Residential BTL",$H$70="Retention "),$H$70="Retention "),AO108/((((IF(AND('BTL Calculator'!V2="Core",H108-'Product Data'!$E$3+'Product Data'!$K$2-J108&lt;0.055),0.055,H108-'Product Data'!$E$3+'Product Data'!$K$3-J108))/12*(Term-K108)))*'Product Data'!$P$18),AP108/(((((H108-'Product Data'!$E$3+'Product Data'!$K$2-J108))/12*(Term-K108)))*'Product Data'!$P$18)))</f>
        <v/>
      </c>
      <c r="Q108" s="2062" t="e">
        <f>INDEX(Q94:Q107,MATCH(1,$B$94:$B$107,0))</f>
        <v>#N/A</v>
      </c>
      <c r="R108" s="2062" t="e">
        <f>ROUNDDOWN(Q108,-3)</f>
        <v>#N/A</v>
      </c>
      <c r="S108" s="2063" t="str">
        <f>IFERROR((IF(RoundDown,R108,Q108)*J108/12*Term)+
(IF(RoundDown,R108,Q108)*L108/12*K108)+
(IF(RoundDown,R108,Q108)*L108/12*(Term-K108)),"-")</f>
        <v>-</v>
      </c>
      <c r="T108" s="2723" t="str">
        <f>IFERROR(((H108)*IF(RoundDown,R108,Q108)/12),"-")</f>
        <v>-</v>
      </c>
      <c r="U108" s="2063" t="str">
        <f>IF('BTL Calculator'!$H$28="Fixed","",(((L108+$U$73)*IF(RoundDown,R108,Q108)/12)))</f>
        <v/>
      </c>
      <c r="V108" s="2723" t="str">
        <f>IFERROR(((L108)*IF(RoundDown,R108,Q108)/12),"-")</f>
        <v>-</v>
      </c>
      <c r="W108" s="2064" t="str">
        <f>IF(OR($H$70="Residential BTL",$H$70="Retention "),IFERROR(AO108/Z108,"-"),IFERROR(AP108/Z108,"-"))</f>
        <v>-</v>
      </c>
      <c r="X108" s="2064" t="str">
        <f>IF('BTL Calculator'!$H$28="Fixed","",IF(OR($H$70="Residential BTL",$H$70="Retention "),IFERROR(AO108/AA108,"-"),IFERROR(AP108/AA108,"-")))</f>
        <v/>
      </c>
      <c r="Y108" s="2064" t="str">
        <f t="shared" si="52"/>
        <v>- @ - ICR</v>
      </c>
      <c r="Z108" s="2063" t="e">
        <f>(IF(RoundDown,R108,Q108)*L108)/12*(Term-K108)</f>
        <v>#N/A</v>
      </c>
      <c r="AA108" s="2723" t="str">
        <f>IF('BTL Calculator'!$H$28="Fixed","",(IF(RoundDown,R108,Q108)*(IF(AND('BTL Calculator'!$V$2="Core",H108-BBR+'Product Data'!$K$2&lt;0.055),0.055,H108-'Product Data'!$E$3+'Product Data'!$K$2-J108)))/12*(Term-K108))</f>
        <v/>
      </c>
      <c r="AB108" s="2063">
        <f t="shared" si="38"/>
        <v>0</v>
      </c>
      <c r="AC108" s="2063" t="e">
        <f>INDEX(AC94:AC107,MATCH(1,$B$94:$B$107,0))</f>
        <v>#N/A</v>
      </c>
      <c r="AD108" s="2063" t="e">
        <f t="shared" si="39"/>
        <v>#N/A</v>
      </c>
      <c r="AE108" s="2063" t="e">
        <f>K108*IF(AND('BTL Calculator'!$V$2="Core",L108&lt;0.055),0.055,L108)/12*IF(RoundDown,R108,Q108)</f>
        <v>#N/A</v>
      </c>
      <c r="AF108" s="2065" t="e">
        <f>INDEX(AF94:AF107,MATCH(1,$B$76:$B$89,0))</f>
        <v>#N/A</v>
      </c>
      <c r="AG108" s="2066" t="e">
        <f>ROUND(INDEX(AG94:AG107,MATCH(1,$B$94:$B$107,0)),0)</f>
        <v>#N/A</v>
      </c>
      <c r="AH108" s="2067" t="e">
        <f>ROUND(INDEX(AH94:AH107,MATCH(1,$B$94:$B$107,0)),0)</f>
        <v>#N/A</v>
      </c>
      <c r="AI108" s="2115" t="e">
        <f>INDEX(AI94:AI107,MATCH(1,$B$94:$B$107,0))</f>
        <v>#N/A</v>
      </c>
      <c r="AJ108" s="2067" t="e">
        <f>INDEX(AJ94:AJ107,MATCH(1,$B$94:$B$107,0))</f>
        <v>#N/A</v>
      </c>
      <c r="AK108" s="2067" t="e">
        <f>INDEX(AK94:AK107,MATCH(1,$B$94:$B$107,0))</f>
        <v>#N/A</v>
      </c>
      <c r="AL108" s="2058" t="e">
        <f t="shared" si="55"/>
        <v>#N/A</v>
      </c>
      <c r="AM108" s="1340" t="e">
        <f t="shared" si="69"/>
        <v>#N/A</v>
      </c>
      <c r="AN108" s="1340" t="e">
        <f>INDEX(AN94:AN107,MATCH(1,$B$94:$B$107,0))</f>
        <v>#N/A</v>
      </c>
      <c r="AO108" s="2073">
        <f>Rent_Over_Term+AQ108</f>
        <v>0</v>
      </c>
      <c r="AP108" s="2073">
        <f t="shared" si="73"/>
        <v>0</v>
      </c>
      <c r="AQ108" s="2076">
        <f>'BTL Calculator'!$I$80*Term</f>
        <v>0</v>
      </c>
      <c r="AR108" s="2077"/>
      <c r="AS108" s="287" t="str">
        <f t="shared" si="48"/>
        <v>-</v>
      </c>
      <c r="AT108" s="287" t="str">
        <f t="shared" si="56"/>
        <v>-</v>
      </c>
      <c r="AU108" s="67">
        <f t="shared" si="57"/>
        <v>0</v>
      </c>
      <c r="AV108" s="663" t="e">
        <f>INDEX(AV94:AV107,MATCH(1,$B$76:$B$89,0))</f>
        <v>#N/A</v>
      </c>
      <c r="AY108" s="2115" t="e">
        <f>INDEX(AY94:AY107,MATCH(1,$B$94:$B$107,0))</f>
        <v>#N/A</v>
      </c>
      <c r="AZ108" s="2067" t="e">
        <f>INDEX(AZ94:AZ107,MATCH(1,$B$94:$B$107,0))</f>
        <v>#N/A</v>
      </c>
    </row>
    <row r="111" spans="1:52" ht="18.75" thickBot="1" x14ac:dyDescent="0.4">
      <c r="A111" s="3218" t="s">
        <v>593</v>
      </c>
      <c r="C111" s="626"/>
      <c r="D111" s="627"/>
      <c r="E111" s="627"/>
      <c r="F111" s="627"/>
      <c r="G111" s="631"/>
      <c r="H111" s="627"/>
      <c r="I111" s="627"/>
      <c r="J111" s="568"/>
      <c r="K111" s="568"/>
      <c r="L111" s="628"/>
      <c r="M111" s="627"/>
      <c r="N111" s="568"/>
      <c r="O111" s="568"/>
      <c r="P111" s="568"/>
      <c r="Q111" s="628"/>
      <c r="R111" s="628"/>
      <c r="S111" s="568"/>
      <c r="T111" s="627"/>
      <c r="U111" s="627"/>
      <c r="V111" s="627"/>
      <c r="W111" s="627"/>
      <c r="X111" s="568"/>
      <c r="Y111" s="627"/>
      <c r="Z111" s="629"/>
      <c r="AA111" s="629"/>
      <c r="AB111" s="629"/>
      <c r="AC111" s="629"/>
      <c r="AD111" s="627"/>
      <c r="AE111" s="627"/>
      <c r="AF111" s="630"/>
      <c r="AG111" s="631"/>
      <c r="AH111" s="627"/>
      <c r="AI111" s="627"/>
      <c r="AJ111" s="627"/>
      <c r="AK111" s="627"/>
      <c r="AL111" s="627"/>
      <c r="AM111" s="627"/>
      <c r="AN111" s="568"/>
      <c r="AO111" s="2093"/>
      <c r="AP111" s="2093"/>
      <c r="AQ111" s="2093"/>
      <c r="AR111" s="2094"/>
      <c r="AS111" s="2079"/>
      <c r="AT111" s="2079"/>
      <c r="AU111" s="2079"/>
      <c r="AV111" s="2079"/>
    </row>
    <row r="112" spans="1:52" x14ac:dyDescent="0.35">
      <c r="A112" s="3218"/>
      <c r="B112" s="308">
        <f>IF(AND('BTL Calculator'!$G$60=C121,F112='BTL Calculator'!$G$62,'BTL Calculator'!$V$2="Core"),1,IF(AND('BTL Calculator'!$G$60=C112,F112='BTL Calculator'!$G$62),1,0))</f>
        <v>0</v>
      </c>
      <c r="C112" s="1994" t="s">
        <v>108</v>
      </c>
      <c r="D112" s="1995">
        <v>1</v>
      </c>
      <c r="E112" s="1996">
        <f>VALUE(LEFT(F112,1))</f>
        <v>0</v>
      </c>
      <c r="F112" s="1997">
        <f>IF($H$70='Product Data'!$BT5,'Product Data'!$B190,IF($H$70='Product Data'!$BT2,'Product Data'!$B9,IF($H$70='Product Data'!BT3,'Product Data'!B34,IF(H70='Product Data'!BT4,'Product Data'!B47,0))))</f>
        <v>0</v>
      </c>
      <c r="G112" s="2330" t="b">
        <f>IF(AND($H$70='Product Data'!$BT$5,$H$72='Product Data'!$CA$5,L72=0.75),'Product Data'!C200,IF(AND($H$70='Product Data'!$BT$5,$H$72='Product Data'!$CA$5,L72=0.65),'Product Data'!C222,
   IF(AND($H$70='Product Data'!$BT$5,$H$72='Product Data'!$CA$4,L72=0.75),'Product Data'!G200,IF(AND($H$70='Product Data'!$BT$5,$H$72='Product Data'!$CA$4,L72=0.65),'Product Data'!G222,
   IF(AND($H$70='Product Data'!$BT$5,$H$72='Product Data'!$CA$3,L72=0.75),'Product Data'!K200,IF(AND($H$70='Product Data'!$BT$5,$H$72='Product Data'!$CA$3,L72=0.65),'Product Data'!K222,
   IF(AND($H$70='Product Data'!$BT$5,$H$72='Product Data'!$CA$2,L72=0.75),'Product Data'!O200,IF(AND($H$70='Product Data'!$BT$5,$H$72='Product Data'!$CA$2,L72=0.65),'Product Data'!O222,
IF(AND($H$70='Product Data'!$BT$4,$H$72='Product Data'!$CA$4),'Product Data'!C132,IF(AND($H$70='Product Data'!$BT$4,$H$72='Product Data'!$CA$3),'Product Data'!C119,IF(AND($H$70='Product Data'!$BT$4,$H$72='Product Data'!$CA$2),'Product Data'!C55,IF(AND($H$70='Product Data'!$BT$2,$H$72='Product Data'!$CA$4),'Product Data'!C97,IF(AND($H$70='Product Data'!$BT$2,$H$72='Product Data'!$CA$3),'Product Data'!C72,IF(AND($H$70='Product Data'!$BT$2,$H$72='Product Data'!$CA$2),'Product Data'!C21,IF(AND($H$70='Product Data'!$BT$3,$H$72='Product Data'!$CA$4),'Product Data'!C158,IF(AND($H$70='Product Data'!$BT$3,$H$72='Product Data'!$CA$3),'Product Data'!C145,IF(AND($H$70='Product Data'!$BT$3,$H$72='Product Data'!$CA$2),'Product Data'!C42,
IF(AND($H$70='Product Data'!$BT$2,$H$72='Product Data'!$CA$5),'Product Data'!C176))))))))))))))))))</f>
        <v>0</v>
      </c>
      <c r="H112" s="2005" t="b">
        <f>IF(AND(F112=Product_Selected,Rate_Override&lt;&gt;0, Rate_Override&lt;&gt;""),Rate_Override+G112,G112)</f>
        <v>0</v>
      </c>
      <c r="I112" s="2016">
        <f>IF(H70= "Retention ", IF('BTL Calculator'!$H$33&lt;&gt;"",5.5%-'BTL Calculator'!$H$33,5.5%),IF('BTL Calculator'!$H$33&lt;&gt;"",6%-'BTL Calculator'!$H$33,6%))</f>
        <v>0.06</v>
      </c>
      <c r="J112" s="632"/>
      <c r="K112" s="633"/>
      <c r="L112" s="2005">
        <f>IFERROR(H112-J112,"-")</f>
        <v>0</v>
      </c>
      <c r="M112" s="2006">
        <f xml:space="preserve">
IF(AND(H70="Retention ",L72=0.65),0.65,
IF(AND(H70="Retention ",L72=0.75),0.75,
IF(OR($H$70="Residential BTL",$H$70="Retention "),INDEX($O$36:$R$36,MATCH(D112,$O$38:$R$38,0)),70%)))</f>
        <v>0.7</v>
      </c>
      <c r="N112" s="2007">
        <f>MIN(M112*Property_Value,'Product Data'!$P$16)</f>
        <v>0</v>
      </c>
      <c r="O112" s="2714" t="b">
        <f>IF(AND(OR(OR($H$70="Residential BTL",$H$70="Retention "),$H$70="Retention "),Rate_Type="Fixed"),IFERROR(AO112/(IF(AND('BTL Calculator'!V2="Core",'KB_CRITERIA AND CALCULATION '!L112&lt;0.055),0.055,$L112)/12*(Term-$K112)*'Product Data'!$P$23),0),IF(AND(Rate_Type="Tracker",OR(OR($H$70="Residential BTL",$H$70="Retention "),$H$70="Retention ")),IFERROR(AO112/(IF(AND('BTL Calculator'!V2="Core",L112-BBR+'Product Data'!K2&lt;0.055),0.055,$L112)/12*(Term-$K112)*'Product Data'!$P$17),0),IF(AND($H$70="Semi-Commercial",Rate_Type="Tracker"),IFERROR(AP112/($L112/12*(Term-$K112)*'Product Data'!$P$17),0),IF(AND($H$70="Semi-Commercial",Rate_Type="Fixed"),IFERROR(AP112/($L112/12*(Term-$K112)*'Product Data'!$P$23),0),IF(AND($H$70="Commercial",Rate_Type="Tracker"),IFERROR(AP112/($L112/12*(Term-$K112)*'Product Data'!$P$17),0),IF(AND($H$70="Commercial",Rate_Type="Fixed"),IFERROR(AP112/($L112/12*(Term-$K112)*'Product Data'!$P$23),0)))))))</f>
        <v>0</v>
      </c>
      <c r="P112" s="2007" t="str">
        <f>IF('BTL Calculator'!$H$28="Fixed","",IF(OR(OR($H$70="Residential BTL",$H$70="Retention "),$H$70="Retention "),AO112/((((IF(AND('BTL Calculator'!V2="Core",H112-'Product Data'!$E$3+'Product Data'!$K$2-J112&lt;0.055),0.055,H112-'Product Data'!$E$3+'Product Data'!$K$3-J112))/12*(Term-K112)))*'Product Data'!$P$18),AP112/(((((H112-'Product Data'!$E$3+'Product Data'!$K$2-J112))/12*(Term-K112)))*'Product Data'!$P$18)))</f>
        <v/>
      </c>
      <c r="Q112" s="634">
        <f>IF('BTL Calculator'!$H$28="Tracker",MIN(N112,P112),MIN(O112,N112))</f>
        <v>0</v>
      </c>
      <c r="R112" s="634">
        <f t="shared" ref="R112:R126" si="75">ROUNDDOWN(Q112,-3)</f>
        <v>0</v>
      </c>
      <c r="S112" s="2037">
        <f>IFERROR((IF(RoundDown,R112,Q112)*J112/12*Term)+
(IF(RoundDown,R112,Q112)*L112/12*K112)+
(IF(RoundDown,R112,Q112)*L112/12*(Term-K112)),"-")</f>
        <v>0</v>
      </c>
      <c r="T112" s="2720">
        <f>IFERROR((H112*IF(RoundDown,R112,Q112)/12),"-")</f>
        <v>0</v>
      </c>
      <c r="U112" s="2037" t="str">
        <f>IF('BTL Calculator'!$H$28="Fixed","",(((L112+$U$73)*IF(RoundDown,R112,Q112)/12)))</f>
        <v/>
      </c>
      <c r="V112" s="2720">
        <f>IFERROR(((L112)*IF(RoundDown,R112,Q112)/12),"-")</f>
        <v>0</v>
      </c>
      <c r="W112" s="2038" t="str">
        <f>IF(OR($H$70="Residential BTL",$H$70="Retention "),IFERROR(AO112/Z112,"-"),IFERROR(AP112/Z112,"-"))</f>
        <v>-</v>
      </c>
      <c r="X112" s="2038" t="str">
        <f>IF(OR($H$70="Residential BTL",$H$70="Retention "),IFERROR(AO112/AA112,"-"),IFERROR(AP112/AA112,"-"))</f>
        <v>-</v>
      </c>
      <c r="Y112" s="2038" t="str">
        <f>TEXT(V112,"£0,0")&amp;" @ "&amp;TEXT(W112,"0%")&amp;" ICR"</f>
        <v>£00 @ - ICR</v>
      </c>
      <c r="Z112" s="2037">
        <f>(IF(RoundDown,R112,Q112)*L112)/12*(Term-K112)</f>
        <v>0</v>
      </c>
      <c r="AA112" s="2720" t="str">
        <f>IF(AND('BTL Calculator'!V2="Core",'BTL Calculator'!V5="2 Year Fixed"),(IF(RoundDown,R112,Q112)*0.055)/12*(Term-K112),IF('BTL Calculator'!$H$28="Fixed","",(IF(RoundDown,R112,Q112)*(IF(AND('BTL Calculator'!$V$2="Core",H112-BBR+'Product Data'!$K$2&lt;0.055),0.055,H112-'Product Data'!$E$3+'Product Data'!$K$2-J112)))/12*(Term-K112)))</f>
        <v/>
      </c>
      <c r="AB112" s="2037">
        <f t="shared" ref="AB112:AB126" si="76">IFERROR(Monthly_Rent*Term,"-")</f>
        <v>0</v>
      </c>
      <c r="AC112" s="2037">
        <f t="shared" ref="AC112:AC116" si="77">IFERROR($U$22-V112,"-")</f>
        <v>0</v>
      </c>
      <c r="AD112" s="2037">
        <f t="shared" ref="AD112:AD126" si="78">((J112*IF(RoundDown,R112,Q112))/12)*Term</f>
        <v>0</v>
      </c>
      <c r="AE112" s="2037">
        <f>K112*IF(AND('BTL Calculator'!$V$2="Core",L112&lt;0.055),0.055,L112)/12*IF(RoundDown,R112,Q112)</f>
        <v>0</v>
      </c>
      <c r="AF112" s="2039">
        <f>SUM(AD112:AE112)</f>
        <v>0</v>
      </c>
      <c r="AG112" s="2040">
        <f t="shared" ref="AG112:AG125" si="79">AL112+AI112</f>
        <v>0</v>
      </c>
      <c r="AH112" s="2041">
        <f t="shared" ref="AH112:AH117" si="80">+AI112+AJ112</f>
        <v>0</v>
      </c>
      <c r="AI112" s="2041">
        <f t="shared" ref="AI112:AI125" si="81">+IF(RoundDown,R112,Q112)*0.02</f>
        <v>0</v>
      </c>
      <c r="AJ112" s="2041">
        <f t="shared" ref="AJ112:AJ125" si="82">+IF(RoundDown,R112,Q112)*I112-AI112</f>
        <v>0</v>
      </c>
      <c r="AK112" s="2041" t="str">
        <f t="shared" ref="AK112:AK122" si="83">TEXT(I112,"0.00%")&amp;" ("&amp;TEXT(AH112,"£0,0")&amp;")"</f>
        <v>6.00% (£00)</v>
      </c>
      <c r="AL112" s="2042">
        <f t="shared" ref="AL112:AL125" si="84">IF(RoundDown,R112,Q112)-AD112-AE112-AH112</f>
        <v>0</v>
      </c>
      <c r="AM112" s="2043" t="e">
        <f t="shared" ref="AM112:AM116" si="85">AL112/Property_Value</f>
        <v>#DIV/0!</v>
      </c>
      <c r="AN112" s="2043" t="e">
        <f t="shared" ref="AN112:AN125" si="86">IF(RoundDown,R112,Q112)/Property_Value</f>
        <v>#DIV/0!</v>
      </c>
      <c r="AO112" s="635">
        <f>Rent_Over_Term+AQ112</f>
        <v>0</v>
      </c>
      <c r="AP112" s="635">
        <f t="shared" ref="AP112:AP113" si="87">IF($H$72="3 Year Fixed",$X$22*36+AQ112, $X$22*24+AQ112)</f>
        <v>0</v>
      </c>
      <c r="AQ112" s="635">
        <f>'BTL Calculator'!$F$80*Term</f>
        <v>0</v>
      </c>
      <c r="AR112" s="636" t="b">
        <f>IF(ISERROR(FIND("Bespoke",F94,1)),FALSE,TRUE)</f>
        <v>0</v>
      </c>
      <c r="AS112" s="287">
        <f t="shared" ref="AS112:AS126" si="88">IFERROR(IF(AND(IF(RoundDown,R112,Q112)=$F$70,E112&gt;=$F$36),1,0),"-")</f>
        <v>0</v>
      </c>
      <c r="AT112" s="287" t="str">
        <f>IFERROR(IF(AND(AL112=$F$71,E112&gt;=$F$36),1,0),"-")</f>
        <v>-</v>
      </c>
      <c r="AU112" s="287">
        <f>SUM(AS112:AT112)</f>
        <v>0</v>
      </c>
      <c r="AV112" s="287" t="str">
        <f>IF(IF(Rate_Type="Tracker",X112,W112)&gt;'Product Data'!$P$19,"Y","N")</f>
        <v>Y</v>
      </c>
    </row>
    <row r="113" spans="1:48" x14ac:dyDescent="0.35">
      <c r="A113" s="3218"/>
      <c r="B113" s="308">
        <f>IF(AND('BTL Calculator'!$G$60=C121,F113='BTL Calculator'!$G$62,'BTL Calculator'!$V$2="Core"),1,IF(AND('BTL Calculator'!$G$60=C112,F113='BTL Calculator'!$G$62),1,0))</f>
        <v>0</v>
      </c>
      <c r="C113" s="1998"/>
      <c r="D113" s="1999">
        <v>2</v>
      </c>
      <c r="E113" s="308">
        <f t="shared" ref="E113:E124" si="89">VALUE(LEFT(F113,1))</f>
        <v>0</v>
      </c>
      <c r="F113" s="2000">
        <f>IF($H$70='Product Data'!$BT5,'Product Data'!$B191,IF($H$70='Product Data'!$BT2,'Product Data'!$B10,IF($H$70='Product Data'!BT3,'Product Data'!B35,IF(H70='Product Data'!BT4,'Product Data'!B48,0))))</f>
        <v>0</v>
      </c>
      <c r="G113" s="2331" t="b">
        <f>IF(AND($H$70='Product Data'!$BT$5,$H$72='Product Data'!$CA$5,L72=0.75),'Product Data'!C201,IF(AND($H$70='Product Data'!$BT$5,$H$72='Product Data'!$CA$5,L72=0.65),'Product Data'!C223,
  IF(AND($H$70='Product Data'!$BT$5,$H$72='Product Data'!$CA$4,L72=0.75),'Product Data'!G201,IF(AND($H$70='Product Data'!$BT$5,$H$72='Product Data'!$CA$4,L72=0.65),'Product Data'!G223,
  IF(AND($H$70='Product Data'!$BT$5,$H$72='Product Data'!$CA$3,L72=0.75),'Product Data'!K201,IF(AND($H$70='Product Data'!$BT$5,$H$72='Product Data'!$CA$3,L72=0.65),'Product Data'!K223,
   IF(AND($H$70='Product Data'!$BT$5,$H$72='Product Data'!$CA$2,L72=0.75),'Product Data'!O201,IF(AND($H$70='Product Data'!$BT$5,$H$72='Product Data'!$CA$2,L72=0.65),'Product Data'!O223,
IF(AND($H$70='Product Data'!$BT$4,$H$72='Product Data'!$CA$4),'Product Data'!C133,IF(AND($H$70='Product Data'!$BT$4,$H$72='Product Data'!$CA$3),'Product Data'!C120,IF(AND($H$70='Product Data'!$BT$4,$H$72='Product Data'!$CA$2),'Product Data'!C56,IF(AND($H$70='Product Data'!$BT$2,$H$72='Product Data'!$CA$4),'Product Data'!C98,IF(AND($H$70='Product Data'!$BT$2,$H$72='Product Data'!$CA$3),'Product Data'!C73,IF(AND($H$70='Product Data'!$BT$2,$H$72='Product Data'!$CA$2),'Product Data'!C22,IF(AND($H$70='Product Data'!$BT$3,$H$72='Product Data'!$CA$4),'Product Data'!C159,IF(AND($H$70='Product Data'!$BT$3,$H$72='Product Data'!$CA$3),'Product Data'!C146,IF(AND($H$70='Product Data'!$BT$3,$H$72='Product Data'!$CA$2),'Product Data'!C43,
IF(AND($H$70='Product Data'!$BT$2,$H$72='Product Data'!$CA$5),'Product Data'!C177))))))))))))))))))</f>
        <v>0</v>
      </c>
      <c r="H113" s="2015" t="b">
        <f>IF(AND(F113=Product_Selected,Rate_Override&lt;&gt;0, Rate_Override&lt;&gt;""),Rate_Override+G113,G113)</f>
        <v>0</v>
      </c>
      <c r="I113" s="2017">
        <f>IF(H70= "Retention ", IF('BTL Calculator'!$H$33&lt;&gt;"",5.5%-'BTL Calculator'!$H$33,5.5%),IF('BTL Calculator'!$H$33&lt;&gt;"",6%-'BTL Calculator'!$H$33,6%))</f>
        <v>0.06</v>
      </c>
      <c r="J113" s="637"/>
      <c r="K113" s="638"/>
      <c r="L113" s="2008">
        <f>H113-J113</f>
        <v>0</v>
      </c>
      <c r="M113" s="2009">
        <f xml:space="preserve">
IF(AND(H70="Retention ",L72=0.65),0.65,
IF(AND(H70="Retention ",L72=0.75),0.75,
IF(OR($H$70="Residential BTL",$H$70="Retention "),INDEX($O$36:$R$36,MATCH(D113,$O$38:$R$38,0)),70%)))</f>
        <v>0.7</v>
      </c>
      <c r="N113" s="2010">
        <f>MIN(M113*Property_Value,'Product Data'!$P$16)</f>
        <v>0</v>
      </c>
      <c r="O113" s="2715" t="b">
        <f>IF(AND(OR(OR($H$70="Residential BTL",$H$70="Retention "),$H$70="Retention "),Rate_Type="Fixed"),IFERROR(AO113/(IF(AND('BTL Calculator'!V2="Core",L113&lt;0.055),0.055,$L113)/12*(Term-$K113)*'Product Data'!$P$23),0),IF(AND(Rate_Type="Tracker",OR(OR($H$70="Residential BTL",$H$70="Retention "),$H$70="Retention ")),IFERROR(AO113/(IF(AND('BTL Calculator'!V2="Core",L113-BBR+'Product Data'!K2&lt;0.055),0.055,$L113)/12*(Term-$K113)*'Product Data'!$P$17),0),IF(AND($H$70="Semi-Commercial",Rate_Type="Tracker"),IFERROR(AP113/($L113/12*(Term-$K113)*'Product Data'!$P$17),0),IF(AND($H$70="Semi-Commercial",Rate_Type="Fixed"),IFERROR(AP113/($L113/12*(Term-$K113)*'Product Data'!$P$23),0),IF(AND($H$70="Commercial",Rate_Type="Tracker"),IFERROR(AP113/($L113/12*(Term-$K113)*'Product Data'!$P$17),0),IF(AND($H$70="Commercial",Rate_Type="Fixed"),IFERROR(AP113/($L113/12*(Term-$K113)*'Product Data'!$P$23),0)))))))</f>
        <v>0</v>
      </c>
      <c r="P113" s="2010" t="str">
        <f>IF('BTL Calculator'!$H$28="Fixed","",IF(OR(OR($H$70="Residential BTL",$H$70="Retention "),$H$70="Retention "),AO113/((((IF(AND('BTL Calculator'!V2="Core",H113-'Product Data'!$E$3+'Product Data'!$K$2-J113&lt;0.055),0.055,H113-'Product Data'!$E$3+'Product Data'!$K$3-J113))/12*(Term-K113)))*'Product Data'!$P$18),AP113/(((((H113-'Product Data'!$E$3+'Product Data'!$K$2-J113))/12*(Term-K113)))*'Product Data'!$P$18)))</f>
        <v/>
      </c>
      <c r="Q113" s="639">
        <f>IF('BTL Calculator'!$H$28="Tracker",MIN(N113,P113),MIN(O113,N113))</f>
        <v>0</v>
      </c>
      <c r="R113" s="639">
        <f t="shared" si="75"/>
        <v>0</v>
      </c>
      <c r="S113" s="2044">
        <f>IFERROR((IF(RoundDown,R113,Q113)*J113/12*Term)+
(IF(RoundDown,R113,Q113)*L113/12*K113)+
(IF(RoundDown,R113,Q113)*L113/12*(Term-K113)),"-")</f>
        <v>0</v>
      </c>
      <c r="T113" s="2721">
        <f>IFERROR(((H113)*IF(RoundDown,R113,Q113)/12),"-")</f>
        <v>0</v>
      </c>
      <c r="U113" s="2044" t="str">
        <f>IF('BTL Calculator'!$H$28="Fixed","",(((L113+$U$73)*IF(RoundDown,R113,Q113)/12)))</f>
        <v/>
      </c>
      <c r="V113" s="2721">
        <f>IFERROR(((L113)*IF(RoundDown,R113,Q113)/12),"-")</f>
        <v>0</v>
      </c>
      <c r="W113" s="2045" t="str">
        <f>IF(OR($H$70="Residential BTL",$H$70="Retention "),IFERROR(AO113/Z113,"-"),IFERROR(AP113/Z113,"-"))</f>
        <v>-</v>
      </c>
      <c r="X113" s="2045" t="str">
        <f>IF('BTL Calculator'!$H$28="Fixed","",IF(OR($H$70="Residential BTL",$H$70="Retention "),IFERROR(AO113/AA113,"-"),IFERROR(AP113/AA113,"-")))</f>
        <v/>
      </c>
      <c r="Y113" s="2045" t="str">
        <f>TEXT(V113,"£0,0")&amp;" @ "&amp;TEXT(W113,"0%")&amp;" ICR"</f>
        <v>£00 @ - ICR</v>
      </c>
      <c r="Z113" s="2044">
        <f>(IF(RoundDown,R113,Q113)*L113)/12*(Term-K113)</f>
        <v>0</v>
      </c>
      <c r="AA113" s="2721" t="str">
        <f>IF('BTL Calculator'!$H$28="Fixed","",(IF(RoundDown,R113,Q113)*(IF(AND('BTL Calculator'!$V$2="Core",H113-BBR+'Product Data'!$K$2&lt;0.055),0.055,H113-'Product Data'!$E$3+'Product Data'!$K$2-J113)))/12*(Term-K113))</f>
        <v/>
      </c>
      <c r="AB113" s="2044">
        <f t="shared" si="76"/>
        <v>0</v>
      </c>
      <c r="AC113" s="2044">
        <f t="shared" si="77"/>
        <v>0</v>
      </c>
      <c r="AD113" s="2044">
        <f t="shared" si="78"/>
        <v>0</v>
      </c>
      <c r="AE113" s="2721">
        <f>K113*IF(AND('BTL Calculator'!$V$2="Core",L113&lt;0.055),0.055,L113)/12*IF(RoundDown,R113,Q113)</f>
        <v>0</v>
      </c>
      <c r="AF113" s="2046">
        <f t="shared" ref="AF113:AF125" si="90">SUM(AD113:AE113)</f>
        <v>0</v>
      </c>
      <c r="AG113" s="2047">
        <f t="shared" si="79"/>
        <v>0</v>
      </c>
      <c r="AH113" s="2048">
        <f t="shared" si="80"/>
        <v>0</v>
      </c>
      <c r="AI113" s="2048">
        <f t="shared" si="81"/>
        <v>0</v>
      </c>
      <c r="AJ113" s="2048">
        <f t="shared" si="82"/>
        <v>0</v>
      </c>
      <c r="AK113" s="2048" t="str">
        <f t="shared" si="83"/>
        <v>6.00% (£00)</v>
      </c>
      <c r="AL113" s="2049">
        <f t="shared" si="84"/>
        <v>0</v>
      </c>
      <c r="AM113" s="2050" t="e">
        <f t="shared" si="85"/>
        <v>#DIV/0!</v>
      </c>
      <c r="AN113" s="2050" t="e">
        <f t="shared" si="86"/>
        <v>#DIV/0!</v>
      </c>
      <c r="AO113" s="640">
        <f>Rent_Over_Term+AQ113</f>
        <v>0</v>
      </c>
      <c r="AP113" s="640">
        <f t="shared" si="87"/>
        <v>0</v>
      </c>
      <c r="AQ113" s="640">
        <f>'BTL Calculator'!$F$80*Term</f>
        <v>0</v>
      </c>
      <c r="AR113" s="641" t="b">
        <f>IF(ISERROR(FIND("Bespoke",F95,1)),FALSE,TRUE)</f>
        <v>0</v>
      </c>
      <c r="AS113" s="287">
        <f t="shared" si="88"/>
        <v>0</v>
      </c>
      <c r="AT113" s="287" t="str">
        <f t="shared" ref="AT113:AT126" si="91">IFERROR(IF(AND(AL113=$F$71,E113&gt;=$F$36),1,0),"-")</f>
        <v>-</v>
      </c>
      <c r="AU113" s="287">
        <f t="shared" ref="AU113:AU126" si="92">SUM(AS113:AT113)</f>
        <v>0</v>
      </c>
      <c r="AV113" s="287" t="str">
        <f>IF(IF(Rate_Type="Tracker",X113,W113)&gt;'Product Data'!$P$19,"Y","N")</f>
        <v>Y</v>
      </c>
    </row>
    <row r="114" spans="1:48" ht="18.75" thickBot="1" x14ac:dyDescent="0.4">
      <c r="A114" s="3218"/>
      <c r="B114" s="308" t="str">
        <f>IF(OR($H$70="Residential BTL",$H$70="Retention "),IF(AND('BTL Calculator'!$G$60=C112,F114='BTL Calculator'!$G$62),1,0),"")</f>
        <v/>
      </c>
      <c r="C114" s="1998"/>
      <c r="D114" s="1999" t="str">
        <f>IF(OR(OR($H$70="Residential BTL",$H$70="Retention "),$H$70="Retention "),3,"")</f>
        <v/>
      </c>
      <c r="E114" s="308" t="str">
        <f>IF(OR(OR($H$70="Residential BTL",$H$70="Retention "),$H$70="Retention "),VALUE(LEFT(F114,1)),"")</f>
        <v/>
      </c>
      <c r="F114" s="2000" t="str">
        <f>IF(OR(OR($H$70="Residential BTL",$H$70="Retention "),$H$70="Retention "),"3) Specialist BTL","")</f>
        <v/>
      </c>
      <c r="G114" s="2331" t="str">
        <f>IF(AND($H$70='Product Data'!$BT$5,$H$72='Product Data'!$CA$5,L72=0.75),'Product Data'!C202,IF(AND($H$70='Product Data'!$BT$5,$H$72='Product Data'!$CA$5,L72=0.65),'Product Data'!C224,
  IF(AND($H$70='Product Data'!$BT$5,$H$72='Product Data'!$CA$4,L72=0.75),'Product Data'!G202,IF(AND($H$70='Product Data'!$BT$5,$H$72='Product Data'!$CA$4,L72=0.65),'Product Data'!G224,
  IF(AND($H$70='Product Data'!$BT$5,$H$72='Product Data'!$CA$3,L72=0.75),'Product Data'!K202,IF(AND($H$70='Product Data'!$BT$5,$H$72='Product Data'!$CA$3,L72=0.65),'Product Data'!K224,
  IF(AND($H$70='Product Data'!$BT$5,$H$72='Product Data'!$CA$2,L72=0.75),'Product Data'!O202,IF(AND($H$70='Product Data'!$BT$5,$H$72='Product Data'!$CA$2,L72=0.65),'Product Data'!O224,
IF(H70="Residential BTL",IF(H72='Product Data'!CA2,'Product Data'!C23,IF(H72='Product Data'!CA3,'Product Data'!C74,IF(H72='Product Data'!CA4,'Product Data'!C99,IF(H72='Product Data'!CA5,'Product Data'!C178)))),"")))))))))</f>
        <v/>
      </c>
      <c r="H114" s="2015" t="str">
        <f>IF(AND(F114=Product_Selected,Rate_Override&lt;&gt;0, Rate_Override&lt;&gt;""),Rate_Override+G114,G114)</f>
        <v/>
      </c>
      <c r="I114" s="2017">
        <f>I113</f>
        <v>0.06</v>
      </c>
      <c r="J114" s="637"/>
      <c r="K114" s="638"/>
      <c r="L114" s="2008" t="str">
        <f>IF('BTL Calculator'!V2="Core","",IF(OR(OR($H$70="Residential BTL",$H$70="Retention "),$H$70="Retention "),H114-J114,""))</f>
        <v/>
      </c>
      <c r="M114" s="2009" t="str">
        <f xml:space="preserve">
IF(AND(H70="Retention ",L72=0.65),0.65,
IF(AND(H70="Retention ",L72=0.75),0.75,
IF(OR($H$70="Residential BTL",$H$70="Retention "),INDEX($O$36:$R$36,MATCH(D114,$O$38:$R$38,0)),"")))</f>
        <v/>
      </c>
      <c r="N114" s="2010" t="str">
        <f>IF(OR(OR($H$70="Residential BTL",$H$70="Retention "),$H$70="Retention "),MIN(M114*Property_Value,'Product Data'!$P$16),"")</f>
        <v/>
      </c>
      <c r="O114" s="2010" t="b">
        <f>IF(AND(OR(OR($H$70="Residential BTL",$H$70="Retention "),$H$70="Retention "),Rate_Type="Fixed"),IFERROR(AO114/($L114/12*(Term-$K114)*'Product Data'!$P$23),0),IF(AND(Rate_Type="Tracker",OR(OR($H$70="Residential BTL",$H$70="Retention "),$H$70="Retention ")),IFERROR(AO114/($L114/12*(Term-$K114)*'Product Data'!$P$17),0),IF(AND($H$70="Semi-Commercial",Rate_Type="Tracker"),IFERROR(AP114/($L114/12*(Term-$K114)*'Product Data'!$P$17),0),IF(AND($H$70="Semi-Commercial",Rate_Type="Fixed"),IFERROR(AP114/($L114/12*(Term-$K114)*'Product Data'!$P$23),0),IF(AND($H$70="Commercial",Rate_Type="Tracker"),IFERROR(AP114/($L114/12*(Term-$K114)*'Product Data'!$P$17),0),IF(AND($H$70="Commercial",Rate_Type="Fixed"),IFERROR(AP114/($L114/12*(Term-$K114)*'Product Data'!$P$23),0)))))))</f>
        <v>0</v>
      </c>
      <c r="P114" s="2012" t="str">
        <f>IF('BTL Calculator'!$H$28="Fixed","",IF(OR(OR($H$70="Residential BTL",$H$70="Retention "),$H$70="Retention "),AO114/((((IF(AND('BTL Calculator'!V2="Core",H114-'Product Data'!$E$3+'Product Data'!$K$2-J114&lt;0.055),0.055,H114-'Product Data'!$E$3+'Product Data'!$K$3-J114))/12*(Term-K114)))*'Product Data'!$P$18),AP114/(((((H114-'Product Data'!$E$3+'Product Data'!$K$2-J114))/12*(Term-K114)))*'Product Data'!$P$18)))</f>
        <v/>
      </c>
      <c r="Q114" s="639" t="str">
        <f>IF(OR($H$70="Residential BTL",$H$70="Retention "),IF('BTL Calculator'!$H$28="Tracker",MIN(N114,P114),MIN(O114,N114)),"")</f>
        <v/>
      </c>
      <c r="R114" s="639" t="str">
        <f>IF(OR($H$70="Residential BTL",$H$70="Retention "),ROUNDDOWN(Q114,-3),"")</f>
        <v/>
      </c>
      <c r="S114" s="2044" t="str">
        <f t="shared" ref="S114:S123" si="93">IFERROR((IF(RoundDown,R114,Q114)*J114/12*Term)+
(IF(RoundDown,R114,Q114)*L114/12*K114)+
(IF(RoundDown,R114,Q114)*L114/12*(Term-K114)),"-")</f>
        <v>-</v>
      </c>
      <c r="T114" s="2044" t="str">
        <f>IF('BTL Calculator'!$V$2="Core","",IF(OR($H$70="Residential BTL",$H$70="Retention "),((H114*IF(RoundDown,R114,Q114)/12)),""))</f>
        <v/>
      </c>
      <c r="U114" s="2044" t="str">
        <f>IF('BTL Calculator'!$H$28="Fixed","",(((L114+$U$73)*IF(RoundDown,R114,Q114)/12)))</f>
        <v/>
      </c>
      <c r="V114" s="2044" t="str">
        <f>IF('BTL Calculator'!$V$2="Core","",IF(OR($H$70="Residential BTL",$H$70="Retention "),((L114*IF(RoundDown,R114,Q114)/12)),""))</f>
        <v/>
      </c>
      <c r="W114" s="2045" t="str">
        <f>IF(OR($H$70="Residential BTL",$H$70="Retention "),IFERROR(AO114/Z114,"-"),"")</f>
        <v/>
      </c>
      <c r="X114" s="2045" t="str">
        <f>IF('BTL Calculator'!$H$28="Fixed","",IF(OR($H$70="Residential BTL",$H$70="Retention "),IFERROR(AO114/AA114,"-"),IFERROR(AP114/AA114,"-")))</f>
        <v/>
      </c>
      <c r="Y114" s="2045" t="str">
        <f>IF(OR($H$70="Residential BTL",$H$70="Retention "),TEXT(V114,"£0,0")&amp;" @ "&amp;TEXT(W114,"0%")&amp;" ICR","")</f>
        <v/>
      </c>
      <c r="Z114" s="2044" t="str">
        <f>IF('BTL Calculator'!$V$2="Core","",IF(OR($H$70="Residential BTL",$H$70="Retention "),(IF(RoundDown,R114,Q114)*L114)/12*(Term-K114),""))</f>
        <v/>
      </c>
      <c r="AA114" s="2044" t="str">
        <f>IF('BTL Calculator'!$H$28="Fixed","",(IF(RoundDown,R114,Q114)*(H114-'Product Data'!$E$3+'Product Data'!$K$2-J114))/12*(Term-K114))</f>
        <v/>
      </c>
      <c r="AB114" s="2044" t="str">
        <f>IF(OR($H$70="Residential BTL",$H$70="Retention "),IFERROR(Monthly_Rent*Term,"-"),"")</f>
        <v/>
      </c>
      <c r="AC114" s="2044" t="str">
        <f>IF(OR($H$70="Residential BTL",$H$70="Retention "),IFERROR($U$22-V114,"-"),"")</f>
        <v/>
      </c>
      <c r="AD114" s="2044" t="e">
        <f t="shared" si="78"/>
        <v>#VALUE!</v>
      </c>
      <c r="AE114" s="2044" t="e">
        <f>IF('BTL Calculator'!$V$2="Core","",K114*L114/12*IF(RoundDown,R114,Q114))</f>
        <v>#VALUE!</v>
      </c>
      <c r="AF114" s="2046" t="str">
        <f>IF('BTL Calculator'!V2="Core","",IF(OR($H$70="Residential BTL",$H$70="Retention "),SUM(AD114:AE114),""))</f>
        <v/>
      </c>
      <c r="AG114" s="2047" t="str">
        <f>IF('BTL Calculator'!V2="Core","",IF(OR($H$70="Residential BTL",$H$70="Retention "),AL114+AI114,""))</f>
        <v/>
      </c>
      <c r="AH114" s="2048" t="e">
        <f t="shared" si="80"/>
        <v>#VALUE!</v>
      </c>
      <c r="AI114" s="2048" t="e">
        <f t="shared" si="81"/>
        <v>#VALUE!</v>
      </c>
      <c r="AJ114" s="2048" t="e">
        <f t="shared" si="82"/>
        <v>#VALUE!</v>
      </c>
      <c r="AK114" s="2048" t="str">
        <f>IF(OR($H$70="Residential BTL",$H$70="Retention "),TEXT(I114,"0.00%")&amp;" ("&amp;TEXT(AH114,"£0,0")&amp;")","")</f>
        <v/>
      </c>
      <c r="AL114" s="2049" t="str">
        <f>IF('BTL Calculator'!V2="Core","",IF(OR($H$70="Residential BTL",$H$70="Retention "),IF(RoundDown,R114,Q114)-AD114-AE114-AH114,""))</f>
        <v/>
      </c>
      <c r="AM114" s="2050" t="str">
        <f>IF('BTL Calculator'!V2="Core","",IF(OR($H$70="Residential BTL",$H$70="Retention "),AL114/Property_Value,""))</f>
        <v/>
      </c>
      <c r="AN114" s="2050" t="str">
        <f>IF(OR($H$70="Residential BTL",$H$70="Retention "),IF(RoundDown,R114,Q114)/Property_Value,"")</f>
        <v/>
      </c>
      <c r="AO114" s="640" t="str">
        <f>IF(OR($H$70="Residential BTL",$H$70="Retention "),Rent_Over_Term+AQ114,"")</f>
        <v/>
      </c>
      <c r="AP114" s="640"/>
      <c r="AQ114" s="640" t="str">
        <f>IF(OR($H$70="Residential BTL",$H$70="Retention "),'BTL Calculator'!$F$80*Term,"")</f>
        <v/>
      </c>
      <c r="AR114" s="641" t="str">
        <f>IF(OR($H$70="Residential BTL",$H$70="Retention "),IF(ISERROR(FIND("Bespoke",F96,1)),FALSE,TRUE),"")</f>
        <v/>
      </c>
      <c r="AS114" s="287" t="str">
        <f>IF(OR($H$70="Residential BTL",$H$70="Retention "),IFERROR(IF(AND(IF(RoundDown,R114,Q114)=$F$70,E114&gt;=$F$36),1,0),"-"),"")</f>
        <v/>
      </c>
      <c r="AT114" s="287" t="str">
        <f>IF(OR($H$70="Residential BTL",$H$70="Retention "),IFERROR(IF(AND(AL114=$F$71,E114&gt;=$F$36),1,0),"-"),"")</f>
        <v/>
      </c>
      <c r="AU114" s="287" t="str">
        <f>IF(OR($H$70="Residential BTL",$H$70="Retention "),SUM(AS114:AT114),"")</f>
        <v/>
      </c>
      <c r="AV114" s="287" t="str">
        <f>IF(OR($H$70="Residential BTL",$H$70="Retention "),IF(IF(Rate_Type="Tracker",X114,W114)&gt;'Product Data'!$P$19,"Y","N"),"")</f>
        <v/>
      </c>
    </row>
    <row r="115" spans="1:48" x14ac:dyDescent="0.35">
      <c r="A115" s="3218"/>
      <c r="B115" s="308">
        <f>IF(AND('BTL Calculator'!$G$60=C115,F115='BTL Calculator'!$G$62),1,0)</f>
        <v>0</v>
      </c>
      <c r="C115" s="1994" t="s">
        <v>587</v>
      </c>
      <c r="D115" s="1995">
        <v>5</v>
      </c>
      <c r="E115" s="1996">
        <f t="shared" si="89"/>
        <v>0</v>
      </c>
      <c r="F115" s="1997">
        <f>IF($H$70='Product Data'!$BT5,'Product Data'!$B190,IF($H$70='Product Data'!$BT2,'Product Data'!$B9,IF($H$70='Product Data'!BT3,'Product Data'!B34,IF(H70='Product Data'!BT4,'Product Data'!B47,0))))</f>
        <v>0</v>
      </c>
      <c r="G115" s="2031"/>
      <c r="H115" s="2005" t="b">
        <f>H112</f>
        <v>0</v>
      </c>
      <c r="I115" s="2016">
        <f>I112</f>
        <v>0.06</v>
      </c>
      <c r="J115" s="2332">
        <f>IF(AND(H70="Retention ",H72="Tracker"),2%,IF(AND($H$70='Product Data'!$BT$2,$H$72='Product Data'!$CA$2),2%,IF(AND($H$70='Product Data'!$BT$3,$H$72='Product Data'!$CA$2),1.5%,IF(AND($H$70='Product Data'!$BT$4,$H$72='Product Data'!$CA$2),1.5%,IF(AND($H$70='Product Data'!$BT$2,$H$72='Product Data'!$CA$5),0.75%,1.25%)))))</f>
        <v>1.2500000000000001E-2</v>
      </c>
      <c r="K115" s="645">
        <f>IF(OR(OR($H$70="Residential BTL",$H$70="Retention "),$H$70="Retention "),IF(Term&lt;36,'Product Data'!$P$11,'Product Data'!$P$13),6)</f>
        <v>6</v>
      </c>
      <c r="L115" s="2005">
        <f>IFERROR(H115-J115,"-")</f>
        <v>-1.2500000000000001E-2</v>
      </c>
      <c r="M115" s="2006">
        <f t="shared" ref="M115:M120" si="94">M112</f>
        <v>0.7</v>
      </c>
      <c r="N115" s="2007">
        <f>MIN(M115*Property_Value,'Product Data'!$P$16)</f>
        <v>0</v>
      </c>
      <c r="O115" s="2007" t="b">
        <f>IF(AND(OR(OR($H$70="Residential BTL",$H$70="Retention "),$H$70="Retention "),Rate_Type="Fixed"),IFERROR(AO115/($L115/12*(Term-$K115)*'Product Data'!$P$23),0),IF(AND(Rate_Type="Tracker",OR(OR($H$70="Residential BTL",$H$70="Retention "),$H$70="Retention ")),IFERROR(AO115/($L115/12*(Term-$K115)*'Product Data'!$P$17),0),IF(AND($H$70="Semi-Commercial",Rate_Type="Tracker"),IFERROR(AP115/($L115/12*(Term-$K115)*'Product Data'!$P$17),0),IF(AND($H$70="Semi-Commercial",Rate_Type="Fixed"),IFERROR(AP115/($L115/12*(Term-$K115)*'Product Data'!$P$23),0),IF(AND($H$70="Commercial",Rate_Type="Tracker"),IFERROR(AP115/($L115/12*(Term-$K115)*'Product Data'!$P$17),0),IF(AND($H$70="Commercial",Rate_Type="Fixed"),IFERROR(AP115/($L115/12*(Term-$K115)*'Product Data'!$P$23),0)))))))</f>
        <v>0</v>
      </c>
      <c r="P115" s="2007" t="str">
        <f>IF('BTL Calculator'!$H$28="Fixed","",IF(OR(OR($H$70="Residential BTL",$H$70="Retention "),$H$70="Retention "),AO115/((((H115-'Product Data'!$E$3+'Product Data'!$K$3-J115)/12*(Term-K115)))*'Product Data'!$P$18),AP115/((((H115-'Product Data'!$E$3+'Product Data'!$K$3-J115)/12*(Term-K115)))*'Product Data'!$P$18)))</f>
        <v/>
      </c>
      <c r="Q115" s="634">
        <f>IF('BTL Calculator'!$H$28="Tracker",MIN(N115,P115),MIN(O115,N115))</f>
        <v>0</v>
      </c>
      <c r="R115" s="634">
        <f t="shared" si="75"/>
        <v>0</v>
      </c>
      <c r="S115" s="2037">
        <f t="shared" si="93"/>
        <v>0</v>
      </c>
      <c r="T115" s="2037">
        <f>IFERROR(((H115*IF(RoundDown,R115,Q115)/12)),"-")</f>
        <v>0</v>
      </c>
      <c r="U115" s="2037" t="str">
        <f>IF('BTL Calculator'!$H$28="Fixed","",(((L115+$U$73)*IF(RoundDown,R115,Q115)/12)))</f>
        <v/>
      </c>
      <c r="V115" s="2037">
        <f>IFERROR(((L115*IF(RoundDown,R115,Q115)/12)),"-")</f>
        <v>0</v>
      </c>
      <c r="W115" s="2038" t="str">
        <f>IF(OR($H$70="Residential BTL",$H$70="Retention "),IFERROR(AO115/Z115,"-"),IFERROR(AP115/Z115,"-"))</f>
        <v>-</v>
      </c>
      <c r="X115" s="2038" t="str">
        <f>IF('BTL Calculator'!$H$28="Fixed","",IF(OR($H$70="Residential BTL",$H$70="Retention "),IFERROR(AO115/AA115,"-"),IFERROR(AP115/AA115,"-")))</f>
        <v/>
      </c>
      <c r="Y115" s="2038" t="str">
        <f t="shared" ref="Y115:Y125" si="95">TEXT(V115,"£0,0")&amp;" @ "&amp;TEXT(W115,"0%")&amp;" ICR"</f>
        <v>£00 @ - ICR</v>
      </c>
      <c r="Z115" s="2037">
        <f>(IF(RoundDown,R115,Q115)*L115)/12*(Term-K115)</f>
        <v>0</v>
      </c>
      <c r="AA115" s="2037" t="str">
        <f>IF('BTL Calculator'!$H$28="Fixed","",(IF(RoundDown,R115,Q115)*(H115-'Product Data'!$E$3+'Product Data'!$K$2-J115))/12*(Term-K115))</f>
        <v/>
      </c>
      <c r="AB115" s="2037">
        <f t="shared" si="76"/>
        <v>0</v>
      </c>
      <c r="AC115" s="2037">
        <f t="shared" si="77"/>
        <v>0</v>
      </c>
      <c r="AD115" s="2037">
        <f t="shared" si="78"/>
        <v>0</v>
      </c>
      <c r="AE115" s="2037">
        <f>K115*L115/12*IF(RoundDown,R115,Q115)</f>
        <v>0</v>
      </c>
      <c r="AF115" s="2039">
        <f t="shared" si="90"/>
        <v>0</v>
      </c>
      <c r="AG115" s="2040">
        <f t="shared" si="79"/>
        <v>0</v>
      </c>
      <c r="AH115" s="2041">
        <f t="shared" si="80"/>
        <v>0</v>
      </c>
      <c r="AI115" s="2041">
        <f>+IF(RoundDown,R115,Q115)*0.02</f>
        <v>0</v>
      </c>
      <c r="AJ115" s="2041">
        <f t="shared" si="82"/>
        <v>0</v>
      </c>
      <c r="AK115" s="2041" t="str">
        <f t="shared" si="83"/>
        <v>6.00% (£00)</v>
      </c>
      <c r="AL115" s="2042">
        <f t="shared" si="84"/>
        <v>0</v>
      </c>
      <c r="AM115" s="2043" t="e">
        <f t="shared" si="85"/>
        <v>#DIV/0!</v>
      </c>
      <c r="AN115" s="2043" t="e">
        <f t="shared" si="86"/>
        <v>#DIV/0!</v>
      </c>
      <c r="AO115" s="646">
        <f>Rent_Over_Term+AQ115</f>
        <v>0</v>
      </c>
      <c r="AP115" s="646">
        <f t="shared" ref="AP115:AP116" si="96">IF($H$72="3 Year Fixed",$X$22*36+AQ115, $X$22*24+AQ115)</f>
        <v>0</v>
      </c>
      <c r="AQ115" s="646">
        <f>'BTL Calculator'!$F$80*Term</f>
        <v>0</v>
      </c>
      <c r="AR115" s="647" t="b">
        <f>IF(ISERROR(FIND("Bespoke",F97,1)),FALSE,TRUE)</f>
        <v>0</v>
      </c>
      <c r="AS115" s="287">
        <f t="shared" si="88"/>
        <v>0</v>
      </c>
      <c r="AT115" s="287" t="str">
        <f t="shared" si="91"/>
        <v>-</v>
      </c>
      <c r="AU115" s="287">
        <f t="shared" si="92"/>
        <v>0</v>
      </c>
      <c r="AV115" s="287" t="str">
        <f>IF(IF(Rate_Type="Tracker",X115,W115)&gt;'Product Data'!$P$19,"Y","N")</f>
        <v>Y</v>
      </c>
    </row>
    <row r="116" spans="1:48" x14ac:dyDescent="0.35">
      <c r="A116" s="3218"/>
      <c r="B116" s="308">
        <f>IF(AND('BTL Calculator'!$G$60=C115,F116='BTL Calculator'!$G$62),1,0)</f>
        <v>0</v>
      </c>
      <c r="C116" s="1998"/>
      <c r="D116" s="1999">
        <v>6</v>
      </c>
      <c r="E116" s="308">
        <f t="shared" si="89"/>
        <v>0</v>
      </c>
      <c r="F116" s="2000">
        <f>IF($H$70='Product Data'!$BT5,'Product Data'!$B191,IF($H$70='Product Data'!$BT2,'Product Data'!$B10,IF($H$70='Product Data'!BT3,'Product Data'!B35,IF(H70='Product Data'!BT4,'Product Data'!B48,0))))</f>
        <v>0</v>
      </c>
      <c r="G116" s="2032"/>
      <c r="H116" s="2015" t="b">
        <f>H113</f>
        <v>0</v>
      </c>
      <c r="I116" s="2017">
        <f>I113</f>
        <v>0.06</v>
      </c>
      <c r="J116" s="2333">
        <f>IF(AND(H70="Retention ",H72="Tracker"),2%,IF(AND($H$70='Product Data'!$BT$2,$H$72='Product Data'!$CA$2),2%,IF(AND($H$70='Product Data'!$BT$3,$H$72='Product Data'!$CA$2),1.5%,IF(AND($H$70='Product Data'!$BT$4,$H$72='Product Data'!$CA$2),1.5%,IF(AND($H$70='Product Data'!$BT$2,$H$72='Product Data'!$CA$5),0.75%,1.25%)))))</f>
        <v>1.2500000000000001E-2</v>
      </c>
      <c r="K116" s="648">
        <f>IF(OR(OR($H$70="Residential BTL",$H$70="Retention "),$H$70="Retention "),IF(Term&lt;36,'Product Data'!$P$11,'Product Data'!$P$13),6)</f>
        <v>6</v>
      </c>
      <c r="L116" s="2008">
        <f>H116-J116</f>
        <v>-1.2500000000000001E-2</v>
      </c>
      <c r="M116" s="2009">
        <f t="shared" si="94"/>
        <v>0.7</v>
      </c>
      <c r="N116" s="2010">
        <f>MIN(M116*Property_Value,'Product Data'!$P$16)</f>
        <v>0</v>
      </c>
      <c r="O116" s="2010" t="b">
        <f>IF(AND(OR(OR($H$70="Residential BTL",$H$70="Retention "),$H$70="Retention "),Rate_Type="Fixed"),IFERROR(AO116/($L116/12*(Term-$K116)*'Product Data'!$P$23),0),IF(AND(Rate_Type="Tracker",OR(OR($H$70="Residential BTL",$H$70="Retention "),$H$70="Retention ")),IFERROR(AO116/($L116/12*(Term-$K116)*'Product Data'!$P$17),0),IF(AND($H$70="Semi-Commercial",Rate_Type="Tracker"),IFERROR(AP116/($L116/12*(Term-$K116)*'Product Data'!$P$17),0),IF(AND($H$70="Semi-Commercial",Rate_Type="Fixed"),IFERROR(AP116/($L116/12*(Term-$K116)*'Product Data'!$P$23),0),IF(AND($H$70="Commercial",Rate_Type="Tracker"),IFERROR(AP116/($L116/12*(Term-$K116)*'Product Data'!$P$17),0),IF(AND($H$70="Commercial",Rate_Type="Fixed"),IFERROR(AP116/($L116/12*(Term-$K116)*'Product Data'!$P$23),0)))))))</f>
        <v>0</v>
      </c>
      <c r="P116" s="2010" t="str">
        <f>IF('BTL Calculator'!$H$28="Fixed","",IF(OR(OR($H$70="Residential BTL",$H$70="Retention "),$H$70="Retention "),AO116/((((H116-'Product Data'!$E$3+'Product Data'!$K$3-J116)/12*(Term-K116)))*'Product Data'!$P$18),AP116/((((H116-'Product Data'!$E$3+'Product Data'!$K$3-J116)/12*(Term-K116)))*'Product Data'!$P$18)))</f>
        <v/>
      </c>
      <c r="Q116" s="639">
        <f>IF('BTL Calculator'!$H$28="Tracker",MIN(N116,P116),MIN(O116,N116))</f>
        <v>0</v>
      </c>
      <c r="R116" s="639">
        <f t="shared" si="75"/>
        <v>0</v>
      </c>
      <c r="S116" s="2044">
        <f t="shared" si="93"/>
        <v>0</v>
      </c>
      <c r="T116" s="2721">
        <f>IFERROR(((H116*IF(RoundDown,R116,Q116)/12)),"-")</f>
        <v>0</v>
      </c>
      <c r="U116" s="2044" t="str">
        <f>IF('BTL Calculator'!$H$28="Fixed","",(((L116+$U$73)*IF(RoundDown,R116,Q116)/12)))</f>
        <v/>
      </c>
      <c r="V116" s="2044">
        <f>((L116*IF(RoundDown,R116,Q116)/12))-IF('BTL Calculator'!$CY$11='Product Data'!$AG$9,AE116/Term,0)</f>
        <v>0</v>
      </c>
      <c r="W116" s="2045" t="str">
        <f>IF(OR($H$70="Residential BTL",$H$70="Retention "),IFERROR(AO116/Z116,"-"),IFERROR(AP116/Z116,"-"))</f>
        <v>-</v>
      </c>
      <c r="X116" s="2045" t="str">
        <f>IF('BTL Calculator'!$H$28="Fixed","",IF(OR($H$70="Residential BTL",$H$70="Retention "),IFERROR(AO116/AA116,"-"),IFERROR(AP116/AA116,"-")))</f>
        <v/>
      </c>
      <c r="Y116" s="2045" t="str">
        <f t="shared" si="95"/>
        <v>£00 @ - ICR</v>
      </c>
      <c r="Z116" s="2044">
        <f>(IF(RoundDown,R116,Q116)*L116)/12*(Term-K116)</f>
        <v>0</v>
      </c>
      <c r="AA116" s="2044" t="str">
        <f>IF('BTL Calculator'!$H$28="Fixed","",(IF(RoundDown,R116,Q116)*(H116-'Product Data'!$E$3+'Product Data'!$K$2-J116))/12*(Term-K116))</f>
        <v/>
      </c>
      <c r="AB116" s="2044">
        <f t="shared" si="76"/>
        <v>0</v>
      </c>
      <c r="AC116" s="2044">
        <f t="shared" si="77"/>
        <v>0</v>
      </c>
      <c r="AD116" s="2044">
        <f t="shared" si="78"/>
        <v>0</v>
      </c>
      <c r="AE116" s="2044">
        <f>K116*L116/12*IF(RoundDown,R116,Q116)</f>
        <v>0</v>
      </c>
      <c r="AF116" s="2046">
        <f t="shared" si="90"/>
        <v>0</v>
      </c>
      <c r="AG116" s="2047">
        <f t="shared" si="79"/>
        <v>0</v>
      </c>
      <c r="AH116" s="2048">
        <f t="shared" si="80"/>
        <v>0</v>
      </c>
      <c r="AI116" s="2048">
        <f t="shared" si="81"/>
        <v>0</v>
      </c>
      <c r="AJ116" s="2048">
        <f t="shared" si="82"/>
        <v>0</v>
      </c>
      <c r="AK116" s="2048" t="str">
        <f t="shared" si="83"/>
        <v>6.00% (£00)</v>
      </c>
      <c r="AL116" s="2049">
        <f t="shared" si="84"/>
        <v>0</v>
      </c>
      <c r="AM116" s="2050" t="e">
        <f t="shared" si="85"/>
        <v>#DIV/0!</v>
      </c>
      <c r="AN116" s="2050" t="e">
        <f t="shared" si="86"/>
        <v>#DIV/0!</v>
      </c>
      <c r="AO116" s="649">
        <f>Rent_Over_Term+AQ116</f>
        <v>0</v>
      </c>
      <c r="AP116" s="649">
        <f t="shared" si="96"/>
        <v>0</v>
      </c>
      <c r="AQ116" s="649">
        <f>'BTL Calculator'!$F$80*Term</f>
        <v>0</v>
      </c>
      <c r="AR116" s="650" t="b">
        <f>IF(ISERROR(FIND("Bespoke",F98,1)),FALSE,TRUE)</f>
        <v>0</v>
      </c>
      <c r="AS116" s="287">
        <f t="shared" si="88"/>
        <v>0</v>
      </c>
      <c r="AT116" s="287" t="str">
        <f t="shared" si="91"/>
        <v>-</v>
      </c>
      <c r="AU116" s="287">
        <f t="shared" si="92"/>
        <v>0</v>
      </c>
      <c r="AV116" s="287" t="str">
        <f>IF(IF(Rate_Type="Tracker",X116,W116)&gt;'Product Data'!$P$19,"Y","N")</f>
        <v>Y</v>
      </c>
    </row>
    <row r="117" spans="1:48" ht="18.75" thickBot="1" x14ac:dyDescent="0.4">
      <c r="A117" s="3218"/>
      <c r="B117" s="308" t="str">
        <f>IF(OR($H$70="Residential BTL",$H$70="Retention "),IF(AND('BTL Calculator'!$G$60=C115,F117='BTL Calculator'!$G$62),1,0),"")</f>
        <v/>
      </c>
      <c r="C117" s="1998"/>
      <c r="D117" s="1999" t="str">
        <f>IF(OR(OR($H$70="Residential BTL",$H$70="Retention "),$H$70="Retention "),7,"")</f>
        <v/>
      </c>
      <c r="E117" s="308" t="str">
        <f>IF(OR(OR($H$70="Residential BTL",$H$70="Retention "),$H$70="Retention "),VALUE(LEFT(F117,1)),"")</f>
        <v/>
      </c>
      <c r="F117" s="2000" t="str">
        <f>IF(OR(OR($H$70="Residential BTL",$H$70="Retention "),$H$70="Retention "),"3) Specialist BTL","")</f>
        <v/>
      </c>
      <c r="G117" s="2032"/>
      <c r="H117" s="2015" t="str">
        <f>H114</f>
        <v/>
      </c>
      <c r="I117" s="2017">
        <f>I116</f>
        <v>0.06</v>
      </c>
      <c r="J117" s="2333">
        <f>IF(AND(H70="Retention ",H72="Tracker"),2%,IF(AND($H$70='Product Data'!$BT$2,$H$72='Product Data'!$CA$2),2%,IF(AND($H$70='Product Data'!$BT$3,$H$72='Product Data'!$CA$2),1.5%,IF(AND($H$70='Product Data'!$BT$4,$H$72='Product Data'!$CA$2),1.5%,IF(AND($H$70='Product Data'!$BT$2,$H$72='Product Data'!$CA$5),0.75%,1.25%)))))</f>
        <v>1.2500000000000001E-2</v>
      </c>
      <c r="K117" s="648" t="str">
        <f>IF(OR(OR($H$70="Residential BTL",$H$70="Retention "),$H$70="Retention "),IF(Term&lt;36,'Product Data'!$P$11,'Product Data'!$P$13),"")</f>
        <v/>
      </c>
      <c r="L117" s="2602" t="str">
        <f>IF('BTL Calculator'!V2="Core","",IF(OR(OR($H$70="Residential BTL",$H$70="Retention "),$H$70="Retention "),H117-J117,""))</f>
        <v/>
      </c>
      <c r="M117" s="2011" t="str">
        <f t="shared" si="94"/>
        <v/>
      </c>
      <c r="N117" s="2012" t="str">
        <f>IF(OR(OR($H$70="Residential BTL",$H$70="Retention "),$H$70="Retention "),MIN(M117*Property_Value,'Product Data'!$P$16),"")</f>
        <v/>
      </c>
      <c r="O117" s="2012" t="b">
        <f>IF(AND(OR(OR($H$70="Residential BTL",$H$70="Retention "),$H$70="Retention "),Rate_Type="Fixed"),IFERROR(AO117/($L117/12*(Term-$K117)*'Product Data'!$P$23),0),IF(AND(Rate_Type="Tracker",OR(OR($H$70="Residential BTL",$H$70="Retention "),$H$70="Retention ")),IFERROR(AO117/($L117/12*(Term-$K117)*'Product Data'!$P$17),0),IF(AND($H$70="Semi-Commercial",Rate_Type="Tracker"),IFERROR(AP117/($L117/12*(Term-$K117)*'Product Data'!$P$17),0),IF(AND($H$70="Semi-Commercial",Rate_Type="Fixed"),IFERROR(AP117/($L117/12*(Term-$K117)*'Product Data'!$P$23),0),IF(AND($H$70="Commercial",Rate_Type="Tracker"),IFERROR(AP117/($L117/12*(Term-$K117)*'Product Data'!$P$17),0),IF(AND($H$70="Commercial",Rate_Type="Fixed"),IFERROR(AP117/($L117/12*(Term-$K117)*'Product Data'!$P$23),0)))))))</f>
        <v>0</v>
      </c>
      <c r="P117" s="2012" t="str">
        <f>IF('BTL Calculator'!$H$28="Fixed","",IF(OR(OR($H$70="Residential BTL",$H$70="Retention "),$H$70="Retention "),AO117/((((H117-'Product Data'!$E$3+'Product Data'!$K$3-J117)/12*(Term-K117)))*'Product Data'!$P$18),AP117/((((H117-'Product Data'!$E$3+'Product Data'!$K$3-J117)/12*(Term-K117)))*'Product Data'!$P$18)))</f>
        <v/>
      </c>
      <c r="Q117" s="642" t="str">
        <f>IF(OR($H$70="Residential BTL",$H$70="Retention "),IF('BTL Calculator'!$H$28="Tracker",MIN(N117,P117),MIN(O117,N117)),"")</f>
        <v/>
      </c>
      <c r="R117" s="642" t="str">
        <f>IF(OR($H$70="Residential BTL",$H$70="Retention "),ROUNDDOWN(Q117,-3),"")</f>
        <v/>
      </c>
      <c r="S117" s="2051" t="str">
        <f t="shared" si="93"/>
        <v>-</v>
      </c>
      <c r="T117" s="2722" t="str">
        <f>IFERROR(((H117*IF(RoundDown,R117,Q117)/12)),"-")</f>
        <v>-</v>
      </c>
      <c r="U117" s="2051" t="str">
        <f>IF('BTL Calculator'!$H$28="Fixed","",(((L117+$U$73)*IF(RoundDown,R117,Q117)/12)))</f>
        <v/>
      </c>
      <c r="V117" s="2044" t="str">
        <f>IF('BTL Calculator'!$V$2="Core","",IF(OR($H$70="Residential BTL",$H$70="Retention "),((L117*IF(RoundDown,R117,Q117)/12))-IF('BTL Calculator'!$CY$11='Product Data'!$AG$9,AE117/Term,0),""))</f>
        <v/>
      </c>
      <c r="W117" s="2052" t="str">
        <f>IF(OR($H$70="Residential BTL",$H$70="Retention "),IFERROR(AO117/Z117,"-"),"")</f>
        <v/>
      </c>
      <c r="X117" s="2052" t="str">
        <f>IF('BTL Calculator'!$H$28="Fixed","",IF(OR($H$70="Residential BTL",$H$70="Retention "),IFERROR(AO117/AA117,"-"),IFERROR(AP117/AA117,"-")))</f>
        <v/>
      </c>
      <c r="Y117" s="2052" t="str">
        <f>IF(OR($H$70="Residential BTL",$H$70="Retention "),TEXT(V117,"£0,0")&amp;" @ "&amp;TEXT(W117,"0%")&amp;" ICR","")</f>
        <v/>
      </c>
      <c r="Z117" s="2044" t="str">
        <f>IF('BTL Calculator'!$V$2="Core","",IF(OR($H$70="Residential BTL",$H$70="Retention "),(IF(RoundDown,R117,Q117)*L117)/12*(Term-K117),""))</f>
        <v/>
      </c>
      <c r="AA117" s="2044" t="str">
        <f>IF('BTL Calculator'!$H$28="Fixed","",(IF(RoundDown,R117,Q117)*(H117-'Product Data'!$E$3+'Product Data'!$K$2-J117))/12*(Term-K117))</f>
        <v/>
      </c>
      <c r="AB117" s="2051" t="str">
        <f>IF(OR($H$70="Residential BTL",$H$70="Retention "),IFERROR(Monthly_Rent*Term,"-"),"")</f>
        <v/>
      </c>
      <c r="AC117" s="2051" t="str">
        <f>IF(OR($H$70="Residential BTL",$H$70="Retention "),IFERROR($U$22-V117,"-"),"")</f>
        <v/>
      </c>
      <c r="AD117" s="2051" t="e">
        <f t="shared" si="78"/>
        <v>#VALUE!</v>
      </c>
      <c r="AE117" s="2044" t="e">
        <f>IF('BTL Calculator'!$V$2="Core","",K117*L117/12*IF(RoundDown,R117,Q117))</f>
        <v>#VALUE!</v>
      </c>
      <c r="AF117" s="2053" t="str">
        <f>IF('BTL Calculator'!V2="Core","",IF(OR($H$70="Residential BTL",$H$70="Retention "),SUM(AD117:AE117),""))</f>
        <v/>
      </c>
      <c r="AG117" s="2054" t="str">
        <f>IF('BTL Calculator'!V2="Core","",IF(OR($H$70="Residential BTL",$H$70="Retention "),AL117+AI117,""))</f>
        <v/>
      </c>
      <c r="AH117" s="2055" t="e">
        <f t="shared" si="80"/>
        <v>#VALUE!</v>
      </c>
      <c r="AI117" s="2055" t="e">
        <f t="shared" si="81"/>
        <v>#VALUE!</v>
      </c>
      <c r="AJ117" s="2055" t="e">
        <f t="shared" si="82"/>
        <v>#VALUE!</v>
      </c>
      <c r="AK117" s="2055" t="str">
        <f>IF(OR($H$70="Residential BTL",$H$70="Retention "),TEXT(I117,"0.00%")&amp;" ("&amp;TEXT(AH117,"£0,0")&amp;")","")</f>
        <v/>
      </c>
      <c r="AL117" s="2056" t="str">
        <f>IF('BTL Calculator'!V2="Core","",IF(OR($H$70="Residential BTL",$H$70="Retention "),IF(RoundDown,R117,Q117)-AD117-AE117-AH117,""))</f>
        <v/>
      </c>
      <c r="AM117" s="2057" t="str">
        <f>IF('BTL Calculator'!V2="Core","",IF(OR($H$70="Residential BTL",$H$70="Retention "),AL117/Property_Value,""))</f>
        <v/>
      </c>
      <c r="AN117" s="2057" t="str">
        <f>IF(OR($H$70="Residential BTL",$H$70="Retention "),IF(RoundDown,R117,Q117)/Property_Value,"")</f>
        <v/>
      </c>
      <c r="AO117" s="643" t="str">
        <f>IF(OR($H$70="Residential BTL",$H$70="Retention "),Rent_Over_Term+AQ117,"")</f>
        <v/>
      </c>
      <c r="AP117" s="652"/>
      <c r="AQ117" s="643" t="str">
        <f>IF(OR($H$70="Residential BTL",$H$70="Retention "),'BTL Calculator'!$F$80*Term,"")</f>
        <v/>
      </c>
      <c r="AR117" s="644" t="str">
        <f>IF(OR($H$70="Residential BTL",$H$70="Retention "),IF(ISERROR(FIND("Bespoke",F99,1)),FALSE,TRUE),"")</f>
        <v/>
      </c>
      <c r="AS117" s="287" t="str">
        <f>IF(OR($H$70="Residential BTL",$H$70="Retention "),IFERROR(IF(AND(IF(RoundDown,R117,Q117)=$F$70,E117&gt;=$F$36),1,0),"-"),"")</f>
        <v/>
      </c>
      <c r="AT117" s="287" t="str">
        <f>IF(OR($H$70="Residential BTL",$H$70="Retention "),IFERROR(IF(AND(AL117=$F$71,E117&gt;=$F$36),1,0),"-"),"")</f>
        <v/>
      </c>
      <c r="AU117" s="287" t="str">
        <f>IF(OR($H$70="Residential BTL",$H$70="Retention "),SUM(AS117:AT117),"")</f>
        <v/>
      </c>
      <c r="AV117" s="287" t="str">
        <f>IF(OR($H$70="Residential BTL",$H$70="Retention "),IF(IF(Rate_Type="Tracker",X117,W117)&gt;'Product Data'!$P$19,"Y","N"),"")</f>
        <v/>
      </c>
    </row>
    <row r="118" spans="1:48" ht="18.75" hidden="1" thickBot="1" x14ac:dyDescent="0.4">
      <c r="A118" s="3218"/>
      <c r="B118" s="2029">
        <f>IF(AND('BTL Calculator'!$G$60=C118,F118='BTL Calculator'!$G$62),1,0)</f>
        <v>0</v>
      </c>
      <c r="C118" s="1954" t="s">
        <v>588</v>
      </c>
      <c r="D118" s="1955">
        <v>9</v>
      </c>
      <c r="E118" s="1956">
        <f t="shared" si="89"/>
        <v>1</v>
      </c>
      <c r="F118" s="1957" t="s">
        <v>432</v>
      </c>
      <c r="G118" s="1959"/>
      <c r="H118" s="1958" t="b">
        <f>H115</f>
        <v>0</v>
      </c>
      <c r="I118" s="1959">
        <f>I115</f>
        <v>0.06</v>
      </c>
      <c r="J118" s="1980">
        <f>'Product Data'!$P$10</f>
        <v>0.02</v>
      </c>
      <c r="K118" s="1960">
        <f>IF(Term&lt;36,'Product Data'!$P$12,'Product Data'!$P$14)</f>
        <v>9</v>
      </c>
      <c r="L118" s="1958">
        <f>IFERROR(H118-J118,"-")</f>
        <v>-0.02</v>
      </c>
      <c r="M118" s="1961">
        <f t="shared" si="94"/>
        <v>0.7</v>
      </c>
      <c r="N118" s="1962">
        <f>MIN(M118*Property_Value,'Product Data'!$P$16)</f>
        <v>0</v>
      </c>
      <c r="O118" s="1962" t="b">
        <f>IF(AND(OR(OR($H$70="Residential BTL",$H$70="Retention "),$H$70="Retention "),Rate_Type="Fixed"),IFERROR(AO118/($L118/12*(Term-$K118)*'Product Data'!$P$23),0),IF(AND(Rate_Type="Tracker",OR(OR($H$70="Residential BTL",$H$70="Retention "),$H$70="Retention ")),IFERROR(AO118/($L118/12*(Term-$K118)*'Product Data'!$P$17),0),IF(AND($H$70="Semi-Commercial",Rate_Type="Tracker"),IFERROR(AP118/($L118/12*(Term-$K118)*'Product Data'!$P$17),0),IF(AND($H$70="Semi-Commercial",Rate_Type="Fixed"),IFERROR(AP118/($L118/12*(Term-$K118)*'Product Data'!$P$23),0),IF(AND($H$70="Commercial",Rate_Type="Tracker"),IFERROR(AP118/($L118/12*(Term-$K118)*'Product Data'!$P$17),0),IF(AND($H$70="Commercial",Rate_Type="Fixed"),IFERROR(AP118/($L118/12*(Term-$K118)*'Product Data'!$P$23),0)))))))</f>
        <v>0</v>
      </c>
      <c r="P118" s="1962" t="str">
        <f>IF('BTL Calculator'!$H$28="Fixed","",IF(OR(OR($H$70="Residential BTL",$H$70="Retention "),$H$70="Retention "),AO118/((((H118-'Product Data'!$E$3+'Product Data'!$K$3-J118)/12*(Term-K118)))*'Product Data'!$P$18),AP118/((((H118-'Product Data'!$E$3+'Product Data'!$K$3-J118)/12*(Term-K118)))*'Product Data'!$P$18)))</f>
        <v/>
      </c>
      <c r="Q118" s="1963">
        <f>IF('BTL Calculator'!$H$28="Tracker",MIN(N118,P118),MIN(O118,N118))</f>
        <v>0</v>
      </c>
      <c r="R118" s="1963">
        <f t="shared" si="75"/>
        <v>0</v>
      </c>
      <c r="S118" s="1964">
        <f t="shared" si="93"/>
        <v>0</v>
      </c>
      <c r="T118" s="1964">
        <f>IFERROR(((H118*IF(RoundDown,R118,Q118)/12)),"-")</f>
        <v>0</v>
      </c>
      <c r="U118" s="1964" t="str">
        <f>IF('BTL Calculator'!$H$28="Fixed","",(((L118+$U$73)*IF(RoundDown,R118,Q118)/12)))</f>
        <v/>
      </c>
      <c r="V118" s="1964">
        <f>IFERROR(((L118*IF(RoundDown,R118,Q118)/12)),"-")</f>
        <v>0</v>
      </c>
      <c r="W118" s="1965" t="str">
        <f t="shared" ref="W118:W119" si="97">IFERROR(AO118/Z118,"-")</f>
        <v>-</v>
      </c>
      <c r="X118" s="1965" t="str">
        <f>IF('BTL Calculator'!$H$28="Fixed","",IF(OR($H$70="Residential BTL",$H$70="Retention "),IFERROR(AO118/AA118,"-"),IFERROR(AP118/AA118,"-")))</f>
        <v/>
      </c>
      <c r="Y118" s="1965" t="str">
        <f t="shared" si="95"/>
        <v>£00 @ - ICR</v>
      </c>
      <c r="Z118" s="1964">
        <f>(IF(RoundDown,R118,Q118)*L118)/12*(Term-K118)</f>
        <v>0</v>
      </c>
      <c r="AA118" s="1964" t="str">
        <f>IF('BTL Calculator'!$H$28="Fixed","",(IF(RoundDown,R118,Q118)*(H118-'Product Data'!$E$3+'Product Data'!$K$2-J118))/12*(Term-K118))</f>
        <v/>
      </c>
      <c r="AB118" s="1964">
        <f t="shared" si="76"/>
        <v>0</v>
      </c>
      <c r="AC118" s="1964">
        <f>IFERROR($U$22-V118,"-")</f>
        <v>0</v>
      </c>
      <c r="AD118" s="1964">
        <f t="shared" si="78"/>
        <v>0</v>
      </c>
      <c r="AE118" s="1964">
        <f t="shared" ref="AE118:AE122" si="98">K118*L118/12*IF(RoundDown,R118,Q118)</f>
        <v>0</v>
      </c>
      <c r="AF118" s="1966">
        <f t="shared" si="90"/>
        <v>0</v>
      </c>
      <c r="AG118" s="1967">
        <f t="shared" si="79"/>
        <v>0</v>
      </c>
      <c r="AH118" s="1968">
        <f t="shared" ref="AH118:AH119" si="99">IF(RoundDown,R118,Q118)*I118</f>
        <v>0</v>
      </c>
      <c r="AI118" s="1968">
        <f t="shared" si="81"/>
        <v>0</v>
      </c>
      <c r="AJ118" s="1968">
        <f t="shared" si="82"/>
        <v>0</v>
      </c>
      <c r="AK118" s="1968" t="str">
        <f t="shared" si="83"/>
        <v>6.00% (£00)</v>
      </c>
      <c r="AL118" s="1969">
        <f t="shared" si="84"/>
        <v>0</v>
      </c>
      <c r="AM118" s="1970" t="e">
        <f>AL118/Property_Value</f>
        <v>#DIV/0!</v>
      </c>
      <c r="AN118" s="1970" t="e">
        <f t="shared" si="86"/>
        <v>#DIV/0!</v>
      </c>
      <c r="AO118" s="1971">
        <f>Rent_Over_Term+AQ118</f>
        <v>0</v>
      </c>
      <c r="AP118" s="1971"/>
      <c r="AQ118" s="1971">
        <f>'BTL Calculator'!$F$80*Term</f>
        <v>0</v>
      </c>
      <c r="AR118" s="1972" t="b">
        <f>IF(ISERROR(FIND("Bespoke",F100,1)),FALSE,TRUE)</f>
        <v>0</v>
      </c>
      <c r="AS118" s="1973">
        <f t="shared" si="88"/>
        <v>1</v>
      </c>
      <c r="AT118" s="1973" t="str">
        <f t="shared" si="91"/>
        <v>-</v>
      </c>
      <c r="AU118" s="1973">
        <f t="shared" si="92"/>
        <v>1</v>
      </c>
      <c r="AV118" s="1973" t="str">
        <f>IF(IF(Rate_Type="Tracker",X118,W118)&gt;'Product Data'!$P$19,"Y","N")</f>
        <v>Y</v>
      </c>
    </row>
    <row r="119" spans="1:48" ht="18.75" hidden="1" thickBot="1" x14ac:dyDescent="0.4">
      <c r="A119" s="3218"/>
      <c r="B119" s="2029">
        <f>IF(AND('BTL Calculator'!$G$60=C118,F119='BTL Calculator'!$G$62),1,0)</f>
        <v>0</v>
      </c>
      <c r="C119" s="1974"/>
      <c r="D119" s="1975">
        <v>10</v>
      </c>
      <c r="E119" s="1976">
        <f t="shared" si="89"/>
        <v>2</v>
      </c>
      <c r="F119" s="1977" t="s">
        <v>433</v>
      </c>
      <c r="G119" s="1976"/>
      <c r="H119" s="1978" t="b">
        <f>H116</f>
        <v>0</v>
      </c>
      <c r="I119" s="1979">
        <f>I116</f>
        <v>0.06</v>
      </c>
      <c r="J119" s="1980">
        <f>'Product Data'!$P$10</f>
        <v>0.02</v>
      </c>
      <c r="K119" s="1981">
        <f>IF(Term&lt;36,'Product Data'!$P$12,'Product Data'!$P$14)</f>
        <v>9</v>
      </c>
      <c r="L119" s="1978">
        <f>H119-J119</f>
        <v>-0.02</v>
      </c>
      <c r="M119" s="1982">
        <f t="shared" si="94"/>
        <v>0.7</v>
      </c>
      <c r="N119" s="1983">
        <f>MIN(M119*Property_Value,'Product Data'!$P$16)</f>
        <v>0</v>
      </c>
      <c r="O119" s="1983" t="b">
        <f>IF(AND(OR(OR($H$70="Residential BTL",$H$70="Retention "),$H$70="Retention "),Rate_Type="Fixed"),IFERROR(AO119/($L119/12*(Term-$K119)*'Product Data'!$P$23),0),IF(AND(Rate_Type="Tracker",OR(OR($H$70="Residential BTL",$H$70="Retention "),$H$70="Retention ")),IFERROR(AO119/($L119/12*(Term-$K119)*'Product Data'!$P$17),0),IF(AND($H$70="Semi-Commercial",Rate_Type="Tracker"),IFERROR(AP119/($L119/12*(Term-$K119)*'Product Data'!$P$17),0),IF(AND($H$70="Semi-Commercial",Rate_Type="Fixed"),IFERROR(AP119/($L119/12*(Term-$K119)*'Product Data'!$P$23),0),IF(AND($H$70="Commercial",Rate_Type="Tracker"),IFERROR(AP119/($L119/12*(Term-$K119)*'Product Data'!$P$17),0),IF(AND($H$70="Commercial",Rate_Type="Fixed"),IFERROR(AP119/($L119/12*(Term-$K119)*'Product Data'!$P$23),0)))))))</f>
        <v>0</v>
      </c>
      <c r="P119" s="1983" t="str">
        <f>IF('BTL Calculator'!$H$28="Fixed","",IF(OR(OR($H$70="Residential BTL",$H$70="Retention "),$H$70="Retention "),AO119/((((H119-'Product Data'!$E$3+'Product Data'!$K$3-J119)/12*(Term-K119)))*'Product Data'!$P$18),AP119/((((H119-'Product Data'!$E$3+'Product Data'!$K$3-J119)/12*(Term-K119)))*'Product Data'!$P$18)))</f>
        <v/>
      </c>
      <c r="Q119" s="1984">
        <f>IF('BTL Calculator'!$H$28="Tracker",MIN(N119,P119),MIN(O119,N119))</f>
        <v>0</v>
      </c>
      <c r="R119" s="1984">
        <f t="shared" si="75"/>
        <v>0</v>
      </c>
      <c r="S119" s="1985">
        <f t="shared" si="93"/>
        <v>0</v>
      </c>
      <c r="T119" s="1985">
        <f>((H119*IF(RoundDown,R119,Q119)/12))</f>
        <v>0</v>
      </c>
      <c r="U119" s="1985" t="str">
        <f>IF('BTL Calculator'!$H$28="Fixed","",(((L119+$U$73)*IF(RoundDown,R119,Q119)/12)))</f>
        <v/>
      </c>
      <c r="V119" s="1985">
        <f>((L119*IF(RoundDown,R119,Q119)/12))-IF('BTL Calculator'!$CY$11='Product Data'!$AG$9,AE119/Term,0)</f>
        <v>0</v>
      </c>
      <c r="W119" s="1986" t="str">
        <f t="shared" si="97"/>
        <v>-</v>
      </c>
      <c r="X119" s="1986" t="str">
        <f>IF('BTL Calculator'!$H$28="Fixed","",IF(OR($H$70="Residential BTL",$H$70="Retention "),IFERROR(AO119/AA119,"-"),IFERROR(AP119/AA119,"-")))</f>
        <v/>
      </c>
      <c r="Y119" s="1986" t="str">
        <f t="shared" si="95"/>
        <v>£00 @ - ICR</v>
      </c>
      <c r="Z119" s="1985">
        <f>(IF(RoundDown,R119,Q119)*L119)/12*(Term-K119)</f>
        <v>0</v>
      </c>
      <c r="AA119" s="1985" t="str">
        <f>IF('BTL Calculator'!$H$28="Fixed","",(IF(RoundDown,R119,Q119)*(H119-'Product Data'!$E$3+'Product Data'!$K$2-J119))/12*(Term-K119))</f>
        <v/>
      </c>
      <c r="AB119" s="1985">
        <f t="shared" si="76"/>
        <v>0</v>
      </c>
      <c r="AC119" s="1985">
        <f>IFERROR($U$22-V119,"-")</f>
        <v>0</v>
      </c>
      <c r="AD119" s="1985">
        <f t="shared" si="78"/>
        <v>0</v>
      </c>
      <c r="AE119" s="1985">
        <f t="shared" si="98"/>
        <v>0</v>
      </c>
      <c r="AF119" s="1987">
        <f t="shared" si="90"/>
        <v>0</v>
      </c>
      <c r="AG119" s="1988">
        <f t="shared" si="79"/>
        <v>0</v>
      </c>
      <c r="AH119" s="1989">
        <f t="shared" si="99"/>
        <v>0</v>
      </c>
      <c r="AI119" s="1989">
        <f t="shared" si="81"/>
        <v>0</v>
      </c>
      <c r="AJ119" s="1989">
        <f t="shared" si="82"/>
        <v>0</v>
      </c>
      <c r="AK119" s="1989" t="str">
        <f t="shared" si="83"/>
        <v>6.00% (£00)</v>
      </c>
      <c r="AL119" s="1990">
        <f t="shared" si="84"/>
        <v>0</v>
      </c>
      <c r="AM119" s="1991" t="e">
        <f>AL119/Property_Value</f>
        <v>#DIV/0!</v>
      </c>
      <c r="AN119" s="1991" t="e">
        <f t="shared" si="86"/>
        <v>#DIV/0!</v>
      </c>
      <c r="AO119" s="1992">
        <f>Rent_Over_Term+AQ119</f>
        <v>0</v>
      </c>
      <c r="AP119" s="1992"/>
      <c r="AQ119" s="1992">
        <f>'BTL Calculator'!$F$80*Term</f>
        <v>0</v>
      </c>
      <c r="AR119" s="1993" t="b">
        <f>IF(ISERROR(FIND("Bespoke",F101,1)),FALSE,TRUE)</f>
        <v>0</v>
      </c>
      <c r="AS119" s="1973">
        <f t="shared" si="88"/>
        <v>1</v>
      </c>
      <c r="AT119" s="1973" t="str">
        <f t="shared" si="91"/>
        <v>-</v>
      </c>
      <c r="AU119" s="1973">
        <f t="shared" si="92"/>
        <v>1</v>
      </c>
      <c r="AV119" s="1973" t="str">
        <f>IF(IF(Rate_Type="Tracker",X119,W119)&gt;'Product Data'!$P$19,"Y","N")</f>
        <v>Y</v>
      </c>
    </row>
    <row r="120" spans="1:48" ht="18.75" hidden="1" thickBot="1" x14ac:dyDescent="0.4">
      <c r="A120" s="3218"/>
      <c r="B120" s="2029" t="str">
        <f>IF(OR($H$70="Residential BTL",$H$70="Retention "),IF(AND('BTL Calculator'!$G$60=C118,F120='BTL Calculator'!$G$62),1,0),"")</f>
        <v/>
      </c>
      <c r="C120" s="1974"/>
      <c r="D120" s="1975" t="str">
        <f>IF(OR($H$70="Residential BTL",$H$70="Retention "),11,"")</f>
        <v/>
      </c>
      <c r="E120" s="1976" t="str">
        <f>IF(OR($H$70="Residential BTL",$H$70="Retention "),VALUE(LEFT(F120,1)),"")</f>
        <v/>
      </c>
      <c r="F120" s="1977" t="str">
        <f>IF(OR($H$70="Residential BTL",$H$70="Retention "),"3) Specialist BTL","")</f>
        <v/>
      </c>
      <c r="G120" s="1976"/>
      <c r="H120" s="1978" t="str">
        <f>H117</f>
        <v/>
      </c>
      <c r="I120" s="1979">
        <f>I117</f>
        <v>0.06</v>
      </c>
      <c r="J120" s="1980" t="str">
        <f>IF(OR($H$70="Residential BTL",$H$70="Retention "),'Product Data'!$P$10,"")</f>
        <v/>
      </c>
      <c r="K120" s="1981" t="str">
        <f>IF(OR($H$70="Residential BTL",$H$70="Retention "),IF(Term&lt;36,'Product Data'!$P$12,'Product Data'!$P$14),"")</f>
        <v/>
      </c>
      <c r="L120" s="1982" t="str">
        <f>IF(OR($H$70="Residential BTL",$H$70="Retention "),H120-J120,"")</f>
        <v/>
      </c>
      <c r="M120" s="1982" t="str">
        <f t="shared" si="94"/>
        <v/>
      </c>
      <c r="N120" s="1983" t="str">
        <f>IF(OR($H$70="Residential BTL",$H$70="Retention "),MIN(M120*Property_Value,'Product Data'!$P$16),"")</f>
        <v/>
      </c>
      <c r="O120" s="1983" t="b">
        <f>IF(AND(OR(OR($H$70="Residential BTL",$H$70="Retention "),$H$70="Retention "),Rate_Type="Fixed"),IFERROR(AO120/($L120/12*(Term-$K120)*'Product Data'!$P$23),0),IF(AND(Rate_Type="Tracker",OR(OR($H$70="Residential BTL",$H$70="Retention "),$H$70="Retention ")),IFERROR(AO120/($L120/12*(Term-$K120)*'Product Data'!$P$17),0),IF(AND($H$70="Semi-Commercial",Rate_Type="Tracker"),IFERROR(AP120/($L120/12*(Term-$K120)*'Product Data'!$P$17),0),IF(AND($H$70="Semi-Commercial",Rate_Type="Fixed"),IFERROR(AP120/($L120/12*(Term-$K120)*'Product Data'!$P$23),0),IF(AND($H$70="Commercial",Rate_Type="Tracker"),IFERROR(AP120/($L120/12*(Term-$K120)*'Product Data'!$P$17),0),IF(AND($H$70="Commercial",Rate_Type="Fixed"),IFERROR(AP120/($L120/12*(Term-$K120)*'Product Data'!$P$23),0)))))))</f>
        <v>0</v>
      </c>
      <c r="P120" s="1983" t="str">
        <f>IF('BTL Calculator'!$H$28="Fixed","",IF(OR(OR($H$70="Residential BTL",$H$70="Retention "),$H$70="Retention "),AO120/((((H120-'Product Data'!$E$3+'Product Data'!$K$3-J120)/12*(Term-K120)))*'Product Data'!$P$18),AP120/((((H120-'Product Data'!$E$3+'Product Data'!$K$3-J120)/12*(Term-K120)))*'Product Data'!$P$18)))</f>
        <v/>
      </c>
      <c r="Q120" s="1984" t="str">
        <f>IF(OR($H$70="Residential BTL",$H$70="Retention "),IF('BTL Calculator'!$H$28="Tracker",MIN(N120,P120),MIN(O120,N120)),"")</f>
        <v/>
      </c>
      <c r="R120" s="1984" t="str">
        <f>IF(OR($H$70="Residential BTL",$H$70="Retention "),ROUNDDOWN(Q120,-3),"")</f>
        <v/>
      </c>
      <c r="S120" s="1985" t="str">
        <f t="shared" si="93"/>
        <v>-</v>
      </c>
      <c r="T120" s="1985" t="str">
        <f>IF(OR($H$70="Residential BTL",$H$70="Retention "),((H120*IF(RoundDown,R120,Q120)/12)),"")</f>
        <v/>
      </c>
      <c r="U120" s="1985" t="str">
        <f>IF('BTL Calculator'!$H$28="Fixed","",(((L120+$U$73)*IF(RoundDown,R120,Q120)/12)))</f>
        <v/>
      </c>
      <c r="V120" s="1985" t="str">
        <f>IF(OR($H$70="Residential BTL",$H$70="Retention "),((L120*IF(RoundDown,R120,Q120)/12))-IF('BTL Calculator'!$CY$11='Product Data'!$AG$9,AE120/Term,0),"")</f>
        <v/>
      </c>
      <c r="W120" s="1986" t="str">
        <f>IF(OR($H$70="Residential BTL",$H$70="Retention "),IFERROR(AO120/Z120,"-"),"")</f>
        <v/>
      </c>
      <c r="X120" s="1986" t="str">
        <f>IF('BTL Calculator'!$H$28="Fixed","",IF(OR($H$70="Residential BTL",$H$70="Retention "),IFERROR(AO120/AA120,"-"),IFERROR(AP120/AA120,"-")))</f>
        <v/>
      </c>
      <c r="Y120" s="1986" t="str">
        <f>IF(OR($H$70="Residential BTL",$H$70="Retention "),TEXT(V120,"£0,0")&amp;" @ "&amp;TEXT(W120,"0%")&amp;" ICR","")</f>
        <v/>
      </c>
      <c r="Z120" s="1985" t="str">
        <f>IF(OR($H$70="Residential BTL",$H$70="Retention "),(IF(RoundDown,R120,Q120)*L120)/12*(Term-K120),"")</f>
        <v/>
      </c>
      <c r="AA120" s="1985" t="str">
        <f>IF('BTL Calculator'!$H$28="Fixed","",(IF(RoundDown,R120,Q120)*(H120-'Product Data'!$E$3+'Product Data'!$K$2-J120))/12*(Term-K120))</f>
        <v/>
      </c>
      <c r="AB120" s="1985" t="str">
        <f>IF(OR($H$70="Residential BTL",$H$70="Retention "),IFERROR(Monthly_Rent*Term,"-"),"")</f>
        <v/>
      </c>
      <c r="AC120" s="1985" t="str">
        <f>IF(OR($H$70="Residential BTL",$H$70="Retention "),IFERROR($U$22-V120,"-"),"")</f>
        <v/>
      </c>
      <c r="AD120" s="1985" t="e">
        <f t="shared" si="78"/>
        <v>#VALUE!</v>
      </c>
      <c r="AE120" s="1985" t="e">
        <f t="shared" si="98"/>
        <v>#VALUE!</v>
      </c>
      <c r="AF120" s="1987" t="str">
        <f>IF(OR($H$70="Residential BTL",$H$70="Retention "),SUM(AD120:AE120),"")</f>
        <v/>
      </c>
      <c r="AG120" s="1988" t="str">
        <f>IF(OR($H$70="Residential BTL",$H$70="Retention "),AL120+AI120,"")</f>
        <v/>
      </c>
      <c r="AH120" s="1989" t="str">
        <f>IF(OR($H$70="Residential BTL",$H$70="Retention "),IF(RoundDown,R120,Q120)*I120,"")</f>
        <v/>
      </c>
      <c r="AI120" s="1989" t="e">
        <f t="shared" si="81"/>
        <v>#VALUE!</v>
      </c>
      <c r="AJ120" s="1989" t="e">
        <f t="shared" si="82"/>
        <v>#VALUE!</v>
      </c>
      <c r="AK120" s="1989" t="str">
        <f>IF(OR($H$70="Residential BTL",$H$70="Retention "),TEXT(I120,"0.00%")&amp;" ("&amp;TEXT(AH120,"£0,0")&amp;")","")</f>
        <v/>
      </c>
      <c r="AL120" s="1990" t="str">
        <f>IF(OR($H$70="Residential BTL",$H$70="Retention "),IF(RoundDown,R120,Q120)-AD120-AE120-AH120,"")</f>
        <v/>
      </c>
      <c r="AM120" s="1991" t="str">
        <f>IF(OR($H$70="Residential BTL",$H$70="Retention "),AL120/Property_Value,"")</f>
        <v/>
      </c>
      <c r="AN120" s="1991" t="str">
        <f>IF(OR($H$70="Residential BTL",$H$70="Retention "),IF(RoundDown,R120,Q120)/Property_Value,"")</f>
        <v/>
      </c>
      <c r="AO120" s="1992" t="str">
        <f>IF(OR($H$70="Residential BTL",$H$70="Retention "),Rent_Over_Term+AQ120,"")</f>
        <v/>
      </c>
      <c r="AP120" s="1992"/>
      <c r="AQ120" s="1992" t="str">
        <f>IF(OR($H$70="Residential BTL",$H$70="Retention "),'BTL Calculator'!$F$80*Term,"")</f>
        <v/>
      </c>
      <c r="AR120" s="1993" t="str">
        <f>IF(OR($H$70="Residential BTL",$H$70="Retention "),IF(ISERROR(FIND("Bespoke",F102,1)),FALSE,TRUE),"")</f>
        <v/>
      </c>
      <c r="AS120" s="1973" t="str">
        <f>IF(OR($H$70="Residential BTL",$H$70="Retention "),IFERROR(IF(AND(IF(RoundDown,R120,Q120)=$F$70,E120&gt;=$F$36),1,0),"-"),"")</f>
        <v/>
      </c>
      <c r="AT120" s="1973" t="str">
        <f>IF(OR($H$70="Residential BTL",$H$70="Retention "),IFERROR(IF(AND(AL120=$F$71,E120&gt;=$F$36),1,0),"-"),"")</f>
        <v/>
      </c>
      <c r="AU120" s="1973" t="str">
        <f>IF(OR($H$70="Residential BTL",$H$70="Retention "),SUM(AS120:AT120),"")</f>
        <v/>
      </c>
      <c r="AV120" s="1973" t="str">
        <f>IF(OR($H$70="Residential BTL",$H$70="Retention "),IF(IF(Rate_Type="Tracker",X120,W120)&gt;'Product Data'!$P$19,"Y","N"),"")</f>
        <v/>
      </c>
    </row>
    <row r="121" spans="1:48" x14ac:dyDescent="0.35">
      <c r="A121" s="3218"/>
      <c r="B121" s="308">
        <f>IF('BTL Calculator'!$V$2="Core",0,IF(AND('BTL Calculator'!$G$60=C121,F121='BTL Calculator'!$G$62),1,0))</f>
        <v>0</v>
      </c>
      <c r="C121" s="1994" t="s">
        <v>378</v>
      </c>
      <c r="D121" s="1995">
        <v>13</v>
      </c>
      <c r="E121" s="1996">
        <f t="shared" si="89"/>
        <v>0</v>
      </c>
      <c r="F121" s="1997">
        <f>IF($H$70='Product Data'!$BT5,'Product Data'!$B190,IF($H$70='Product Data'!$BT2,'Product Data'!$B9,IF($H$70='Product Data'!BT3,'Product Data'!B34,IF(H70='Product Data'!BT4,'Product Data'!B47,0))))</f>
        <v>0</v>
      </c>
      <c r="G121" s="2033"/>
      <c r="H121" s="2005" t="b">
        <f t="shared" ref="H121:I123" si="100">H115</f>
        <v>0</v>
      </c>
      <c r="I121" s="2016">
        <f t="shared" si="100"/>
        <v>0.06</v>
      </c>
      <c r="J121" s="2669" t="b">
        <f>IF(AND(Rate_Type="Fixed",H72="3 Year Fixed"),IF(Defer6&gt;'Product Data'!$P$24,'Product Data'!$P$24,Defer6),IF(AND(Rate_Type="Fixed",H72="2 Year Fixed"),IF(Defer6&gt;'Product Data'!$P$24,'Product Data'!$P$24,Defer6),IF(AND(Rate_Type="Fixed",H72="5 Year Fixed"),IF(Defer6&gt;'Product Data'!$P$33,'Product Data'!$P$33,Defer6),IF(AND(Rate_Type="Tracker",$H$70="Commercial"),IF(Defer6&gt;0.015,0.015,Defer6),IF(AND(Rate_Type="Tracker",$H$70="Semi-Commercial"),IF(Defer6&gt;0.015,0.015,Defer6),IF(AND(Rate_Type="Tracker",OR($H$70="Residential BTL",$H$70="Retention ")),IF(Defer6&gt;0.02,0.02,Defer6)))))))</f>
        <v>0</v>
      </c>
      <c r="K121" s="645">
        <f>IF(Roll6="",0,IF(OR(OR($H$70="Residential BTL",$H$70="Retention "),$H$70="Retention "),MAX(MIN(Roll6,'Product Data'!$P$12),0),MAX(MIN(Roll6,6),0)))</f>
        <v>0</v>
      </c>
      <c r="L121" s="2005">
        <f>IFERROR(H121-J121,"-")</f>
        <v>0</v>
      </c>
      <c r="M121" s="2006">
        <f>M115</f>
        <v>0.7</v>
      </c>
      <c r="N121" s="2007">
        <f>MIN(M121*Property_Value,'Product Data'!$P$16)</f>
        <v>0</v>
      </c>
      <c r="O121" s="2007" t="b">
        <f>IF(AND(OR(OR($H$70="Residential BTL",$H$70="Retention "),$H$70="Retention "),Rate_Type="Fixed"),IFERROR(AO121/($L121/12*(Term-$K121)*'Product Data'!$P$23),0),IF(AND(Rate_Type="Tracker",OR(OR($H$70="Residential BTL",$H$70="Retention "),$H$70="Retention ")),IFERROR(AO121/($L121/12*(Term-$K121)*'Product Data'!$P$17),0),IF(AND($H$70="Semi-Commercial",Rate_Type="Tracker"),IFERROR(AP121/($L121/12*(Term-$K121)*'Product Data'!$P$17),0),IF(AND($H$70="Semi-Commercial",Rate_Type="Fixed"),IFERROR(AP121/($L121/12*(Term-$K121)*'Product Data'!$P$23),0),IF(AND($H$70="Commercial",Rate_Type="Tracker"),IFERROR(AP121/($L121/12*(Term-$K121)*'Product Data'!$P$17),0),IF(AND($H$70="Commercial",Rate_Type="Fixed"),IFERROR(AP121/($L121/12*(Term-$K121)*'Product Data'!$P$23),0)))))))</f>
        <v>0</v>
      </c>
      <c r="P121" s="2007" t="str">
        <f>IF('BTL Calculator'!$H$28="Fixed","",IF(OR(OR($H$70="Residential BTL",$H$70="Retention "),$H$70="Retention "),AO121/((((H121-'Product Data'!$E$3+'Product Data'!$K$3-J121)/12*(Term-K121)))*'Product Data'!$P$18),AP121/((((H121-'Product Data'!$E$3+'Product Data'!$K$3-J121)/12*(Term-K121)))*'Product Data'!$P$18)))</f>
        <v/>
      </c>
      <c r="Q121" s="634">
        <f>IF('BTL Calculator'!$H$28="Tracker",MIN(N121,P121),MIN(O121,N121))</f>
        <v>0</v>
      </c>
      <c r="R121" s="634">
        <f t="shared" si="75"/>
        <v>0</v>
      </c>
      <c r="S121" s="2037">
        <f t="shared" si="93"/>
        <v>0</v>
      </c>
      <c r="T121" s="2037">
        <f>IFERROR(((H121*IF(RoundDown,R121,Q121)/12)),"-")</f>
        <v>0</v>
      </c>
      <c r="U121" s="2037" t="str">
        <f>IF('BTL Calculator'!$H$28="Fixed","",(((L121+$U$73)*IF(RoundDown,R121,Q121)/12)))</f>
        <v/>
      </c>
      <c r="V121" s="2037">
        <f>IFERROR(((L121*IF(RoundDown,R121,Q121)/12)),"-")</f>
        <v>0</v>
      </c>
      <c r="W121" s="2038" t="str">
        <f>IF(OR($H$70="Residential BTL",$H$70="Retention "),IFERROR(AO121/Z121,"-"),IFERROR(AP121/Z121,"-"))</f>
        <v>-</v>
      </c>
      <c r="X121" s="2038" t="str">
        <f>IF('BTL Calculator'!$H$28="Fixed","",IF(OR($H$70="Residential BTL",$H$70="Retention "),IFERROR(AO121/AA121,"-"),IFERROR(AP121/AA121,"-")))</f>
        <v/>
      </c>
      <c r="Y121" s="2038" t="str">
        <f t="shared" si="95"/>
        <v>£00 @ - ICR</v>
      </c>
      <c r="Z121" s="2037">
        <f>(IF(RoundDown,R121,Q121)*L121)/12*(Term-K121)</f>
        <v>0</v>
      </c>
      <c r="AA121" s="2037" t="str">
        <f>IF('BTL Calculator'!$H$28="Fixed","",(IF(RoundDown,R121,Q121)*(H121-'Product Data'!$E$3+'Product Data'!$K$2-J121))/12*(Term-K121))</f>
        <v/>
      </c>
      <c r="AB121" s="2037">
        <f t="shared" si="76"/>
        <v>0</v>
      </c>
      <c r="AC121" s="2037">
        <f>IFERROR($U$22-V121,"-")</f>
        <v>0</v>
      </c>
      <c r="AD121" s="2037">
        <f>((J121*IF(RoundDown,R121,Q121))/12)*Term</f>
        <v>0</v>
      </c>
      <c r="AE121" s="2037">
        <f t="shared" si="98"/>
        <v>0</v>
      </c>
      <c r="AF121" s="2039">
        <f t="shared" si="90"/>
        <v>0</v>
      </c>
      <c r="AG121" s="2040">
        <f t="shared" si="79"/>
        <v>0</v>
      </c>
      <c r="AH121" s="2041">
        <f t="shared" ref="AH121:AH125" si="101">+AI121+AJ121</f>
        <v>0</v>
      </c>
      <c r="AI121" s="2041">
        <f t="shared" si="81"/>
        <v>0</v>
      </c>
      <c r="AJ121" s="2041">
        <f t="shared" si="82"/>
        <v>0</v>
      </c>
      <c r="AK121" s="2041" t="str">
        <f t="shared" si="83"/>
        <v>6.00% (£00)</v>
      </c>
      <c r="AL121" s="2042">
        <f t="shared" si="84"/>
        <v>0</v>
      </c>
      <c r="AM121" s="2043" t="e">
        <f t="shared" ref="AM121:AM126" si="102">AL121/Property_Value</f>
        <v>#DIV/0!</v>
      </c>
      <c r="AN121" s="2043" t="e">
        <f t="shared" si="86"/>
        <v>#DIV/0!</v>
      </c>
      <c r="AO121" s="653">
        <f>Rent_Over_Term+AQ121</f>
        <v>0</v>
      </c>
      <c r="AP121" s="653">
        <f t="shared" ref="AP121:AP122" si="103">IF($H$72="3 Year Fixed",$X$22*36+AQ121, $X$22*24+AQ121)</f>
        <v>0</v>
      </c>
      <c r="AQ121" s="653">
        <f>'BTL Calculator'!$F$80*Term</f>
        <v>0</v>
      </c>
      <c r="AR121" s="654" t="b">
        <f>IF(ISERROR(FIND("Bespoke",F103,1)),FALSE,TRUE)</f>
        <v>0</v>
      </c>
      <c r="AS121" s="287">
        <f t="shared" si="88"/>
        <v>0</v>
      </c>
      <c r="AT121" s="287" t="str">
        <f t="shared" si="91"/>
        <v>-</v>
      </c>
      <c r="AU121" s="67">
        <f t="shared" si="92"/>
        <v>0</v>
      </c>
      <c r="AV121" s="67" t="str">
        <f>IF(IF(Rate_Type="Tracker",X121,W121)&gt;'Product Data'!$P$19,"Y","N")</f>
        <v>Y</v>
      </c>
    </row>
    <row r="122" spans="1:48" x14ac:dyDescent="0.35">
      <c r="A122" s="3218"/>
      <c r="B122" s="308">
        <f>IF('BTL Calculator'!$V$2="Core",0,IF(AND('BTL Calculator'!$G$60=C121,F122='BTL Calculator'!$G$62),1,0))</f>
        <v>0</v>
      </c>
      <c r="C122" s="1998"/>
      <c r="D122" s="1999">
        <v>14</v>
      </c>
      <c r="E122" s="308">
        <f t="shared" si="89"/>
        <v>0</v>
      </c>
      <c r="F122" s="2000">
        <f>IF($H$70='Product Data'!$BT5,'Product Data'!$B191,IF($H$70='Product Data'!$BT2,'Product Data'!$B10,IF($H$70='Product Data'!BT3,'Product Data'!B35,IF(H70='Product Data'!BT4,'Product Data'!B48,0))))</f>
        <v>0</v>
      </c>
      <c r="G122" s="2032"/>
      <c r="H122" s="2015" t="b">
        <f t="shared" si="100"/>
        <v>0</v>
      </c>
      <c r="I122" s="2017">
        <f t="shared" si="100"/>
        <v>0.06</v>
      </c>
      <c r="J122" s="2352" t="b">
        <f>IF(AND(Rate_Type="Fixed",H72="3 Year Fixed"),IF(Defer6&gt;'Product Data'!$P$24,'Product Data'!$P$24,Defer6),IF(AND(Rate_Type="Fixed",H72="2 Year Fixed"),IF(Defer6&gt;'Product Data'!$P$24,'Product Data'!$P$24,Defer6),IF(AND(Rate_Type="Fixed",H72="5 Year Fixed"),IF(Defer6&gt;'Product Data'!$P$33,'Product Data'!$P$33,Defer6),IF(AND(Rate_Type="Tracker",$H$70="Commercial"),IF(Defer6&gt;0.015,0.015,Defer6),IF(AND(Rate_Type="Tracker",$H$70="Semi-Commercial"),IF(Defer6&gt;0.015,0.015,Defer6),IF(AND(Rate_Type="Tracker",OR($H$70="Residential BTL",$H$70="Retention ")),IF(Defer6&gt;0.02,0.02,Defer6)))))))</f>
        <v>0</v>
      </c>
      <c r="K122" s="648">
        <f>IF(Roll6="",0,IF(OR(OR($H$70="Residential BTL",$H$70="Retention "),$H$70="Retention "),MAX(MIN(Roll6,'Product Data'!$P$12),0),MAX(MIN(Roll6,6),0)))</f>
        <v>0</v>
      </c>
      <c r="L122" s="2008">
        <f>H122-J122</f>
        <v>0</v>
      </c>
      <c r="M122" s="2009">
        <f>M116</f>
        <v>0.7</v>
      </c>
      <c r="N122" s="2010">
        <f>MIN(M122*Property_Value,'Product Data'!$P$16)</f>
        <v>0</v>
      </c>
      <c r="O122" s="2010" t="b">
        <f>IF(AND(OR(OR($H$70="Residential BTL",$H$70="Retention "),$H$70="Retention "),Rate_Type="Fixed"),IFERROR(AO122/($L122/12*(Term-$K122)*'Product Data'!$P$23),0),IF(AND(Rate_Type="Tracker",OR(OR($H$70="Residential BTL",$H$70="Retention "),$H$70="Retention ")),IFERROR(AO122/($L122/12*(Term-$K122)*'Product Data'!$P$17),0),IF(AND($H$70="Semi-Commercial",Rate_Type="Tracker"),IFERROR(AP122/($L122/12*(Term-$K122)*'Product Data'!$P$17),0),IF(AND($H$70="Semi-Commercial",Rate_Type="Fixed"),IFERROR(AP122/($L122/12*(Term-$K122)*'Product Data'!$P$23),0),IF(AND($H$70="Commercial",Rate_Type="Tracker"),IFERROR(AP122/($L122/12*(Term-$K122)*'Product Data'!$P$17),0),IF(AND($H$70="Commercial",Rate_Type="Fixed"),IFERROR(AP122/($L122/12*(Term-$K122)*'Product Data'!$P$23),0)))))))</f>
        <v>0</v>
      </c>
      <c r="P122" s="2010" t="str">
        <f>IF('BTL Calculator'!$H$28="Fixed","",IF(OR(OR($H$70="Residential BTL",$H$70="Retention "),$H$70="Retention "),AO122/((((H122-'Product Data'!$E$3+'Product Data'!$K$3-J122)/12*(Term-K122)))*'Product Data'!$P$18),AP122/((((H122-'Product Data'!$E$3+'Product Data'!$K$3-J122)/12*(Term-K122)))*'Product Data'!$P$18)))</f>
        <v/>
      </c>
      <c r="Q122" s="639">
        <f>IF('BTL Calculator'!$H$28="Tracker",MIN(N122,P122),MIN(O122,N122))</f>
        <v>0</v>
      </c>
      <c r="R122" s="639">
        <f t="shared" si="75"/>
        <v>0</v>
      </c>
      <c r="S122" s="2044">
        <f t="shared" si="93"/>
        <v>0</v>
      </c>
      <c r="T122" s="2044">
        <f>((H122*IF(RoundDown,R122,Q122)/12))</f>
        <v>0</v>
      </c>
      <c r="U122" s="2044" t="str">
        <f>IF('BTL Calculator'!$H$28="Fixed","",(((L122+$U$73)*IF(RoundDown,R122,Q122)/12)))</f>
        <v/>
      </c>
      <c r="V122" s="2044">
        <f>((L122*IF(RoundDown,R122,Q122)/12))-IF('BTL Calculator'!$CY$11='Product Data'!$AG$9,AE122/Term,0)</f>
        <v>0</v>
      </c>
      <c r="W122" s="2045" t="str">
        <f>IF(OR($H$70="Residential BTL",$H$70="Retention "),IFERROR(AO122/Z122,"-"),IFERROR(AP122/Z122,"-"))</f>
        <v>-</v>
      </c>
      <c r="X122" s="2045" t="str">
        <f>IF('BTL Calculator'!$H$28="Fixed","",IF(OR($H$70="Residential BTL",$H$70="Retention "),IFERROR(AO122/AA122,"-"),IFERROR(AP122/AA122,"-")))</f>
        <v/>
      </c>
      <c r="Y122" s="2045" t="str">
        <f t="shared" si="95"/>
        <v>£00 @ - ICR</v>
      </c>
      <c r="Z122" s="2044">
        <f>(IF(RoundDown,R122,Q122)*L122)/12*(Term-K122)</f>
        <v>0</v>
      </c>
      <c r="AA122" s="2044" t="str">
        <f>IF('BTL Calculator'!$H$28="Fixed","",(IF(RoundDown,R122,Q122)*(H122-'Product Data'!$E$3+'Product Data'!$K$2-J122))/12*(Term-K122))</f>
        <v/>
      </c>
      <c r="AB122" s="2044">
        <f t="shared" si="76"/>
        <v>0</v>
      </c>
      <c r="AC122" s="2044">
        <f>IFERROR($U$22-V122,"-")</f>
        <v>0</v>
      </c>
      <c r="AD122" s="2044">
        <f t="shared" si="78"/>
        <v>0</v>
      </c>
      <c r="AE122" s="2044">
        <f t="shared" si="98"/>
        <v>0</v>
      </c>
      <c r="AF122" s="2046">
        <f t="shared" si="90"/>
        <v>0</v>
      </c>
      <c r="AG122" s="2047">
        <f t="shared" si="79"/>
        <v>0</v>
      </c>
      <c r="AH122" s="2048">
        <f t="shared" si="101"/>
        <v>0</v>
      </c>
      <c r="AI122" s="2048">
        <f t="shared" si="81"/>
        <v>0</v>
      </c>
      <c r="AJ122" s="2048">
        <f t="shared" si="82"/>
        <v>0</v>
      </c>
      <c r="AK122" s="2048" t="str">
        <f t="shared" si="83"/>
        <v>6.00% (£00)</v>
      </c>
      <c r="AL122" s="2049">
        <f t="shared" si="84"/>
        <v>0</v>
      </c>
      <c r="AM122" s="2050" t="e">
        <f t="shared" si="102"/>
        <v>#DIV/0!</v>
      </c>
      <c r="AN122" s="2050" t="e">
        <f t="shared" si="86"/>
        <v>#DIV/0!</v>
      </c>
      <c r="AO122" s="655">
        <f>Rent_Over_Term+AQ122</f>
        <v>0</v>
      </c>
      <c r="AP122" s="655">
        <f t="shared" si="103"/>
        <v>0</v>
      </c>
      <c r="AQ122" s="655">
        <f>'BTL Calculator'!$F$80*Term</f>
        <v>0</v>
      </c>
      <c r="AR122" s="656" t="b">
        <f>IF(ISERROR(FIND("Bespoke",F104,1)),FALSE,TRUE)</f>
        <v>0</v>
      </c>
      <c r="AS122" s="287">
        <f t="shared" si="88"/>
        <v>0</v>
      </c>
      <c r="AT122" s="287" t="str">
        <f t="shared" si="91"/>
        <v>-</v>
      </c>
      <c r="AU122" s="67">
        <f t="shared" si="92"/>
        <v>0</v>
      </c>
      <c r="AV122" s="67" t="str">
        <f>IF(IF(Rate_Type="Tracker",X122,W122)&gt;'Product Data'!$P$19,"Y","N")</f>
        <v>Y</v>
      </c>
    </row>
    <row r="123" spans="1:48" ht="18.75" thickBot="1" x14ac:dyDescent="0.4">
      <c r="A123" s="3218"/>
      <c r="B123" s="308" t="str">
        <f>IF(OR($H$70="Residential BTL",$H$70="Retention "),IF(AND('BTL Calculator'!$G$60=C121,F123='BTL Calculator'!$G$62),1,0),"")</f>
        <v/>
      </c>
      <c r="C123" s="1998"/>
      <c r="D123" s="1999" t="str">
        <f>IF(OR(OR($H$70="Residential BTL",$H$70="Retention "),$H$70="Retention "),15,"")</f>
        <v/>
      </c>
      <c r="E123" s="308" t="str">
        <f>IF(OR(OR($H$70="Residential BTL",$H$70="Retention "),$H$70="Retention "),VALUE(LEFT(F123,1)),"")</f>
        <v/>
      </c>
      <c r="F123" s="2000" t="str">
        <f>IF(OR(OR($H$70="Residential BTL",$H$70="Retention "),$H$70="Retention "),"3) Specialist BTL","")</f>
        <v/>
      </c>
      <c r="G123" s="2032"/>
      <c r="H123" s="2015" t="str">
        <f t="shared" si="100"/>
        <v/>
      </c>
      <c r="I123" s="2017">
        <f t="shared" si="100"/>
        <v>0.06</v>
      </c>
      <c r="J123" s="2670" t="b">
        <f>IF(AND(Rate_Type="Fixed",H72="3 Year Fixed"),IF(Defer6&gt;'Product Data'!$P$24,'Product Data'!$P$24,Defer6),IF(AND(Rate_Type="Fixed",H72="2 Year Fixed"),IF(Defer6&gt;'Product Data'!$P$24,'Product Data'!$P$24,Defer6),IF(AND(Rate_Type="Fixed",H72="5 Year Fixed"),IF(Defer6&gt;'Product Data'!$P$33,'Product Data'!$P$33,Defer6),IF(AND(Rate_Type="Tracker",$H$70="Commercial"),IF(Defer6&gt;0.015,0.015,Defer6),IF(AND(Rate_Type="Tracker",$H$70="Semi-Commercial"),IF(Defer6&gt;0.015,0.015,Defer6),IF(AND(Rate_Type="Tracker",OR($H$70="Residential BTL",$H$70="Retention ")),IF(Defer6&gt;0.02,0.02,Defer6)))))))</f>
        <v>0</v>
      </c>
      <c r="K123" s="648" t="str">
        <f>IF(OR(OR($H$70="Residential BTL",$H$70="Retention "),$H$70="Retention "),IF(Roll6="",0,IF(OR($H$70="Residential BTL",$H$70="Retention "),MAX(MIN(Roll6,'Product Data'!$P$12),0),"")),"")</f>
        <v/>
      </c>
      <c r="L123" s="2008" t="str">
        <f>IF('BTL Calculator'!V2="Core","",IF(OR(OR($H$70="Residential BTL",$H$70="Retention "),$H$70="Retention "),H123-J123,""))</f>
        <v/>
      </c>
      <c r="M123" s="2009" t="str">
        <f>M117</f>
        <v/>
      </c>
      <c r="N123" s="2010" t="str">
        <f>IF(OR(OR($H$70="Residential BTL",$H$70="Retention "),$H$70="Retention "),MIN(M123*Property_Value,'Product Data'!$P$16),"")</f>
        <v/>
      </c>
      <c r="O123" s="2010" t="b">
        <f>IF(AND(OR(OR($H$70="Residential BTL",$H$70="Retention "),$H$70="Retention "),Rate_Type="Fixed"),IFERROR(AO123/($L123/12*(Term-$K123)*'Product Data'!$P$23),0),IF(AND(Rate_Type="Tracker",OR(OR($H$70="Residential BTL",$H$70="Retention "),$H$70="Retention ")),IFERROR(AO123/($L123/12*(Term-$K123)*'Product Data'!$P$17),0),IF(AND($H$70="Semi-Commercial",Rate_Type="Tracker"),IFERROR(AP123/($L123/12*(Term-$K123)*'Product Data'!$P$17),0),IF(AND($H$70="Semi-Commercial",Rate_Type="Fixed"),IFERROR(AP123/($L123/12*(Term-$K123)*'Product Data'!$P$23),0),IF(AND($H$70="Commercial",Rate_Type="Tracker"),IFERROR(AP123/($L123/12*(Term-$K123)*'Product Data'!$P$17),0),IF(AND($H$70="Commercial",Rate_Type="Fixed"),IFERROR(AP123/($L123/12*(Term-$K123)*'Product Data'!$P$23),0)))))))</f>
        <v>0</v>
      </c>
      <c r="P123" s="2010" t="str">
        <f>IF('BTL Calculator'!$H$28="Fixed","",IF(OR(OR($H$70="Residential BTL",$H$70="Retention "),$H$70="Retention "),AO123/((((H123-'Product Data'!$E$3+'Product Data'!$K$3-J123)/12*(Term-K123)))*'Product Data'!$P$18),AP123/((((H123-'Product Data'!$E$3+'Product Data'!$K$3-J123)/12*(Term-K123)))*'Product Data'!$P$18)))</f>
        <v/>
      </c>
      <c r="Q123" s="639" t="str">
        <f>IF(OR($H$70="Residential BTL",$H$70="Retention "),IF('BTL Calculator'!$H$28="Tracker",MIN(N123,P123),MIN(O123,N123)),"")</f>
        <v/>
      </c>
      <c r="R123" s="639" t="str">
        <f>IF(OR($H$70="Residential BTL",$H$70="Retention "),ROUNDDOWN(Q123,-3),"")</f>
        <v/>
      </c>
      <c r="S123" s="2044" t="str">
        <f t="shared" si="93"/>
        <v>-</v>
      </c>
      <c r="T123" s="2722" t="str">
        <f>IFERROR(((H123*IF(RoundDown,R123,Q123)/12)),"-")</f>
        <v>-</v>
      </c>
      <c r="U123" s="2044" t="str">
        <f>IF('BTL Calculator'!$H$28="Fixed","",(((L123+$U$73)*IF(RoundDown,R123,Q123)/12)))</f>
        <v/>
      </c>
      <c r="V123" s="2044" t="str">
        <f>IF('BTL Calculator'!$V$2="Core","",IF(OR($H$70="Residential BTL",$H$70="Retention "),((L123*IF(RoundDown,R123,Q123)/12))-IF('BTL Calculator'!$CY$11='Product Data'!$AG$9,AE123/Term,0),""))</f>
        <v/>
      </c>
      <c r="W123" s="2045" t="str">
        <f>IF(OR($H$70="Residential BTL",$H$70="Retention "),IFERROR(AO123/Z123,"-"),"")</f>
        <v/>
      </c>
      <c r="X123" s="2045" t="str">
        <f>IF('BTL Calculator'!$H$28="Fixed","",IF(OR($H$70="Residential BTL",$H$70="Retention "),IFERROR(AO123/AA123,"-"),IFERROR(AP123/AA123,"-")))</f>
        <v/>
      </c>
      <c r="Y123" s="2045" t="str">
        <f>IF(OR($H$70="Residential BTL",$H$70="Retention "),TEXT(V123,"£0,0")&amp;" @ "&amp;TEXT(W123,"0%")&amp;" ICR","")</f>
        <v/>
      </c>
      <c r="Z123" s="2044" t="str">
        <f>IF('BTL Calculator'!$V$2="Core","",IF(OR($H$70="Residential BTL",$H$70="Retention "),(IF(RoundDown,R123,Q123)*L123)/12*(Term-K123),""))</f>
        <v/>
      </c>
      <c r="AA123" s="2044" t="str">
        <f>IF('BTL Calculator'!$H$28="Fixed","",(IF(RoundDown,R123,Q123)*(H123-'Product Data'!$E$3+'Product Data'!$K$2-J123))/12*(Term-K123))</f>
        <v/>
      </c>
      <c r="AB123" s="2044" t="str">
        <f>IF(OR($H$70="Residential BTL",$H$70="Retention "),IFERROR(Monthly_Rent*Term,"-"),"")</f>
        <v/>
      </c>
      <c r="AC123" s="2044" t="str">
        <f>IF(OR($H$70="Residential BTL",$H$70="Retention "),IFERROR($U$22-V123,"-"),"")</f>
        <v/>
      </c>
      <c r="AD123" s="2044" t="e">
        <f t="shared" si="78"/>
        <v>#VALUE!</v>
      </c>
      <c r="AE123" s="2044" t="e">
        <f>IF('BTL Calculator'!$V$2="Core","",K123*L123/12*IF(RoundDown,R123,Q123))</f>
        <v>#VALUE!</v>
      </c>
      <c r="AF123" s="2046" t="str">
        <f>IF('BTL Calculator'!V2="Core","",IF(OR($H$70="Residential BTL",$H$70="Retention "),SUM(AD123:AE123),""))</f>
        <v/>
      </c>
      <c r="AG123" s="2047" t="str">
        <f>IF('BTL Calculator'!V2="Core","",IF(OR($H$70="Residential BTL",$H$70="Retention "),AL123+AI123,""))</f>
        <v/>
      </c>
      <c r="AH123" s="2048" t="e">
        <f t="shared" si="101"/>
        <v>#VALUE!</v>
      </c>
      <c r="AI123" s="2048" t="e">
        <f t="shared" si="81"/>
        <v>#VALUE!</v>
      </c>
      <c r="AJ123" s="2048" t="e">
        <f t="shared" si="82"/>
        <v>#VALUE!</v>
      </c>
      <c r="AK123" s="2048" t="str">
        <f>IF(OR($H$70="Residential BTL",$H$70="Retention "),TEXT(I123,"0.00%")&amp;" ("&amp;TEXT(AH123,"£0,0")&amp;")","")</f>
        <v/>
      </c>
      <c r="AL123" s="2049" t="str">
        <f>IF('BTL Calculator'!V2="Core","",IF(OR($H$70="Residential BTL",$H$70="Retention "),IF(RoundDown,R123,Q123)-AD123-AE123-AH123,""))</f>
        <v/>
      </c>
      <c r="AM123" s="2050" t="str">
        <f>IF('BTL Calculator'!V2="Core","",IF(OR($H$70="Residential BTL",$H$70="Retention "),AL123/Property_Value,""))</f>
        <v/>
      </c>
      <c r="AN123" s="2050" t="str">
        <f>IF(OR($H$70="Residential BTL",$H$70="Retention "),IF(RoundDown,R123,Q123)/Property_Value,"")</f>
        <v/>
      </c>
      <c r="AO123" s="640" t="str">
        <f>IF(OR($H$70="Residential BTL",$H$70="Retention "),Rent_Over_Term+AQ123,"")</f>
        <v/>
      </c>
      <c r="AP123" s="649"/>
      <c r="AQ123" s="640" t="str">
        <f>IF(OR($H$70="Residential BTL",$H$70="Retention "),'BTL Calculator'!$F$80*Term,"")</f>
        <v/>
      </c>
      <c r="AR123" s="641" t="str">
        <f>IF(OR($H$70="Residential BTL",$H$70="Retention "),IF(ISERROR(FIND("Bespoke",F105,1)),FALSE,TRUE),"")</f>
        <v/>
      </c>
      <c r="AS123" s="287" t="str">
        <f>IF(OR($H$70="Residential BTL",$H$70="Retention "),IFERROR(IF(AND(IF(RoundDown,R123,Q123)=$F$70,E123&gt;=$F$36),1,0),"-"),"")</f>
        <v/>
      </c>
      <c r="AT123" s="287" t="str">
        <f>IF(OR($H$70="Residential BTL",$H$70="Retention "),IFERROR(IF(AND(AL123=$F$71,E123&gt;=$F$36),1,0),"-"),"")</f>
        <v/>
      </c>
      <c r="AU123" s="287" t="str">
        <f>IF(OR($H$70="Residential BTL",$H$70="Retention "),SUM(AS123:AT123),"")</f>
        <v/>
      </c>
      <c r="AV123" s="287" t="str">
        <f>IF(OR($H$70="Residential BTL",$H$70="Retention "),IF(IF(Rate_Type="Tracker",X123,W123)&gt;'Product Data'!$P$19,"Y","N"),"")</f>
        <v/>
      </c>
    </row>
    <row r="124" spans="1:48" x14ac:dyDescent="0.35">
      <c r="A124" s="3218"/>
      <c r="B124" s="308">
        <f>IF(AND('BTL Calculator'!$G$60=C124,F124='BTL Calculator'!$G$62),1,0)</f>
        <v>0</v>
      </c>
      <c r="C124" s="2001" t="s">
        <v>589</v>
      </c>
      <c r="D124" s="1995">
        <v>17</v>
      </c>
      <c r="E124" s="1996">
        <f t="shared" si="89"/>
        <v>1</v>
      </c>
      <c r="F124" s="2002" t="str">
        <f>'BTL Calculator'!$G$62</f>
        <v>1) Standard</v>
      </c>
      <c r="G124" s="2034"/>
      <c r="H124" s="2005" t="e">
        <f>INDEX(H$112:H$114,MATCH($F$124,$F$112:$F$114,0))</f>
        <v>#N/A</v>
      </c>
      <c r="I124" s="2016" t="e">
        <f>INDEX(I$112:I$114,MATCH($E$124,$E$112:$E$114,0))</f>
        <v>#N/A</v>
      </c>
      <c r="J124" s="2352" t="b">
        <f>IF('BTL Calculator'!V2="Core",0,IF(AND(Rate_Type="Fixed",H72="3 Year Fixed"),IF(Defer6&gt;'Product Data'!$P$24,'Product Data'!$P$24,Defer6),IF(AND(Rate_Type="Fixed",H72="2 Year Fixed"),IF(Defer6&gt;'Product Data'!$P$24,'Product Data'!$P$24,Defer6),IF(AND(Rate_Type="Fixed",H72="5 Year Fixed"),IF(Defer6&gt;'Product Data'!$P$33,'Product Data'!$P$33,Defer6),IF(AND(Rate_Type="Tracker",$H$70="Commercial"),IF(Defer6&gt;0.015,0.015,Defer6),IF(AND(Rate_Type="Tracker",$H$70="Semi-Commercial"),IF(Defer6&gt;0.015,0.015,Defer6),IF(AND(Rate_Type="Tracker",OR($H$70="Residential BTL",$H$70="Retention ")),IF(Defer6&gt;0.02,0.02,Defer6))))))))</f>
        <v>0</v>
      </c>
      <c r="K124" s="645" t="e">
        <f>IF('BTL Calculator'!V2="Core",0,INDEX(K$121:K$123,MATCH($E$124,$E$121:$E$123,0)))</f>
        <v>#N/A</v>
      </c>
      <c r="L124" s="2013" t="str">
        <f>IFERROR(H124-J124,"-")</f>
        <v>-</v>
      </c>
      <c r="M124" s="2014" t="e">
        <f>INDEX(M$76:M$78,MATCH($F$88,$F$76:$F$78,0))</f>
        <v>#N/A</v>
      </c>
      <c r="N124" s="2007" t="e">
        <f>MIN(M124*Property_Value,'Product Data'!$P$16)</f>
        <v>#N/A</v>
      </c>
      <c r="O124" s="2714" t="b">
        <f>IF(AND(OR(OR($H$70="Residential BTL",$H$70="Retention "),$H$70="Retention "),Rate_Type="Fixed"),IFERROR(AO124/(IF(AND('BTL Calculator'!V2="Core",L124&lt;0.055),0.055,$L124)/12*(Term-$K124)*'Product Data'!$P$23),0),IF(AND(Rate_Type="Tracker",OR(OR($H$70="Residential BTL",$H$70="Retention "),$H$70="Retention ")),IFERROR(AO124/(IF(AND('BTL Calculator'!V2="Core",L124-BBR+'Product Data'!K2&lt;0.055),0.055,$L124)/12*(Term-$K124)*'Product Data'!$P$17),0),IF(AND($H$70="Semi-Commercial",Rate_Type="Tracker"),IFERROR(AP124/($L124/12*(Term-$K124)*'Product Data'!$P$17),0),IF(AND($H$70="Semi-Commercial",Rate_Type="Fixed"),IFERROR(AP124/($L124/12*(Term-$K124)*'Product Data'!$P$23),0),IF(AND($H$70="Commercial",Rate_Type="Tracker"),IFERROR(AP124/($L124/12*(Term-$K124)*'Product Data'!$P$17),0),IF(AND($H$70="Commercial",Rate_Type="Fixed"),IFERROR(AP124/($L124/12*(Term-$K124)*'Product Data'!$P$23),0)))))))</f>
        <v>0</v>
      </c>
      <c r="P124" s="2007" t="str">
        <f>IF('BTL Calculator'!$H$28="Fixed","",IF(OR(OR($H$70="Residential BTL",$H$70="Retention "),$H$70="Retention "),AO124/((((IF(AND('BTL Calculator'!V2="Core",H124-'Product Data'!$E$3+'Product Data'!$K$2-J124&lt;0.055),0.055,H124-'Product Data'!$E$3+'Product Data'!$K$3-J124))/12*(Term-K124)))*'Product Data'!$P$18),AP124/(((((H124-'Product Data'!$E$3+'Product Data'!$K$2-J124))/12*(Term-K124)))*'Product Data'!$P$18)))</f>
        <v/>
      </c>
      <c r="Q124" s="634" t="e">
        <f>IF('BTL Calculator'!$H$28="Tracker",MIN(N124,P124,'BTL Calculator'!F83),MIN(O124,N124,'BTL Calculator'!F83))</f>
        <v>#N/A</v>
      </c>
      <c r="R124" s="634" t="e">
        <f t="shared" si="75"/>
        <v>#N/A</v>
      </c>
      <c r="S124" s="2720" t="str">
        <f>IFERROR((IF(RoundDown,R124,Q124)*J124/12*Term)+
(IF(RoundDown,R124,Q124)*L124/12*K124)+
(IF(RoundDown,R124,Q124)*L124/12*(Term-K124)),"-")</f>
        <v>-</v>
      </c>
      <c r="T124" s="2720" t="str">
        <f>IFERROR(((IF(AND('BTL Calculator'!$V$2="Core",H124&lt;0.055),0.055,H124)*IF(RoundDown,R124,Q124)/12)),"-")</f>
        <v>-</v>
      </c>
      <c r="U124" s="2037" t="str">
        <f>IF('BTL Calculator'!$H$28="Fixed","",(((L124+$U$73)*IF(RoundDown,R124,Q124)/12)))</f>
        <v/>
      </c>
      <c r="V124" s="2720" t="str">
        <f>IFERROR(((IF(AND('BTL Calculator'!$V$2="Core",L124&lt;0.055),0.055,L124)*IF(RoundDown,R124,Q124)/12)),"-")</f>
        <v>-</v>
      </c>
      <c r="W124" s="2038" t="str">
        <f>IF(OR($H$70="Residential BTL",$H$70="Retention "),IFERROR(AO124/Z124,"-"),IFERROR(AP124/Z124,"-"))</f>
        <v>-</v>
      </c>
      <c r="X124" s="2734" t="str">
        <f>IF(OR($H$70="Residential BTL",$H$70="Retention "),IFERROR(AO124/AA124,"-"),IFERROR(AP124/AA124,"-"))</f>
        <v>-</v>
      </c>
      <c r="Y124" s="2038" t="str">
        <f t="shared" si="95"/>
        <v>- @ - ICR</v>
      </c>
      <c r="Z124" s="2720" t="e">
        <f>(IF(RoundDown,R124,Q124)*L124)/12*(Term-K124)</f>
        <v>#N/A</v>
      </c>
      <c r="AA124" s="2720" t="str">
        <f>IF(AND('BTL Calculator'!V2="Core",'BTL Calculator'!V5="2 Year Fixed",'BTL Calculator'!H29="1) Standard BTL"),(IF(RoundDown,R124,Q124)*0.055)/12*(Term-K124),IF('BTL Calculator'!$H$28="Fixed","",(IF(RoundDown,R124,Q124)*(IF(AND('BTL Calculator'!$V$2="Core",H124-BBR+'Product Data'!$K$2&lt;0.055),0.055,H124-'Product Data'!$E$3+'Product Data'!$K$2-J124)))/12*(Term-K124)))</f>
        <v/>
      </c>
      <c r="AB124" s="2037">
        <f t="shared" si="76"/>
        <v>0</v>
      </c>
      <c r="AC124" s="2037" t="str">
        <f>IFERROR($U$22-V124,"-")</f>
        <v>-</v>
      </c>
      <c r="AD124" s="2037" t="e">
        <f t="shared" si="78"/>
        <v>#N/A</v>
      </c>
      <c r="AE124" s="2037" t="e">
        <f>K124*IF(AND('BTL Calculator'!$V$2="Core",L124&lt;0.055),0.055,L124)/12*IF(RoundDown,R124,Q124)</f>
        <v>#N/A</v>
      </c>
      <c r="AF124" s="2039" t="e">
        <f t="shared" si="90"/>
        <v>#N/A</v>
      </c>
      <c r="AG124" s="2040" t="e">
        <f t="shared" si="79"/>
        <v>#N/A</v>
      </c>
      <c r="AH124" s="2041" t="e">
        <f t="shared" si="101"/>
        <v>#N/A</v>
      </c>
      <c r="AI124" s="2041" t="e">
        <f t="shared" si="81"/>
        <v>#N/A</v>
      </c>
      <c r="AJ124" s="2041" t="e">
        <f t="shared" si="82"/>
        <v>#N/A</v>
      </c>
      <c r="AK124" s="2041" t="e">
        <f>TEXT(I124,"0.00%")&amp;" ("&amp;TEXT(AH124,"£0,0")&amp;")"</f>
        <v>#N/A</v>
      </c>
      <c r="AL124" s="2068" t="e">
        <f t="shared" si="84"/>
        <v>#N/A</v>
      </c>
      <c r="AM124" s="2043" t="e">
        <f t="shared" si="102"/>
        <v>#N/A</v>
      </c>
      <c r="AN124" s="2043" t="e">
        <f t="shared" si="86"/>
        <v>#N/A</v>
      </c>
      <c r="AO124" s="845">
        <f>Rent_Over_Term+AQ124</f>
        <v>0</v>
      </c>
      <c r="AP124" s="845">
        <f t="shared" ref="AP124:AP126" si="104">IF($H$72="3 Year Fixed",$X$22*36+AQ124, $X$22*24+AQ124)</f>
        <v>0</v>
      </c>
      <c r="AQ124" s="2071">
        <f>'BTL Calculator'!$F$80*Term</f>
        <v>0</v>
      </c>
      <c r="AR124" s="2072"/>
      <c r="AS124" s="287" t="str">
        <f t="shared" si="88"/>
        <v>-</v>
      </c>
      <c r="AT124" s="287" t="str">
        <f t="shared" si="91"/>
        <v>-</v>
      </c>
      <c r="AU124" s="67">
        <f t="shared" si="92"/>
        <v>0</v>
      </c>
      <c r="AV124" s="67" t="str">
        <f>IF(IF(Rate_Type="Tracker",X124,W124)&gt;'Product Data'!$P$19,"Y","N")</f>
        <v>Y</v>
      </c>
    </row>
    <row r="125" spans="1:48" ht="18.75" thickBot="1" x14ac:dyDescent="0.4">
      <c r="A125" s="3218"/>
      <c r="B125" s="308">
        <f>IF(AND('BTL Calculator'!$G$60=C125,F125='BTL Calculator'!$G$62),1,0)</f>
        <v>0</v>
      </c>
      <c r="C125" s="2003" t="s">
        <v>590</v>
      </c>
      <c r="D125" s="1999">
        <v>18</v>
      </c>
      <c r="E125" s="308">
        <f>VALUE(LEFT(F125,1))</f>
        <v>1</v>
      </c>
      <c r="F125" s="2004" t="str">
        <f>F124</f>
        <v>1) Standard</v>
      </c>
      <c r="G125" s="2035"/>
      <c r="H125" s="2015" t="e">
        <f>H124</f>
        <v>#N/A</v>
      </c>
      <c r="I125" s="2017" t="e">
        <f>I124</f>
        <v>#N/A</v>
      </c>
      <c r="J125" s="2352" t="b">
        <f>IF('BTL Calculator'!V2="Core",0,IF(AND(Rate_Type="Fixed",H72="3 Year Fixed"),IF(Defer6&gt;'Product Data'!$P$24,'Product Data'!$P$24,Defer6),IF(AND(Rate_Type="Fixed",H72="2 Year Fixed"),IF(Defer6&gt;'Product Data'!$P$24,'Product Data'!$P$24,Defer6),IF(AND(Rate_Type="Fixed",H72="5 Year Fixed"),IF(Defer6&gt;'Product Data'!$P$33,'Product Data'!$P$33,Defer6),IF(AND(Rate_Type="Tracker",$H$70="Commercial"),IF(Defer6&gt;0.015,0.015,Defer6),IF(AND(Rate_Type="Tracker",$H$70="Semi-Commercial"),IF(Defer6&gt;0.015,0.015,Defer6),IF(AND(Rate_Type="Tracker",OR($H$70="Residential BTL",$H$70="Retention ")),IF(Defer6&gt;0.02,0.02,Defer6))))))))</f>
        <v>0</v>
      </c>
      <c r="K125" s="648" t="e">
        <f>IF('BTL Calculator'!V2="Core",0,INDEX(K$121:K$123,MATCH($E$125,$E$121:$E$123,0)))</f>
        <v>#N/A</v>
      </c>
      <c r="L125" s="2018" t="str">
        <f>IFERROR(H125-J125,"-")</f>
        <v>-</v>
      </c>
      <c r="M125" s="2069" t="e">
        <f>M124</f>
        <v>#N/A</v>
      </c>
      <c r="N125" s="2012" t="e">
        <f>N124</f>
        <v>#N/A</v>
      </c>
      <c r="O125" s="2716" t="b">
        <f>IF(AND(OR(OR($H$70="Residential BTL",$H$70="Retention "),$H$70="Retention "),Rate_Type="Fixed"),IFERROR(AO125/(IF(AND('BTL Calculator'!V2="Core",L125&lt;0.055),0.055,$L125)/12*(Term-$K125)*'Product Data'!$P$23),0),IF(AND(Rate_Type="Tracker",OR(OR($H$70="Residential BTL",$H$70="Retention "),$H$70="Retention ")),IFERROR(AO125/(IF(AND('BTL Calculator'!V2="Core",L125-BBR+'Product Data'!K2&lt;0.055),0.055,$L125)/12*(Term-$K125)*'Product Data'!$P$17),0),IF(AND($H$70="Semi-Commercial",Rate_Type="Tracker"),IFERROR(AP125/($L125/12*(Term-$K125)*'Product Data'!$P$17),0),IF(AND($H$70="Semi-Commercial",Rate_Type="Fixed"),IFERROR(AP125/($L125/12*(Term-$K125)*'Product Data'!$P$23),0),IF(AND($H$70="Commercial",Rate_Type="Tracker"),IFERROR(AP125/($L125/12*(Term-$K125)*'Product Data'!$P$17),0),IF(AND($H$70="Commercial",Rate_Type="Fixed"),IFERROR(AP125/($L125/12*(Term-$K125)*'Product Data'!$P$23),0)))))))</f>
        <v>0</v>
      </c>
      <c r="P125" s="2012" t="str">
        <f>IF('BTL Calculator'!$H$28="Fixed","",IF(OR(OR($H$70="Residential BTL",$H$70="Retention "),$H$70="Retention "),AO125/((((IF(AND('BTL Calculator'!V2="Core",H125-'Product Data'!$E$3+'Product Data'!$K$2-J125&lt;0.055),0.055,H125-'Product Data'!$E$3+'Product Data'!$K$3-J125))/12*(Term-K125)))*'Product Data'!$P$18),AP125/(((((H125-'Product Data'!$E$3+'Product Data'!$K$2-J125))/12*(Term-K125)))*'Product Data'!$P$18)))</f>
        <v/>
      </c>
      <c r="Q125" s="642" t="e">
        <f>MIN(N125,P125,O125,AR125/(1-(J125/12*IF((Defer_Term_Override="No")*(Rate_Type="Tracker"),Term-K125,Term))-I125-(IF(('BTL Calculator'!H75="Tracker")*(Rolled_Rate_Override="Full Rate"),H125,L125)/12*K125)))</f>
        <v>#N/A</v>
      </c>
      <c r="R125" s="642" t="e">
        <f t="shared" si="75"/>
        <v>#N/A</v>
      </c>
      <c r="S125" s="2722" t="str">
        <f>IFERROR((IF(RoundDown,R125,Q125)*J125/12*Term)+
(IF(RoundDown,R125,Q125)*L125/12*K125)+
(IF(RoundDown,R125,Q125)*L125/12*(Term-K125)),"-")</f>
        <v>-</v>
      </c>
      <c r="T125" s="2721" t="str">
        <f>IFERROR(((IF(AND('BTL Calculator'!$V$2="Core",H125&lt;0.055),0.055,H125)*IF(RoundDown,R125,Q125)/12)),"-")</f>
        <v>-</v>
      </c>
      <c r="U125" s="2051" t="str">
        <f>IF('BTL Calculator'!$H$28="Fixed","",(((L125+$U$73)*IF(RoundDown,R125,Q125)/12)))</f>
        <v/>
      </c>
      <c r="V125" s="2721" t="str">
        <f>IFERROR(((IF(AND('BTL Calculator'!$V$2="Core",L125&lt;0.055),0.055,L125)*IF(RoundDown,R125,Q125)/12)),"-")</f>
        <v>-</v>
      </c>
      <c r="W125" s="2052" t="str">
        <f>IF(OR($H$70="Residential BTL",$H$70="Retention "),IFERROR(AO125/Z125,"-"),IFERROR(AP125/Z125,"-"))</f>
        <v>-</v>
      </c>
      <c r="X125" s="2735" t="str">
        <f>IF(OR($H$70="Residential BTL",$H$70="Retention "),IFERROR(AO125/AA125,"-"),IFERROR(AP125/AA125,"-"))</f>
        <v>-</v>
      </c>
      <c r="Y125" s="2052" t="str">
        <f t="shared" si="95"/>
        <v>- @ - ICR</v>
      </c>
      <c r="Z125" s="2721" t="e">
        <f>(IF(RoundDown,R125,Q125)*L125)/12*(Term-K125)</f>
        <v>#N/A</v>
      </c>
      <c r="AA125" s="2721" t="str">
        <f>IF(AND('BTL Calculator'!V2="Core",'BTL Calculator'!V5="2 Year Fixed",'BTL Calculator'!H29="1) Standard BTL"),(IF(RoundDown,R125,Q125)*0.055)/12*(Term-K125),IF('BTL Calculator'!$H$28="Fixed","",(IF(RoundDown,R125,Q125)*(IF(AND('BTL Calculator'!$V$2="Core",H125-BBR+'Product Data'!$K$2&lt;0.055),0.055,H125-'Product Data'!$E$3+'Product Data'!$K$2-J125)))/12*(Term-K125)))</f>
        <v/>
      </c>
      <c r="AB125" s="2051">
        <f t="shared" si="76"/>
        <v>0</v>
      </c>
      <c r="AC125" s="2051" t="str">
        <f>IFERROR($U$22-V125,"-")</f>
        <v>-</v>
      </c>
      <c r="AD125" s="2051" t="e">
        <f t="shared" si="78"/>
        <v>#N/A</v>
      </c>
      <c r="AE125" s="2722" t="e">
        <f>K125*IF(AND('BTL Calculator'!$V$2="Core",L125&lt;0.055),0.055,L125)/12*IF(RoundDown,R125,Q125)</f>
        <v>#N/A</v>
      </c>
      <c r="AF125" s="2053" t="e">
        <f t="shared" si="90"/>
        <v>#N/A</v>
      </c>
      <c r="AG125" s="2054" t="e">
        <f t="shared" si="79"/>
        <v>#N/A</v>
      </c>
      <c r="AH125" s="2055" t="e">
        <f t="shared" si="101"/>
        <v>#N/A</v>
      </c>
      <c r="AI125" s="2055" t="e">
        <f t="shared" si="81"/>
        <v>#N/A</v>
      </c>
      <c r="AJ125" s="2055" t="e">
        <f t="shared" si="82"/>
        <v>#N/A</v>
      </c>
      <c r="AK125" s="2055" t="e">
        <f>TEXT(I125,"0.00%")&amp;" ("&amp;TEXT(AH125,"£0,0")&amp;")"</f>
        <v>#N/A</v>
      </c>
      <c r="AL125" s="2070" t="e">
        <f t="shared" si="84"/>
        <v>#N/A</v>
      </c>
      <c r="AM125" s="2050" t="e">
        <f t="shared" si="102"/>
        <v>#N/A</v>
      </c>
      <c r="AN125" s="2050" t="e">
        <f t="shared" si="86"/>
        <v>#N/A</v>
      </c>
      <c r="AO125" s="846">
        <f>Rent_Over_Term+AQ125</f>
        <v>0</v>
      </c>
      <c r="AP125" s="846">
        <f t="shared" si="104"/>
        <v>0</v>
      </c>
      <c r="AQ125" s="2074">
        <f>'BTL Calculator'!$F$80*Term</f>
        <v>0</v>
      </c>
      <c r="AR125" s="2075">
        <f>'BTL Calculator'!F83</f>
        <v>350000</v>
      </c>
      <c r="AS125" s="287" t="str">
        <f t="shared" si="88"/>
        <v>-</v>
      </c>
      <c r="AT125" s="287" t="str">
        <f t="shared" si="91"/>
        <v>-</v>
      </c>
      <c r="AU125" s="67">
        <f t="shared" si="92"/>
        <v>0</v>
      </c>
      <c r="AV125" s="67" t="str">
        <f>IF(IF(Rate_Type="Tracker",X125,W125)&gt;'Product Data'!$P$19,"Y","N")</f>
        <v>Y</v>
      </c>
    </row>
    <row r="126" spans="1:48" ht="18.75" thickBot="1" x14ac:dyDescent="0.4">
      <c r="A126" s="3218"/>
      <c r="B126" s="2030"/>
      <c r="C126" s="657" t="s">
        <v>591</v>
      </c>
      <c r="D126" s="658" t="e">
        <f>INDEX(D112:D125,MATCH(1,$B$94:$B$107,0))</f>
        <v>#N/A</v>
      </c>
      <c r="E126" s="848" t="e">
        <f>LEFT(F126,1)</f>
        <v>#N/A</v>
      </c>
      <c r="F126" s="659" t="e">
        <f>INDEX(F112:F125,MATCH(1,$B$94:$B$107,0))</f>
        <v>#N/A</v>
      </c>
      <c r="G126" s="2036"/>
      <c r="H126" s="660" t="e">
        <f t="shared" ref="H126:N126" si="105">INDEX(H112:H125,MATCH(1,$B$112:$B$125,0))</f>
        <v>#N/A</v>
      </c>
      <c r="I126" s="661" t="e">
        <f t="shared" si="105"/>
        <v>#N/A</v>
      </c>
      <c r="J126" s="1953" t="e">
        <f t="shared" si="105"/>
        <v>#N/A</v>
      </c>
      <c r="K126" s="662" t="e">
        <f t="shared" si="105"/>
        <v>#N/A</v>
      </c>
      <c r="L126" s="2059" t="e">
        <f t="shared" si="105"/>
        <v>#N/A</v>
      </c>
      <c r="M126" s="2060" t="e">
        <f t="shared" si="105"/>
        <v>#N/A</v>
      </c>
      <c r="N126" s="2061" t="e">
        <f t="shared" si="105"/>
        <v>#N/A</v>
      </c>
      <c r="O126" s="2248">
        <f>IF(Rate_Type="Fixed",IFERROR(AO126/(IF(AND('BTL Calculator'!V2="Core",L126&lt;0.055),0.055,$L126)/12*(Term-$K126)*'Product Data'!$P$23),0),IF(OR(OR($H$70="Residential BTL",$H$70="Retention "),$H$70="Retention "),IFERROR(AO126/(IF(AND('BTL Calculator'!V2="Core",L126-BBR+'Product Data'!K2&lt;0.055),0.055,$L126)/12*(Term-$K126)*'Product Data'!$P$17),0),IFERROR(AP126/($L126/12*(Term-$K126)*'Product Data'!$P$17),0)))</f>
        <v>0</v>
      </c>
      <c r="P126" s="2061" t="str">
        <f>IF('BTL Calculator'!$H$28="Fixed","",IF(OR(OR($H$70="Residential BTL",$H$70="Retention "),$H$70="Retention "),AO126/((((IF(AND('BTL Calculator'!V2="Core",H126-'Product Data'!$E$3+'Product Data'!$K$2-J126&lt;0.055),0.055,H126-'Product Data'!$E$3+'Product Data'!$K$3-J126))/12*(Term-K126)))*'Product Data'!$P$18),AP126/(((((H126-'Product Data'!$E$3+'Product Data'!$K$2-J126))/12*(Term-K126)))*'Product Data'!$P$18)))</f>
        <v/>
      </c>
      <c r="Q126" s="2062" t="e">
        <f>INDEX(Q112:Q125,MATCH(1,$B$112:$B$125,0))</f>
        <v>#N/A</v>
      </c>
      <c r="R126" s="2062" t="e">
        <f t="shared" si="75"/>
        <v>#N/A</v>
      </c>
      <c r="S126" s="2063" t="str">
        <f>IFERROR((IF(RoundDown,R126,Q126)*J126/12*Term)+
(IF(RoundDown,R126,Q126)*L126/12*K126)+
(IF(RoundDown,R126,Q126)*L126/12*(Term-K126)),"-")</f>
        <v>-</v>
      </c>
      <c r="T126" s="2723" t="str">
        <f>IFERROR(((H126)*IF(RoundDown,R126,Q126)/12),"-")</f>
        <v>-</v>
      </c>
      <c r="U126" s="2063" t="str">
        <f>IF('BTL Calculator'!$H$28="Fixed","",(((L126+$U$73)*IF(RoundDown,R126,Q126)/12)))</f>
        <v/>
      </c>
      <c r="V126" s="2723" t="str">
        <f>IFERROR(((L126)*IF(RoundDown,R126,Q126)/12),"-")</f>
        <v>-</v>
      </c>
      <c r="W126" s="2064" t="str">
        <f>IF(OR($H$70="Residential BTL",$H$70="Retention "),IFERROR(AO126/Z126,"-"),IFERROR(AP126/Z126,"-"))</f>
        <v>-</v>
      </c>
      <c r="X126" s="2064" t="e">
        <f>INDEX(X112:X125,MATCH(1,B112:B125,0))</f>
        <v>#N/A</v>
      </c>
      <c r="Y126" s="2064" t="str">
        <f>TEXT(V126,"£0,0")&amp;" @ "&amp;TEXT(W126,"0%")&amp;" ICR"</f>
        <v>- @ - ICR</v>
      </c>
      <c r="Z126" s="2733" t="e">
        <f>(IF(RoundDown,R126,Q126)*L126)/12*(Term-K126)</f>
        <v>#N/A</v>
      </c>
      <c r="AA126" s="2723" t="e">
        <f>INDEX(AA112:AA125,MATCH(1,B112:B125,0))</f>
        <v>#N/A</v>
      </c>
      <c r="AB126" s="2063">
        <f t="shared" si="76"/>
        <v>0</v>
      </c>
      <c r="AC126" s="2063" t="e">
        <f>INDEX(AC112:AC125,MATCH(1,$B$112:$B$125,0))</f>
        <v>#N/A</v>
      </c>
      <c r="AD126" s="2063" t="e">
        <f t="shared" si="78"/>
        <v>#N/A</v>
      </c>
      <c r="AE126" s="2063" t="e">
        <f>K126*IF(AND('BTL Calculator'!$V$2="Core",L126&lt;0.055),0.055,L126)/12*IF(RoundDown,R126,Q126)</f>
        <v>#N/A</v>
      </c>
      <c r="AF126" s="2065" t="e">
        <f>INDEX(AF112:AF125,MATCH(1,$B$76:$B$89,0))</f>
        <v>#N/A</v>
      </c>
      <c r="AG126" s="2066" t="e">
        <f>ROUND(INDEX(AG112:AG125,MATCH(1,$B$112:$B$125,0)),0)</f>
        <v>#N/A</v>
      </c>
      <c r="AH126" s="2067" t="e">
        <f>ROUND(INDEX(AH112:AH125,MATCH(1,$B$76:$B$89,0)),0)</f>
        <v>#N/A</v>
      </c>
      <c r="AI126" s="2115" t="e">
        <f>INDEX(AI112:AI125,MATCH(1,$B$112:$B$125,0))</f>
        <v>#N/A</v>
      </c>
      <c r="AJ126" s="2067" t="e">
        <f>INDEX(AJ112:AJ125,MATCH(1,$B$112:$B$125,0))</f>
        <v>#N/A</v>
      </c>
      <c r="AK126" s="2067" t="e">
        <f>INDEX(AK112:AK125,MATCH(1,$B$112:$B$125,0))</f>
        <v>#N/A</v>
      </c>
      <c r="AL126" s="2058" t="e">
        <f>IF(RoundDown,R126,Q126)-AD126-AE126-AH126</f>
        <v>#N/A</v>
      </c>
      <c r="AM126" s="1340" t="e">
        <f t="shared" si="102"/>
        <v>#N/A</v>
      </c>
      <c r="AN126" s="1340" t="e">
        <f>INDEX(AN112:AN125,MATCH(1,$B$112:$B$125,0))</f>
        <v>#N/A</v>
      </c>
      <c r="AO126" s="2073">
        <f>Rent_Over_Term+AQ126</f>
        <v>0</v>
      </c>
      <c r="AP126" s="2073">
        <f t="shared" si="104"/>
        <v>0</v>
      </c>
      <c r="AQ126" s="2076">
        <f>'BTL Calculator'!$F$80*Term</f>
        <v>0</v>
      </c>
      <c r="AR126" s="2077"/>
      <c r="AS126" s="287" t="str">
        <f t="shared" si="88"/>
        <v>-</v>
      </c>
      <c r="AT126" s="287" t="str">
        <f t="shared" si="91"/>
        <v>-</v>
      </c>
      <c r="AU126" s="67">
        <f t="shared" si="92"/>
        <v>0</v>
      </c>
      <c r="AV126" s="663" t="e">
        <f>INDEX(AV112:AV125,MATCH(1,$B$76:$B$89,0))</f>
        <v>#N/A</v>
      </c>
    </row>
    <row r="129" spans="1:48" ht="18.75" thickBot="1" x14ac:dyDescent="0.4">
      <c r="A129" s="3218" t="s">
        <v>3815</v>
      </c>
      <c r="C129" s="626"/>
      <c r="D129" s="627"/>
      <c r="E129" s="627"/>
      <c r="F129" s="627"/>
      <c r="G129" s="631"/>
      <c r="H129" s="627"/>
      <c r="I129" s="627"/>
      <c r="J129" s="568"/>
      <c r="K129" s="568"/>
      <c r="L129" s="628"/>
      <c r="M129" s="627"/>
      <c r="N129" s="568"/>
      <c r="O129" s="568"/>
      <c r="P129" s="568"/>
      <c r="Q129" s="628"/>
      <c r="R129" s="628"/>
      <c r="S129" s="568"/>
      <c r="T129" s="627"/>
      <c r="U129" s="627"/>
      <c r="V129" s="627"/>
      <c r="W129" s="627"/>
      <c r="X129" s="568"/>
      <c r="Y129" s="627"/>
      <c r="Z129" s="629"/>
      <c r="AA129" s="629"/>
      <c r="AB129" s="629"/>
      <c r="AC129" s="629"/>
      <c r="AD129" s="627"/>
      <c r="AE129" s="627"/>
      <c r="AF129" s="630"/>
      <c r="AG129" s="631"/>
      <c r="AH129" s="627"/>
      <c r="AI129" s="627"/>
      <c r="AJ129" s="627"/>
      <c r="AK129" s="627"/>
      <c r="AL129" s="627"/>
      <c r="AM129" s="627"/>
      <c r="AN129" s="568"/>
      <c r="AO129" s="2093"/>
      <c r="AP129" s="2093"/>
      <c r="AQ129" s="2093"/>
      <c r="AR129" s="2094"/>
      <c r="AS129" s="2079"/>
      <c r="AT129" s="2079"/>
      <c r="AU129" s="2079"/>
      <c r="AV129" s="2079"/>
    </row>
    <row r="130" spans="1:48" x14ac:dyDescent="0.35">
      <c r="A130" s="3218"/>
      <c r="B130" s="308">
        <f>IF(AND('BTL Calculator'!$G$60=C139,F130='BTL Calculator'!$G$62,'BTL Calculator'!$V$2="Core"),1,IF(AND('BTL Calculator'!$G$60=C130,F130='BTL Calculator'!$G$62),1,0))</f>
        <v>0</v>
      </c>
      <c r="C130" s="1994" t="s">
        <v>108</v>
      </c>
      <c r="D130" s="1995">
        <v>1</v>
      </c>
      <c r="E130" s="1996">
        <f>VALUE(LEFT(F130,1))</f>
        <v>0</v>
      </c>
      <c r="F130" s="1997">
        <f>IF($H$70='Product Data'!$BT5,'Product Data'!$B190,IF($H$70='Product Data'!$BT2,'Product Data'!$B9,IF($H$70='Product Data'!BT3,'Product Data'!B34,IF(H70='Product Data'!BT4,'Product Data'!B47,0))))</f>
        <v>0</v>
      </c>
      <c r="G130" s="2330" t="b">
        <f>IF(AND($H$70='Product Data'!$BT$5,$H$72='Product Data'!$CA$5,L72=0.75),'Product Data'!C205,IF(AND($H$70='Product Data'!$BT$5,$H$72='Product Data'!$CA$5,L72=0.65),'Product Data'!C227,
   IF(AND($H$70='Product Data'!$BT$5,$H$72='Product Data'!$CA$4,L72=0.75),'Product Data'!G205,IF(AND($H$70='Product Data'!$BT$5,$H$72='Product Data'!$CA$4,L72=0.65),'Product Data'!G227,
   IF(AND($H$70='Product Data'!$BT$5,$H$72='Product Data'!$CA$3,L72=0.75),'Product Data'!K205,IF(AND($H$70='Product Data'!$BT$5,$H$72='Product Data'!$CA$3,L72=0.65),'Product Data'!K227,
   IF(AND($H$70='Product Data'!$BT$5,$H$72='Product Data'!$CA$2,L72=0.75),'Product Data'!O205,IF(AND($H$70='Product Data'!$BT$5,$H$72='Product Data'!$CA$2,L72=0.65),'Product Data'!O227,
IF(AND($H$70='Product Data'!$BT$4,$H$72='Product Data'!$CA$4),"",IF(AND($H$70='Product Data'!$BT$4,$H$72='Product Data'!$CA$3),"",IF(AND($H$70='Product Data'!$BT$4,$H$72='Product Data'!$CA$2),"",IF(AND($H$70='Product Data'!$BT$2,$H$72='Product Data'!$CA$4),'Product Data'!C103,IF(AND($H$70='Product Data'!$BT$2,$H$72='Product Data'!$CA$3),'Product Data'!C78,IF(AND($H$70='Product Data'!$BT$2,$H$72='Product Data'!$CA$2),'Product Data'!C27,IF(AND($H$70='Product Data'!$BT$3,$H$72='Product Data'!$CA$4),"",IF(AND($H$70='Product Data'!$BT$3,$H$72='Product Data'!$CA$3),"",IF(AND($H$70='Product Data'!$BT$3,$H$72='Product Data'!$CA$2),"",
IF(AND($H$70='Product Data'!$BT$2,$H$72='Product Data'!$CA$5),'Product Data'!C182))))))))))))))))))</f>
        <v>0</v>
      </c>
      <c r="H130" s="2005" t="b">
        <f>IF(AND(F130=Product_Selected,Rate_Override&lt;&gt;0, Rate_Override&lt;&gt;""),Rate_Override+G130,G130)</f>
        <v>0</v>
      </c>
      <c r="I130" s="2016">
        <f>IF(H70= "Retention ", IF('BTL Calculator'!$H$33&lt;&gt;"",2.5%-'BTL Calculator'!$H$33,2.5%),IF('BTL Calculator'!$H$33&lt;&gt;"",3%-'BTL Calculator'!$H$33,3%))</f>
        <v>0.03</v>
      </c>
      <c r="J130" s="632"/>
      <c r="K130" s="633"/>
      <c r="L130" s="2005">
        <f>IFERROR(H130-J130,"-")</f>
        <v>0</v>
      </c>
      <c r="M130" s="2006">
        <f xml:space="preserve">
IF(AND(H70="Retention ",L72=0.65),0.65,
IF(AND(H70="Retention ",L72=0.75),0.75,
IF(OR($H$70="Residential BTL",$H$70="Retention "),INDEX($O$36:$R$36,MATCH(D130,$O$38:$R$38,0)),70%)))</f>
        <v>0.7</v>
      </c>
      <c r="N130" s="2007">
        <f>MIN(M130*Property_Value,'Product Data'!$P$16)</f>
        <v>0</v>
      </c>
      <c r="O130" s="2714" t="b">
        <f>IF(AND(OR(OR($H$70="Residential BTL",$H$70="Retention "),$H$70="Retention "),Rate_Type="Fixed"),IFERROR(AO130/(IF(AND('BTL Calculator'!V2="Core",L130&lt;0.055),0.055,$L130)/12*(Term-$K130)*'Product Data'!$P$23),0),IF(AND(Rate_Type="Tracker",OR(OR($H$70="Residential BTL",$H$70="Retention "),$H$70="Retention ")),IFERROR(AO130/(IF(AND('BTL Calculator'!V2="Core",L130-BBR+'Product Data'!K2&lt;0.055),0.055,$L130)/12*(Term-$K130)*'Product Data'!$P$17),0),IF(AND($H$70="Semi-Commercial",Rate_Type="Tracker"),IFERROR(AP130/($L130/12*(Term-$K130)*'Product Data'!$P$17),0),IF(AND($H$70="Semi-Commercial",Rate_Type="Fixed"),IFERROR(AP130/($L130/12*(Term-$K130)*'Product Data'!$P$23),0),IF(AND($H$70="Commercial",Rate_Type="Tracker"),IFERROR(AP130/($L130/12*(Term-$K130)*'Product Data'!$P$17),0),IF(AND($H$70="Commercial",Rate_Type="Fixed"),IFERROR(AP130/($L130/12*(Term-$K130)*'Product Data'!$P$23),0)))))))</f>
        <v>0</v>
      </c>
      <c r="P130" s="2007" t="str">
        <f>IF('BTL Calculator'!$H$28="Fixed","",IF(OR(OR($H$70="Residential BTL",$H$70="Retention "),$H$70="Retention "),AO130/((((IF(AND('BTL Calculator'!V2="Core",H130-'Product Data'!$E$3+'Product Data'!$K$2-J130&lt;0.055),0.055,H130-'Product Data'!$E$3+'Product Data'!$K$3-J130))/12*(Term-K130)))*'Product Data'!$P$18),AP130/(((((H130-'Product Data'!$E$3+'Product Data'!$K$2-J130))/12*(Term-K130)))*'Product Data'!$P$18)))</f>
        <v/>
      </c>
      <c r="Q130" s="634">
        <f>IF('BTL Calculator'!$H$28="Tracker",MIN(N130,P130),MIN(O130,N130))</f>
        <v>0</v>
      </c>
      <c r="R130" s="634">
        <f t="shared" ref="R130:R131" si="106">ROUNDDOWN(Q130,-3)</f>
        <v>0</v>
      </c>
      <c r="S130" s="2037">
        <f>IFERROR((IF(RoundDown,R130,Q130)*J130/12*Term)+
(IF(RoundDown,R130,Q130)*L130/12*K130)+
(IF(RoundDown,R130,Q130)*L130/12*(Term-K130)),"-")</f>
        <v>0</v>
      </c>
      <c r="T130" s="2720">
        <f>IFERROR(((H130)*IF(RoundDown,R130,Q130)/12),"-")</f>
        <v>0</v>
      </c>
      <c r="U130" s="2037" t="str">
        <f>IF('BTL Calculator'!$H$28="Fixed","",(((L130+$U$73)*IF(RoundDown,R130,Q130)/12)))</f>
        <v/>
      </c>
      <c r="V130" s="2720">
        <f>IFERROR(((L130)*IF(RoundDown,R130,Q130)/12),"-")</f>
        <v>0</v>
      </c>
      <c r="W130" s="2038" t="str">
        <f>IF(OR($H$70="Residential BTL",$H$70="Retention "),IFERROR(AO130/Z130,"-"),IFERROR(AP130/Z130,"-"))</f>
        <v>-</v>
      </c>
      <c r="X130" s="2038" t="str">
        <f>IF(OR($H$70="Residential BTL",$H$70="Retention "),IFERROR(AO130/AA130,"-"),IFERROR(AP130/AA130,"-"))</f>
        <v>-</v>
      </c>
      <c r="Y130" s="2038" t="str">
        <f>TEXT(V130,"£0,0")&amp;" @ "&amp;TEXT(W130,"0%")&amp;" ICR"</f>
        <v>£00 @ - ICR</v>
      </c>
      <c r="Z130" s="2037">
        <f>(IF(RoundDown,R130,Q130)*L130)/12*(Term-K130)</f>
        <v>0</v>
      </c>
      <c r="AA130" s="2720" t="str">
        <f>IF('BTL Calculator'!$H$28="Fixed","",(IF(RoundDown,R130,Q130)*(IF(AND('BTL Calculator'!$V$2="Core",H130-BBR+'Product Data'!$K$2&lt;0.055),0.055,H130-'Product Data'!$E$3+'Product Data'!$K$2-J130)))/12*(Term-K130))</f>
        <v/>
      </c>
      <c r="AB130" s="2037">
        <f t="shared" ref="AB130:AB144" si="107">IFERROR(Monthly_Rent*Term,"-")</f>
        <v>0</v>
      </c>
      <c r="AC130" s="2037">
        <f t="shared" ref="AC130:AC131" si="108">IFERROR($U$22-V130,"-")</f>
        <v>0</v>
      </c>
      <c r="AD130" s="2037">
        <f t="shared" ref="AD130:AD138" si="109">((J130*IF(RoundDown,R130,Q130))/12)*Term</f>
        <v>0</v>
      </c>
      <c r="AE130" s="2037">
        <f>K130*IF(AND('BTL Calculator'!$V$2="Core",L130&lt;0.055),0.055,L130)/12*IF(RoundDown,R130,Q130)</f>
        <v>0</v>
      </c>
      <c r="AF130" s="2039">
        <f>SUM(AD130:AE130)</f>
        <v>0</v>
      </c>
      <c r="AG130" s="2040">
        <f t="shared" ref="AG130:AG131" si="110">AL130+AI130</f>
        <v>0</v>
      </c>
      <c r="AH130" s="2041">
        <f t="shared" ref="AH130:AH135" si="111">+AI130+AJ130</f>
        <v>0</v>
      </c>
      <c r="AI130" s="2041">
        <f t="shared" ref="AI130:AI132" si="112">+IF(RoundDown,R130,Q130)*0.02</f>
        <v>0</v>
      </c>
      <c r="AJ130" s="2041">
        <f t="shared" ref="AJ130:AJ143" si="113">+IF(RoundDown,R130,Q130)*I130-AI130</f>
        <v>0</v>
      </c>
      <c r="AK130" s="2041" t="str">
        <f t="shared" ref="AK130:AK131" si="114">TEXT(I130,"0.00%")&amp;" ("&amp;TEXT(AH130,"£0,0")&amp;")"</f>
        <v>3.00% (£00)</v>
      </c>
      <c r="AL130" s="2042">
        <f t="shared" ref="AL130:AL131" si="115">IF(RoundDown,R130,Q130)-AD130-AE130-AH130</f>
        <v>0</v>
      </c>
      <c r="AM130" s="2043" t="e">
        <f t="shared" ref="AM130:AM131" si="116">AL130/Property_Value</f>
        <v>#DIV/0!</v>
      </c>
      <c r="AN130" s="2043" t="e">
        <f t="shared" ref="AN130:AN131" si="117">IF(RoundDown,R130,Q130)/Property_Value</f>
        <v>#DIV/0!</v>
      </c>
      <c r="AO130" s="635">
        <f>Rent_Over_Term+AQ130</f>
        <v>0</v>
      </c>
      <c r="AP130" s="635">
        <f t="shared" ref="AP130:AP131" si="118">IF($H$72="3 Year Fixed",$X$22*36+AQ130, $X$22*24+AQ130)</f>
        <v>0</v>
      </c>
      <c r="AQ130" s="635">
        <f>'BTL Calculator'!$O$80*Term</f>
        <v>0</v>
      </c>
      <c r="AR130" s="636" t="b">
        <f>IF(ISERROR(FIND("Bespoke",F112,1)),FALSE,TRUE)</f>
        <v>0</v>
      </c>
      <c r="AS130" s="287">
        <f t="shared" ref="AS130:AS131" si="119">IFERROR(IF(AND(IF(RoundDown,R130,Q130)=$F$70,E130&gt;=$F$36),1,0),"-")</f>
        <v>0</v>
      </c>
      <c r="AT130" s="287" t="str">
        <f>IFERROR(IF(AND(AL130=$F$71,E130&gt;=$F$36),1,0),"-")</f>
        <v>-</v>
      </c>
      <c r="AU130" s="287">
        <f>SUM(AS130:AT130)</f>
        <v>0</v>
      </c>
      <c r="AV130" s="287" t="str">
        <f>IF(IF(Rate_Type="Tracker",X130,W130)&gt;'Product Data'!$P$19,"Y","N")</f>
        <v>Y</v>
      </c>
    </row>
    <row r="131" spans="1:48" x14ac:dyDescent="0.35">
      <c r="A131" s="3218"/>
      <c r="B131" s="308">
        <f>IF(AND('BTL Calculator'!$G$60=C139,F131='BTL Calculator'!$G$62,'BTL Calculator'!$V$2="Core"),1,IF(AND('BTL Calculator'!$G$60=C130,F131='BTL Calculator'!$G$62),1,0))</f>
        <v>0</v>
      </c>
      <c r="C131" s="1998"/>
      <c r="D131" s="1999">
        <v>2</v>
      </c>
      <c r="E131" s="308">
        <f t="shared" ref="E131" si="120">VALUE(LEFT(F131,1))</f>
        <v>0</v>
      </c>
      <c r="F131" s="2000">
        <f>IF($H$70='Product Data'!$BT5,'Product Data'!$B191,IF($H$70='Product Data'!$BT2,'Product Data'!$B10,IF($H$70='Product Data'!BT3,'Product Data'!B35,IF(H70='Product Data'!BT4,'Product Data'!B48,0))))</f>
        <v>0</v>
      </c>
      <c r="G131" s="2331" t="b">
        <f>IF(AND($H$70='Product Data'!$BT$5,$H$72='Product Data'!$CA$5,L72=0.75),'Product Data'!C206,IF(AND($H$70='Product Data'!$BT$5,$H$72='Product Data'!$CA$5,L72=0.65),'Product Data'!C228,
  IF(AND($H$70='Product Data'!$BT$5,$H$72='Product Data'!$CA$4,L72=0.75),'Product Data'!G206,IF(AND($H$70='Product Data'!$BT$5,$H$72='Product Data'!$CA$4,L72=0.65),'Product Data'!G228,
  IF(AND($H$70='Product Data'!$BT$5,$H$72='Product Data'!$CA$3,L72=0.75),'Product Data'!K206,IF(AND($H$70='Product Data'!$BT$5,$H$72='Product Data'!$CA$3,L72=0.65),'Product Data'!K228,
   IF(AND($H$70='Product Data'!$BT$5,$H$72='Product Data'!$CA$2,L72=0.75),'Product Data'!O206,IF(AND($H$70='Product Data'!$BT$5,$H$72='Product Data'!$CA$2,L72=0.65),'Product Data'!O228,
IF(AND($H$70='Product Data'!$BT$4,$H$72='Product Data'!$CA$4),"",IF(AND($H$70='Product Data'!$BT$4,$H$72='Product Data'!$CA$3),"",IF(AND($H$70='Product Data'!$BT$4,$H$72='Product Data'!$CA$2),"",IF(AND($H$70='Product Data'!$BT$2,$H$72='Product Data'!$CA$4),'Product Data'!C104,IF(AND($H$70='Product Data'!$BT$2,$H$72='Product Data'!$CA$3),'Product Data'!C79,IF(AND($H$70='Product Data'!$BT$2,$H$72='Product Data'!$CA$2),'Product Data'!C28,IF(AND($H$70='Product Data'!$BT$3,$H$72='Product Data'!$CA$4),"",IF(AND($H$70='Product Data'!$BT$3,$H$72='Product Data'!$CA$3),"",IF(AND($H$70='Product Data'!$BT$3,$H$72='Product Data'!$CA$2),"",
IF(AND($H$70='Product Data'!$BT$2,$H$72='Product Data'!$CA$5),'Product Data'!C183))))))))))))))))))</f>
        <v>0</v>
      </c>
      <c r="H131" s="2015" t="b">
        <f>IF(AND(F131=Product_Selected,Rate_Override&lt;&gt;0, Rate_Override&lt;&gt;""),Rate_Override+G131,G131)</f>
        <v>0</v>
      </c>
      <c r="I131" s="2017">
        <f>IF(H70= "Retention ", IF('BTL Calculator'!$H$33&lt;&gt;"",2.5%-'BTL Calculator'!$H$33,2.5%),IF('BTL Calculator'!$H$33&lt;&gt;"",3%-'BTL Calculator'!$H$33,3%))</f>
        <v>0.03</v>
      </c>
      <c r="J131" s="637"/>
      <c r="K131" s="638"/>
      <c r="L131" s="2008">
        <f>H131-J131</f>
        <v>0</v>
      </c>
      <c r="M131" s="2009">
        <f xml:space="preserve">
IF(AND(H70="Retention ",L72=0.65),0.65,
IF(AND(H70="Retention ",L72=0.75),0.75,
IF(OR($H$70="Residential BTL",$H$70="Retention "),INDEX($O$36:$R$36,MATCH(D131,$O$38:$R$38,0)),70%)))</f>
        <v>0.7</v>
      </c>
      <c r="N131" s="2010">
        <f>MIN(M131*Property_Value,'Product Data'!$P$16)</f>
        <v>0</v>
      </c>
      <c r="O131" s="2715" t="b">
        <f>IF(AND(OR(OR($H$70="Residential BTL",$H$70="Retention "),$H$70="Retention "),Rate_Type="Fixed"),IFERROR(AO131/(IF(AND('BTL Calculator'!V2="Core",L131&lt;0.055),0.055,$L131)/12*(Term-$K131)*'Product Data'!$P$23),0),IF(AND(Rate_Type="Tracker",OR(OR($H$70="Residential BTL",$H$70="Retention "),$H$70="Retention ")),IFERROR(AO131/(IF(AND('BTL Calculator'!V2="Core",L131-BBR+'Product Data'!K2&lt;0.055),0.055,$L131)/12*(Term-$K131)*'Product Data'!$P$17),0),IF(AND($H$70="Semi-Commercial",Rate_Type="Tracker"),IFERROR(AP131/($L131/12*(Term-$K131)*'Product Data'!$P$17),0),IF(AND($H$70="Semi-Commercial",Rate_Type="Fixed"),IFERROR(AP131/($L131/12*(Term-$K131)*'Product Data'!$P$23),0),IF(AND($H$70="Commercial",Rate_Type="Tracker"),IFERROR(AP131/($L131/12*(Term-$K131)*'Product Data'!$P$17),0),IF(AND($H$70="Commercial",Rate_Type="Fixed"),IFERROR(AP131/($L131/12*(Term-$K131)*'Product Data'!$P$23),0)))))))</f>
        <v>0</v>
      </c>
      <c r="P131" s="2010" t="str">
        <f>IF('BTL Calculator'!$H$28="Fixed","",IF(OR(OR($H$70="Residential BTL",$H$70="Retention "),$H$70="Retention "),AO131/((((IF(AND('BTL Calculator'!V2="Core",H131-'Product Data'!$E$3+'Product Data'!$K$2-J131&lt;0.055),0.055,H131-'Product Data'!$E$3+'Product Data'!$K$3-J131))/12*(Term-K131)))*'Product Data'!$P$18),AP131/(((((H131-'Product Data'!$E$3+'Product Data'!$K$2-J131))/12*(Term-K131)))*'Product Data'!$P$18)))</f>
        <v/>
      </c>
      <c r="Q131" s="639">
        <f>IF('BTL Calculator'!$H$28="Tracker",MIN(N131,P131),MIN(O131,N131))</f>
        <v>0</v>
      </c>
      <c r="R131" s="639">
        <f t="shared" si="106"/>
        <v>0</v>
      </c>
      <c r="S131" s="2044">
        <f>IFERROR((IF(RoundDown,R131,Q131)*J131/12*Term)+
(IF(RoundDown,R131,Q131)*L131/12*K131)+
(IF(RoundDown,R131,Q131)*L131/12*(Term-K131)),"-")</f>
        <v>0</v>
      </c>
      <c r="T131" s="2721">
        <f>IFERROR(((H131)*IF(RoundDown,R131,Q131)/12),"-")</f>
        <v>0</v>
      </c>
      <c r="U131" s="2044" t="str">
        <f>IF('BTL Calculator'!$H$28="Fixed","",(((L131+$U$73)*IF(RoundDown,R131,Q131)/12)))</f>
        <v/>
      </c>
      <c r="V131" s="2721">
        <f>IFERROR(((L131)*IF(RoundDown,R131,Q131)/12),"-")</f>
        <v>0</v>
      </c>
      <c r="W131" s="2045" t="str">
        <f>IF(OR($H$70="Residential BTL",$H$70="Retention "),IFERROR(AO131/Z131,"-"),IFERROR(AP131/Z131,"-"))</f>
        <v>-</v>
      </c>
      <c r="X131" s="2045" t="str">
        <f>IF('BTL Calculator'!$H$28="Fixed","",IF(OR($H$70="Residential BTL",$H$70="Retention "),IFERROR(AO131/AA131,"-"),IFERROR(AP131/AA131,"-")))</f>
        <v/>
      </c>
      <c r="Y131" s="2045" t="str">
        <f>TEXT(V131,"£0,0")&amp;" @ "&amp;TEXT(W131,"0%")&amp;" ICR"</f>
        <v>£00 @ - ICR</v>
      </c>
      <c r="Z131" s="2044">
        <f>(IF(RoundDown,R131,Q131)*L131)/12*(Term-K131)</f>
        <v>0</v>
      </c>
      <c r="AA131" s="2721" t="str">
        <f>IF('BTL Calculator'!$H$28="Fixed","",(IF(RoundDown,R131,Q131)*(IF(AND('BTL Calculator'!$V$2="Core",H131-BBR+'Product Data'!$K$2&lt;0.055),0.055,H131-'Product Data'!$E$3+'Product Data'!$K$2-J131)))/12*(Term-K131))</f>
        <v/>
      </c>
      <c r="AB131" s="2044">
        <f t="shared" si="107"/>
        <v>0</v>
      </c>
      <c r="AC131" s="2044">
        <f t="shared" si="108"/>
        <v>0</v>
      </c>
      <c r="AD131" s="2044">
        <f t="shared" si="109"/>
        <v>0</v>
      </c>
      <c r="AE131" s="2721">
        <f>K131*IF(AND('BTL Calculator'!$V$2="Core",L131&lt;0.055),0.055,L131)/12*IF(RoundDown,R131,Q131)</f>
        <v>0</v>
      </c>
      <c r="AF131" s="2046">
        <f t="shared" ref="AF131" si="121">SUM(AD131:AE131)</f>
        <v>0</v>
      </c>
      <c r="AG131" s="2047">
        <f t="shared" si="110"/>
        <v>0</v>
      </c>
      <c r="AH131" s="2048">
        <f t="shared" si="111"/>
        <v>0</v>
      </c>
      <c r="AI131" s="2048">
        <f t="shared" si="112"/>
        <v>0</v>
      </c>
      <c r="AJ131" s="2048">
        <f t="shared" si="113"/>
        <v>0</v>
      </c>
      <c r="AK131" s="2048" t="str">
        <f t="shared" si="114"/>
        <v>3.00% (£00)</v>
      </c>
      <c r="AL131" s="2049">
        <f t="shared" si="115"/>
        <v>0</v>
      </c>
      <c r="AM131" s="2050" t="e">
        <f t="shared" si="116"/>
        <v>#DIV/0!</v>
      </c>
      <c r="AN131" s="2050" t="e">
        <f t="shared" si="117"/>
        <v>#DIV/0!</v>
      </c>
      <c r="AO131" s="640">
        <f>Rent_Over_Term+AQ131</f>
        <v>0</v>
      </c>
      <c r="AP131" s="640">
        <f t="shared" si="118"/>
        <v>0</v>
      </c>
      <c r="AQ131" s="640">
        <f>'BTL Calculator'!$O$80*Term</f>
        <v>0</v>
      </c>
      <c r="AR131" s="641" t="b">
        <f>IF(ISERROR(FIND("Bespoke",F113,1)),FALSE,TRUE)</f>
        <v>0</v>
      </c>
      <c r="AS131" s="287">
        <f t="shared" si="119"/>
        <v>0</v>
      </c>
      <c r="AT131" s="287" t="str">
        <f t="shared" ref="AT131" si="122">IFERROR(IF(AND(AL131=$F$71,E131&gt;=$F$36),1,0),"-")</f>
        <v>-</v>
      </c>
      <c r="AU131" s="287">
        <f t="shared" ref="AU131" si="123">SUM(AS131:AT131)</f>
        <v>0</v>
      </c>
      <c r="AV131" s="287" t="str">
        <f>IF(IF(Rate_Type="Tracker",X131,W131)&gt;'Product Data'!$P$19,"Y","N")</f>
        <v>Y</v>
      </c>
    </row>
    <row r="132" spans="1:48" ht="18.75" thickBot="1" x14ac:dyDescent="0.4">
      <c r="A132" s="3218"/>
      <c r="B132" s="308" t="str">
        <f>IF(OR($H$70="Residential BTL",$H$70="Retention "),IF(AND('BTL Calculator'!$G$60=C130,F132='BTL Calculator'!$G$62),1,0),"")</f>
        <v/>
      </c>
      <c r="C132" s="1998"/>
      <c r="D132" s="1999" t="str">
        <f>IF(OR(OR($H$70="Residential BTL",$H$70="Retention "),$H$70="Retention "),3,"")</f>
        <v/>
      </c>
      <c r="E132" s="308" t="str">
        <f>IF(OR(OR($H$70="Residential BTL",$H$70="Retention "),$H$70="Retention "),VALUE(LEFT(F132,1)),"")</f>
        <v/>
      </c>
      <c r="F132" s="2000" t="str">
        <f>IF(OR(OR($H$70="Residential BTL",$H$70="Retention "),$H$70="Retention "),"3) Specialist BTL","")</f>
        <v/>
      </c>
      <c r="G132" s="2331" t="str">
        <f>IF(AND($H$70='Product Data'!$BT$5,$H$72='Product Data'!$CA$5,L72=0.75),'Product Data'!C207,IF(AND($H$70='Product Data'!$BT$5,$H$72='Product Data'!$CA$5,L72=0.65),'Product Data'!C229,
  IF(AND($H$70='Product Data'!$BT$5,$H$72='Product Data'!$CA$4,L72=0.75),'Product Data'!G207,IF(AND($H$70='Product Data'!$BT$5,$H$72='Product Data'!$CA$4,L72=0.65),'Product Data'!G229,
  IF(AND($H$70='Product Data'!$BT$5,$H$72='Product Data'!$CA$3,L72=0.75),'Product Data'!K207,IF(AND($H$70='Product Data'!$BT$5,$H$72='Product Data'!$CA$3,L72=0.65),'Product Data'!K229,
  IF(AND($H$70='Product Data'!$BT$5,$H$72='Product Data'!$CA$2,L72=0.75),'Product Data'!O207,IF(AND($H$70='Product Data'!$BT$5,$H$72='Product Data'!$CA$2,L72=0.65),'Product Data'!O229,
IF(H70="Residential BTL",IF(H72='Product Data'!CA2,'Product Data'!C29,IF(H72='Product Data'!CA3,'Product Data'!C80,IF(H72='Product Data'!CA4,'Product Data'!C105,IF(H72='Product Data'!CA5,'Product Data'!C184)))),"")))))))))</f>
        <v/>
      </c>
      <c r="H132" s="2015" t="str">
        <f>IF(AND(F132=Product_Selected,Rate_Override&lt;&gt;0, Rate_Override&lt;&gt;""),Rate_Override+G132,G132)</f>
        <v/>
      </c>
      <c r="I132" s="2017">
        <f>I131</f>
        <v>0.03</v>
      </c>
      <c r="J132" s="637"/>
      <c r="K132" s="638"/>
      <c r="L132" s="2008" t="str">
        <f>IF('BTL Calculator'!V2="Core","",IF(OR(OR($H$70="Residential BTL",$H$70="Retention "),$H$70="Retention "),H132-J132,""))</f>
        <v/>
      </c>
      <c r="M132" s="2009" t="str">
        <f xml:space="preserve">
IF(AND(H70="Retention ",L72=0.65),0.65,
IF(AND(H70="Retention ",L72=0.75),0.75,
IF(OR($H$70="Residential BTL",$H$70="Retention "),INDEX($O$36:$R$36,MATCH(D132,$O$38:$R$38,0)),"")))</f>
        <v/>
      </c>
      <c r="N132" s="2010" t="str">
        <f>IF(OR(OR($H$70="Residential BTL",$H$70="Retention "),$H$70="Retention "),MIN(M132*Property_Value,'Product Data'!$P$16),"")</f>
        <v/>
      </c>
      <c r="O132" s="2010" t="b">
        <f>IF(AND(OR(OR($H$70="Residential BTL",$H$70="Retention "),$H$70="Retention "),Rate_Type="Fixed"),IFERROR(AO132/($L132/12*(Term-$K132)*'Product Data'!$P$23),0),IF(AND(Rate_Type="Tracker",OR(OR($H$70="Residential BTL",$H$70="Retention "),$H$70="Retention ")),IFERROR(AO132/($L132/12*(Term-$K132)*'Product Data'!$P$17),0),IF(AND($H$70="Semi-Commercial",Rate_Type="Tracker"),IFERROR(AP132/($L132/12*(Term-$K132)*'Product Data'!$P$17),0),IF(AND($H$70="Semi-Commercial",Rate_Type="Fixed"),IFERROR(AP132/($L132/12*(Term-$K132)*'Product Data'!$P$23),0),IF(AND($H$70="Commercial",Rate_Type="Tracker"),IFERROR(AP132/($L132/12*(Term-$K132)*'Product Data'!$P$17),0),IF(AND($H$70="Commercial",Rate_Type="Fixed"),IFERROR(AP132/($L132/12*(Term-$K132)*'Product Data'!$P$23),0)))))))</f>
        <v>0</v>
      </c>
      <c r="P132" s="2012" t="str">
        <f>IF('BTL Calculator'!$H$28="Fixed","",IF(OR(OR($H$70="Residential BTL",$H$70="Retention "),$H$70="Retention "),AO132/((((IF(AND('BTL Calculator'!V2="Core",H132-'Product Data'!$E$3+'Product Data'!$K$2-J132&lt;0.055),0.055,H132-'Product Data'!$E$3+'Product Data'!$K$3-J132))/12*(Term-K132)))*'Product Data'!$P$18),AP132/(((((H132-'Product Data'!$E$3+'Product Data'!$K$2-J132))/12*(Term-K132)))*'Product Data'!$P$18)))</f>
        <v/>
      </c>
      <c r="Q132" s="639" t="str">
        <f>IF(OR($H$70="Residential BTL",$H$70="Retention "),IF('BTL Calculator'!$H$28="Tracker",MIN(N132,P132),MIN(O132,N132)),"")</f>
        <v/>
      </c>
      <c r="R132" s="639" t="str">
        <f>IF(OR($H$70="Residential BTL",$H$70="Retention "),ROUNDDOWN(Q132,-3),"")</f>
        <v/>
      </c>
      <c r="S132" s="2044" t="str">
        <f t="shared" ref="S132:S141" si="124">IFERROR((IF(RoundDown,R132,Q132)*J132/12*Term)+
(IF(RoundDown,R132,Q132)*L132/12*K132)+
(IF(RoundDown,R132,Q132)*L132/12*(Term-K132)),"-")</f>
        <v>-</v>
      </c>
      <c r="T132" s="2044" t="str">
        <f>IF('BTL Calculator'!$V$2="Core","",IF(OR($H$70="Residential BTL",$H$70="Retention "),((H132*IF(RoundDown,R132,Q132)/12)),""))</f>
        <v/>
      </c>
      <c r="U132" s="2044" t="str">
        <f>IF('BTL Calculator'!$H$28="Fixed","",(((L132+$U$73)*IF(RoundDown,R132,Q132)/12)))</f>
        <v/>
      </c>
      <c r="V132" s="2044" t="str">
        <f>IF('BTL Calculator'!$V$2="Core","",IF(OR($H$70="Residential BTL",$H$70="Retention "),((L132*IF(RoundDown,R132,Q132)/12)),""))</f>
        <v/>
      </c>
      <c r="W132" s="2045" t="str">
        <f>IF(OR($H$70="Residential BTL",$H$70="Retention "),IFERROR(AO132/Z132,"-"),"")</f>
        <v/>
      </c>
      <c r="X132" s="2045" t="str">
        <f>IF('BTL Calculator'!$H$28="Fixed","",IF(OR($H$70="Residential BTL",$H$70="Retention "),IFERROR(AO132/AA132,"-"),IFERROR(AP132/AA132,"-")))</f>
        <v/>
      </c>
      <c r="Y132" s="2045" t="str">
        <f>IF(OR($H$70="Residential BTL",$H$70="Retention "),TEXT(V132,"£0,0")&amp;" @ "&amp;TEXT(W132,"0%")&amp;" ICR","")</f>
        <v/>
      </c>
      <c r="Z132" s="2044" t="str">
        <f>IF('BTL Calculator'!$V$2="Core","",IF(OR($H$70="Residential BTL",$H$70="Retention "),(IF(RoundDown,R132,Q132)*L132)/12*(Term-K132),""))</f>
        <v/>
      </c>
      <c r="AA132" s="2044" t="str">
        <f>IF('BTL Calculator'!$H$28="Fixed","",(IF(RoundDown,R132,Q132)*(H132-'Product Data'!$E$3+'Product Data'!$K$2-J132))/12*(Term-K132))</f>
        <v/>
      </c>
      <c r="AB132" s="2044" t="str">
        <f>IF(OR($H$70="Residential BTL",$H$70="Retention "),IFERROR(Monthly_Rent*Term,"-"),"")</f>
        <v/>
      </c>
      <c r="AC132" s="2044" t="str">
        <f>IF(OR($H$70="Residential BTL",$H$70="Retention "),IFERROR($U$22-V132,"-"),"")</f>
        <v/>
      </c>
      <c r="AD132" s="2044" t="e">
        <f t="shared" si="109"/>
        <v>#VALUE!</v>
      </c>
      <c r="AE132" s="2044" t="e">
        <f>IF('BTL Calculator'!$V$2="Core","",K132*L132/12*IF(RoundDown,R132,Q132))</f>
        <v>#VALUE!</v>
      </c>
      <c r="AF132" s="2046" t="str">
        <f>IF(OR($H$70="Residential BTL",$H$70="Retention "),SUM(AD132:AE132),"")</f>
        <v/>
      </c>
      <c r="AG132" s="2047" t="str">
        <f>IF('BTL Calculator'!V2="Core","",IF(OR($H$70="Residential BTL",$H$70="Retention "),AL132+AI132,""))</f>
        <v/>
      </c>
      <c r="AH132" s="2048" t="e">
        <f t="shared" si="111"/>
        <v>#VALUE!</v>
      </c>
      <c r="AI132" s="2048" t="e">
        <f t="shared" si="112"/>
        <v>#VALUE!</v>
      </c>
      <c r="AJ132" s="2048" t="e">
        <f t="shared" si="113"/>
        <v>#VALUE!</v>
      </c>
      <c r="AK132" s="2048" t="str">
        <f>IF(OR($H$70="Residential BTL",$H$70="Retention "),TEXT(I132,"0.00%")&amp;" ("&amp;TEXT(AH132,"£0,0")&amp;")","")</f>
        <v/>
      </c>
      <c r="AL132" s="2049" t="str">
        <f>IF('BTL Calculator'!V2="Core","",IF(OR($H$70="Residential BTL",$H$70="Retention "),IF(RoundDown,R132,Q132)-AD132-AE132-AH132,""))</f>
        <v/>
      </c>
      <c r="AM132" s="2050" t="str">
        <f>IF('BTL Calculator'!V2="Core","",IF(OR($H$70="Residential BTL",$H$70="Retention "),AL132/Property_Value,""))</f>
        <v/>
      </c>
      <c r="AN132" s="2050" t="str">
        <f>IF(OR($H$70="Residential BTL",$H$70="Retention "),IF(RoundDown,R132,Q132)/Property_Value,"")</f>
        <v/>
      </c>
      <c r="AO132" s="640" t="str">
        <f>IF(OR($H$70="Residential BTL",$H$70="Retention "),Rent_Over_Term+AQ132,"")</f>
        <v/>
      </c>
      <c r="AP132" s="640"/>
      <c r="AQ132" s="640" t="str">
        <f>IF(OR($H$70="Residential BTL",$H$70="Retention "),'BTL Calculator'!$O$80*Term,"")</f>
        <v/>
      </c>
      <c r="AR132" s="641" t="str">
        <f>IF(OR($H$70="Residential BTL",$H$70="Retention "),IF(ISERROR(FIND("Bespoke",F114,1)),FALSE,TRUE),"")</f>
        <v/>
      </c>
      <c r="AS132" s="287" t="str">
        <f>IF(OR($H$70="Residential BTL",$H$70="Retention "),IFERROR(IF(AND(IF(RoundDown,R132,Q132)=$F$70,E132&gt;=$F$36),1,0),"-"),"")</f>
        <v/>
      </c>
      <c r="AT132" s="287" t="str">
        <f>IF(OR($H$70="Residential BTL",$H$70="Retention "),IFERROR(IF(AND(AL132=$F$71,E132&gt;=$F$36),1,0),"-"),"")</f>
        <v/>
      </c>
      <c r="AU132" s="287" t="str">
        <f>IF(OR($H$70="Residential BTL",$H$70="Retention "),SUM(AS132:AT132),"")</f>
        <v/>
      </c>
      <c r="AV132" s="287" t="str">
        <f>IF(OR($H$70="Residential BTL",$H$70="Retention "),IF(IF(Rate_Type="Tracker",X132,W132)&gt;'Product Data'!$P$19,"Y","N"),"")</f>
        <v/>
      </c>
    </row>
    <row r="133" spans="1:48" x14ac:dyDescent="0.35">
      <c r="A133" s="3218"/>
      <c r="B133" s="308">
        <f>IF(AND('BTL Calculator'!$G$60=C133,F133='BTL Calculator'!$G$62),1,0)</f>
        <v>0</v>
      </c>
      <c r="C133" s="1994" t="s">
        <v>587</v>
      </c>
      <c r="D133" s="1995">
        <v>5</v>
      </c>
      <c r="E133" s="1996">
        <f t="shared" ref="E133:E134" si="125">VALUE(LEFT(F133,1))</f>
        <v>0</v>
      </c>
      <c r="F133" s="1997">
        <f>IF($H$70='Product Data'!$BT5,'Product Data'!$B190,IF($H$70='Product Data'!$BT2,'Product Data'!$B9,IF($H$70='Product Data'!BT3,'Product Data'!B34,IF(H70='Product Data'!BT4,'Product Data'!B47,0))))</f>
        <v>0</v>
      </c>
      <c r="G133" s="2031"/>
      <c r="H133" s="2005" t="b">
        <f>H130</f>
        <v>0</v>
      </c>
      <c r="I133" s="2016">
        <f>I130</f>
        <v>0.03</v>
      </c>
      <c r="J133" s="2332" t="e">
        <f>IF(AND(H88="Retention ",H90="Tracker"),2%,IF(AND($H$70='Product Data'!$BT$2,$H$72='Product Data'!$CA$2),2%,IF(AND($H$70='Product Data'!$BT$3,$H$72='Product Data'!$CA$2),1.5%,IF(AND($H$70='Product Data'!$BT$4,$H$72='Product Data'!$CA$2),1.5%,IF(AND($H$70='Product Data'!$BT$2,$H$72='Product Data'!$CA$5),0.75%,1.25%)))))</f>
        <v>#N/A</v>
      </c>
      <c r="K133" s="645">
        <f>IF(OR(OR($H$70="Residential BTL",$H$70="Retention "),$H$70="Retention "),IF(Term&lt;36,'Product Data'!$P$11,'Product Data'!$P$13),6)</f>
        <v>6</v>
      </c>
      <c r="L133" s="2005" t="str">
        <f>IFERROR(H133-J133,"-")</f>
        <v>-</v>
      </c>
      <c r="M133" s="2006">
        <f t="shared" ref="M133:M138" si="126">M130</f>
        <v>0.7</v>
      </c>
      <c r="N133" s="2007">
        <f>MIN(M133*Property_Value,'Product Data'!$P$16)</f>
        <v>0</v>
      </c>
      <c r="O133" s="2007" t="b">
        <f>IF(AND(OR(OR($H$70="Residential BTL",$H$70="Retention "),$H$70="Retention "),Rate_Type="Fixed"),IFERROR(AO133/($L133/12*(Term-$K133)*'Product Data'!$P$23),0),IF(AND(Rate_Type="Tracker",OR(OR($H$70="Residential BTL",$H$70="Retention "),$H$70="Retention ")),IFERROR(AO133/($L133/12*(Term-$K133)*'Product Data'!$P$17),0),IF(AND($H$70="Semi-Commercial",Rate_Type="Tracker"),IFERROR(AP133/($L133/12*(Term-$K133)*'Product Data'!$P$17),0),IF(AND($H$70="Semi-Commercial",Rate_Type="Fixed"),IFERROR(AP133/($L133/12*(Term-$K133)*'Product Data'!$P$23),0),IF(AND($H$70="Commercial",Rate_Type="Tracker"),IFERROR(AP133/($L133/12*(Term-$K133)*'Product Data'!$P$17),0),IF(AND($H$70="Commercial",Rate_Type="Fixed"),IFERROR(AP133/($L133/12*(Term-$K133)*'Product Data'!$P$23),0)))))))</f>
        <v>0</v>
      </c>
      <c r="P133" s="2007" t="str">
        <f>IF('BTL Calculator'!$H$28="Fixed","",IF(OR(OR($H$70="Residential BTL",$H$70="Retention "),$H$70="Retention "),AO133/((((H133-'Product Data'!$E$3+'Product Data'!$K$3-J133)/12*(Term-K133)))*'Product Data'!$P$18),AP133/((((H133-'Product Data'!$E$3+'Product Data'!$K$3-J133)/12*(Term-K133)))*'Product Data'!$P$18)))</f>
        <v/>
      </c>
      <c r="Q133" s="634">
        <f>IF('BTL Calculator'!$H$28="Tracker",MIN(N133,P133),MIN(O133,N133))</f>
        <v>0</v>
      </c>
      <c r="R133" s="634">
        <f t="shared" ref="R133:R134" si="127">ROUNDDOWN(Q133,-3)</f>
        <v>0</v>
      </c>
      <c r="S133" s="2037" t="str">
        <f t="shared" si="124"/>
        <v>-</v>
      </c>
      <c r="T133" s="2037">
        <f>IFERROR(((H133*IF(RoundDown,R133,Q133)/12)),"-")</f>
        <v>0</v>
      </c>
      <c r="U133" s="2037" t="str">
        <f>IF('BTL Calculator'!$H$28="Fixed","",(((L133+$U$73)*IF(RoundDown,R133,Q133)/12)))</f>
        <v/>
      </c>
      <c r="V133" s="2037" t="str">
        <f>IFERROR(((L133*IF(RoundDown,R133,Q133)/12)),"-")</f>
        <v>-</v>
      </c>
      <c r="W133" s="2038" t="str">
        <f>IF(OR($H$70="Residential BTL",$H$70="Retention "),IFERROR(AO133/Z133,"-"),IFERROR(AP133/Z133,"-"))</f>
        <v>-</v>
      </c>
      <c r="X133" s="2038" t="str">
        <f>IF('BTL Calculator'!$H$28="Fixed","",IF(OR($H$70="Residential BTL",$H$70="Retention "),IFERROR(AO133/AA133,"-"),IFERROR(AP133/AA133,"-")))</f>
        <v/>
      </c>
      <c r="Y133" s="2038" t="str">
        <f t="shared" ref="Y133:Y134" si="128">TEXT(V133,"£0,0")&amp;" @ "&amp;TEXT(W133,"0%")&amp;" ICR"</f>
        <v>- @ - ICR</v>
      </c>
      <c r="Z133" s="2037" t="e">
        <f>(IF(RoundDown,R133,Q133)*L133)/12*(Term-K133)</f>
        <v>#VALUE!</v>
      </c>
      <c r="AA133" s="2037" t="str">
        <f>IF('BTL Calculator'!$H$28="Fixed","",(IF(RoundDown,R133,Q133)*(H133-'Product Data'!$E$3+'Product Data'!$K$2-J133))/12*(Term-K133))</f>
        <v/>
      </c>
      <c r="AB133" s="2037">
        <f t="shared" si="107"/>
        <v>0</v>
      </c>
      <c r="AC133" s="2037" t="str">
        <f t="shared" ref="AC133:AC134" si="129">IFERROR($U$22-V133,"-")</f>
        <v>-</v>
      </c>
      <c r="AD133" s="2037" t="e">
        <f t="shared" si="109"/>
        <v>#N/A</v>
      </c>
      <c r="AE133" s="2037" t="e">
        <f>K133*L133/12*IF(RoundDown,R133,Q133)</f>
        <v>#VALUE!</v>
      </c>
      <c r="AF133" s="2039" t="e">
        <f t="shared" ref="AF133:AF134" si="130">SUM(AD133:AE133)</f>
        <v>#N/A</v>
      </c>
      <c r="AG133" s="2040" t="e">
        <f t="shared" ref="AG133:AG134" si="131">AL133+AI133</f>
        <v>#N/A</v>
      </c>
      <c r="AH133" s="2041">
        <f t="shared" si="111"/>
        <v>0</v>
      </c>
      <c r="AI133" s="2041">
        <f>+IF(RoundDown,R133,Q133)*0.02</f>
        <v>0</v>
      </c>
      <c r="AJ133" s="2041">
        <f t="shared" si="113"/>
        <v>0</v>
      </c>
      <c r="AK133" s="2041" t="str">
        <f t="shared" ref="AK133:AK134" si="132">TEXT(I133,"0.00%")&amp;" ("&amp;TEXT(AH133,"£0,0")&amp;")"</f>
        <v>3.00% (£00)</v>
      </c>
      <c r="AL133" s="2042" t="e">
        <f t="shared" ref="AL133:AL134" si="133">IF(RoundDown,R133,Q133)-AD133-AE133-AH133</f>
        <v>#N/A</v>
      </c>
      <c r="AM133" s="2043" t="e">
        <f t="shared" ref="AM133:AM134" si="134">AL133/Property_Value</f>
        <v>#N/A</v>
      </c>
      <c r="AN133" s="2043" t="e">
        <f t="shared" ref="AN133:AN134" si="135">IF(RoundDown,R133,Q133)/Property_Value</f>
        <v>#DIV/0!</v>
      </c>
      <c r="AO133" s="646">
        <f>Rent_Over_Term+AQ133</f>
        <v>0</v>
      </c>
      <c r="AP133" s="646">
        <f t="shared" ref="AP133:AP134" si="136">IF($H$72="3 Year Fixed",$X$22*36+AQ133, $X$22*24+AQ133)</f>
        <v>0</v>
      </c>
      <c r="AQ133" s="646">
        <f>'BTL Calculator'!$O$80*Term</f>
        <v>0</v>
      </c>
      <c r="AR133" s="647" t="b">
        <f>IF(ISERROR(FIND("Bespoke",F115,1)),FALSE,TRUE)</f>
        <v>0</v>
      </c>
      <c r="AS133" s="287">
        <f t="shared" ref="AS133:AS134" si="137">IFERROR(IF(AND(IF(RoundDown,R133,Q133)=$F$70,E133&gt;=$F$36),1,0),"-")</f>
        <v>0</v>
      </c>
      <c r="AT133" s="287" t="str">
        <f t="shared" ref="AT133:AT134" si="138">IFERROR(IF(AND(AL133=$F$71,E133&gt;=$F$36),1,0),"-")</f>
        <v>-</v>
      </c>
      <c r="AU133" s="287">
        <f t="shared" ref="AU133:AU134" si="139">SUM(AS133:AT133)</f>
        <v>0</v>
      </c>
      <c r="AV133" s="287" t="str">
        <f>IF(IF(Rate_Type="Tracker",X133,W133)&gt;'Product Data'!$P$19,"Y","N")</f>
        <v>Y</v>
      </c>
    </row>
    <row r="134" spans="1:48" x14ac:dyDescent="0.35">
      <c r="A134" s="3218"/>
      <c r="B134" s="308">
        <f>IF(AND('BTL Calculator'!$G$60=C133,F134='BTL Calculator'!$G$62),1,0)</f>
        <v>0</v>
      </c>
      <c r="C134" s="1998"/>
      <c r="D134" s="1999">
        <v>6</v>
      </c>
      <c r="E134" s="308">
        <f t="shared" si="125"/>
        <v>0</v>
      </c>
      <c r="F134" s="2000">
        <f>IF($H$70='Product Data'!$BT5,'Product Data'!$B191,IF($H$70='Product Data'!$BT2,'Product Data'!$B10,IF($H$70='Product Data'!BT3,'Product Data'!B35,IF(H70='Product Data'!BT4,'Product Data'!B48,0))))</f>
        <v>0</v>
      </c>
      <c r="G134" s="2032"/>
      <c r="H134" s="2015" t="b">
        <f>H131</f>
        <v>0</v>
      </c>
      <c r="I134" s="2017">
        <f>I131</f>
        <v>0.03</v>
      </c>
      <c r="J134" s="2333" t="e">
        <f>IF(AND(H88="Retention ",H90="Tracker"),2%,IF(AND($H$70='Product Data'!$BT$2,$H$72='Product Data'!$CA$2),2%,IF(AND($H$70='Product Data'!$BT$3,$H$72='Product Data'!$CA$2),1.5%,IF(AND($H$70='Product Data'!$BT$4,$H$72='Product Data'!$CA$2),1.5%,IF(AND($H$70='Product Data'!$BT$2,$H$72='Product Data'!$CA$5),0.75%,1.25%)))))</f>
        <v>#N/A</v>
      </c>
      <c r="K134" s="648">
        <f>IF(OR(OR($H$70="Residential BTL",$H$70="Retention "),$H$70="Retention "),IF(Term&lt;36,'Product Data'!$P$11,'Product Data'!$P$13),6)</f>
        <v>6</v>
      </c>
      <c r="L134" s="2008" t="e">
        <f>H134-J134</f>
        <v>#N/A</v>
      </c>
      <c r="M134" s="2009">
        <f t="shared" si="126"/>
        <v>0.7</v>
      </c>
      <c r="N134" s="2010">
        <f>MIN(M134*Property_Value,'Product Data'!$P$16)</f>
        <v>0</v>
      </c>
      <c r="O134" s="2010" t="b">
        <f>IF(AND(OR(OR($H$70="Residential BTL",$H$70="Retention "),$H$70="Retention "),Rate_Type="Fixed"),IFERROR(AO134/($L134/12*(Term-$K134)*'Product Data'!$P$23),0),IF(AND(Rate_Type="Tracker",OR(OR($H$70="Residential BTL",$H$70="Retention "),$H$70="Retention ")),IFERROR(AO134/($L134/12*(Term-$K134)*'Product Data'!$P$17),0),IF(AND($H$70="Semi-Commercial",Rate_Type="Tracker"),IFERROR(AP134/($L134/12*(Term-$K134)*'Product Data'!$P$17),0),IF(AND($H$70="Semi-Commercial",Rate_Type="Fixed"),IFERROR(AP134/($L134/12*(Term-$K134)*'Product Data'!$P$23),0),IF(AND($H$70="Commercial",Rate_Type="Tracker"),IFERROR(AP134/($L134/12*(Term-$K134)*'Product Data'!$P$17),0),IF(AND($H$70="Commercial",Rate_Type="Fixed"),IFERROR(AP134/($L134/12*(Term-$K134)*'Product Data'!$P$23),0)))))))</f>
        <v>0</v>
      </c>
      <c r="P134" s="2010" t="str">
        <f>IF('BTL Calculator'!$H$28="Fixed","",IF(OR(OR($H$70="Residential BTL",$H$70="Retention "),$H$70="Retention "),AO134/((((H134-'Product Data'!$E$3+'Product Data'!$K$3-J134)/12*(Term-K134)))*'Product Data'!$P$18),AP134/((((H134-'Product Data'!$E$3+'Product Data'!$K$3-J134)/12*(Term-K134)))*'Product Data'!$P$18)))</f>
        <v/>
      </c>
      <c r="Q134" s="639">
        <f>IF('BTL Calculator'!$H$28="Tracker",MIN(N134,P134),MIN(O134,N134))</f>
        <v>0</v>
      </c>
      <c r="R134" s="639">
        <f t="shared" si="127"/>
        <v>0</v>
      </c>
      <c r="S134" s="2044" t="str">
        <f t="shared" si="124"/>
        <v>-</v>
      </c>
      <c r="T134" s="2721">
        <f>IFERROR(((H134*IF(RoundDown,R134,Q134)/12)),"-")</f>
        <v>0</v>
      </c>
      <c r="U134" s="2044" t="str">
        <f>IF('BTL Calculator'!$H$28="Fixed","",(((L134+$U$73)*IF(RoundDown,R134,Q134)/12)))</f>
        <v/>
      </c>
      <c r="V134" s="2044" t="e">
        <f>((L134*IF(RoundDown,R134,Q134)/12))-IF('BTL Calculator'!$CY$11='Product Data'!$AG$9,AE134/Term,0)</f>
        <v>#N/A</v>
      </c>
      <c r="W134" s="2045" t="str">
        <f>IF(OR($H$70="Residential BTL",$H$70="Retention "),IFERROR(AO134/Z134,"-"),IFERROR(AP134/Z134,"-"))</f>
        <v>-</v>
      </c>
      <c r="X134" s="2045" t="str">
        <f>IF('BTL Calculator'!$H$28="Fixed","",IF(OR($H$70="Residential BTL",$H$70="Retention "),IFERROR(AO134/AA134,"-"),IFERROR(AP134/AA134,"-")))</f>
        <v/>
      </c>
      <c r="Y134" s="2045" t="e">
        <f t="shared" si="128"/>
        <v>#N/A</v>
      </c>
      <c r="Z134" s="2044" t="e">
        <f>(IF(RoundDown,R134,Q134)*L134)/12*(Term-K134)</f>
        <v>#N/A</v>
      </c>
      <c r="AA134" s="2044" t="str">
        <f>IF('BTL Calculator'!$H$28="Fixed","",(IF(RoundDown,R134,Q134)*(H134-'Product Data'!$E$3+'Product Data'!$K$2-J134))/12*(Term-K134))</f>
        <v/>
      </c>
      <c r="AB134" s="2044">
        <f t="shared" si="107"/>
        <v>0</v>
      </c>
      <c r="AC134" s="2044" t="str">
        <f t="shared" si="129"/>
        <v>-</v>
      </c>
      <c r="AD134" s="2044" t="e">
        <f t="shared" si="109"/>
        <v>#N/A</v>
      </c>
      <c r="AE134" s="2044" t="e">
        <f>K134*L134/12*IF(RoundDown,R134,Q134)</f>
        <v>#N/A</v>
      </c>
      <c r="AF134" s="2046" t="e">
        <f t="shared" si="130"/>
        <v>#N/A</v>
      </c>
      <c r="AG134" s="2047" t="e">
        <f t="shared" si="131"/>
        <v>#N/A</v>
      </c>
      <c r="AH134" s="2048">
        <f t="shared" si="111"/>
        <v>0</v>
      </c>
      <c r="AI134" s="2048">
        <f t="shared" ref="AI134:AI143" si="140">+IF(RoundDown,R134,Q134)*0.02</f>
        <v>0</v>
      </c>
      <c r="AJ134" s="2048">
        <f t="shared" si="113"/>
        <v>0</v>
      </c>
      <c r="AK134" s="2048" t="str">
        <f t="shared" si="132"/>
        <v>3.00% (£00)</v>
      </c>
      <c r="AL134" s="2049" t="e">
        <f t="shared" si="133"/>
        <v>#N/A</v>
      </c>
      <c r="AM134" s="2050" t="e">
        <f t="shared" si="134"/>
        <v>#N/A</v>
      </c>
      <c r="AN134" s="2050" t="e">
        <f t="shared" si="135"/>
        <v>#DIV/0!</v>
      </c>
      <c r="AO134" s="649">
        <f>Rent_Over_Term+AQ134</f>
        <v>0</v>
      </c>
      <c r="AP134" s="649">
        <f t="shared" si="136"/>
        <v>0</v>
      </c>
      <c r="AQ134" s="649">
        <f>'BTL Calculator'!$O$80*Term</f>
        <v>0</v>
      </c>
      <c r="AR134" s="650" t="b">
        <f>IF(ISERROR(FIND("Bespoke",F116,1)),FALSE,TRUE)</f>
        <v>0</v>
      </c>
      <c r="AS134" s="287">
        <f t="shared" si="137"/>
        <v>0</v>
      </c>
      <c r="AT134" s="287" t="str">
        <f t="shared" si="138"/>
        <v>-</v>
      </c>
      <c r="AU134" s="287">
        <f t="shared" si="139"/>
        <v>0</v>
      </c>
      <c r="AV134" s="287" t="str">
        <f>IF(IF(Rate_Type="Tracker",X134,W134)&gt;'Product Data'!$P$19,"Y","N")</f>
        <v>Y</v>
      </c>
    </row>
    <row r="135" spans="1:48" ht="18.75" thickBot="1" x14ac:dyDescent="0.4">
      <c r="A135" s="3218"/>
      <c r="B135" s="308" t="str">
        <f>IF(OR($H$70="Residential BTL",$H$70="Retention "),IF(AND('BTL Calculator'!$G$60=C133,F135='BTL Calculator'!$G$62),1,0),"")</f>
        <v/>
      </c>
      <c r="C135" s="1998"/>
      <c r="D135" s="1999" t="str">
        <f>IF(OR(OR($H$70="Residential BTL",$H$70="Retention "),$H$70="Retention "),7,"")</f>
        <v/>
      </c>
      <c r="E135" s="308" t="str">
        <f>IF(OR(OR($H$70="Residential BTL",$H$70="Retention "),$H$70="Retention "),VALUE(LEFT(F135,1)),"")</f>
        <v/>
      </c>
      <c r="F135" s="2000" t="str">
        <f>IF(OR(OR($H$70="Residential BTL",$H$70="Retention "),$H$70="Retention "),"3) Specialist BTL","")</f>
        <v/>
      </c>
      <c r="G135" s="2032"/>
      <c r="H135" s="2015" t="str">
        <f>H132</f>
        <v/>
      </c>
      <c r="I135" s="2017">
        <f>I134</f>
        <v>0.03</v>
      </c>
      <c r="J135" s="2333" t="e">
        <f>IF(AND(H88="Retention ",H90="Tracker"),2%,IF(AND($H$70='Product Data'!$BT$2,$H$72='Product Data'!$CA$2),2%,IF(AND($H$70='Product Data'!$BT$3,$H$72='Product Data'!$CA$2),1.5%,IF(AND($H$70='Product Data'!$BT$4,$H$72='Product Data'!$CA$2),1.5%,IF(AND($H$70='Product Data'!$BT$2,$H$72='Product Data'!$CA$5),0.75%,1.25%)))))</f>
        <v>#N/A</v>
      </c>
      <c r="K135" s="648" t="str">
        <f>IF(OR(OR($H$70="Residential BTL",$H$70="Retention "),$H$70="Retention "),IF(Term&lt;36,'Product Data'!$P$11,'Product Data'!$P$13),"")</f>
        <v/>
      </c>
      <c r="L135" s="2602" t="str">
        <f>IF('BTL Calculator'!V2="Core","",IF(OR(OR($H$70="Residential BTL",$H$70="Retention "),$H$70="Retention "),H135-J135,""))</f>
        <v/>
      </c>
      <c r="M135" s="2011" t="str">
        <f t="shared" si="126"/>
        <v/>
      </c>
      <c r="N135" s="2012" t="str">
        <f>IF(OR(OR($H$70="Residential BTL",$H$70="Retention "),$H$70="Retention "),MIN(M135*Property_Value,'Product Data'!$P$16),"")</f>
        <v/>
      </c>
      <c r="O135" s="2012" t="b">
        <f>IF(AND(OR(OR($H$70="Residential BTL",$H$70="Retention "),$H$70="Retention "),Rate_Type="Fixed"),IFERROR(AO135/($L135/12*(Term-$K135)*'Product Data'!$P$23),0),IF(AND(Rate_Type="Tracker",OR(OR($H$70="Residential BTL",$H$70="Retention "),$H$70="Retention ")),IFERROR(AO135/($L135/12*(Term-$K135)*'Product Data'!$P$17),0),IF(AND($H$70="Semi-Commercial",Rate_Type="Tracker"),IFERROR(AP135/($L135/12*(Term-$K135)*'Product Data'!$P$17),0),IF(AND($H$70="Semi-Commercial",Rate_Type="Fixed"),IFERROR(AP135/($L135/12*(Term-$K135)*'Product Data'!$P$23),0),IF(AND($H$70="Commercial",Rate_Type="Tracker"),IFERROR(AP135/($L135/12*(Term-$K135)*'Product Data'!$P$17),0),IF(AND($H$70="Commercial",Rate_Type="Fixed"),IFERROR(AP135/($L135/12*(Term-$K135)*'Product Data'!$P$23),0)))))))</f>
        <v>0</v>
      </c>
      <c r="P135" s="2012" t="str">
        <f>IF('BTL Calculator'!$H$28="Fixed","",IF(OR(OR($H$70="Residential BTL",$H$70="Retention "),$H$70="Retention "),AO135/((((H135-'Product Data'!$E$3+'Product Data'!$K$3-J135)/12*(Term-K135)))*'Product Data'!$P$18),AP135/((((H135-'Product Data'!$E$3+'Product Data'!$K$3-J135)/12*(Term-K135)))*'Product Data'!$P$18)))</f>
        <v/>
      </c>
      <c r="Q135" s="642" t="str">
        <f>IF(OR($H$70="Residential BTL",$H$70="Retention "),IF('BTL Calculator'!$H$28="Tracker",MIN(N135,P135),MIN(O135,N135)),"")</f>
        <v/>
      </c>
      <c r="R135" s="642" t="str">
        <f>IF(OR($H$70="Residential BTL",$H$70="Retention "),ROUNDDOWN(Q135,-3),"")</f>
        <v/>
      </c>
      <c r="S135" s="2051" t="str">
        <f t="shared" si="124"/>
        <v>-</v>
      </c>
      <c r="T135" s="2722" t="str">
        <f>IFERROR(((H135*IF(RoundDown,R135,Q135)/12)),"-")</f>
        <v>-</v>
      </c>
      <c r="U135" s="2051" t="str">
        <f>IF('BTL Calculator'!$H$28="Fixed","",(((L135+$U$73)*IF(RoundDown,R135,Q135)/12)))</f>
        <v/>
      </c>
      <c r="V135" s="2044" t="str">
        <f>IF('BTL Calculator'!$V$2="Core","",IF(OR($H$70="Residential BTL",$H$70="Retention "),((L135*IF(RoundDown,R135,Q135)/12))-IF('BTL Calculator'!$CY$11='Product Data'!$AG$9,AE135/Term,0),""))</f>
        <v/>
      </c>
      <c r="W135" s="2052" t="str">
        <f>IF(OR($H$70="Residential BTL",$H$70="Retention "),IFERROR(AO135/Z135,"-"),"")</f>
        <v/>
      </c>
      <c r="X135" s="2052" t="str">
        <f>IF('BTL Calculator'!$H$28="Fixed","",IF(OR($H$70="Residential BTL",$H$70="Retention "),IFERROR(AO135/AA135,"-"),IFERROR(AP135/AA135,"-")))</f>
        <v/>
      </c>
      <c r="Y135" s="2052" t="str">
        <f>IF(OR($H$70="Residential BTL",$H$70="Retention "),TEXT(V135,"£0,0")&amp;" @ "&amp;TEXT(W135,"0%")&amp;" ICR","")</f>
        <v/>
      </c>
      <c r="Z135" s="2044" t="str">
        <f>IF('BTL Calculator'!$V$2="Core","",IF(OR($H$70="Residential BTL",$H$70="Retention "),(IF(RoundDown,R135,Q135)*L135)/12*(Term-K135),""))</f>
        <v/>
      </c>
      <c r="AA135" s="2044" t="str">
        <f>IF('BTL Calculator'!$H$28="Fixed","",(IF(RoundDown,R135,Q135)*(H135-'Product Data'!$E$3+'Product Data'!$K$2-J135))/12*(Term-K135))</f>
        <v/>
      </c>
      <c r="AB135" s="2051" t="str">
        <f>IF(OR($H$70="Residential BTL",$H$70="Retention "),IFERROR(Monthly_Rent*Term,"-"),"")</f>
        <v/>
      </c>
      <c r="AC135" s="2051" t="str">
        <f>IF(OR($H$70="Residential BTL",$H$70="Retention "),IFERROR($U$22-V135,"-"),"")</f>
        <v/>
      </c>
      <c r="AD135" s="2051" t="e">
        <f t="shared" si="109"/>
        <v>#N/A</v>
      </c>
      <c r="AE135" s="2044" t="e">
        <f>IF('BTL Calculator'!$V$2="Core","",K135*L135/12*IF(RoundDown,R135,Q135))</f>
        <v>#VALUE!</v>
      </c>
      <c r="AF135" s="2053" t="str">
        <f>IF(OR($H$70="Residential BTL",$H$70="Retention "),SUM(AD135:AE135),"")</f>
        <v/>
      </c>
      <c r="AG135" s="2054" t="str">
        <f>IF('BTL Calculator'!V2="Core","",IF(OR($H$70="Residential BTL",$H$70="Retention "),AL135+AI135,""))</f>
        <v/>
      </c>
      <c r="AH135" s="2055" t="e">
        <f t="shared" si="111"/>
        <v>#VALUE!</v>
      </c>
      <c r="AI135" s="2055" t="e">
        <f t="shared" si="140"/>
        <v>#VALUE!</v>
      </c>
      <c r="AJ135" s="2055" t="e">
        <f t="shared" si="113"/>
        <v>#VALUE!</v>
      </c>
      <c r="AK135" s="2055" t="str">
        <f>IF(OR($H$70="Residential BTL",$H$70="Retention "),TEXT(I135,"0.00%")&amp;" ("&amp;TEXT(AH135,"£0,0")&amp;")","")</f>
        <v/>
      </c>
      <c r="AL135" s="2056" t="str">
        <f>IF('BTL Calculator'!V2="Core","",IF(OR($H$70="Residential BTL",$H$70="Retention "),IF(RoundDown,R135,Q135)-AD135-AE135-AH135,""))</f>
        <v/>
      </c>
      <c r="AM135" s="2057" t="str">
        <f>IF('BTL Calculator'!V2="Core","",IF(OR($H$70="Residential BTL",$H$70="Retention "),AL135/Property_Value,""))</f>
        <v/>
      </c>
      <c r="AN135" s="2057" t="str">
        <f>IF(OR($H$70="Residential BTL",$H$70="Retention "),IF(RoundDown,R135,Q135)/Property_Value,"")</f>
        <v/>
      </c>
      <c r="AO135" s="643" t="str">
        <f>IF(OR($H$70="Residential BTL",$H$70="Retention "),Rent_Over_Term+AQ135,"")</f>
        <v/>
      </c>
      <c r="AP135" s="652"/>
      <c r="AQ135" s="643" t="str">
        <f>IF(OR($H$70="Residential BTL",$H$70="Retention "),'BTL Calculator'!$O$80*Term,"")</f>
        <v/>
      </c>
      <c r="AR135" s="644" t="str">
        <f>IF(OR($H$70="Residential BTL",$H$70="Retention "),IF(ISERROR(FIND("Bespoke",F117,1)),FALSE,TRUE),"")</f>
        <v/>
      </c>
      <c r="AS135" s="287" t="str">
        <f>IF(OR($H$70="Residential BTL",$H$70="Retention "),IFERROR(IF(AND(IF(RoundDown,R135,Q135)=$F$70,E135&gt;=$F$36),1,0),"-"),"")</f>
        <v/>
      </c>
      <c r="AT135" s="287" t="str">
        <f>IF(OR($H$70="Residential BTL",$H$70="Retention "),IFERROR(IF(AND(AL135=$F$71,E135&gt;=$F$36),1,0),"-"),"")</f>
        <v/>
      </c>
      <c r="AU135" s="287" t="str">
        <f>IF(OR($H$70="Residential BTL",$H$70="Retention "),SUM(AS135:AT135),"")</f>
        <v/>
      </c>
      <c r="AV135" s="287" t="str">
        <f>IF(OR($H$70="Residential BTL",$H$70="Retention "),IF(IF(Rate_Type="Tracker",X135,W135)&gt;'Product Data'!$P$19,"Y","N"),"")</f>
        <v/>
      </c>
    </row>
    <row r="136" spans="1:48" ht="18.75" hidden="1" thickBot="1" x14ac:dyDescent="0.4">
      <c r="A136" s="3218"/>
      <c r="B136" s="2029">
        <f>IF(AND('BTL Calculator'!$G$60=C136,F136='BTL Calculator'!$G$62),1,0)</f>
        <v>0</v>
      </c>
      <c r="C136" s="1954" t="s">
        <v>588</v>
      </c>
      <c r="D136" s="1955">
        <v>9</v>
      </c>
      <c r="E136" s="1956">
        <f t="shared" ref="E136:E137" si="141">VALUE(LEFT(F136,1))</f>
        <v>1</v>
      </c>
      <c r="F136" s="1957" t="s">
        <v>432</v>
      </c>
      <c r="G136" s="1959"/>
      <c r="H136" s="1958" t="b">
        <f>H133</f>
        <v>0</v>
      </c>
      <c r="I136" s="1959">
        <f>I133</f>
        <v>0.03</v>
      </c>
      <c r="J136" s="1980">
        <f>'Product Data'!$P$10</f>
        <v>0.02</v>
      </c>
      <c r="K136" s="1960">
        <f>IF(Term&lt;36,'Product Data'!$P$12,'Product Data'!$P$14)</f>
        <v>9</v>
      </c>
      <c r="L136" s="1958">
        <f>IFERROR(H136-J136,"-")</f>
        <v>-0.02</v>
      </c>
      <c r="M136" s="1961">
        <f t="shared" si="126"/>
        <v>0.7</v>
      </c>
      <c r="N136" s="1962">
        <f>MIN(M136*Property_Value,'Product Data'!$P$16)</f>
        <v>0</v>
      </c>
      <c r="O136" s="1962" t="b">
        <f>IF(AND(OR(OR($H$70="Residential BTL",$H$70="Retention "),$H$70="Retention "),Rate_Type="Fixed"),IFERROR(AO136/($L136/12*(Term-$K136)*'Product Data'!$P$23),0),IF(AND(Rate_Type="Tracker",OR(OR($H$70="Residential BTL",$H$70="Retention "),$H$70="Retention ")),IFERROR(AO136/($L136/12*(Term-$K136)*'Product Data'!$P$17),0),IF(AND($H$70="Semi-Commercial",Rate_Type="Tracker"),IFERROR(AP136/($L136/12*(Term-$K136)*'Product Data'!$P$17),0),IF(AND($H$70="Semi-Commercial",Rate_Type="Fixed"),IFERROR(AP136/($L136/12*(Term-$K136)*'Product Data'!$P$23),0),IF(AND($H$70="Commercial",Rate_Type="Tracker"),IFERROR(AP136/($L136/12*(Term-$K136)*'Product Data'!$P$17),0),IF(AND($H$70="Commercial",Rate_Type="Fixed"),IFERROR(AP136/($L136/12*(Term-$K136)*'Product Data'!$P$23),0)))))))</f>
        <v>0</v>
      </c>
      <c r="P136" s="1962" t="str">
        <f>IF('BTL Calculator'!$H$28="Fixed","",IF(OR(OR($H$70="Residential BTL",$H$70="Retention "),$H$70="Retention "),AO136/((((H136-'Product Data'!$E$3+'Product Data'!$K$3-J136)/12*(Term-K136)))*'Product Data'!$P$18),AP136/((((H136-'Product Data'!$E$3+'Product Data'!$K$3-J136)/12*(Term-K136)))*'Product Data'!$P$18)))</f>
        <v/>
      </c>
      <c r="Q136" s="1963">
        <f>IF('BTL Calculator'!$H$28="Tracker",MIN(N136,P136),MIN(O136,N136))</f>
        <v>0</v>
      </c>
      <c r="R136" s="1963">
        <f t="shared" ref="R136:R137" si="142">ROUNDDOWN(Q136,-3)</f>
        <v>0</v>
      </c>
      <c r="S136" s="1964">
        <f t="shared" si="124"/>
        <v>0</v>
      </c>
      <c r="T136" s="1964">
        <f>IFERROR(((H136*IF(RoundDown,R136,Q136)/12)),"-")</f>
        <v>0</v>
      </c>
      <c r="U136" s="1964" t="str">
        <f>IF('BTL Calculator'!$H$28="Fixed","",(((L136+$U$73)*IF(RoundDown,R136,Q136)/12)))</f>
        <v/>
      </c>
      <c r="V136" s="1964">
        <f>IFERROR(((L136*IF(RoundDown,R136,Q136)/12)),"-")</f>
        <v>0</v>
      </c>
      <c r="W136" s="1965" t="str">
        <f t="shared" ref="W136:W137" si="143">IFERROR(AO136/Z136,"-")</f>
        <v>-</v>
      </c>
      <c r="X136" s="1965" t="str">
        <f>IF('BTL Calculator'!$H$28="Fixed","",IF(OR($H$70="Residential BTL",$H$70="Retention "),IFERROR(AO136/AA136,"-"),IFERROR(AP136/AA136,"-")))</f>
        <v/>
      </c>
      <c r="Y136" s="1965" t="str">
        <f t="shared" ref="Y136:Y137" si="144">TEXT(V136,"£0,0")&amp;" @ "&amp;TEXT(W136,"0%")&amp;" ICR"</f>
        <v>£00 @ - ICR</v>
      </c>
      <c r="Z136" s="1964">
        <f>(IF(RoundDown,R136,Q136)*L136)/12*(Term-K136)</f>
        <v>0</v>
      </c>
      <c r="AA136" s="1964" t="str">
        <f>IF('BTL Calculator'!$H$28="Fixed","",(IF(RoundDown,R136,Q136)*(H136-'Product Data'!$E$3+'Product Data'!$K$2-J136))/12*(Term-K136))</f>
        <v/>
      </c>
      <c r="AB136" s="1964">
        <f t="shared" si="107"/>
        <v>0</v>
      </c>
      <c r="AC136" s="1964">
        <f>IFERROR($U$22-V136,"-")</f>
        <v>0</v>
      </c>
      <c r="AD136" s="1964">
        <f t="shared" si="109"/>
        <v>0</v>
      </c>
      <c r="AE136" s="1964">
        <f t="shared" ref="AE136:AE140" si="145">K136*L136/12*IF(RoundDown,R136,Q136)</f>
        <v>0</v>
      </c>
      <c r="AF136" s="1966">
        <f t="shared" ref="AF136:AF137" si="146">SUM(AD136:AE136)</f>
        <v>0</v>
      </c>
      <c r="AG136" s="1967">
        <f t="shared" ref="AG136:AG137" si="147">AL136+AI136</f>
        <v>0</v>
      </c>
      <c r="AH136" s="1968">
        <f t="shared" ref="AH136:AH137" si="148">IF(RoundDown,R136,Q136)*I136</f>
        <v>0</v>
      </c>
      <c r="AI136" s="1968">
        <f t="shared" si="140"/>
        <v>0</v>
      </c>
      <c r="AJ136" s="1968">
        <f t="shared" si="113"/>
        <v>0</v>
      </c>
      <c r="AK136" s="1968" t="str">
        <f t="shared" ref="AK136:AK137" si="149">TEXT(I136,"0.00%")&amp;" ("&amp;TEXT(AH136,"£0,0")&amp;")"</f>
        <v>3.00% (£00)</v>
      </c>
      <c r="AL136" s="1969">
        <f t="shared" ref="AL136:AL137" si="150">IF(RoundDown,R136,Q136)-AD136-AE136-AH136</f>
        <v>0</v>
      </c>
      <c r="AM136" s="1970" t="e">
        <f>AL136/Property_Value</f>
        <v>#DIV/0!</v>
      </c>
      <c r="AN136" s="1970" t="e">
        <f t="shared" ref="AN136:AN137" si="151">IF(RoundDown,R136,Q136)/Property_Value</f>
        <v>#DIV/0!</v>
      </c>
      <c r="AO136" s="1971">
        <f>Rent_Over_Term+AQ136</f>
        <v>0</v>
      </c>
      <c r="AP136" s="1971"/>
      <c r="AQ136" s="1971">
        <f>'BTL Calculator'!$F$80*Term</f>
        <v>0</v>
      </c>
      <c r="AR136" s="1972" t="b">
        <f>IF(ISERROR(FIND("Bespoke",F118,1)),FALSE,TRUE)</f>
        <v>0</v>
      </c>
      <c r="AS136" s="1973">
        <f t="shared" ref="AS136:AS137" si="152">IFERROR(IF(AND(IF(RoundDown,R136,Q136)=$F$70,E136&gt;=$F$36),1,0),"-")</f>
        <v>1</v>
      </c>
      <c r="AT136" s="1973" t="str">
        <f t="shared" ref="AT136:AT137" si="153">IFERROR(IF(AND(AL136=$F$71,E136&gt;=$F$36),1,0),"-")</f>
        <v>-</v>
      </c>
      <c r="AU136" s="1973">
        <f t="shared" ref="AU136:AU137" si="154">SUM(AS136:AT136)</f>
        <v>1</v>
      </c>
      <c r="AV136" s="1973" t="str">
        <f>IF(IF(Rate_Type="Tracker",X136,W136)&gt;'Product Data'!$P$19,"Y","N")</f>
        <v>Y</v>
      </c>
    </row>
    <row r="137" spans="1:48" ht="18.75" hidden="1" thickBot="1" x14ac:dyDescent="0.4">
      <c r="A137" s="3218"/>
      <c r="B137" s="2029">
        <f>IF(AND('BTL Calculator'!$G$60=C136,F137='BTL Calculator'!$G$62),1,0)</f>
        <v>0</v>
      </c>
      <c r="C137" s="1974"/>
      <c r="D137" s="1975">
        <v>10</v>
      </c>
      <c r="E137" s="1976">
        <f t="shared" si="141"/>
        <v>2</v>
      </c>
      <c r="F137" s="1977" t="s">
        <v>433</v>
      </c>
      <c r="G137" s="1976"/>
      <c r="H137" s="1978" t="b">
        <f>H134</f>
        <v>0</v>
      </c>
      <c r="I137" s="1979">
        <f>I134</f>
        <v>0.03</v>
      </c>
      <c r="J137" s="1980">
        <f>'Product Data'!$P$10</f>
        <v>0.02</v>
      </c>
      <c r="K137" s="1981">
        <f>IF(Term&lt;36,'Product Data'!$P$12,'Product Data'!$P$14)</f>
        <v>9</v>
      </c>
      <c r="L137" s="1978">
        <f>H137-J137</f>
        <v>-0.02</v>
      </c>
      <c r="M137" s="1982">
        <f t="shared" si="126"/>
        <v>0.7</v>
      </c>
      <c r="N137" s="1983">
        <f>MIN(M137*Property_Value,'Product Data'!$P$16)</f>
        <v>0</v>
      </c>
      <c r="O137" s="1983" t="b">
        <f>IF(AND(OR(OR($H$70="Residential BTL",$H$70="Retention "),$H$70="Retention "),Rate_Type="Fixed"),IFERROR(AO137/($L137/12*(Term-$K137)*'Product Data'!$P$23),0),IF(AND(Rate_Type="Tracker",OR(OR($H$70="Residential BTL",$H$70="Retention "),$H$70="Retention ")),IFERROR(AO137/($L137/12*(Term-$K137)*'Product Data'!$P$17),0),IF(AND($H$70="Semi-Commercial",Rate_Type="Tracker"),IFERROR(AP137/($L137/12*(Term-$K137)*'Product Data'!$P$17),0),IF(AND($H$70="Semi-Commercial",Rate_Type="Fixed"),IFERROR(AP137/($L137/12*(Term-$K137)*'Product Data'!$P$23),0),IF(AND($H$70="Commercial",Rate_Type="Tracker"),IFERROR(AP137/($L137/12*(Term-$K137)*'Product Data'!$P$17),0),IF(AND($H$70="Commercial",Rate_Type="Fixed"),IFERROR(AP137/($L137/12*(Term-$K137)*'Product Data'!$P$23),0)))))))</f>
        <v>0</v>
      </c>
      <c r="P137" s="1983" t="str">
        <f>IF('BTL Calculator'!$H$28="Fixed","",IF(OR(OR($H$70="Residential BTL",$H$70="Retention "),$H$70="Retention "),AO137/((((H137-'Product Data'!$E$3+'Product Data'!$K$3-J137)/12*(Term-K137)))*'Product Data'!$P$18),AP137/((((H137-'Product Data'!$E$3+'Product Data'!$K$3-J137)/12*(Term-K137)))*'Product Data'!$P$18)))</f>
        <v/>
      </c>
      <c r="Q137" s="1984">
        <f>IF('BTL Calculator'!$H$28="Tracker",MIN(N137,P137),MIN(O137,N137))</f>
        <v>0</v>
      </c>
      <c r="R137" s="1984">
        <f t="shared" si="142"/>
        <v>0</v>
      </c>
      <c r="S137" s="1985">
        <f t="shared" si="124"/>
        <v>0</v>
      </c>
      <c r="T137" s="1985">
        <f>((H137*IF(RoundDown,R137,Q137)/12))</f>
        <v>0</v>
      </c>
      <c r="U137" s="1985" t="str">
        <f>IF('BTL Calculator'!$H$28="Fixed","",(((L137+$U$73)*IF(RoundDown,R137,Q137)/12)))</f>
        <v/>
      </c>
      <c r="V137" s="1985">
        <f>((L137*IF(RoundDown,R137,Q137)/12))-IF('BTL Calculator'!$CY$11='Product Data'!$AG$9,AE137/Term,0)</f>
        <v>0</v>
      </c>
      <c r="W137" s="1986" t="str">
        <f t="shared" si="143"/>
        <v>-</v>
      </c>
      <c r="X137" s="1986" t="str">
        <f>IF('BTL Calculator'!$H$28="Fixed","",IF(OR($H$70="Residential BTL",$H$70="Retention "),IFERROR(AO137/AA137,"-"),IFERROR(AP137/AA137,"-")))</f>
        <v/>
      </c>
      <c r="Y137" s="1986" t="str">
        <f t="shared" si="144"/>
        <v>£00 @ - ICR</v>
      </c>
      <c r="Z137" s="1985">
        <f>(IF(RoundDown,R137,Q137)*L137)/12*(Term-K137)</f>
        <v>0</v>
      </c>
      <c r="AA137" s="1985" t="str">
        <f>IF('BTL Calculator'!$H$28="Fixed","",(IF(RoundDown,R137,Q137)*(H137-'Product Data'!$E$3+'Product Data'!$K$2-J137))/12*(Term-K137))</f>
        <v/>
      </c>
      <c r="AB137" s="1985">
        <f t="shared" si="107"/>
        <v>0</v>
      </c>
      <c r="AC137" s="1985">
        <f>IFERROR($U$22-V137,"-")</f>
        <v>0</v>
      </c>
      <c r="AD137" s="1985">
        <f t="shared" si="109"/>
        <v>0</v>
      </c>
      <c r="AE137" s="1985">
        <f t="shared" si="145"/>
        <v>0</v>
      </c>
      <c r="AF137" s="1987">
        <f t="shared" si="146"/>
        <v>0</v>
      </c>
      <c r="AG137" s="1988">
        <f t="shared" si="147"/>
        <v>0</v>
      </c>
      <c r="AH137" s="1989">
        <f t="shared" si="148"/>
        <v>0</v>
      </c>
      <c r="AI137" s="1989">
        <f t="shared" si="140"/>
        <v>0</v>
      </c>
      <c r="AJ137" s="1989">
        <f t="shared" si="113"/>
        <v>0</v>
      </c>
      <c r="AK137" s="1989" t="str">
        <f t="shared" si="149"/>
        <v>3.00% (£00)</v>
      </c>
      <c r="AL137" s="1990">
        <f t="shared" si="150"/>
        <v>0</v>
      </c>
      <c r="AM137" s="1991" t="e">
        <f>AL137/Property_Value</f>
        <v>#DIV/0!</v>
      </c>
      <c r="AN137" s="1991" t="e">
        <f t="shared" si="151"/>
        <v>#DIV/0!</v>
      </c>
      <c r="AO137" s="1992">
        <f>Rent_Over_Term+AQ137</f>
        <v>0</v>
      </c>
      <c r="AP137" s="1992"/>
      <c r="AQ137" s="1992">
        <f>'BTL Calculator'!$F$80*Term</f>
        <v>0</v>
      </c>
      <c r="AR137" s="1993" t="b">
        <f>IF(ISERROR(FIND("Bespoke",F119,1)),FALSE,TRUE)</f>
        <v>0</v>
      </c>
      <c r="AS137" s="1973">
        <f t="shared" si="152"/>
        <v>1</v>
      </c>
      <c r="AT137" s="1973" t="str">
        <f t="shared" si="153"/>
        <v>-</v>
      </c>
      <c r="AU137" s="1973">
        <f t="shared" si="154"/>
        <v>1</v>
      </c>
      <c r="AV137" s="1973" t="str">
        <f>IF(IF(Rate_Type="Tracker",X137,W137)&gt;'Product Data'!$P$19,"Y","N")</f>
        <v>Y</v>
      </c>
    </row>
    <row r="138" spans="1:48" ht="18.75" hidden="1" thickBot="1" x14ac:dyDescent="0.4">
      <c r="A138" s="3218"/>
      <c r="B138" s="2029" t="str">
        <f>IF(OR($H$70="Residential BTL",$H$70="Retention "),IF(AND('BTL Calculator'!$G$60=C136,F138='BTL Calculator'!$G$62),1,0),"")</f>
        <v/>
      </c>
      <c r="C138" s="1974"/>
      <c r="D138" s="1975" t="str">
        <f>IF(OR($H$70="Residential BTL",$H$70="Retention "),11,"")</f>
        <v/>
      </c>
      <c r="E138" s="1976" t="str">
        <f>IF(OR($H$70="Residential BTL",$H$70="Retention "),VALUE(LEFT(F138,1)),"")</f>
        <v/>
      </c>
      <c r="F138" s="1977" t="str">
        <f>IF(OR($H$70="Residential BTL",$H$70="Retention "),"3) Specialist BTL","")</f>
        <v/>
      </c>
      <c r="G138" s="1976"/>
      <c r="H138" s="1978" t="str">
        <f>H135</f>
        <v/>
      </c>
      <c r="I138" s="1979">
        <f>I135</f>
        <v>0.03</v>
      </c>
      <c r="J138" s="1980" t="str">
        <f>IF(OR($H$70="Residential BTL",$H$70="Retention "),'Product Data'!$P$10,"")</f>
        <v/>
      </c>
      <c r="K138" s="1981" t="str">
        <f>IF(OR($H$70="Residential BTL",$H$70="Retention "),IF(Term&lt;36,'Product Data'!$P$12,'Product Data'!$P$14),"")</f>
        <v/>
      </c>
      <c r="L138" s="1982" t="str">
        <f>IF(OR($H$70="Residential BTL",$H$70="Retention "),H138-J138,"")</f>
        <v/>
      </c>
      <c r="M138" s="1982" t="str">
        <f t="shared" si="126"/>
        <v/>
      </c>
      <c r="N138" s="1983" t="str">
        <f>IF(OR($H$70="Residential BTL",$H$70="Retention "),MIN(M138*Property_Value,'Product Data'!$P$16),"")</f>
        <v/>
      </c>
      <c r="O138" s="1983" t="b">
        <f>IF(AND(OR(OR($H$70="Residential BTL",$H$70="Retention "),$H$70="Retention "),Rate_Type="Fixed"),IFERROR(AO138/($L138/12*(Term-$K138)*'Product Data'!$P$23),0),IF(AND(Rate_Type="Tracker",OR(OR($H$70="Residential BTL",$H$70="Retention "),$H$70="Retention ")),IFERROR(AO138/($L138/12*(Term-$K138)*'Product Data'!$P$17),0),IF(AND($H$70="Semi-Commercial",Rate_Type="Tracker"),IFERROR(AP138/($L138/12*(Term-$K138)*'Product Data'!$P$17),0),IF(AND($H$70="Semi-Commercial",Rate_Type="Fixed"),IFERROR(AP138/($L138/12*(Term-$K138)*'Product Data'!$P$23),0),IF(AND($H$70="Commercial",Rate_Type="Tracker"),IFERROR(AP138/($L138/12*(Term-$K138)*'Product Data'!$P$17),0),IF(AND($H$70="Commercial",Rate_Type="Fixed"),IFERROR(AP138/($L138/12*(Term-$K138)*'Product Data'!$P$23),0)))))))</f>
        <v>0</v>
      </c>
      <c r="P138" s="1983" t="str">
        <f>IF('BTL Calculator'!$H$28="Fixed","",IF(OR(OR($H$70="Residential BTL",$H$70="Retention "),$H$70="Retention "),AO138/((((H138-'Product Data'!$E$3+'Product Data'!$K$3-J138)/12*(Term-K138)))*'Product Data'!$P$18),AP138/((((H138-'Product Data'!$E$3+'Product Data'!$K$3-J138)/12*(Term-K138)))*'Product Data'!$P$18)))</f>
        <v/>
      </c>
      <c r="Q138" s="1984" t="str">
        <f>IF(OR($H$70="Residential BTL",$H$70="Retention "),IF('BTL Calculator'!$H$28="Tracker",MIN(N138,P138),MIN(O138,N138)),"")</f>
        <v/>
      </c>
      <c r="R138" s="1984" t="str">
        <f>IF(OR($H$70="Residential BTL",$H$70="Retention "),ROUNDDOWN(Q138,-3),"")</f>
        <v/>
      </c>
      <c r="S138" s="1985" t="str">
        <f t="shared" si="124"/>
        <v>-</v>
      </c>
      <c r="T138" s="1985" t="str">
        <f>IF(OR($H$70="Residential BTL",$H$70="Retention "),((H138*IF(RoundDown,R138,Q138)/12)),"")</f>
        <v/>
      </c>
      <c r="U138" s="1985" t="str">
        <f>IF('BTL Calculator'!$H$28="Fixed","",(((L138+$U$73)*IF(RoundDown,R138,Q138)/12)))</f>
        <v/>
      </c>
      <c r="V138" s="1985" t="str">
        <f>IF(OR($H$70="Residential BTL",$H$70="Retention "),((L138*IF(RoundDown,R138,Q138)/12))-IF('BTL Calculator'!$CY$11='Product Data'!$AG$9,AE138/Term,0),"")</f>
        <v/>
      </c>
      <c r="W138" s="1986" t="str">
        <f>IF(OR($H$70="Residential BTL",$H$70="Retention "),IFERROR(AO138/Z138,"-"),"")</f>
        <v/>
      </c>
      <c r="X138" s="1986" t="str">
        <f>IF('BTL Calculator'!$H$28="Fixed","",IF(OR($H$70="Residential BTL",$H$70="Retention "),IFERROR(AO138/AA138,"-"),IFERROR(AP138/AA138,"-")))</f>
        <v/>
      </c>
      <c r="Y138" s="1986" t="str">
        <f>IF(OR($H$70="Residential BTL",$H$70="Retention "),TEXT(V138,"£0,0")&amp;" @ "&amp;TEXT(W138,"0%")&amp;" ICR","")</f>
        <v/>
      </c>
      <c r="Z138" s="1985" t="str">
        <f>IF(OR($H$70="Residential BTL",$H$70="Retention "),(IF(RoundDown,R138,Q138)*L138)/12*(Term-K138),"")</f>
        <v/>
      </c>
      <c r="AA138" s="1985" t="str">
        <f>IF('BTL Calculator'!$H$28="Fixed","",(IF(RoundDown,R138,Q138)*(H138-'Product Data'!$E$3+'Product Data'!$K$2-J138))/12*(Term-K138))</f>
        <v/>
      </c>
      <c r="AB138" s="1985" t="str">
        <f>IF(OR($H$70="Residential BTL",$H$70="Retention "),IFERROR(Monthly_Rent*Term,"-"),"")</f>
        <v/>
      </c>
      <c r="AC138" s="1985" t="str">
        <f>IF(OR($H$70="Residential BTL",$H$70="Retention "),IFERROR($U$22-V138,"-"),"")</f>
        <v/>
      </c>
      <c r="AD138" s="1985" t="e">
        <f t="shared" si="109"/>
        <v>#VALUE!</v>
      </c>
      <c r="AE138" s="1985" t="e">
        <f t="shared" si="145"/>
        <v>#VALUE!</v>
      </c>
      <c r="AF138" s="1987" t="str">
        <f>IF(OR($H$70="Residential BTL",$H$70="Retention "),SUM(AD138:AE138),"")</f>
        <v/>
      </c>
      <c r="AG138" s="1988" t="str">
        <f>IF(OR($H$70="Residential BTL",$H$70="Retention "),AL138+AI138,"")</f>
        <v/>
      </c>
      <c r="AH138" s="1989" t="str">
        <f>IF(OR($H$70="Residential BTL",$H$70="Retention "),IF(RoundDown,R138,Q138)*I138,"")</f>
        <v/>
      </c>
      <c r="AI138" s="1989" t="e">
        <f t="shared" si="140"/>
        <v>#VALUE!</v>
      </c>
      <c r="AJ138" s="1989" t="e">
        <f t="shared" si="113"/>
        <v>#VALUE!</v>
      </c>
      <c r="AK138" s="1989" t="str">
        <f>IF(OR($H$70="Residential BTL",$H$70="Retention "),TEXT(I138,"0.00%")&amp;" ("&amp;TEXT(AH138,"£0,0")&amp;")","")</f>
        <v/>
      </c>
      <c r="AL138" s="1990" t="str">
        <f>IF(OR($H$70="Residential BTL",$H$70="Retention "),IF(RoundDown,R138,Q138)-AD138-AE138-AH138,"")</f>
        <v/>
      </c>
      <c r="AM138" s="1991" t="str">
        <f>IF(OR($H$70="Residential BTL",$H$70="Retention "),AL138/Property_Value,"")</f>
        <v/>
      </c>
      <c r="AN138" s="1991" t="str">
        <f>IF(OR($H$70="Residential BTL",$H$70="Retention "),IF(RoundDown,R138,Q138)/Property_Value,"")</f>
        <v/>
      </c>
      <c r="AO138" s="1992" t="str">
        <f>IF(OR($H$70="Residential BTL",$H$70="Retention "),Rent_Over_Term+AQ138,"")</f>
        <v/>
      </c>
      <c r="AP138" s="1992"/>
      <c r="AQ138" s="1992" t="str">
        <f>IF(OR($H$70="Residential BTL",$H$70="Retention "),'BTL Calculator'!$F$80*Term,"")</f>
        <v/>
      </c>
      <c r="AR138" s="1993" t="str">
        <f>IF(OR($H$70="Residential BTL",$H$70="Retention "),IF(ISERROR(FIND("Bespoke",F120,1)),FALSE,TRUE),"")</f>
        <v/>
      </c>
      <c r="AS138" s="1973" t="str">
        <f>IF(OR($H$70="Residential BTL",$H$70="Retention "),IFERROR(IF(AND(IF(RoundDown,R138,Q138)=$F$70,E138&gt;=$F$36),1,0),"-"),"")</f>
        <v/>
      </c>
      <c r="AT138" s="1973" t="str">
        <f>IF(OR($H$70="Residential BTL",$H$70="Retention "),IFERROR(IF(AND(AL138=$F$71,E138&gt;=$F$36),1,0),"-"),"")</f>
        <v/>
      </c>
      <c r="AU138" s="1973" t="str">
        <f>IF(OR($H$70="Residential BTL",$H$70="Retention "),SUM(AS138:AT138),"")</f>
        <v/>
      </c>
      <c r="AV138" s="1973" t="str">
        <f>IF(OR($H$70="Residential BTL",$H$70="Retention "),IF(IF(Rate_Type="Tracker",X138,W138)&gt;'Product Data'!$P$19,"Y","N"),"")</f>
        <v/>
      </c>
    </row>
    <row r="139" spans="1:48" x14ac:dyDescent="0.35">
      <c r="A139" s="3218"/>
      <c r="B139" s="308">
        <f>IF('BTL Calculator'!$V$2="Core",0,IF(AND('BTL Calculator'!$G$60=C139,F139='BTL Calculator'!$G$62),1,0))</f>
        <v>0</v>
      </c>
      <c r="C139" s="1994" t="s">
        <v>378</v>
      </c>
      <c r="D139" s="1995">
        <v>13</v>
      </c>
      <c r="E139" s="1996">
        <f t="shared" ref="E139:E140" si="155">VALUE(LEFT(F139,1))</f>
        <v>0</v>
      </c>
      <c r="F139" s="1997">
        <f>IF($H$70='Product Data'!$BT5,'Product Data'!$B190,IF($H$70='Product Data'!$BT2,'Product Data'!$B9,IF($H$70='Product Data'!BT3,'Product Data'!B34,IF(H70='Product Data'!BT4,'Product Data'!B47,0))))</f>
        <v>0</v>
      </c>
      <c r="G139" s="2033"/>
      <c r="H139" s="2005" t="b">
        <f t="shared" ref="H139:I141" si="156">H133</f>
        <v>0</v>
      </c>
      <c r="I139" s="2016">
        <f t="shared" si="156"/>
        <v>0.03</v>
      </c>
      <c r="J139" s="2669" t="b">
        <f>IF(AND(Rate_Type="Fixed",H72="3 Year Fixed"),IF(Defer3&gt;'Product Data'!$P$24,'Product Data'!$P$24,Defer3),IF(AND(Rate_Type="Fixed",H72="2 Year Fixed"),IF(Defer3&gt;'Product Data'!$P$24,'Product Data'!$P$24,Defer3),IF(AND(Rate_Type="Fixed",H72="5 Year Fixed"),IF(Defer3&gt;'Product Data'!$P$33,'Product Data'!$P$33,Defer3),IF(AND(Rate_Type="Tracker",$H$70="Commercial"),IF(Defer3&gt;0.015,0.015,Defer6),IF(AND(Rate_Type="Tracker",$H$70="Semi-Commercial"),IF(Defer3&gt;0.015,0.015,Defer3),IF(AND(Rate_Type="Tracker",OR($H$70="Residential BTL",$H$70="Retention ")),IF(Defer3&gt;0.02,0.02,Defer3)))))))</f>
        <v>0</v>
      </c>
      <c r="K139" s="645">
        <f>IF(Roll3="",0,IF(OR(OR($H$70="Residential BTL",$H$70="Retention "),$H$70="Retention "),MAX(MIN(Roll3,'Product Data'!$P$12),0),MAX(MIN(Roll3,6),0)))</f>
        <v>0</v>
      </c>
      <c r="L139" s="2005">
        <f>IFERROR(H139-J139,"-")</f>
        <v>0</v>
      </c>
      <c r="M139" s="2006">
        <f>M133</f>
        <v>0.7</v>
      </c>
      <c r="N139" s="2007">
        <f>MIN(M139*Property_Value,'Product Data'!$P$16)</f>
        <v>0</v>
      </c>
      <c r="O139" s="2007" t="b">
        <f>IF(AND(OR(OR($H$70="Residential BTL",$H$70="Retention "),$H$70="Retention "),Rate_Type="Fixed"),IFERROR(AO139/($L139/12*(Term-$K139)*'Product Data'!$P$23),0),IF(AND(Rate_Type="Tracker",OR(OR($H$70="Residential BTL",$H$70="Retention "),$H$70="Retention ")),IFERROR(AO139/($L139/12*(Term-$K139)*'Product Data'!$P$17),0),IF(AND($H$70="Semi-Commercial",Rate_Type="Tracker"),IFERROR(AP139/($L139/12*(Term-$K139)*'Product Data'!$P$17),0),IF(AND($H$70="Semi-Commercial",Rate_Type="Fixed"),IFERROR(AP139/($L139/12*(Term-$K139)*'Product Data'!$P$23),0),IF(AND($H$70="Commercial",Rate_Type="Tracker"),IFERROR(AP139/($L139/12*(Term-$K139)*'Product Data'!$P$17),0),IF(AND($H$70="Commercial",Rate_Type="Fixed"),IFERROR(AP139/($L139/12*(Term-$K139)*'Product Data'!$P$23),0)))))))</f>
        <v>0</v>
      </c>
      <c r="P139" s="2007" t="str">
        <f>IF('BTL Calculator'!$H$28="Fixed","",IF(OR(OR($H$70="Residential BTL",$H$70="Retention "),$H$70="Retention "),AO139/((((H139-'Product Data'!$E$3+'Product Data'!$K$3-J139)/12*(Term-K139)))*'Product Data'!$P$18),AP139/((((H139-'Product Data'!$E$3+'Product Data'!$K$3-J139)/12*(Term-K139)))*'Product Data'!$P$18)))</f>
        <v/>
      </c>
      <c r="Q139" s="634">
        <f>IF('BTL Calculator'!$H$28="Tracker",MIN(N139,P139),MIN(O139,N139))</f>
        <v>0</v>
      </c>
      <c r="R139" s="634">
        <f t="shared" ref="R139:R140" si="157">ROUNDDOWN(Q139,-3)</f>
        <v>0</v>
      </c>
      <c r="S139" s="2037">
        <f t="shared" si="124"/>
        <v>0</v>
      </c>
      <c r="T139" s="2037">
        <f>IFERROR(((H139*IF(RoundDown,R139,Q139)/12)),"-")</f>
        <v>0</v>
      </c>
      <c r="U139" s="2037" t="str">
        <f>IF('BTL Calculator'!$H$28="Fixed","",(((L139+$U$73)*IF(RoundDown,R139,Q139)/12)))</f>
        <v/>
      </c>
      <c r="V139" s="2037">
        <f>IFERROR(((L139*IF(RoundDown,R139,Q139)/12)),"-")</f>
        <v>0</v>
      </c>
      <c r="W139" s="2038" t="str">
        <f>IF(OR($H$70="Residential BTL",$H$70="Retention "),IFERROR(AO139/Z139,"-"),IFERROR(AP139/Z139,"-"))</f>
        <v>-</v>
      </c>
      <c r="X139" s="2038" t="str">
        <f>IF('BTL Calculator'!$H$28="Fixed","",IF(OR($H$70="Residential BTL",$H$70="Retention "),IFERROR(AO139/AA139,"-"),IFERROR(AP139/AA139,"-")))</f>
        <v/>
      </c>
      <c r="Y139" s="2038" t="str">
        <f t="shared" ref="Y139:Y140" si="158">TEXT(V139,"£0,0")&amp;" @ "&amp;TEXT(W139,"0%")&amp;" ICR"</f>
        <v>£00 @ - ICR</v>
      </c>
      <c r="Z139" s="2037">
        <f>(IF(RoundDown,R139,Q139)*L139)/12*(Term-K139)</f>
        <v>0</v>
      </c>
      <c r="AA139" s="2037" t="str">
        <f>IF('BTL Calculator'!$H$28="Fixed","",(IF(RoundDown,R139,Q139)*(H139-'Product Data'!$E$3+'Product Data'!$K$2-J139))/12*(Term-K139))</f>
        <v/>
      </c>
      <c r="AB139" s="2037">
        <f t="shared" si="107"/>
        <v>0</v>
      </c>
      <c r="AC139" s="2037">
        <f>IFERROR($U$22-V139,"-")</f>
        <v>0</v>
      </c>
      <c r="AD139" s="2037">
        <f>((J139*IF(RoundDown,R139,Q139))/12)*Term</f>
        <v>0</v>
      </c>
      <c r="AE139" s="2037">
        <f t="shared" si="145"/>
        <v>0</v>
      </c>
      <c r="AF139" s="2039">
        <f t="shared" ref="AF139:AF140" si="159">SUM(AD139:AE139)</f>
        <v>0</v>
      </c>
      <c r="AG139" s="2040">
        <f t="shared" ref="AG139:AG140" si="160">AL139+AI139</f>
        <v>0</v>
      </c>
      <c r="AH139" s="2041">
        <f t="shared" ref="AH139:AH143" si="161">+AI139+AJ139</f>
        <v>0</v>
      </c>
      <c r="AI139" s="2041">
        <f t="shared" si="140"/>
        <v>0</v>
      </c>
      <c r="AJ139" s="2041">
        <f t="shared" si="113"/>
        <v>0</v>
      </c>
      <c r="AK139" s="2041" t="str">
        <f t="shared" ref="AK139:AK140" si="162">TEXT(I139,"0.00%")&amp;" ("&amp;TEXT(AH139,"£0,0")&amp;")"</f>
        <v>3.00% (£00)</v>
      </c>
      <c r="AL139" s="2042">
        <f t="shared" ref="AL139:AL140" si="163">IF(RoundDown,R139,Q139)-AD139-AE139-AH139</f>
        <v>0</v>
      </c>
      <c r="AM139" s="2043" t="e">
        <f t="shared" ref="AM139:AM140" si="164">AL139/Property_Value</f>
        <v>#DIV/0!</v>
      </c>
      <c r="AN139" s="2043" t="e">
        <f t="shared" ref="AN139:AN140" si="165">IF(RoundDown,R139,Q139)/Property_Value</f>
        <v>#DIV/0!</v>
      </c>
      <c r="AO139" s="653">
        <f>Rent_Over_Term+AQ139</f>
        <v>0</v>
      </c>
      <c r="AP139" s="653">
        <f t="shared" ref="AP139:AP140" si="166">IF($H$72="3 Year Fixed",$X$22*36+AQ139, $X$22*24+AQ139)</f>
        <v>0</v>
      </c>
      <c r="AQ139" s="653">
        <f>'BTL Calculator'!$O$80*Term</f>
        <v>0</v>
      </c>
      <c r="AR139" s="654" t="b">
        <f>IF(ISERROR(FIND("Bespoke",F121,1)),FALSE,TRUE)</f>
        <v>0</v>
      </c>
      <c r="AS139" s="287">
        <f t="shared" ref="AS139:AS140" si="167">IFERROR(IF(AND(IF(RoundDown,R139,Q139)=$F$70,E139&gt;=$F$36),1,0),"-")</f>
        <v>0</v>
      </c>
      <c r="AT139" s="287" t="str">
        <f t="shared" ref="AT139:AT140" si="168">IFERROR(IF(AND(AL139=$F$71,E139&gt;=$F$36),1,0),"-")</f>
        <v>-</v>
      </c>
      <c r="AU139" s="67">
        <f t="shared" ref="AU139:AU140" si="169">SUM(AS139:AT139)</f>
        <v>0</v>
      </c>
      <c r="AV139" s="67" t="str">
        <f>IF(IF(Rate_Type="Tracker",X139,W139)&gt;'Product Data'!$P$19,"Y","N")</f>
        <v>Y</v>
      </c>
    </row>
    <row r="140" spans="1:48" x14ac:dyDescent="0.35">
      <c r="A140" s="3218"/>
      <c r="B140" s="308">
        <f>IF('BTL Calculator'!$V$2="Core",0,IF(AND('BTL Calculator'!$G$60=C139,F140='BTL Calculator'!$G$62),1,0))</f>
        <v>0</v>
      </c>
      <c r="C140" s="1998"/>
      <c r="D140" s="1999">
        <v>14</v>
      </c>
      <c r="E140" s="308">
        <f t="shared" si="155"/>
        <v>0</v>
      </c>
      <c r="F140" s="2000">
        <f>IF($H$70='Product Data'!$BT5,'Product Data'!$B191,IF($H$70='Product Data'!$BT2,'Product Data'!$B10,IF($H$70='Product Data'!BT3,'Product Data'!B35,IF(H70='Product Data'!BT4,'Product Data'!B48,0))))</f>
        <v>0</v>
      </c>
      <c r="G140" s="2032"/>
      <c r="H140" s="2015" t="b">
        <f t="shared" si="156"/>
        <v>0</v>
      </c>
      <c r="I140" s="2017">
        <f t="shared" si="156"/>
        <v>0.03</v>
      </c>
      <c r="J140" s="2352" t="b">
        <f>IF(AND(Rate_Type="Fixed",H72="3 Year Fixed"),IF(Defer3&gt;'Product Data'!$P$24,'Product Data'!$P$24,Defer3),IF(AND(Rate_Type="Fixed",H72="2 Year Fixed"),IF(Defer3&gt;'Product Data'!$P$24,'Product Data'!$P$24,Defer3),IF(AND(Rate_Type="Fixed",H72="5 Year Fixed"),IF(Defer3&gt;'Product Data'!$P$33,'Product Data'!$P$33,Defer3),IF(AND(Rate_Type="Tracker",$H$70="Commercial"),IF(Defer3&gt;0.015,0.015,Defer3),IF(AND(Rate_Type="Tracker",$H$70="Semi-Commercial"),IF(Defer3&gt;0.015,0.015,Defer3),IF(AND(Rate_Type="Tracker",OR($H$70="Residential BTL",$H$70="Retention ")),IF(Defer3&gt;0.02,0.02,Defer3)))))))</f>
        <v>0</v>
      </c>
      <c r="K140" s="648">
        <f>IF(Roll3="",0,IF(OR(OR($H$70="Residential BTL",$H$70="Retention "),$H$70="Retention "),MAX(MIN(Roll3,'Product Data'!$P$12),0),MAX(MIN(Roll3,6),0)))</f>
        <v>0</v>
      </c>
      <c r="L140" s="2008">
        <f>H140-J140</f>
        <v>0</v>
      </c>
      <c r="M140" s="2009">
        <f>M134</f>
        <v>0.7</v>
      </c>
      <c r="N140" s="2010">
        <f>MIN(M140*Property_Value,'Product Data'!$P$16)</f>
        <v>0</v>
      </c>
      <c r="O140" s="2010" t="b">
        <f>IF(AND(OR(OR($H$70="Residential BTL",$H$70="Retention "),$H$70="Retention "),Rate_Type="Fixed"),IFERROR(AO140/($L140/12*(Term-$K140)*'Product Data'!$P$23),0),IF(AND(Rate_Type="Tracker",OR(OR($H$70="Residential BTL",$H$70="Retention "),$H$70="Retention ")),IFERROR(AO140/($L140/12*(Term-$K140)*'Product Data'!$P$17),0),IF(AND($H$70="Semi-Commercial",Rate_Type="Tracker"),IFERROR(AP140/($L140/12*(Term-$K140)*'Product Data'!$P$17),0),IF(AND($H$70="Semi-Commercial",Rate_Type="Fixed"),IFERROR(AP140/($L140/12*(Term-$K140)*'Product Data'!$P$23),0),IF(AND($H$70="Commercial",Rate_Type="Tracker"),IFERROR(AP140/($L140/12*(Term-$K140)*'Product Data'!$P$17),0),IF(AND($H$70="Commercial",Rate_Type="Fixed"),IFERROR(AP140/($L140/12*(Term-$K140)*'Product Data'!$P$23),0)))))))</f>
        <v>0</v>
      </c>
      <c r="P140" s="2010" t="str">
        <f>IF('BTL Calculator'!$H$28="Fixed","",IF(OR(OR($H$70="Residential BTL",$H$70="Retention "),$H$70="Retention "),AO140/((((H140-'Product Data'!$E$3+'Product Data'!$K$3-J140)/12*(Term-K140)))*'Product Data'!$P$18),AP140/((((H140-'Product Data'!$E$3+'Product Data'!$K$3-J140)/12*(Term-K140)))*'Product Data'!$P$18)))</f>
        <v/>
      </c>
      <c r="Q140" s="639">
        <f>IF('BTL Calculator'!$H$28="Tracker",MIN(N140,P140),MIN(O140,N140))</f>
        <v>0</v>
      </c>
      <c r="R140" s="639">
        <f t="shared" si="157"/>
        <v>0</v>
      </c>
      <c r="S140" s="2044">
        <f t="shared" si="124"/>
        <v>0</v>
      </c>
      <c r="T140" s="2044">
        <f>((H140*IF(RoundDown,R140,Q140)/12))</f>
        <v>0</v>
      </c>
      <c r="U140" s="2044" t="str">
        <f>IF('BTL Calculator'!$H$28="Fixed","",(((L140+$U$73)*IF(RoundDown,R140,Q140)/12)))</f>
        <v/>
      </c>
      <c r="V140" s="2044">
        <f>((L140*IF(RoundDown,R140,Q140)/12))-IF('BTL Calculator'!$CY$11='Product Data'!$AG$9,AE140/Term,0)</f>
        <v>0</v>
      </c>
      <c r="W140" s="2045" t="str">
        <f>IF(OR($H$70="Residential BTL",$H$70="Retention "),IFERROR(AO140/Z140,"-"),IFERROR(AP140/Z140,"-"))</f>
        <v>-</v>
      </c>
      <c r="X140" s="2045" t="str">
        <f>IF('BTL Calculator'!$H$28="Fixed","",IF(OR($H$70="Residential BTL",$H$70="Retention "),IFERROR(AO140/AA140,"-"),IFERROR(AP140/AA140,"-")))</f>
        <v/>
      </c>
      <c r="Y140" s="2045" t="str">
        <f t="shared" si="158"/>
        <v>£00 @ - ICR</v>
      </c>
      <c r="Z140" s="2044">
        <f>(IF(RoundDown,R140,Q140)*L140)/12*(Term-K140)</f>
        <v>0</v>
      </c>
      <c r="AA140" s="2044" t="str">
        <f>IF('BTL Calculator'!$H$28="Fixed","",(IF(RoundDown,R140,Q140)*(H140-'Product Data'!$E$3+'Product Data'!$K$2-J140))/12*(Term-K140))</f>
        <v/>
      </c>
      <c r="AB140" s="2044">
        <f t="shared" si="107"/>
        <v>0</v>
      </c>
      <c r="AC140" s="2044">
        <f>IFERROR($U$22-V140,"-")</f>
        <v>0</v>
      </c>
      <c r="AD140" s="2044">
        <f t="shared" ref="AD140:AD144" si="170">((J140*IF(RoundDown,R140,Q140))/12)*Term</f>
        <v>0</v>
      </c>
      <c r="AE140" s="2044">
        <f t="shared" si="145"/>
        <v>0</v>
      </c>
      <c r="AF140" s="2046">
        <f t="shared" si="159"/>
        <v>0</v>
      </c>
      <c r="AG140" s="2047">
        <f t="shared" si="160"/>
        <v>0</v>
      </c>
      <c r="AH140" s="2048">
        <f t="shared" si="161"/>
        <v>0</v>
      </c>
      <c r="AI140" s="2048">
        <f t="shared" si="140"/>
        <v>0</v>
      </c>
      <c r="AJ140" s="2048">
        <f t="shared" si="113"/>
        <v>0</v>
      </c>
      <c r="AK140" s="2048" t="str">
        <f t="shared" si="162"/>
        <v>3.00% (£00)</v>
      </c>
      <c r="AL140" s="2049">
        <f t="shared" si="163"/>
        <v>0</v>
      </c>
      <c r="AM140" s="2050" t="e">
        <f t="shared" si="164"/>
        <v>#DIV/0!</v>
      </c>
      <c r="AN140" s="2050" t="e">
        <f t="shared" si="165"/>
        <v>#DIV/0!</v>
      </c>
      <c r="AO140" s="655">
        <f>Rent_Over_Term+AQ140</f>
        <v>0</v>
      </c>
      <c r="AP140" s="655">
        <f t="shared" si="166"/>
        <v>0</v>
      </c>
      <c r="AQ140" s="655">
        <f>'BTL Calculator'!$O$80*Term</f>
        <v>0</v>
      </c>
      <c r="AR140" s="656" t="b">
        <f>IF(ISERROR(FIND("Bespoke",F122,1)),FALSE,TRUE)</f>
        <v>0</v>
      </c>
      <c r="AS140" s="287">
        <f t="shared" si="167"/>
        <v>0</v>
      </c>
      <c r="AT140" s="287" t="str">
        <f t="shared" si="168"/>
        <v>-</v>
      </c>
      <c r="AU140" s="67">
        <f t="shared" si="169"/>
        <v>0</v>
      </c>
      <c r="AV140" s="67" t="str">
        <f>IF(IF(Rate_Type="Tracker",X140,W140)&gt;'Product Data'!$P$19,"Y","N")</f>
        <v>Y</v>
      </c>
    </row>
    <row r="141" spans="1:48" ht="18.75" thickBot="1" x14ac:dyDescent="0.4">
      <c r="A141" s="3218"/>
      <c r="B141" s="308" t="str">
        <f>IF(OR($H$70="Residential BTL",$H$70="Retention "),IF(AND('BTL Calculator'!$G$60=C139,F141='BTL Calculator'!$G$62),1,0),"")</f>
        <v/>
      </c>
      <c r="C141" s="1998"/>
      <c r="D141" s="1999" t="str">
        <f>IF(OR(OR($H$70="Residential BTL",$H$70="Retention "),$H$70="Retention "),15,"")</f>
        <v/>
      </c>
      <c r="E141" s="308" t="str">
        <f>IF(OR(OR($H$70="Residential BTL",$H$70="Retention "),$H$70="Retention "),VALUE(LEFT(F141,1)),"")</f>
        <v/>
      </c>
      <c r="F141" s="2000" t="str">
        <f>IF(OR(OR($H$70="Residential BTL",$H$70="Retention "),$H$70="Retention "),"3) Specialist BTL","")</f>
        <v/>
      </c>
      <c r="G141" s="2032"/>
      <c r="H141" s="2015" t="str">
        <f t="shared" si="156"/>
        <v/>
      </c>
      <c r="I141" s="2017">
        <f t="shared" si="156"/>
        <v>0.03</v>
      </c>
      <c r="J141" s="2352" t="b">
        <f>IF(AND(Rate_Type="Fixed",H72="3 Year Fixed"),IF(Defer3&gt;'Product Data'!$P$24,'Product Data'!$P$24,Defer3),IF(AND(Rate_Type="Fixed",H72="2 Year Fixed"),IF(Defer3&gt;'Product Data'!$P$24,'Product Data'!$P$24,Defer3),IF(AND(Rate_Type="Fixed",H72="5 Year Fixed"),IF(Defer3&gt;'Product Data'!$P$33,'Product Data'!$P$33,Defer3),IF(AND(Rate_Type="Tracker",$H$70="Commercial"),IF(Defer3&gt;0.015,0.015,Defer3),IF(AND(Rate_Type="Tracker",$H$70="Semi-Commercial"),IF(Defer3&gt;0.015,0.015,Defer3),IF(AND(Rate_Type="Tracker",OR($H$70="Residential BTL",$H$70="Retention ")),IF(Defer3&gt;0.02,0.02,Defer3)))))))</f>
        <v>0</v>
      </c>
      <c r="K141" s="648" t="str">
        <f>IF(OR(OR($H$70="Residential BTL",$H$70="Retention "),$H$70="Retention "),IF(Roll3="",0,IF(OR($H$70="Residential BTL",$H$70="Retention "),MAX(MIN(Roll3,'Product Data'!$P$12),0),"")),"")</f>
        <v/>
      </c>
      <c r="L141" s="2008" t="str">
        <f>IF('BTL Calculator'!V2="Core","",IF(OR(OR($H$70="Residential BTL",$H$70="Retention "),$H$70="Retention "),H141-J141,""))</f>
        <v/>
      </c>
      <c r="M141" s="2009" t="str">
        <f>M135</f>
        <v/>
      </c>
      <c r="N141" s="2010" t="str">
        <f>IF(OR(OR($H$70="Residential BTL",$H$70="Retention "),$H$70="Retention "),MIN(M141*Property_Value,'Product Data'!$P$16),"")</f>
        <v/>
      </c>
      <c r="O141" s="2010" t="b">
        <f>IF(AND(OR(OR($H$70="Residential BTL",$H$70="Retention "),$H$70="Retention "),Rate_Type="Fixed"),IFERROR(AO141/($L141/12*(Term-$K141)*'Product Data'!$P$23),0),IF(AND(Rate_Type="Tracker",OR(OR($H$70="Residential BTL",$H$70="Retention "),$H$70="Retention ")),IFERROR(AO141/($L141/12*(Term-$K141)*'Product Data'!$P$17),0),IF(AND($H$70="Semi-Commercial",Rate_Type="Tracker"),IFERROR(AP141/($L141/12*(Term-$K141)*'Product Data'!$P$17),0),IF(AND($H$70="Semi-Commercial",Rate_Type="Fixed"),IFERROR(AP141/($L141/12*(Term-$K141)*'Product Data'!$P$23),0),IF(AND($H$70="Commercial",Rate_Type="Tracker"),IFERROR(AP141/($L141/12*(Term-$K141)*'Product Data'!$P$17),0),IF(AND($H$70="Commercial",Rate_Type="Fixed"),IFERROR(AP141/($L141/12*(Term-$K141)*'Product Data'!$P$23),0)))))))</f>
        <v>0</v>
      </c>
      <c r="P141" s="2010" t="str">
        <f>IF('BTL Calculator'!$H$28="Fixed","",IF(OR(OR($H$70="Residential BTL",$H$70="Retention "),$H$70="Retention "),AO141/((((H141-'Product Data'!$E$3+'Product Data'!$K$3-J141)/12*(Term-K141)))*'Product Data'!$P$18),AP141/((((H141-'Product Data'!$E$3+'Product Data'!$K$3-J141)/12*(Term-K141)))*'Product Data'!$P$18)))</f>
        <v/>
      </c>
      <c r="Q141" s="639" t="str">
        <f>IF(OR($H$70="Residential BTL",$H$70="Retention "),IF('BTL Calculator'!$H$28="Tracker",MIN(N141,P141),MIN(O141,N141)),"")</f>
        <v/>
      </c>
      <c r="R141" s="639" t="str">
        <f>IF(OR($H$70="Residential BTL",$H$70="Retention "),ROUNDDOWN(Q141,-3),"")</f>
        <v/>
      </c>
      <c r="S141" s="2044" t="str">
        <f t="shared" si="124"/>
        <v>-</v>
      </c>
      <c r="T141" s="2722" t="str">
        <f>IFERROR(((H141*IF(RoundDown,R141,Q141)/12)),"-")</f>
        <v>-</v>
      </c>
      <c r="U141" s="2044" t="str">
        <f>IF('BTL Calculator'!$H$28="Fixed","",(((L141+$U$73)*IF(RoundDown,R141,Q141)/12)))</f>
        <v/>
      </c>
      <c r="V141" s="2044" t="str">
        <f>IF('BTL Calculator'!$V$2="Core","",IF(OR($H$70="Residential BTL",$H$70="Retention "),((L141*IF(RoundDown,R141,Q141)/12))-IF('BTL Calculator'!$CY$11='Product Data'!$AG$9,AE141/Term,0),""))</f>
        <v/>
      </c>
      <c r="W141" s="2045" t="str">
        <f>IF(OR($H$70="Residential BTL",$H$70="Retention "),IFERROR(AO141/Z141,"-"),"")</f>
        <v/>
      </c>
      <c r="X141" s="2045" t="str">
        <f>IF('BTL Calculator'!$H$28="Fixed","",IF(OR($H$70="Residential BTL",$H$70="Retention "),IFERROR(AO141/AA141,"-"),IFERROR(AP141/AA141,"-")))</f>
        <v/>
      </c>
      <c r="Y141" s="2045" t="str">
        <f>IF(OR($H$70="Residential BTL",$H$70="Retention "),TEXT(V141,"£0,0")&amp;" @ "&amp;TEXT(W141,"0%")&amp;" ICR","")</f>
        <v/>
      </c>
      <c r="Z141" s="2044" t="str">
        <f>IF('BTL Calculator'!$V$2="Core","",IF(OR($H$70="Residential BTL",$H$70="Retention "),(IF(RoundDown,R141,Q141)*L141)/12*(Term-K141),""))</f>
        <v/>
      </c>
      <c r="AA141" s="2044" t="str">
        <f>IF('BTL Calculator'!$H$28="Fixed","",(IF(RoundDown,R141,Q141)*(H141-'Product Data'!$E$3+'Product Data'!$K$2-J141))/12*(Term-K141))</f>
        <v/>
      </c>
      <c r="AB141" s="2044" t="str">
        <f>IF(OR($H$70="Residential BTL",$H$70="Retention "),IFERROR(Monthly_Rent*Term,"-"),"")</f>
        <v/>
      </c>
      <c r="AC141" s="2044" t="str">
        <f>IF(OR($H$70="Residential BTL",$H$70="Retention "),IFERROR($U$22-V141,"-"),"")</f>
        <v/>
      </c>
      <c r="AD141" s="2044" t="e">
        <f t="shared" si="170"/>
        <v>#VALUE!</v>
      </c>
      <c r="AE141" s="2044" t="e">
        <f>IF('BTL Calculator'!$V$2="Core","",K141*L141/12*IF(RoundDown,R141,Q141))</f>
        <v>#VALUE!</v>
      </c>
      <c r="AF141" s="2046" t="str">
        <f>IF(OR($H$70="Residential BTL",$H$70="Retention "),SUM(AD141:AE141),"")</f>
        <v/>
      </c>
      <c r="AG141" s="2047" t="str">
        <f>IF('BTL Calculator'!V2="Core","",IF(OR($H$70="Residential BTL",$H$70="Retention "),AL141+AI141,""))</f>
        <v/>
      </c>
      <c r="AH141" s="2048" t="e">
        <f t="shared" si="161"/>
        <v>#VALUE!</v>
      </c>
      <c r="AI141" s="2048" t="e">
        <f t="shared" si="140"/>
        <v>#VALUE!</v>
      </c>
      <c r="AJ141" s="2048" t="e">
        <f t="shared" si="113"/>
        <v>#VALUE!</v>
      </c>
      <c r="AK141" s="2048" t="str">
        <f>IF(OR($H$70="Residential BTL",$H$70="Retention "),TEXT(I141,"0.00%")&amp;" ("&amp;TEXT(AH141,"£0,0")&amp;")","")</f>
        <v/>
      </c>
      <c r="AL141" s="2049" t="str">
        <f>IF('BTL Calculator'!V2="Core","",IF(OR($H$70="Residential BTL",$H$70="Retention "),IF(RoundDown,R141,Q141)-AD141-AE141-AH141,""))</f>
        <v/>
      </c>
      <c r="AM141" s="2050" t="str">
        <f>IF('BTL Calculator'!V2="Core","",IF(OR($H$70="Residential BTL",$H$70="Retention "),AL141/Property_Value,""))</f>
        <v/>
      </c>
      <c r="AN141" s="2050" t="str">
        <f>IF(OR($H$70="Residential BTL",$H$70="Retention "),IF(RoundDown,R141,Q141)/Property_Value,"")</f>
        <v/>
      </c>
      <c r="AO141" s="640" t="str">
        <f>IF(OR($H$70="Residential BTL",$H$70="Retention "),Rent_Over_Term+AQ141,"")</f>
        <v/>
      </c>
      <c r="AP141" s="649"/>
      <c r="AQ141" s="640" t="str">
        <f>IF(OR($H$70="Residential BTL",$H$70="Retention "),'BTL Calculator'!$O$80*Term,"")</f>
        <v/>
      </c>
      <c r="AR141" s="641" t="str">
        <f>IF(OR($H$70="Residential BTL",$H$70="Retention "),IF(ISERROR(FIND("Bespoke",F123,1)),FALSE,TRUE),"")</f>
        <v/>
      </c>
      <c r="AS141" s="287" t="str">
        <f>IF(OR($H$70="Residential BTL",$H$70="Retention "),IFERROR(IF(AND(IF(RoundDown,R141,Q141)=$F$70,E141&gt;=$F$36),1,0),"-"),"")</f>
        <v/>
      </c>
      <c r="AT141" s="287" t="str">
        <f>IF(OR($H$70="Residential BTL",$H$70="Retention "),IFERROR(IF(AND(AL141=$F$71,E141&gt;=$F$36),1,0),"-"),"")</f>
        <v/>
      </c>
      <c r="AU141" s="287" t="str">
        <f>IF(OR($H$70="Residential BTL",$H$70="Retention "),SUM(AS141:AT141),"")</f>
        <v/>
      </c>
      <c r="AV141" s="287" t="str">
        <f>IF(OR($H$70="Residential BTL",$H$70="Retention "),IF(IF(Rate_Type="Tracker",X141,W141)&gt;'Product Data'!$P$19,"Y","N"),"")</f>
        <v/>
      </c>
    </row>
    <row r="142" spans="1:48" x14ac:dyDescent="0.35">
      <c r="A142" s="3218"/>
      <c r="B142" s="308">
        <f>IF(AND('BTL Calculator'!$G$60=C142,F142='BTL Calculator'!$G$62),1,0)</f>
        <v>0</v>
      </c>
      <c r="C142" s="2001" t="s">
        <v>589</v>
      </c>
      <c r="D142" s="1995">
        <v>17</v>
      </c>
      <c r="E142" s="1996">
        <f t="shared" ref="E142" si="171">VALUE(LEFT(F142,1))</f>
        <v>1</v>
      </c>
      <c r="F142" s="2002" t="str">
        <f>'BTL Calculator'!$G$62</f>
        <v>1) Standard</v>
      </c>
      <c r="G142" s="2034"/>
      <c r="H142" s="2005" t="e">
        <f>INDEX(H$130:H$132,MATCH($F$142,$F$130:$F$132,0))</f>
        <v>#N/A</v>
      </c>
      <c r="I142" s="2016" t="e">
        <f>INDEX(I$130:I$132,MATCH($E$142,$E$130:$E$132,0))</f>
        <v>#N/A</v>
      </c>
      <c r="J142" s="2669" t="b">
        <f>IF('BTL Calculator'!V2="Core",0,IF(AND(Rate_Type="Fixed",H72="3 Year Fixed"),IF(Defer3&gt;'Product Data'!$P$24,'Product Data'!$P$24,Defer3),IF(AND(Rate_Type="Fixed",H72="2 Year Fixed"),IF(Defer3&gt;'Product Data'!$P$24,'Product Data'!$P$24,Defer3),IF(AND(Rate_Type="Fixed",H72="5 Year Fixed"),IF(Defer3&gt;'Product Data'!$P$33,'Product Data'!$P$33,Defer3),IF(AND(Rate_Type="Tracker",$H$70="Commercial"),IF(Defer3&gt;0.015,0.015,Defer3),IF(AND(Rate_Type="Tracker",$H$70="Semi-Commercial"),IF(Defer3&gt;0.015,0.015,Defer3),IF(AND(Rate_Type="Tracker",OR($H$70="Residential BTL",$H$70="Retention ")),IF(Defer3&gt;0.02,0.02,Defer3))))))))</f>
        <v>0</v>
      </c>
      <c r="K142" s="645" t="e">
        <f>IF('BTL Calculator'!V2="Core",0,INDEX(K$139:K$141,MATCH($E$124,$E$121:$E$123,0)))</f>
        <v>#N/A</v>
      </c>
      <c r="L142" s="2013" t="str">
        <f>IFERROR(H142-J142,"-")</f>
        <v>-</v>
      </c>
      <c r="M142" s="2014" t="e">
        <f>INDEX(M$76:M$78,MATCH($F$88,$F$76:$F$78,0))</f>
        <v>#N/A</v>
      </c>
      <c r="N142" s="2007" t="e">
        <f>MIN(M142*Property_Value,'Product Data'!$P$16)</f>
        <v>#N/A</v>
      </c>
      <c r="O142" s="2714" t="b">
        <f>IF(AND(OR(OR($H$70="Residential BTL",$H$70="Retention "),$H$70="Retention "),Rate_Type="Fixed"),IFERROR(AO142/(IF(AND('BTL Calculator'!V2="Core",L142&lt;0.055),0.055,$L142)/12*(Term-$K142)*'Product Data'!$P$23),0),IF(AND(Rate_Type="Tracker",OR(OR($H$70="Residential BTL",$H$70="Retention "),$H$70="Retention ")),IFERROR(AO142/(IF(AND('BTL Calculator'!V2="Core",L142-BBR+'Product Data'!K2&lt;0.055),0.055,$L142)/12*(Term-$K142)*'Product Data'!$P$17),0),IF(AND($H$70="Semi-Commercial",Rate_Type="Tracker"),IFERROR(AP142/($L142/12*(Term-$K142)*'Product Data'!$P$17),0),IF(AND($H$70="Semi-Commercial",Rate_Type="Fixed"),IFERROR(AP142/($L142/12*(Term-$K142)*'Product Data'!$P$23),0),IF(AND($H$70="Commercial",Rate_Type="Tracker"),IFERROR(AP142/($L142/12*(Term-$K142)*'Product Data'!$P$17),0),IF(AND($H$70="Commercial",Rate_Type="Fixed"),IFERROR(AP142/($L142/12*(Term-$K142)*'Product Data'!$P$23),0)))))))</f>
        <v>0</v>
      </c>
      <c r="P142" s="2007" t="str">
        <f>IF('BTL Calculator'!$H$28="Fixed","",IF(OR(OR($H$70="Residential BTL",$H$70="Retention "),$H$70="Retention "),AO142/((((IF(AND('BTL Calculator'!V2="Core",H142-'Product Data'!$E$3+'Product Data'!$K$2-J142&lt;0.055),0.055,H142-'Product Data'!$E$3+'Product Data'!$K$3-J142))/12*(Term-K142)))*'Product Data'!$P$18),AP142/(((((H142-'Product Data'!$E$3+'Product Data'!$K$2-J142))/12*(Term-K142)))*'Product Data'!$P$18)))</f>
        <v/>
      </c>
      <c r="Q142" s="634" t="e">
        <f>IF('BTL Calculator'!$H$28="Tracker",MIN(N142,P142,'BTL Calculator'!O83),MIN(O142,N142,'BTL Calculator'!O83))</f>
        <v>#N/A</v>
      </c>
      <c r="R142" s="634" t="e">
        <f t="shared" ref="R142:R144" si="172">ROUNDDOWN(Q142,-3)</f>
        <v>#N/A</v>
      </c>
      <c r="S142" s="2720" t="str">
        <f>IFERROR((IF(RoundDown,R142,Q142)*J142/12*Term)+
(IF(RoundDown,R142,Q142)*L142/12*K142)+
(IF(RoundDown,R142,Q142)*L142/12*(Term-K142)),"-")</f>
        <v>-</v>
      </c>
      <c r="T142" s="2720" t="str">
        <f>IFERROR(((IF(AND('BTL Calculator'!$V$2="Core",H142&lt;0.055),0.055,H142)*IF(RoundDown,R142,Q142)/12)),"-")</f>
        <v>-</v>
      </c>
      <c r="U142" s="2037" t="str">
        <f>IF('BTL Calculator'!$H$28="Fixed","",(((L142+$U$73)*IF(RoundDown,R142,Q142)/12)))</f>
        <v/>
      </c>
      <c r="V142" s="2720" t="str">
        <f>IFERROR(((IF(AND('BTL Calculator'!$V$2="Core",L142&lt;0.055),0.055,L142)*IF(RoundDown,R142,Q142)/12)),"-")</f>
        <v>-</v>
      </c>
      <c r="W142" s="2038" t="str">
        <f>IF(OR($H$70="Residential BTL",$H$70="Retention "),IFERROR(AO142/Z142,"-"),IFERROR(AP142/Z142,"-"))</f>
        <v>-</v>
      </c>
      <c r="X142" s="2038" t="str">
        <f>IF('BTL Calculator'!$H$28="Fixed","",IF(OR($H$70="Residential BTL",$H$70="Retention "),IFERROR(AO142/AA142,"-"),IFERROR(AP142/AA142,"-")))</f>
        <v/>
      </c>
      <c r="Y142" s="2038" t="str">
        <f t="shared" ref="Y142:Y143" si="173">TEXT(V142,"£0,0")&amp;" @ "&amp;TEXT(W142,"0%")&amp;" ICR"</f>
        <v>- @ - ICR</v>
      </c>
      <c r="Z142" s="2720" t="e">
        <f>(IF(RoundDown,R142,Q142)*L142)/12*(Term-K142)</f>
        <v>#N/A</v>
      </c>
      <c r="AA142" s="2720" t="str">
        <f>IF('BTL Calculator'!$H$28="Fixed","",(IF(RoundDown,R142,Q142)*(IF(AND('BTL Calculator'!$V$2="Core",H142-BBR+'Product Data'!$K$2&lt;0.055),0.055,H142-'Product Data'!$E$3+'Product Data'!$K$2-J142)))/12*(Term-K142))</f>
        <v/>
      </c>
      <c r="AB142" s="2037">
        <f t="shared" si="107"/>
        <v>0</v>
      </c>
      <c r="AC142" s="2037" t="str">
        <f>IFERROR($U$22-V142,"-")</f>
        <v>-</v>
      </c>
      <c r="AD142" s="2037" t="e">
        <f t="shared" si="170"/>
        <v>#N/A</v>
      </c>
      <c r="AE142" s="2037" t="e">
        <f>K142*IF(AND('BTL Calculator'!$V$2="Core",L142&lt;0.055),0.055,L142)/12*IF(RoundDown,R142,Q142)</f>
        <v>#N/A</v>
      </c>
      <c r="AF142" s="2039" t="e">
        <f t="shared" ref="AF142:AF143" si="174">SUM(AD142:AE142)</f>
        <v>#N/A</v>
      </c>
      <c r="AG142" s="2040" t="e">
        <f t="shared" ref="AG142:AG143" si="175">AL142+AI142</f>
        <v>#N/A</v>
      </c>
      <c r="AH142" s="2041" t="e">
        <f t="shared" si="161"/>
        <v>#N/A</v>
      </c>
      <c r="AI142" s="2041" t="e">
        <f t="shared" si="140"/>
        <v>#N/A</v>
      </c>
      <c r="AJ142" s="2041" t="e">
        <f t="shared" si="113"/>
        <v>#N/A</v>
      </c>
      <c r="AK142" s="2041" t="e">
        <f>TEXT(I142,"0.00%")&amp;" ("&amp;TEXT(AH142,"£0,0")&amp;")"</f>
        <v>#N/A</v>
      </c>
      <c r="AL142" s="2068" t="e">
        <f t="shared" ref="AL142:AL143" si="176">IF(RoundDown,R142,Q142)-AD142-AE142-AH142</f>
        <v>#N/A</v>
      </c>
      <c r="AM142" s="2043" t="e">
        <f t="shared" ref="AM142:AM144" si="177">AL142/Property_Value</f>
        <v>#N/A</v>
      </c>
      <c r="AN142" s="2043" t="e">
        <f t="shared" ref="AN142:AN143" si="178">IF(RoundDown,R142,Q142)/Property_Value</f>
        <v>#N/A</v>
      </c>
      <c r="AO142" s="845">
        <f>Rent_Over_Term+AQ142</f>
        <v>0</v>
      </c>
      <c r="AP142" s="845">
        <f t="shared" ref="AP142:AP144" si="179">IF($H$72="3 Year Fixed",$X$22*36+AQ142, $X$22*24+AQ142)</f>
        <v>0</v>
      </c>
      <c r="AQ142" s="2071">
        <f>'BTL Calculator'!$O$80*Term</f>
        <v>0</v>
      </c>
      <c r="AR142" s="2072"/>
      <c r="AS142" s="287" t="str">
        <f t="shared" ref="AS142:AS144" si="180">IFERROR(IF(AND(IF(RoundDown,R142,Q142)=$F$70,E142&gt;=$F$36),1,0),"-")</f>
        <v>-</v>
      </c>
      <c r="AT142" s="287" t="str">
        <f t="shared" ref="AT142:AT144" si="181">IFERROR(IF(AND(AL142=$F$71,E142&gt;=$F$36),1,0),"-")</f>
        <v>-</v>
      </c>
      <c r="AU142" s="67">
        <f t="shared" ref="AU142:AU144" si="182">SUM(AS142:AT142)</f>
        <v>0</v>
      </c>
      <c r="AV142" s="67" t="str">
        <f>IF(IF(Rate_Type="Tracker",X142,W142)&gt;'Product Data'!$P$19,"Y","N")</f>
        <v>Y</v>
      </c>
    </row>
    <row r="143" spans="1:48" ht="18.75" thickBot="1" x14ac:dyDescent="0.4">
      <c r="A143" s="3218"/>
      <c r="B143" s="308">
        <f>IF(AND('BTL Calculator'!$G$60=C143,F143='BTL Calculator'!$G$62),1,0)</f>
        <v>0</v>
      </c>
      <c r="C143" s="2003" t="s">
        <v>590</v>
      </c>
      <c r="D143" s="1999">
        <v>18</v>
      </c>
      <c r="E143" s="308">
        <f>VALUE(LEFT(F143,1))</f>
        <v>1</v>
      </c>
      <c r="F143" s="2004" t="str">
        <f>F142</f>
        <v>1) Standard</v>
      </c>
      <c r="G143" s="2035"/>
      <c r="H143" s="2015" t="e">
        <f>H142</f>
        <v>#N/A</v>
      </c>
      <c r="I143" s="2017" t="e">
        <f>I142</f>
        <v>#N/A</v>
      </c>
      <c r="J143" s="2352" t="b">
        <f>IF('BTL Calculator'!V2="Core",0,IF(AND(Rate_Type="Fixed",H72="3 Year Fixed"),IF(Defer3&gt;'Product Data'!$P$24,'Product Data'!$P$24,Defer3),IF(AND(Rate_Type="Fixed",H72="2 Year Fixed"),IF(Defer3&gt;'Product Data'!$P$24,'Product Data'!$P$24,Defer3),IF(AND(Rate_Type="Fixed",H72="5 Year Fixed"),IF(Defer3&gt;'Product Data'!$P$33,'Product Data'!$P$33,Defer3),IF(AND(Rate_Type="Tracker",$H$70="Commercial"),IF(Defer3&gt;0.015,0.015,Defer3),IF(AND(Rate_Type="Tracker",$H$70="Semi-Commercial"),IF(Defer3&gt;0.015,0.015,Defer3),IF(AND(Rate_Type="Tracker",OR($H$70="Residential BTL",$H$70="Retention ")),IF(Defer3&gt;0.02,0.02,Defer3))))))))</f>
        <v>0</v>
      </c>
      <c r="K143" s="648" t="e">
        <f>IF('BTL Calculator'!V2="Core",0,INDEX(K$139:K$141,MATCH($E$125,$E$121:$E$123,0)))</f>
        <v>#N/A</v>
      </c>
      <c r="L143" s="2018" t="str">
        <f>IFERROR(H143-J143,"-")</f>
        <v>-</v>
      </c>
      <c r="M143" s="2069" t="e">
        <f>M142</f>
        <v>#N/A</v>
      </c>
      <c r="N143" s="2012" t="e">
        <f>N142</f>
        <v>#N/A</v>
      </c>
      <c r="O143" s="2716" t="b">
        <f>IF(AND(OR(OR($H$70="Residential BTL",$H$70="Retention "),$H$70="Retention "),Rate_Type="Fixed"),IFERROR(AO143/(IF(AND('BTL Calculator'!V2="Core",L143&lt;0.055),0.055,$L143)/12*(Term-$K143)*'Product Data'!$P$23),0),IF(AND(Rate_Type="Tracker",OR(OR($H$70="Residential BTL",$H$70="Retention "),$H$70="Retention ")),IFERROR(AO143/(IF(AND('BTL Calculator'!V2="Core",L143-BBR+'Product Data'!K2&lt;0.055),0.055,$L143)/12*(Term-$K143)*'Product Data'!$P$17),0),IF(AND($H$70="Semi-Commercial",Rate_Type="Tracker"),IFERROR(AP143/($L143/12*(Term-$K143)*'Product Data'!$P$17),0),IF(AND($H$70="Semi-Commercial",Rate_Type="Fixed"),IFERROR(AP143/($L143/12*(Term-$K143)*'Product Data'!$P$23),0),IF(AND($H$70="Commercial",Rate_Type="Tracker"),IFERROR(AP143/($L143/12*(Term-$K143)*'Product Data'!$P$17),0),IF(AND($H$70="Commercial",Rate_Type="Fixed"),IFERROR(AP143/($L143/12*(Term-$K143)*'Product Data'!$P$23),0)))))))</f>
        <v>0</v>
      </c>
      <c r="P143" s="2012" t="str">
        <f>IF('BTL Calculator'!$H$28="Fixed","",IF(OR(OR($H$70="Residential BTL",$H$70="Retention "),$H$70="Retention "),AO143/((((IF(AND('BTL Calculator'!V2="Core",H143-'Product Data'!$E$3+'Product Data'!$K$2-J143&lt;0.055),0.055,H143-'Product Data'!$E$3+'Product Data'!$K$3-J143))/12*(Term-K143)))*'Product Data'!$P$18),AP143/(((((H143-'Product Data'!$E$3+'Product Data'!$K$2-J143))/12*(Term-K143)))*'Product Data'!$P$18)))</f>
        <v/>
      </c>
      <c r="Q143" s="2726" t="e">
        <f>MIN(N143,P143,O143,AR143/(1-(J143/12*IF((Defer_Term_Override="No")*(Rate_Type="Tracker"),Term-K143,Term))-I143-(IF(('BTL Calculator'!H97="Tracker")*(Rolled_Rate_Override="Full Rate"),H143,L143)/12*K143)))</f>
        <v>#N/A</v>
      </c>
      <c r="R143" s="642" t="e">
        <f t="shared" si="172"/>
        <v>#N/A</v>
      </c>
      <c r="S143" s="2722" t="str">
        <f>IFERROR((IF(RoundDown,R143,Q143)*J143/12*Term)+
(IF(RoundDown,R143,Q143)*L143/12*K143)+
(IF(RoundDown,R143,Q143)*L143/12*(Term-K143)),"-")</f>
        <v>-</v>
      </c>
      <c r="T143" s="2721" t="str">
        <f>IFERROR(((IF(AND('BTL Calculator'!$V$2="Core",H143&lt;0.055),0.055,H143)*IF(RoundDown,R143,Q143)/12)),"-")</f>
        <v>-</v>
      </c>
      <c r="U143" s="2051" t="str">
        <f>IF('BTL Calculator'!$H$28="Fixed","",(((L143+$U$73)*IF(RoundDown,R143,Q143)/12)))</f>
        <v/>
      </c>
      <c r="V143" s="2721" t="str">
        <f>IFERROR(((IF(AND('BTL Calculator'!$V$2="Core",L143&lt;0.055),0.055,L143)*IF(RoundDown,R143,Q143)/12)),"-")</f>
        <v>-</v>
      </c>
      <c r="W143" s="2052" t="str">
        <f>IF(OR($H$70="Residential BTL",$H$70="Retention "),IFERROR(AO143/Z143,"-"),IFERROR(AP143/Z143,"-"))</f>
        <v>-</v>
      </c>
      <c r="X143" s="2052" t="str">
        <f>IF('BTL Calculator'!$H$28="Fixed","",IF(OR($H$70="Residential BTL",$H$70="Retention "),IFERROR(AO143/AA143,"-"),IFERROR(AP143/AA143,"-")))</f>
        <v/>
      </c>
      <c r="Y143" s="2052" t="str">
        <f t="shared" si="173"/>
        <v>- @ - ICR</v>
      </c>
      <c r="Z143" s="2721" t="e">
        <f>(IF(RoundDown,R143,Q143)*L143)/12*(Term-K143)</f>
        <v>#N/A</v>
      </c>
      <c r="AA143" s="2721" t="str">
        <f>IF('BTL Calculator'!$H$28="Fixed","",(IF(RoundDown,R143,Q143)*(IF(AND('BTL Calculator'!$V$2="Core",H143-BBR+'Product Data'!$K$2&lt;0.055),0.055,H143-'Product Data'!$E$3+'Product Data'!$K$2-J143)))/12*(Term-K143))</f>
        <v/>
      </c>
      <c r="AB143" s="2051">
        <f t="shared" si="107"/>
        <v>0</v>
      </c>
      <c r="AC143" s="2051" t="str">
        <f>IFERROR($U$22-V143,"-")</f>
        <v>-</v>
      </c>
      <c r="AD143" s="2051" t="e">
        <f t="shared" si="170"/>
        <v>#N/A</v>
      </c>
      <c r="AE143" s="2722" t="e">
        <f>K143*IF(AND('BTL Calculator'!$V$2="Core",L143&lt;0.055),0.055,L143)/12*IF(RoundDown,R143,Q143)</f>
        <v>#N/A</v>
      </c>
      <c r="AF143" s="2053" t="e">
        <f t="shared" si="174"/>
        <v>#N/A</v>
      </c>
      <c r="AG143" s="2054" t="e">
        <f t="shared" si="175"/>
        <v>#N/A</v>
      </c>
      <c r="AH143" s="2055" t="e">
        <f t="shared" si="161"/>
        <v>#N/A</v>
      </c>
      <c r="AI143" s="2055" t="e">
        <f t="shared" si="140"/>
        <v>#N/A</v>
      </c>
      <c r="AJ143" s="2055" t="e">
        <f t="shared" si="113"/>
        <v>#N/A</v>
      </c>
      <c r="AK143" s="2055" t="e">
        <f>TEXT(I143,"0.00%")&amp;" ("&amp;TEXT(AH143,"£0,0")&amp;")"</f>
        <v>#N/A</v>
      </c>
      <c r="AL143" s="2070" t="e">
        <f t="shared" si="176"/>
        <v>#N/A</v>
      </c>
      <c r="AM143" s="2050" t="e">
        <f t="shared" si="177"/>
        <v>#N/A</v>
      </c>
      <c r="AN143" s="2050" t="e">
        <f t="shared" si="178"/>
        <v>#N/A</v>
      </c>
      <c r="AO143" s="846">
        <f>Rent_Over_Term+AQ143</f>
        <v>0</v>
      </c>
      <c r="AP143" s="846">
        <f t="shared" si="179"/>
        <v>0</v>
      </c>
      <c r="AQ143" s="2074">
        <f>'BTL Calculator'!$O$80*Term</f>
        <v>0</v>
      </c>
      <c r="AR143" s="2075">
        <f>'BTL Calculator'!O83</f>
        <v>350000</v>
      </c>
      <c r="AS143" s="287" t="str">
        <f t="shared" si="180"/>
        <v>-</v>
      </c>
      <c r="AT143" s="287" t="str">
        <f t="shared" si="181"/>
        <v>-</v>
      </c>
      <c r="AU143" s="67">
        <f t="shared" si="182"/>
        <v>0</v>
      </c>
      <c r="AV143" s="67" t="str">
        <f>IF(IF(Rate_Type="Tracker",X143,W143)&gt;'Product Data'!$P$19,"Y","N")</f>
        <v>Y</v>
      </c>
    </row>
    <row r="144" spans="1:48" ht="18.75" thickBot="1" x14ac:dyDescent="0.4">
      <c r="A144" s="3218"/>
      <c r="B144" s="2030"/>
      <c r="C144" s="657" t="s">
        <v>591</v>
      </c>
      <c r="D144" s="658" t="e">
        <f>INDEX(D130:D143,MATCH(1,$B$94:$B$107,0))</f>
        <v>#N/A</v>
      </c>
      <c r="E144" s="848" t="e">
        <f>LEFT(F144,1)</f>
        <v>#N/A</v>
      </c>
      <c r="F144" s="659" t="e">
        <f>INDEX(F130:F143,MATCH(1,$B$94:$B$107,0))</f>
        <v>#N/A</v>
      </c>
      <c r="G144" s="2036"/>
      <c r="H144" s="660" t="e">
        <f t="shared" ref="H144:N144" si="183">INDEX(H130:H143,MATCH(1,$B$130:$B$143,0))</f>
        <v>#N/A</v>
      </c>
      <c r="I144" s="661" t="e">
        <f t="shared" si="183"/>
        <v>#N/A</v>
      </c>
      <c r="J144" s="1953" t="e">
        <f t="shared" si="183"/>
        <v>#N/A</v>
      </c>
      <c r="K144" s="662" t="e">
        <f t="shared" si="183"/>
        <v>#N/A</v>
      </c>
      <c r="L144" s="2059" t="e">
        <f t="shared" si="183"/>
        <v>#N/A</v>
      </c>
      <c r="M144" s="2060" t="e">
        <f t="shared" si="183"/>
        <v>#N/A</v>
      </c>
      <c r="N144" s="2061" t="e">
        <f t="shared" si="183"/>
        <v>#N/A</v>
      </c>
      <c r="O144" s="2248">
        <f>IF(Rate_Type="Fixed",IFERROR(AO144/(IF(AND('BTL Calculator'!V2="Core",L144&lt;0.055),0.055,$L144)/12*(Term-$K144)*'Product Data'!$P$23),0),IF(OR(OR($H$70="Residential BTL",$H$70="Retention "),$H$70="Retention "),IFERROR(AO144/(IF(AND('BTL Calculator'!V2="Core",L144-BBR+'Product Data'!K2&lt;0.055),0.055,$L144)/12*(Term-$K144)*'Product Data'!$P$17),0),IFERROR(AP144/($L144/12*(Term-$K144)*'Product Data'!$P$17),0)))</f>
        <v>0</v>
      </c>
      <c r="P144" s="2061" t="str">
        <f>IF('BTL Calculator'!$H$28="Fixed","",IF(OR(OR($H$70="Residential BTL",$H$70="Retention "),$H$70="Retention "),AO144/((((IF(AND('BTL Calculator'!V2="Core",H144-'Product Data'!$E$3+'Product Data'!$K$2-J144&lt;0.055),0.055,H144-'Product Data'!$E$3+'Product Data'!$K$3-J144))/12*(Term-K144)))*'Product Data'!$P$18),AP144/(((((H144-'Product Data'!$E$3+'Product Data'!$K$2-J144))/12*(Term-K144)))*'Product Data'!$P$18)))</f>
        <v/>
      </c>
      <c r="Q144" s="2062" t="e">
        <f>INDEX(Q130:Q143,MATCH(1,$B$130:$B$143,0))</f>
        <v>#N/A</v>
      </c>
      <c r="R144" s="2062" t="e">
        <f t="shared" si="172"/>
        <v>#N/A</v>
      </c>
      <c r="S144" s="2063" t="str">
        <f>IFERROR((IF(RoundDown,R144,Q144)*J144/12*Term)+
(IF(RoundDown,R144,Q144)*L144/12*K144)+
(IF(RoundDown,R144,Q144)*L144/12*(Term-K144)),"-")</f>
        <v>-</v>
      </c>
      <c r="T144" s="2723" t="str">
        <f>IFERROR(((H144)*IF(RoundDown,R144,Q144)/12),"-")</f>
        <v>-</v>
      </c>
      <c r="U144" s="2063" t="str">
        <f>IF('BTL Calculator'!$H$28="Fixed","",(((L144+$U$73)*IF(RoundDown,R144,Q144)/12)))</f>
        <v/>
      </c>
      <c r="V144" s="2723" t="str">
        <f>IFERROR(((L144)*IF(RoundDown,R144,Q144)/12),"-")</f>
        <v>-</v>
      </c>
      <c r="W144" s="2064" t="str">
        <f>IF(OR($H$70="Residential BTL",$H$70="Retention "),IFERROR(AO144/Z144,"-"),IFERROR(AP144/Z144,"-"))</f>
        <v>-</v>
      </c>
      <c r="X144" s="2064" t="str">
        <f>IF('BTL Calculator'!$H$28="Fixed","",IF(OR($H$70="Residential BTL",$H$70="Retention "),IFERROR(AO144/AA144,"-"),IFERROR(AP144/AA144,"-")))</f>
        <v/>
      </c>
      <c r="Y144" s="2064" t="str">
        <f>TEXT(V144,"£0,0")&amp;" @ "&amp;TEXT(W144,"0%")&amp;" ICR"</f>
        <v>- @ - ICR</v>
      </c>
      <c r="Z144" s="2063" t="e">
        <f>(IF(RoundDown,R144,Q144)*L144)/12*(Term-K144)</f>
        <v>#N/A</v>
      </c>
      <c r="AA144" s="2723" t="str">
        <f>IF('BTL Calculator'!$H$28="Fixed","",(IF(RoundDown,R144,Q144)*(IF(AND('BTL Calculator'!$V$2="Core",H144-BBR+'Product Data'!$K$2&lt;0.055),0.055,H144-'Product Data'!$E$3+'Product Data'!$K$2-J144)))/12*(Term-K144))</f>
        <v/>
      </c>
      <c r="AB144" s="2063">
        <f t="shared" si="107"/>
        <v>0</v>
      </c>
      <c r="AC144" s="2063" t="e">
        <f>INDEX(AC130:AC143,MATCH(1,$B$112:$B$125,0))</f>
        <v>#N/A</v>
      </c>
      <c r="AD144" s="2063" t="e">
        <f t="shared" si="170"/>
        <v>#N/A</v>
      </c>
      <c r="AE144" s="2063" t="e">
        <f>K144*IF(AND('BTL Calculator'!$V$2="Core",L144&lt;0.055),0.055,L144)/12*IF(RoundDown,R144,Q144)</f>
        <v>#N/A</v>
      </c>
      <c r="AF144" s="2065" t="e">
        <f>INDEX(AF130:AF143,MATCH(1,$B$76:$B$89,0))</f>
        <v>#N/A</v>
      </c>
      <c r="AG144" s="2066" t="e">
        <f>ROUND(INDEX(AG130:AG143,MATCH(1,$B$130:$B$143,0)),0)</f>
        <v>#N/A</v>
      </c>
      <c r="AH144" s="2067" t="e">
        <f>INDEX(AH130:AH143,MATCH(1,$B$130:$B$143,0))</f>
        <v>#N/A</v>
      </c>
      <c r="AI144" s="2115" t="e">
        <f>INDEX(AI130:AI143,MATCH(1,$B$130:$B$143,0))</f>
        <v>#N/A</v>
      </c>
      <c r="AJ144" s="2067" t="e">
        <f>INDEX(AJ130:AJ143,MATCH(1,$B$130:$B$143,0))</f>
        <v>#N/A</v>
      </c>
      <c r="AK144" s="2067" t="e">
        <f>INDEX(AK130:AK143,MATCH(1,$B$130:$B$143,0))</f>
        <v>#N/A</v>
      </c>
      <c r="AL144" s="2725" t="e">
        <f>IF(RoundDown,R144,Q144)-AD144-AE144-AH144</f>
        <v>#N/A</v>
      </c>
      <c r="AM144" s="1340" t="e">
        <f t="shared" si="177"/>
        <v>#N/A</v>
      </c>
      <c r="AN144" s="1340" t="e">
        <f>INDEX(AN130:AN143,MATCH(1,$B$130:$B$143,0))</f>
        <v>#N/A</v>
      </c>
      <c r="AO144" s="2073">
        <f>Rent_Over_Term+AQ144</f>
        <v>0</v>
      </c>
      <c r="AP144" s="2073">
        <f t="shared" si="179"/>
        <v>0</v>
      </c>
      <c r="AQ144" s="2076">
        <f>'BTL Calculator'!$O$80*Term</f>
        <v>0</v>
      </c>
      <c r="AR144" s="2077"/>
      <c r="AS144" s="287" t="str">
        <f t="shared" si="180"/>
        <v>-</v>
      </c>
      <c r="AT144" s="287" t="str">
        <f t="shared" si="181"/>
        <v>-</v>
      </c>
      <c r="AU144" s="67">
        <f t="shared" si="182"/>
        <v>0</v>
      </c>
      <c r="AV144" s="663" t="e">
        <f>INDEX(AV130:AV143,MATCH(1,$B$76:$B$89,0))</f>
        <v>#N/A</v>
      </c>
    </row>
    <row r="145" spans="17:18" x14ac:dyDescent="0.35">
      <c r="Q145" s="2728"/>
      <c r="R145" s="2727"/>
    </row>
    <row r="146" spans="17:18" x14ac:dyDescent="0.35">
      <c r="Q146" s="2727"/>
      <c r="R146" s="2729"/>
    </row>
    <row r="148" spans="17:18" x14ac:dyDescent="0.35">
      <c r="Q148" s="2728"/>
    </row>
  </sheetData>
  <mergeCells count="29">
    <mergeCell ref="A129:A144"/>
    <mergeCell ref="AN22:AQ22"/>
    <mergeCell ref="AI22:AL22"/>
    <mergeCell ref="A93:A108"/>
    <mergeCell ref="A111:A126"/>
    <mergeCell ref="L32:M32"/>
    <mergeCell ref="AO72:AQ72"/>
    <mergeCell ref="L33:M33"/>
    <mergeCell ref="A36:A55"/>
    <mergeCell ref="A75:A90"/>
    <mergeCell ref="C22:F22"/>
    <mergeCell ref="D32:F32"/>
    <mergeCell ref="D33:F33"/>
    <mergeCell ref="I33:K33"/>
    <mergeCell ref="I32:K32"/>
    <mergeCell ref="H70:K71"/>
    <mergeCell ref="T36:T55"/>
    <mergeCell ref="H72:K72"/>
    <mergeCell ref="E2:G2"/>
    <mergeCell ref="H2:J2"/>
    <mergeCell ref="M4:S4"/>
    <mergeCell ref="M10:S10"/>
    <mergeCell ref="M9:S9"/>
    <mergeCell ref="M8:S8"/>
    <mergeCell ref="M7:S7"/>
    <mergeCell ref="M6:S6"/>
    <mergeCell ref="M5:S5"/>
    <mergeCell ref="K3:K7"/>
    <mergeCell ref="L3:L7"/>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EC7AA-F412-42A7-A692-DBB722FA262E}">
  <sheetPr codeName="Sheet7">
    <tabColor rgb="FF92D050"/>
    <pageSetUpPr fitToPage="1"/>
  </sheetPr>
  <dimension ref="A1:DB202"/>
  <sheetViews>
    <sheetView showGridLines="0" tabSelected="1" zoomScale="80" zoomScaleNormal="80" workbookViewId="0">
      <selection sqref="A1:G1"/>
    </sheetView>
  </sheetViews>
  <sheetFormatPr defaultColWidth="9.140625" defaultRowHeight="18" zeroHeight="1" outlineLevelRow="1" x14ac:dyDescent="0.35"/>
  <cols>
    <col min="1" max="1" width="2.85546875" style="208" customWidth="1"/>
    <col min="2" max="2" width="4.140625" style="208" customWidth="1"/>
    <col min="3" max="3" width="26.42578125" style="208" customWidth="1"/>
    <col min="4" max="4" width="2.7109375" style="440" customWidth="1"/>
    <col min="5" max="5" width="1.140625" style="440" customWidth="1"/>
    <col min="6" max="6" width="16.28515625" style="440" customWidth="1"/>
    <col min="7" max="7" width="16.140625" style="208" customWidth="1"/>
    <col min="8" max="8" width="3.7109375" style="208" customWidth="1"/>
    <col min="9" max="10" width="16.140625" style="208" customWidth="1"/>
    <col min="11" max="11" width="2.42578125" style="208" customWidth="1"/>
    <col min="12" max="13" width="15.28515625" style="208" customWidth="1"/>
    <col min="14" max="14" width="3" style="208" customWidth="1"/>
    <col min="15" max="16" width="15.28515625" style="208" hidden="1" customWidth="1"/>
    <col min="17" max="17" width="9" style="208" customWidth="1"/>
    <col min="18" max="20" width="16.7109375" style="208" customWidth="1"/>
    <col min="21" max="21" width="20.28515625" style="208" customWidth="1"/>
    <col min="22" max="22" width="17.28515625" style="208" customWidth="1"/>
    <col min="23" max="23" width="15.28515625" style="208" customWidth="1"/>
    <col min="24" max="24" width="22.28515625" style="208" customWidth="1"/>
    <col min="25" max="29" width="18.85546875" style="208" customWidth="1"/>
    <col min="30" max="30" width="20.28515625" style="208" customWidth="1"/>
    <col min="31" max="31" width="14.42578125" style="208" customWidth="1"/>
    <col min="32" max="32" width="10.85546875" style="456" customWidth="1"/>
    <col min="33" max="34" width="4.85546875" style="456" customWidth="1"/>
    <col min="35" max="35" width="13.140625" style="208" customWidth="1"/>
    <col min="36" max="36" width="10.28515625" style="208" customWidth="1"/>
    <col min="37" max="37" width="26.7109375" style="208" bestFit="1" customWidth="1"/>
    <col min="38" max="39" width="15.140625" style="208" customWidth="1"/>
    <col min="40" max="40" width="22" style="67" customWidth="1"/>
    <col min="41" max="41" width="16" style="67" bestFit="1" customWidth="1"/>
    <col min="42" max="42" width="7.140625" style="67" customWidth="1"/>
    <col min="43" max="43" width="34.85546875" style="67" hidden="1" customWidth="1"/>
    <col min="44" max="44" width="16.140625" style="67" hidden="1" customWidth="1"/>
    <col min="45" max="45" width="71.85546875" style="67" hidden="1" customWidth="1"/>
    <col min="46" max="46" width="46.42578125" style="67" hidden="1" customWidth="1"/>
    <col min="47" max="47" width="11.85546875" style="67" hidden="1" customWidth="1"/>
    <col min="48" max="48" width="7.7109375" style="67" hidden="1" customWidth="1"/>
    <col min="49" max="49" width="10.5703125" style="67" hidden="1" customWidth="1"/>
    <col min="50" max="50" width="18.85546875" style="67" hidden="1" customWidth="1"/>
    <col min="51" max="51" width="15.7109375" style="67" hidden="1" customWidth="1"/>
    <col min="52" max="52" width="12.85546875" style="67" hidden="1" customWidth="1"/>
    <col min="53" max="53" width="13.42578125" style="67" hidden="1" customWidth="1"/>
    <col min="54" max="54" width="35.7109375" style="67" hidden="1" customWidth="1"/>
    <col min="55" max="62" width="12.85546875" style="67" hidden="1" customWidth="1"/>
    <col min="63" max="63" width="13.85546875" style="67" hidden="1" customWidth="1"/>
    <col min="64" max="64" width="15" style="67" hidden="1" customWidth="1"/>
    <col min="65" max="67" width="9.140625" style="67" hidden="1" customWidth="1"/>
    <col min="68" max="68" width="12.7109375" style="67" hidden="1" customWidth="1"/>
    <col min="69" max="69" width="10.5703125" style="67" hidden="1" customWidth="1"/>
    <col min="70" max="70" width="12.42578125" style="67" hidden="1" customWidth="1"/>
    <col min="71" max="106" width="0" style="67" hidden="1" customWidth="1"/>
    <col min="107" max="16384" width="9.140625" style="67"/>
  </cols>
  <sheetData>
    <row r="1" spans="1:106" ht="66" customHeight="1" thickBot="1" x14ac:dyDescent="0.4">
      <c r="A1" s="3462"/>
      <c r="B1" s="3462"/>
      <c r="C1" s="3462"/>
      <c r="D1" s="3462"/>
      <c r="E1" s="3462"/>
      <c r="F1" s="3462"/>
      <c r="G1" s="3462"/>
      <c r="H1" s="2732" t="s">
        <v>0</v>
      </c>
      <c r="I1" s="2732"/>
      <c r="J1" s="2732"/>
      <c r="K1" s="2732"/>
      <c r="L1" s="2732"/>
      <c r="M1" s="2732"/>
      <c r="N1" s="2732"/>
      <c r="O1" s="2732"/>
      <c r="P1" s="2732"/>
      <c r="Q1" s="2732"/>
      <c r="R1" s="1190" t="s">
        <v>3832</v>
      </c>
      <c r="S1" s="2731"/>
      <c r="T1" s="2731"/>
      <c r="U1" s="2731"/>
      <c r="V1" s="2731"/>
      <c r="W1" s="2731"/>
      <c r="X1" s="290"/>
      <c r="Y1" s="1861"/>
      <c r="Z1" s="1861"/>
      <c r="AA1" s="1343"/>
      <c r="AB1" s="1343"/>
      <c r="AC1" s="2446"/>
      <c r="AD1" s="2363"/>
      <c r="AE1"/>
      <c r="AF1"/>
      <c r="AG1"/>
      <c r="AH1"/>
      <c r="AI1"/>
      <c r="AJ1"/>
      <c r="AK1"/>
      <c r="AL1"/>
      <c r="AM1"/>
      <c r="AO1" s="289"/>
      <c r="AP1" s="289" t="s">
        <v>2</v>
      </c>
      <c r="AQ1" s="67" t="s">
        <v>3</v>
      </c>
      <c r="AR1" s="538" t="s">
        <v>4</v>
      </c>
      <c r="AS1" s="67" t="s">
        <v>5</v>
      </c>
      <c r="AU1" s="67" t="s">
        <v>6</v>
      </c>
      <c r="AX1" s="539"/>
      <c r="AZ1" s="67" t="s">
        <v>325</v>
      </c>
      <c r="BA1" s="67" t="s">
        <v>326</v>
      </c>
      <c r="BB1" s="67" t="s">
        <v>327</v>
      </c>
      <c r="BC1" s="2353" t="s">
        <v>328</v>
      </c>
      <c r="CG1" s="2312"/>
      <c r="CH1" s="2312" t="s">
        <v>329</v>
      </c>
      <c r="CI1" s="2340" t="s">
        <v>207</v>
      </c>
      <c r="CJ1" s="2340" t="e">
        <f>'KB Model Suggestions Tr 2yr'!J9</f>
        <v>#N/A</v>
      </c>
      <c r="CK1" s="2339" t="e">
        <f>'KB Model Suggestions Tr 2yr'!J3</f>
        <v>#N/A</v>
      </c>
      <c r="CL1" s="2314"/>
      <c r="CM1" s="2313"/>
      <c r="CN1" s="2313"/>
      <c r="CO1" s="2313"/>
      <c r="CP1" s="208"/>
    </row>
    <row r="2" spans="1:106" ht="21" customHeight="1" thickBot="1" x14ac:dyDescent="0.4">
      <c r="A2" s="2630"/>
      <c r="B2" s="2630"/>
      <c r="C2" s="2630"/>
      <c r="D2" s="2630"/>
      <c r="E2" s="2630"/>
      <c r="F2" s="2630"/>
      <c r="G2" s="2630"/>
      <c r="H2" s="2608"/>
      <c r="I2" s="2608"/>
      <c r="J2" s="2608"/>
      <c r="K2" s="2608"/>
      <c r="L2" s="2608"/>
      <c r="M2" s="2608"/>
      <c r="N2" s="2608"/>
      <c r="O2" s="2608"/>
      <c r="P2" s="2608"/>
      <c r="Q2" s="3502" t="s">
        <v>3813</v>
      </c>
      <c r="R2" s="3503"/>
      <c r="S2" s="3503"/>
      <c r="T2" s="3503"/>
      <c r="U2" s="3504"/>
      <c r="V2" s="3505"/>
      <c r="W2" s="3506"/>
      <c r="X2" s="2678" t="str">
        <f>IF(V2="","&lt;- Please select Specialist or Core","")</f>
        <v>&lt;- Please select Specialist or Core</v>
      </c>
      <c r="Y2" s="1343"/>
      <c r="Z2" s="1343"/>
      <c r="AA2" s="1861">
        <f>IF(V2="Core",0,1)</f>
        <v>1</v>
      </c>
      <c r="AB2" s="1343"/>
      <c r="AC2" s="2446"/>
      <c r="AD2" s="2363"/>
      <c r="AE2"/>
      <c r="AF2"/>
      <c r="AG2"/>
      <c r="AH2"/>
      <c r="AI2"/>
      <c r="AJ2"/>
      <c r="AK2"/>
      <c r="AL2"/>
      <c r="AM2"/>
      <c r="AO2" s="289"/>
      <c r="AP2" s="289"/>
      <c r="AR2" s="2638"/>
      <c r="AX2" s="539"/>
      <c r="BC2" s="2353"/>
      <c r="CG2" s="2312"/>
      <c r="CH2" s="2312"/>
      <c r="CI2" s="2340"/>
      <c r="CJ2" s="2340"/>
      <c r="CK2" s="2339"/>
      <c r="CL2" s="2314"/>
      <c r="CM2" s="2313"/>
      <c r="CN2" s="2313"/>
      <c r="CO2" s="2313"/>
      <c r="CP2" s="208"/>
    </row>
    <row r="3" spans="1:106" ht="18" customHeight="1" thickBot="1" x14ac:dyDescent="0.4">
      <c r="A3" s="952"/>
      <c r="D3" s="952"/>
      <c r="E3" s="952"/>
      <c r="F3" s="2443" t="s">
        <v>330</v>
      </c>
      <c r="G3" s="952"/>
      <c r="H3" s="1867" t="s">
        <v>7</v>
      </c>
      <c r="I3" s="1789"/>
      <c r="J3" s="1789"/>
      <c r="K3" s="1790"/>
      <c r="L3" s="952"/>
      <c r="M3" s="952"/>
      <c r="N3" s="952"/>
      <c r="O3" s="952"/>
      <c r="P3" s="952"/>
      <c r="Q3" s="3502" t="s">
        <v>331</v>
      </c>
      <c r="R3" s="3503"/>
      <c r="S3" s="3503"/>
      <c r="T3" s="3503"/>
      <c r="U3" s="3504"/>
      <c r="V3" s="3519"/>
      <c r="W3" s="3520"/>
      <c r="X3" s="2680">
        <v>0.75</v>
      </c>
      <c r="Y3" s="1826" t="str">
        <f>IF(V3="Residential BTL","","Semi is mixed use, residential element is 50% or more. Commercial is over 50% commercial, or large residential blocks")</f>
        <v>Semi is mixed use, residential element is 50% or more. Commercial is over 50% commercial, or large residential blocks</v>
      </c>
      <c r="Z3" s="2605">
        <f>IF(OR(V3="Residential BTL",V3="Retention "),1,0)</f>
        <v>0</v>
      </c>
      <c r="AA3" s="1150">
        <f>IF(OR(V3="Residential BTL",V3="Retention "),1,0)</f>
        <v>0</v>
      </c>
      <c r="AC3"/>
      <c r="AD3"/>
      <c r="AE3"/>
      <c r="AF3"/>
      <c r="AG3"/>
      <c r="AH3"/>
      <c r="AI3"/>
      <c r="AJ3"/>
      <c r="AK3"/>
      <c r="AL3"/>
      <c r="AM3"/>
      <c r="AO3" s="289"/>
      <c r="AP3" s="289" t="s">
        <v>8</v>
      </c>
      <c r="AR3" s="540">
        <v>1</v>
      </c>
      <c r="AS3" s="401">
        <v>8</v>
      </c>
      <c r="AU3"/>
      <c r="AV3"/>
      <c r="AW3"/>
      <c r="AX3"/>
      <c r="CG3" s="2312"/>
      <c r="CH3" s="2312" t="s">
        <v>333</v>
      </c>
      <c r="CI3" s="2340" t="s">
        <v>207</v>
      </c>
      <c r="CJ3" s="2340" t="e">
        <f>'KB Model Suggestions Tr 2yr'!F9</f>
        <v>#N/A</v>
      </c>
      <c r="CK3" s="2339" t="e">
        <f>'KB Model Suggestions Tr 2yr'!F3</f>
        <v>#N/A</v>
      </c>
      <c r="CL3" s="2314"/>
      <c r="CM3" s="2313"/>
      <c r="CN3" s="2313"/>
      <c r="CO3" s="2313"/>
      <c r="CP3" s="208"/>
    </row>
    <row r="4" spans="1:106" s="541" customFormat="1" ht="3.75" customHeight="1" thickBot="1" x14ac:dyDescent="0.4">
      <c r="A4" s="953"/>
      <c r="B4" s="951"/>
      <c r="C4" s="951"/>
      <c r="D4" s="953"/>
      <c r="E4" s="953"/>
      <c r="F4" s="953"/>
      <c r="G4" s="953"/>
      <c r="H4" s="953"/>
      <c r="I4" s="953"/>
      <c r="J4" s="953"/>
      <c r="K4" s="953"/>
      <c r="L4" s="953"/>
      <c r="M4" s="953"/>
      <c r="N4" s="953"/>
      <c r="O4" s="953"/>
      <c r="P4" s="953"/>
      <c r="Q4" s="953"/>
      <c r="R4" s="953"/>
      <c r="S4" s="953"/>
      <c r="T4" s="953"/>
      <c r="U4" s="953"/>
      <c r="V4" s="2474"/>
      <c r="W4" s="2474"/>
      <c r="Y4" s="953"/>
      <c r="Z4" s="953"/>
      <c r="AA4" s="953"/>
      <c r="AC4" s="953"/>
      <c r="AD4" s="953"/>
      <c r="AE4" s="953"/>
      <c r="AF4" s="953"/>
      <c r="AG4" s="953"/>
      <c r="AH4" s="953"/>
      <c r="AI4" s="953"/>
      <c r="AJ4" s="953"/>
      <c r="AK4" s="953"/>
      <c r="AL4" s="953"/>
      <c r="AM4" s="953"/>
      <c r="AO4" s="289"/>
      <c r="AP4" s="289"/>
      <c r="AS4"/>
      <c r="AT4"/>
      <c r="AU4"/>
      <c r="AV4"/>
      <c r="AW4"/>
      <c r="AX4"/>
      <c r="AY4" s="67"/>
      <c r="AZ4" s="67"/>
      <c r="BA4" s="67"/>
      <c r="BB4" s="67"/>
      <c r="BC4" s="67"/>
      <c r="BD4" s="67"/>
      <c r="CG4" s="2312"/>
      <c r="CH4" s="2312" t="s">
        <v>334</v>
      </c>
      <c r="CI4" s="2340" t="s">
        <v>207</v>
      </c>
      <c r="CJ4" s="2340" t="e">
        <f>'KB Model Suggestions Tr 2yr'!B9</f>
        <v>#N/A</v>
      </c>
      <c r="CK4" s="2339" t="e">
        <f>'KB Model Suggestions Tr 2yr'!B3</f>
        <v>#N/A</v>
      </c>
      <c r="CL4" s="2314"/>
      <c r="CM4" s="2313"/>
      <c r="CN4" s="2313"/>
      <c r="CO4" s="2313"/>
      <c r="CP4" s="208"/>
    </row>
    <row r="5" spans="1:106" ht="18" customHeight="1" thickBot="1" x14ac:dyDescent="0.4">
      <c r="A5" s="952"/>
      <c r="C5" s="1868"/>
      <c r="D5" s="952"/>
      <c r="E5" s="952"/>
      <c r="F5" s="952"/>
      <c r="G5" s="952"/>
      <c r="H5" s="2310"/>
      <c r="I5" s="2311"/>
      <c r="J5" s="2311"/>
      <c r="K5" s="2311"/>
      <c r="L5" s="952"/>
      <c r="M5" s="952"/>
      <c r="N5" s="952"/>
      <c r="O5" s="952"/>
      <c r="P5" s="952"/>
      <c r="Q5" s="3487" t="s">
        <v>335</v>
      </c>
      <c r="R5" s="3488"/>
      <c r="S5" s="3488"/>
      <c r="T5" s="3488"/>
      <c r="U5" s="3488"/>
      <c r="V5" s="3444"/>
      <c r="W5" s="3445"/>
      <c r="X5" s="3510" t="s">
        <v>3647</v>
      </c>
      <c r="Y5" s="3281"/>
      <c r="Z5" s="3281"/>
      <c r="AA5" s="3281"/>
      <c r="AB5" s="3281"/>
      <c r="AC5"/>
      <c r="AD5"/>
      <c r="AE5"/>
      <c r="AF5"/>
      <c r="AG5"/>
      <c r="AH5"/>
      <c r="AI5"/>
      <c r="AJ5"/>
      <c r="AK5"/>
      <c r="AL5"/>
      <c r="AM5"/>
      <c r="AO5" s="289"/>
      <c r="AP5" s="289"/>
      <c r="AR5" s="540"/>
      <c r="AS5" s="401"/>
      <c r="AU5"/>
      <c r="AV5"/>
      <c r="AW5"/>
      <c r="AX5"/>
      <c r="CG5" s="2312"/>
      <c r="CH5" s="2312" t="s">
        <v>336</v>
      </c>
      <c r="CI5" s="2340" t="s">
        <v>207</v>
      </c>
      <c r="CJ5" s="2340" t="e">
        <f>'KB V Model Suggestions Fixed 2'!J9</f>
        <v>#N/A</v>
      </c>
      <c r="CK5" s="2339" t="e">
        <f>'KB V Model Suggestions Fixed 2'!J3</f>
        <v>#N/A</v>
      </c>
      <c r="CL5" s="2314"/>
      <c r="CM5" s="2313"/>
      <c r="CN5" s="2313"/>
      <c r="CO5" s="2313"/>
      <c r="CP5" s="1009"/>
    </row>
    <row r="6" spans="1:106" s="541" customFormat="1" ht="3.75" customHeight="1" thickBot="1" x14ac:dyDescent="0.4">
      <c r="A6" s="953"/>
      <c r="B6" s="951"/>
      <c r="C6" s="951"/>
      <c r="D6" s="953"/>
      <c r="E6" s="953"/>
      <c r="F6" s="953"/>
      <c r="G6" s="953"/>
      <c r="H6" s="953"/>
      <c r="I6" s="953"/>
      <c r="J6" s="953"/>
      <c r="K6" s="953"/>
      <c r="L6" s="953"/>
      <c r="M6" s="953"/>
      <c r="N6" s="953"/>
      <c r="O6" s="953"/>
      <c r="P6" s="953"/>
      <c r="Q6" s="953"/>
      <c r="R6" s="953"/>
      <c r="S6" s="953"/>
      <c r="T6" s="953"/>
      <c r="U6" s="953"/>
      <c r="V6" s="953"/>
      <c r="W6" s="953"/>
      <c r="Y6" s="953"/>
      <c r="Z6" s="953"/>
      <c r="AA6" s="953"/>
      <c r="AC6" s="953"/>
      <c r="AD6" s="953"/>
      <c r="AE6" s="953"/>
      <c r="AF6" s="953"/>
      <c r="AG6" s="953"/>
      <c r="AH6" s="953"/>
      <c r="AI6" s="953"/>
      <c r="AJ6" s="953"/>
      <c r="AK6" s="953"/>
      <c r="AL6" s="953"/>
      <c r="AM6" s="953"/>
      <c r="AO6" s="289"/>
      <c r="AP6" s="289"/>
      <c r="AS6"/>
      <c r="AT6"/>
      <c r="AU6"/>
      <c r="AV6"/>
      <c r="AW6"/>
      <c r="AX6"/>
      <c r="AY6" s="67"/>
      <c r="AZ6" s="67"/>
      <c r="BA6" s="67"/>
      <c r="BB6" s="67"/>
      <c r="BC6" s="67"/>
      <c r="BD6" s="67"/>
      <c r="CG6" s="2312"/>
      <c r="CH6" s="2312" t="s">
        <v>337</v>
      </c>
      <c r="CI6" s="2340" t="s">
        <v>207</v>
      </c>
      <c r="CJ6" s="2340" t="e">
        <f>'KB V Model Suggestions Fixed 2'!F9</f>
        <v>#N/A</v>
      </c>
      <c r="CK6" s="2339" t="e">
        <f>'KB V Model Suggestions Fixed 2'!F3</f>
        <v>#N/A</v>
      </c>
      <c r="CL6" s="2314"/>
      <c r="CM6" s="2313"/>
      <c r="CN6" s="2313"/>
      <c r="CO6" s="2313"/>
      <c r="CP6" s="208"/>
    </row>
    <row r="7" spans="1:106" s="537" customFormat="1" ht="16.5" customHeight="1" thickBot="1" x14ac:dyDescent="0.4">
      <c r="A7" s="953"/>
      <c r="B7" s="1792"/>
      <c r="C7" s="1793"/>
      <c r="D7" s="1794"/>
      <c r="E7" s="1794"/>
      <c r="F7" s="1795"/>
      <c r="G7" s="1796" t="s">
        <v>338</v>
      </c>
      <c r="H7" s="3305" t="s">
        <v>3809</v>
      </c>
      <c r="I7" s="3306"/>
      <c r="J7" s="3306"/>
      <c r="K7" s="3307"/>
      <c r="L7" s="953"/>
      <c r="M7" s="951"/>
      <c r="N7" s="951"/>
      <c r="O7" s="951"/>
      <c r="P7" s="951"/>
      <c r="Q7" s="1742"/>
      <c r="R7" s="1743"/>
      <c r="S7" s="1743"/>
      <c r="T7" s="1743"/>
      <c r="U7" s="1796" t="s">
        <v>13</v>
      </c>
      <c r="V7" s="3460"/>
      <c r="W7" s="3461"/>
      <c r="X7" s="1772"/>
      <c r="Y7" s="2475" t="str">
        <f>IFERROR(IF(V3="Residential BTL","Rental Yield: "&amp;TEXT(V9*12/Property_Value, "0.0%"),""),"")</f>
        <v/>
      </c>
      <c r="Z7" s="1151"/>
      <c r="AA7" s="957"/>
      <c r="AC7" s="957"/>
      <c r="AD7" s="958"/>
      <c r="AE7" s="958"/>
      <c r="AF7" s="953"/>
      <c r="AG7" s="951"/>
      <c r="AI7" s="542"/>
      <c r="AJ7" s="542"/>
      <c r="AK7" s="3299"/>
      <c r="AM7"/>
      <c r="AN7"/>
      <c r="AO7" s="1688"/>
      <c r="AP7" s="1688"/>
      <c r="AQ7"/>
      <c r="AR7"/>
      <c r="AS7" s="67"/>
      <c r="AT7" s="67"/>
      <c r="AU7" s="67"/>
      <c r="AV7" s="67"/>
      <c r="AW7" s="67"/>
      <c r="AX7" s="67"/>
      <c r="CG7" s="2341"/>
      <c r="CH7" s="2341" t="s">
        <v>340</v>
      </c>
      <c r="CI7" s="2342" t="s">
        <v>207</v>
      </c>
      <c r="CJ7" s="2342" t="e">
        <f>'KB V Model Suggestions Fixed 2'!B9</f>
        <v>#N/A</v>
      </c>
      <c r="CK7" s="2343" t="e">
        <f>'KB V Model Suggestions Fixed 2'!B3</f>
        <v>#N/A</v>
      </c>
      <c r="CL7" s="2344"/>
      <c r="CM7" s="2345"/>
      <c r="CN7" s="2345"/>
      <c r="CO7" s="2345"/>
      <c r="CP7" s="1440"/>
    </row>
    <row r="8" spans="1:106" s="537" customFormat="1" ht="16.5" customHeight="1" thickBot="1" x14ac:dyDescent="0.4">
      <c r="A8" s="953"/>
      <c r="B8" s="1797"/>
      <c r="C8" s="959"/>
      <c r="D8" s="2120"/>
      <c r="E8" s="2120"/>
      <c r="F8" s="2120"/>
      <c r="G8" s="1798" t="s">
        <v>16</v>
      </c>
      <c r="H8" s="3308" t="s">
        <v>3809</v>
      </c>
      <c r="I8" s="3309"/>
      <c r="J8" s="3309"/>
      <c r="K8" s="3310"/>
      <c r="L8" s="953"/>
      <c r="M8" s="953"/>
      <c r="N8" s="953"/>
      <c r="O8" s="953"/>
      <c r="P8" s="953"/>
      <c r="Q8" s="1817" t="s">
        <v>341</v>
      </c>
      <c r="R8" s="2479"/>
      <c r="S8" s="961"/>
      <c r="T8" s="961"/>
      <c r="U8" s="1798" t="s">
        <v>17</v>
      </c>
      <c r="V8" s="3448"/>
      <c r="W8" s="3449"/>
      <c r="X8" s="1772"/>
      <c r="Y8" s="2476"/>
      <c r="Z8" s="1151"/>
      <c r="AA8" s="963"/>
      <c r="AC8" s="963"/>
      <c r="AD8" s="964"/>
      <c r="AE8" s="964"/>
      <c r="AF8" s="953"/>
      <c r="AG8" s="951"/>
      <c r="AI8" s="542"/>
      <c r="AJ8" s="542"/>
      <c r="AK8" s="3299"/>
      <c r="AM8"/>
      <c r="AN8"/>
      <c r="AO8" s="1688"/>
      <c r="AP8" s="1688"/>
      <c r="AQ8"/>
      <c r="AR8"/>
      <c r="AS8" s="67"/>
      <c r="AT8" s="67"/>
      <c r="CG8" s="2312"/>
      <c r="CH8" s="2312" t="s">
        <v>342</v>
      </c>
      <c r="CI8" s="2313"/>
      <c r="CJ8" s="2340"/>
      <c r="CK8" s="2313"/>
      <c r="CL8" s="2314"/>
      <c r="CM8" s="2313"/>
      <c r="CN8" s="2313"/>
      <c r="CO8" s="2313"/>
      <c r="CV8" s="2357"/>
      <c r="CW8" s="2358"/>
      <c r="CX8" s="2358" t="str">
        <f>"(Tracker Override) Deferred at full term? ("&amp;Term&amp;" months)"</f>
        <v>(Tracker Override) Deferred at full term? (24 months)</v>
      </c>
      <c r="CY8" s="3304" t="s">
        <v>77</v>
      </c>
      <c r="CZ8" s="3304"/>
      <c r="DA8" s="3300" t="s">
        <v>343</v>
      </c>
      <c r="DB8" s="3300"/>
    </row>
    <row r="9" spans="1:106" s="537" customFormat="1" ht="16.5" customHeight="1" thickBot="1" x14ac:dyDescent="0.4">
      <c r="A9" s="953"/>
      <c r="B9" s="1797"/>
      <c r="C9" s="1799" t="s">
        <v>344</v>
      </c>
      <c r="D9" s="2120"/>
      <c r="E9" s="2120"/>
      <c r="F9" s="2120"/>
      <c r="G9" s="2121"/>
      <c r="H9" s="3308"/>
      <c r="I9" s="3309"/>
      <c r="J9" s="3309"/>
      <c r="K9" s="3310"/>
      <c r="L9" s="953"/>
      <c r="M9" s="953"/>
      <c r="N9" s="953"/>
      <c r="O9" s="953"/>
      <c r="P9" s="953"/>
      <c r="Q9" s="1744"/>
      <c r="R9" s="961"/>
      <c r="S9" s="961"/>
      <c r="T9" s="961"/>
      <c r="U9" s="1798" t="str">
        <f>IF(OR(V3="Residential BTL",V3="Retention "),"Estimated "&amp;$V$8&amp;" Gross Rent:","Estimated "&amp;$V$8&amp;" AST Rent:")</f>
        <v>Estimated  AST Rent:</v>
      </c>
      <c r="V9" s="3458"/>
      <c r="W9" s="3459"/>
      <c r="X9" s="1826" t="s">
        <v>19</v>
      </c>
      <c r="Z9" s="951"/>
      <c r="AA9" s="963"/>
      <c r="AC9" s="963"/>
      <c r="AD9" s="964"/>
      <c r="AE9" s="964"/>
      <c r="AF9" s="953"/>
      <c r="AG9" s="951"/>
      <c r="AI9" s="542"/>
      <c r="AJ9" s="542"/>
      <c r="AK9" s="3299"/>
      <c r="AM9"/>
      <c r="AN9"/>
      <c r="AO9" s="1688"/>
      <c r="AP9" s="1688"/>
      <c r="AQ9"/>
      <c r="AR9"/>
      <c r="AS9" s="67"/>
      <c r="AT9" s="67"/>
      <c r="AY9" s="914"/>
      <c r="AZ9" s="914"/>
      <c r="BA9" s="1011"/>
      <c r="BB9" s="3052" t="s">
        <v>54</v>
      </c>
      <c r="BC9" s="3053"/>
      <c r="BD9" s="3054"/>
      <c r="BE9" s="3058" t="s">
        <v>55</v>
      </c>
      <c r="BF9" s="3053"/>
      <c r="BG9" s="3054"/>
      <c r="BH9" s="3058" t="s">
        <v>56</v>
      </c>
      <c r="BI9" s="3054"/>
      <c r="BJ9" s="3053" t="s">
        <v>57</v>
      </c>
      <c r="BK9" s="3060"/>
      <c r="CG9" s="2312"/>
      <c r="CH9" s="2312" t="s">
        <v>345</v>
      </c>
      <c r="CI9" s="2313"/>
      <c r="CJ9" s="2313"/>
      <c r="CK9" s="2313"/>
      <c r="CL9" s="2314"/>
      <c r="CM9" s="2313"/>
      <c r="CN9" s="2313"/>
      <c r="CO9" s="2313"/>
      <c r="CV9" s="2357"/>
      <c r="CW9" s="2358"/>
      <c r="CX9" s="2358" t="s">
        <v>80</v>
      </c>
      <c r="CY9" s="3278" t="s">
        <v>81</v>
      </c>
      <c r="CZ9" s="3278"/>
      <c r="DA9" s="3300" t="s">
        <v>346</v>
      </c>
      <c r="DB9" s="3300"/>
    </row>
    <row r="10" spans="1:106" s="537" customFormat="1" ht="16.5" customHeight="1" thickBot="1" x14ac:dyDescent="0.4">
      <c r="A10" s="953"/>
      <c r="B10" s="1797"/>
      <c r="C10" s="959"/>
      <c r="D10" s="2120"/>
      <c r="E10" s="2120"/>
      <c r="G10" s="1798" t="s">
        <v>21</v>
      </c>
      <c r="H10" s="3308" t="s">
        <v>3809</v>
      </c>
      <c r="I10" s="3309"/>
      <c r="J10" s="3309"/>
      <c r="K10" s="3310"/>
      <c r="L10" s="953"/>
      <c r="M10" s="953"/>
      <c r="N10" s="953"/>
      <c r="O10" s="953"/>
      <c r="P10" s="953"/>
      <c r="Q10" s="1847"/>
      <c r="U10" s="1872" t="s">
        <v>347</v>
      </c>
      <c r="V10" s="3454" t="str">
        <f>IF(V9="","",'KB_CRITERIA AND CALCULATION '!U22)</f>
        <v/>
      </c>
      <c r="W10" s="3455"/>
      <c r="AG10" s="951"/>
      <c r="AI10" s="542"/>
      <c r="AJ10" s="542"/>
      <c r="AK10" s="3299"/>
      <c r="AM10"/>
      <c r="AN10"/>
      <c r="AO10" s="1688"/>
      <c r="AP10" s="1688"/>
      <c r="AQ10"/>
      <c r="AR10"/>
      <c r="AS10" s="67"/>
      <c r="AT10" s="67"/>
      <c r="AY10" s="914"/>
      <c r="AZ10" s="914"/>
      <c r="BA10" s="1898">
        <v>0.06</v>
      </c>
      <c r="BB10" s="3055"/>
      <c r="BC10" s="3056"/>
      <c r="BD10" s="3057"/>
      <c r="BE10" s="3059"/>
      <c r="BF10" s="3056"/>
      <c r="BG10" s="3057"/>
      <c r="BH10" s="3059"/>
      <c r="BI10" s="3057"/>
      <c r="BJ10" s="3056"/>
      <c r="BK10" s="3061"/>
      <c r="CG10" s="2312"/>
      <c r="CH10" s="2312" t="s">
        <v>348</v>
      </c>
      <c r="CI10" s="2313"/>
      <c r="CJ10" s="2313"/>
      <c r="CK10" s="2313"/>
      <c r="CL10" s="2314"/>
      <c r="CM10" s="2313"/>
      <c r="CN10" s="2313"/>
      <c r="CO10" s="2313"/>
      <c r="CV10" s="2357"/>
      <c r="CW10" s="2358"/>
      <c r="CX10" s="2358" t="s">
        <v>84</v>
      </c>
      <c r="CY10" s="3278" t="s">
        <v>85</v>
      </c>
      <c r="CZ10" s="3278"/>
      <c r="DA10" s="3300"/>
      <c r="DB10" s="3300"/>
    </row>
    <row r="11" spans="1:106" s="537" customFormat="1" ht="16.5" customHeight="1" thickBot="1" x14ac:dyDescent="0.4">
      <c r="A11" s="953"/>
      <c r="B11" s="1800"/>
      <c r="C11" s="2122"/>
      <c r="D11" s="2123"/>
      <c r="E11" s="2123"/>
      <c r="F11" s="2123"/>
      <c r="G11" s="2124"/>
      <c r="H11" s="3311"/>
      <c r="I11" s="3312"/>
      <c r="J11" s="3312"/>
      <c r="K11" s="3313"/>
      <c r="L11" s="953"/>
      <c r="M11" s="953"/>
      <c r="N11" s="953"/>
      <c r="O11" s="953"/>
      <c r="P11" s="953"/>
      <c r="Q11" s="1847"/>
      <c r="U11" s="1798" t="str">
        <f>IF(OR(V3="Residential BTL",V3="Retention "),"","Estimated "&amp;$V$8&amp;" Commercial lease rent:")</f>
        <v>Estimated  Commercial lease rent:</v>
      </c>
      <c r="V11" s="3456"/>
      <c r="W11" s="3457"/>
      <c r="X11" s="1826" t="str">
        <f>IFERROR("HPI Adjusted in 2022 "&amp;TEXT(HPIAdjusted2022/1000000,"£ #0.##0")&amp;"m, 2023 "&amp;TEXT(HPIAdjusted2023/1000000,"£ #0.##0")&amp;"m, 2024 "&amp;TEXT(HPIAdjusted2024/1000000,"£ #0.##0")&amp;"m, 2025 "&amp;TEXT(HPIAdjusted2025/1000000,"£ #0.##0")&amp;"m","")</f>
        <v/>
      </c>
      <c r="Z11" s="951"/>
      <c r="AA11" s="963"/>
      <c r="AC11" s="963"/>
      <c r="AD11" s="964"/>
      <c r="AE11" s="964"/>
      <c r="AF11" s="953"/>
      <c r="AG11" s="951"/>
      <c r="AI11" s="543"/>
      <c r="AJ11" s="543"/>
      <c r="AK11" s="3299"/>
      <c r="AM11"/>
      <c r="AN11"/>
      <c r="AO11" s="1688"/>
      <c r="AP11" s="1688"/>
      <c r="AQ11"/>
      <c r="AR11"/>
      <c r="AS11" s="67"/>
      <c r="AT11" s="67"/>
      <c r="AY11" s="3421" t="s">
        <v>99</v>
      </c>
      <c r="AZ11" s="3422"/>
      <c r="BA11" s="1018" t="s">
        <v>61</v>
      </c>
      <c r="BB11" s="3035">
        <f>'KB_CRITERIA AND CALCULATION '!AL112</f>
        <v>0</v>
      </c>
      <c r="BC11" s="3046"/>
      <c r="BD11" s="3036"/>
      <c r="BE11" s="3035">
        <f>'KB_CRITERIA AND CALCULATION '!AL115</f>
        <v>0</v>
      </c>
      <c r="BF11" s="3046"/>
      <c r="BG11" s="3036"/>
      <c r="BH11" s="3035">
        <f>'KB_CRITERIA AND CALCULATION '!AL118</f>
        <v>0</v>
      </c>
      <c r="BI11" s="3036"/>
      <c r="BJ11" s="3035">
        <f>'KB_CRITERIA AND CALCULATION '!AL115</f>
        <v>0</v>
      </c>
      <c r="BK11" s="3036"/>
      <c r="CV11" s="2357"/>
      <c r="CW11" s="2358"/>
      <c r="CX11" s="2358" t="s">
        <v>89</v>
      </c>
      <c r="CY11" s="3278" t="s">
        <v>27</v>
      </c>
      <c r="CZ11" s="3278"/>
      <c r="DA11" s="3300"/>
      <c r="DB11" s="3300"/>
    </row>
    <row r="12" spans="1:106" s="541" customFormat="1" ht="16.5" customHeight="1" x14ac:dyDescent="0.35">
      <c r="A12" s="953"/>
      <c r="B12" s="2488"/>
      <c r="C12" s="2489"/>
      <c r="D12" s="2490"/>
      <c r="E12" s="2490"/>
      <c r="F12" s="2491"/>
      <c r="G12" s="2492" t="str">
        <f>IF(OR(V3="Residential BTL",V3="Retention "),"First time Landlord?", "First time commercial Landlord")</f>
        <v>First time commercial Landlord</v>
      </c>
      <c r="H12" s="3320" t="s">
        <v>27</v>
      </c>
      <c r="I12" s="3321"/>
      <c r="J12" s="3321"/>
      <c r="K12" s="3322"/>
      <c r="L12" s="2028"/>
      <c r="M12" s="953"/>
      <c r="N12" s="953"/>
      <c r="O12" s="953"/>
      <c r="P12" s="953"/>
      <c r="Q12" s="1847"/>
      <c r="R12" s="537"/>
      <c r="S12" s="537"/>
      <c r="T12" s="537"/>
      <c r="U12" s="1872" t="str">
        <f>IF(ISNUMBER(SEARCH("Commercial",V3)),"Estimated Monthly Gross Rent:","")</f>
        <v/>
      </c>
      <c r="V12" s="3454" t="str">
        <f>IF(V11="","",'KB_CRITERIA AND CALCULATION '!W22)</f>
        <v/>
      </c>
      <c r="W12" s="3455"/>
      <c r="Y12" s="1826" t="str">
        <f>IFERROR("Recommended from postcode - "&amp;'KB_CRITERIA AND CALCULATION '!F21,"")</f>
        <v/>
      </c>
      <c r="Z12" s="953"/>
      <c r="AA12" s="953"/>
      <c r="AC12" s="953"/>
      <c r="AD12" s="958"/>
      <c r="AE12" s="958"/>
      <c r="AF12" s="953"/>
      <c r="AG12" s="953"/>
      <c r="AI12" s="544"/>
      <c r="AJ12" s="544"/>
      <c r="AK12" s="3299"/>
      <c r="AM12"/>
      <c r="AN12"/>
      <c r="AO12" s="1688"/>
      <c r="AP12" s="1688"/>
      <c r="AQ12"/>
      <c r="AR12"/>
      <c r="AS12" s="67"/>
      <c r="AT12" s="67"/>
      <c r="AY12" s="3423"/>
      <c r="AZ12" s="3424"/>
      <c r="BA12" s="1020" t="s">
        <v>64</v>
      </c>
      <c r="BB12" s="3037">
        <f>'KB_CRITERIA AND CALCULATION '!AL113</f>
        <v>0</v>
      </c>
      <c r="BC12" s="3039"/>
      <c r="BD12" s="3038"/>
      <c r="BE12" s="3037">
        <f>'KB_CRITERIA AND CALCULATION '!AL116</f>
        <v>0</v>
      </c>
      <c r="BF12" s="3039"/>
      <c r="BG12" s="3038"/>
      <c r="BH12" s="3037">
        <f>'KB_CRITERIA AND CALCULATION '!AL119</f>
        <v>0</v>
      </c>
      <c r="BI12" s="3038"/>
      <c r="BJ12" s="3037">
        <f>'KB_CRITERIA AND CALCULATION '!AL116</f>
        <v>0</v>
      </c>
      <c r="BK12" s="3038"/>
      <c r="CV12" s="2357"/>
      <c r="CW12" s="2358"/>
      <c r="CX12" s="2358" t="s">
        <v>91</v>
      </c>
      <c r="CY12" s="2360"/>
      <c r="CZ12" s="2360"/>
      <c r="DA12" s="2357"/>
      <c r="DB12" s="2357"/>
    </row>
    <row r="13" spans="1:106" s="541" customFormat="1" ht="16.5" customHeight="1" x14ac:dyDescent="0.35">
      <c r="A13" s="953"/>
      <c r="B13" s="1801"/>
      <c r="C13" s="1799" t="s">
        <v>349</v>
      </c>
      <c r="D13" s="2548"/>
      <c r="E13" s="2548"/>
      <c r="G13" s="2493" t="str">
        <f>IF(OR(V3="Residential BTL",V3="Retention "),"","Commercial Owner Occuppied")</f>
        <v>Commercial Owner Occuppied</v>
      </c>
      <c r="H13" s="3314" t="s">
        <v>27</v>
      </c>
      <c r="I13" s="3315"/>
      <c r="J13" s="3315"/>
      <c r="K13" s="3316"/>
      <c r="L13" s="2296" t="s">
        <v>350</v>
      </c>
      <c r="M13" s="2296"/>
      <c r="N13" s="2296"/>
      <c r="O13" s="2296"/>
      <c r="P13" s="2296"/>
      <c r="Q13" s="1745"/>
      <c r="V13" s="3452">
        <f>IF(OR(V3="Residential BTL",V3 = "Retention "),"",('KB_CRITERIA AND CALCULATION '!AP90-'KB_CRITERIA AND CALCULATION '!AQ90)/Term)</f>
        <v>0</v>
      </c>
      <c r="W13" s="3453"/>
      <c r="Y13" s="1826" t="str">
        <f>IF(V3="Residential BTL", ""," formula (calculated automatically)")</f>
        <v xml:space="preserve"> formula (calculated automatically)</v>
      </c>
      <c r="Z13" s="1826"/>
      <c r="AA13" s="2297"/>
      <c r="AC13" s="2297"/>
      <c r="AD13" s="971"/>
      <c r="AE13" s="971"/>
      <c r="AF13" s="951"/>
      <c r="AG13" s="953"/>
      <c r="AK13" s="3299"/>
      <c r="AL13" s="545"/>
      <c r="AM13"/>
      <c r="AN13"/>
      <c r="AO13" s="1688"/>
      <c r="AP13" s="1688"/>
      <c r="AQ13"/>
      <c r="AR13"/>
      <c r="AS13" s="67"/>
      <c r="AT13" s="67"/>
      <c r="AY13" s="3423"/>
      <c r="AZ13" s="3424"/>
      <c r="BA13" s="1020" t="s">
        <v>67</v>
      </c>
      <c r="BB13" s="3037" t="str">
        <f>'KB_CRITERIA AND CALCULATION '!AL114</f>
        <v/>
      </c>
      <c r="BC13" s="3039"/>
      <c r="BD13" s="3038"/>
      <c r="BE13" s="3037" t="str">
        <f>'KB_CRITERIA AND CALCULATION '!AL117</f>
        <v/>
      </c>
      <c r="BF13" s="3039"/>
      <c r="BG13" s="3038"/>
      <c r="BH13" s="3037" t="str">
        <f>'KB_CRITERIA AND CALCULATION '!AL120</f>
        <v/>
      </c>
      <c r="BI13" s="3038"/>
      <c r="BJ13" s="3037" t="str">
        <f>'KB_CRITERIA AND CALCULATION '!AL117</f>
        <v/>
      </c>
      <c r="BK13" s="3038"/>
    </row>
    <row r="14" spans="1:106" s="541" customFormat="1" ht="16.5" customHeight="1" x14ac:dyDescent="0.35">
      <c r="A14" s="953"/>
      <c r="B14" s="1801"/>
      <c r="C14" s="972"/>
      <c r="D14" s="2548"/>
      <c r="E14" s="2548"/>
      <c r="G14" s="2493" t="str">
        <f>IF(OR(V3="Residential BTL",V3="Retention "), "","Monthly EBIDTA (please use EBITDA calculation tab)")</f>
        <v>Monthly EBIDTA (please use EBITDA calculation tab)</v>
      </c>
      <c r="H14" s="3317">
        <f>IF(H13="Yes",'EBITDA calc_'!K27/12,0)</f>
        <v>0</v>
      </c>
      <c r="I14" s="3318"/>
      <c r="J14" s="3318"/>
      <c r="K14" s="3319"/>
      <c r="L14" s="2296"/>
      <c r="M14" s="2296"/>
      <c r="N14" s="2296"/>
      <c r="O14" s="2296"/>
      <c r="P14" s="2296"/>
      <c r="Q14" s="1744"/>
      <c r="R14" s="961"/>
      <c r="S14" s="961"/>
      <c r="T14" s="961"/>
      <c r="U14" s="1798" t="s">
        <v>22</v>
      </c>
      <c r="V14" s="3450"/>
      <c r="W14" s="3451"/>
      <c r="X14" s="3517" t="s">
        <v>351</v>
      </c>
      <c r="Y14" s="3518"/>
      <c r="Z14" s="3518"/>
      <c r="AA14" s="2404"/>
      <c r="AC14" s="2297"/>
      <c r="AD14" s="1874"/>
      <c r="AE14" s="1874"/>
      <c r="AF14" s="1874"/>
      <c r="AG14" s="1688"/>
      <c r="AH14" s="289"/>
      <c r="AI14" s="289"/>
      <c r="AJ14" s="289"/>
      <c r="AK14" s="1858"/>
      <c r="AL14" s="1858"/>
      <c r="AM14"/>
      <c r="AN14"/>
      <c r="AO14" s="1688"/>
      <c r="AP14" s="1688"/>
      <c r="AQ14"/>
      <c r="AR14"/>
      <c r="AS14" s="67"/>
      <c r="AT14" s="67"/>
      <c r="AY14" s="3425"/>
      <c r="AZ14" s="3426"/>
      <c r="BA14" s="1022" t="s">
        <v>71</v>
      </c>
      <c r="BB14" s="3020" t="e">
        <f>'KB_CRITERIA AND CALCULATION '!#REF!</f>
        <v>#REF!</v>
      </c>
      <c r="BC14" s="3021"/>
      <c r="BD14" s="3022"/>
      <c r="BE14" s="3020" t="e">
        <f>'KB_CRITERIA AND CALCULATION '!#REF!</f>
        <v>#REF!</v>
      </c>
      <c r="BF14" s="3021"/>
      <c r="BG14" s="3022"/>
      <c r="BH14" s="3020" t="e">
        <f>'KB_CRITERIA AND CALCULATION '!#REF!</f>
        <v>#REF!</v>
      </c>
      <c r="BI14" s="3022"/>
      <c r="BJ14" s="3020" t="e">
        <f>'KB_CRITERIA AND CALCULATION '!#REF!</f>
        <v>#REF!</v>
      </c>
      <c r="BK14" s="3022"/>
    </row>
    <row r="15" spans="1:106" s="541" customFormat="1" ht="16.5" customHeight="1" x14ac:dyDescent="0.35">
      <c r="A15" s="953"/>
      <c r="B15" s="1801"/>
      <c r="C15" s="972"/>
      <c r="D15" s="2548"/>
      <c r="E15" s="2548"/>
      <c r="G15" s="2493" t="s">
        <v>30</v>
      </c>
      <c r="H15" s="3314" t="s">
        <v>27</v>
      </c>
      <c r="I15" s="3315"/>
      <c r="J15" s="3315"/>
      <c r="K15" s="3316"/>
      <c r="L15" s="3236" t="str">
        <f>IF(AND(V2="Core",H15="Yes",H17="No"),"Note! Core Range, only Expat with UK Footprint + TI Jurisdictions allowed ","")</f>
        <v/>
      </c>
      <c r="M15" s="3237"/>
      <c r="N15" s="3237"/>
      <c r="O15" s="3237"/>
      <c r="P15" s="3238"/>
      <c r="Q15" s="1744"/>
      <c r="R15" s="961"/>
      <c r="S15" s="961"/>
      <c r="T15" s="961"/>
      <c r="U15" s="1798" t="s">
        <v>24</v>
      </c>
      <c r="V15" s="3448"/>
      <c r="W15" s="3449"/>
      <c r="X15" s="3517"/>
      <c r="Y15" s="3518"/>
      <c r="Z15" s="3518"/>
      <c r="AA15" s="2404"/>
      <c r="AC15" s="2297"/>
      <c r="AD15" s="1874"/>
      <c r="AE15" s="1874"/>
      <c r="AF15" s="1874"/>
      <c r="AG15" s="1688"/>
      <c r="AH15" s="289"/>
      <c r="AI15" s="1859"/>
      <c r="AJ15" s="1859"/>
      <c r="AK15" s="1858"/>
      <c r="AL15" s="1858"/>
      <c r="AM15"/>
      <c r="AN15"/>
      <c r="AO15" s="1688"/>
      <c r="AP15" s="1688"/>
      <c r="AQ15"/>
      <c r="AR15"/>
      <c r="AS15" s="67"/>
      <c r="AT15" s="67"/>
      <c r="CV15" s="2363" t="s">
        <v>103</v>
      </c>
    </row>
    <row r="16" spans="1:106" s="541" customFormat="1" ht="16.5" customHeight="1" x14ac:dyDescent="0.35">
      <c r="A16" s="953"/>
      <c r="B16" s="1745"/>
      <c r="G16" s="2494" t="s">
        <v>3729</v>
      </c>
      <c r="H16" s="3261" t="s">
        <v>27</v>
      </c>
      <c r="I16" s="3262"/>
      <c r="J16" s="3262"/>
      <c r="K16" s="3263"/>
      <c r="L16" s="2296"/>
      <c r="M16" s="2296"/>
      <c r="N16" s="2296"/>
      <c r="O16" s="2296"/>
      <c r="P16" s="2296"/>
      <c r="Q16" s="1744"/>
      <c r="R16" s="961"/>
      <c r="S16" s="961"/>
      <c r="T16" s="961"/>
      <c r="U16" s="1798" t="s">
        <v>28</v>
      </c>
      <c r="V16" s="3448" t="s">
        <v>27</v>
      </c>
      <c r="W16" s="3449"/>
      <c r="X16" s="3517"/>
      <c r="Y16" s="3518"/>
      <c r="Z16" s="3518"/>
      <c r="AA16" s="2404"/>
      <c r="AC16" s="2297"/>
      <c r="AD16" s="1874"/>
      <c r="AE16" s="1874"/>
      <c r="AF16" s="1874"/>
      <c r="AG16" s="289"/>
      <c r="AH16" s="1860" t="str">
        <f>'KB_CRITERIA AND CALCULATION '!$L$2</f>
        <v>Available Funding lines are: Zircon or Pearl</v>
      </c>
      <c r="AI16" s="1860"/>
      <c r="AJ16" s="1860"/>
      <c r="AK16" s="1860"/>
      <c r="AL16" s="289"/>
      <c r="AM16"/>
      <c r="AN16"/>
      <c r="AO16" s="1688"/>
      <c r="AP16" s="1688"/>
      <c r="AQ16"/>
      <c r="AR16"/>
    </row>
    <row r="17" spans="1:66" s="541" customFormat="1" ht="16.5" customHeight="1" x14ac:dyDescent="0.35">
      <c r="A17" s="953"/>
      <c r="B17" s="1801"/>
      <c r="C17" s="977"/>
      <c r="D17" s="2548"/>
      <c r="E17" s="2548"/>
      <c r="G17" s="2494" t="s">
        <v>32</v>
      </c>
      <c r="H17" s="3261" t="s">
        <v>27</v>
      </c>
      <c r="I17" s="3262"/>
      <c r="J17" s="3262"/>
      <c r="K17" s="3263"/>
      <c r="L17" s="2296"/>
      <c r="M17" s="2296"/>
      <c r="N17" s="2296"/>
      <c r="O17" s="2296"/>
      <c r="P17" s="2296"/>
      <c r="Q17" s="1744"/>
      <c r="R17" s="961"/>
      <c r="S17" s="961"/>
      <c r="T17" s="961"/>
      <c r="U17" s="1798" t="s">
        <v>31</v>
      </c>
      <c r="V17" s="3448" t="s">
        <v>27</v>
      </c>
      <c r="W17" s="3449"/>
      <c r="X17" s="3517"/>
      <c r="Y17" s="3518"/>
      <c r="Z17" s="3518"/>
      <c r="AA17" s="2404"/>
      <c r="AC17" s="2297"/>
      <c r="AD17" s="1874"/>
      <c r="AE17" s="1874"/>
      <c r="AF17" s="1874"/>
      <c r="AG17" s="289"/>
      <c r="AH17" s="1861" t="e">
        <f>TRIM('KB_CRITERIA AND CALCULATION '!$L$3)</f>
        <v>#N/A</v>
      </c>
      <c r="AI17" s="1861"/>
      <c r="AJ17" s="1861"/>
      <c r="AK17" s="1861"/>
      <c r="AL17" s="289"/>
      <c r="AM17" s="208"/>
      <c r="AN17" s="208"/>
      <c r="AO17" s="290"/>
      <c r="AP17" s="290">
        <v>1</v>
      </c>
      <c r="AQ17" s="208"/>
    </row>
    <row r="18" spans="1:66" s="541" customFormat="1" ht="16.5" customHeight="1" x14ac:dyDescent="0.35">
      <c r="A18" s="953"/>
      <c r="B18" s="1801"/>
      <c r="C18" s="977"/>
      <c r="D18" s="2549"/>
      <c r="E18" s="1798"/>
      <c r="G18" s="2493" t="s">
        <v>35</v>
      </c>
      <c r="H18" s="3314" t="s">
        <v>27</v>
      </c>
      <c r="I18" s="3315"/>
      <c r="J18" s="3315"/>
      <c r="K18" s="3316"/>
      <c r="L18" s="2296"/>
      <c r="M18" s="2296"/>
      <c r="N18" s="2296"/>
      <c r="O18" s="2296"/>
      <c r="P18" s="2296"/>
      <c r="Q18" s="1744"/>
      <c r="R18" s="961"/>
      <c r="S18" s="961"/>
      <c r="T18" s="961"/>
      <c r="U18" s="1798" t="s">
        <v>34</v>
      </c>
      <c r="V18" s="3448" t="s">
        <v>27</v>
      </c>
      <c r="W18" s="3449"/>
      <c r="X18" s="3517"/>
      <c r="Y18" s="3518"/>
      <c r="Z18" s="3518"/>
      <c r="AA18" s="2404"/>
      <c r="AC18" s="2297"/>
      <c r="AD18" s="1874"/>
      <c r="AE18" s="1874"/>
      <c r="AF18" s="1874"/>
      <c r="AG18" s="289"/>
      <c r="AH18" s="1861"/>
      <c r="AI18" s="1861"/>
      <c r="AJ18" s="1861"/>
      <c r="AK18" s="1861"/>
      <c r="AL18" s="289"/>
      <c r="AN18" s="537"/>
      <c r="AO18" s="290"/>
      <c r="AP18" s="290">
        <v>2</v>
      </c>
      <c r="AQ18" s="537"/>
      <c r="AT18" s="130"/>
      <c r="AU18" s="130"/>
      <c r="AV18" s="130"/>
      <c r="AW18" s="130"/>
    </row>
    <row r="19" spans="1:66" s="541" customFormat="1" ht="16.5" customHeight="1" x14ac:dyDescent="0.35">
      <c r="A19" s="953"/>
      <c r="B19" s="1801"/>
      <c r="C19" s="977"/>
      <c r="D19" s="2549"/>
      <c r="E19" s="1798"/>
      <c r="G19" s="2494" t="s">
        <v>3782</v>
      </c>
      <c r="H19" s="3314" t="s">
        <v>27</v>
      </c>
      <c r="I19" s="3315"/>
      <c r="J19" s="3315"/>
      <c r="K19" s="3316"/>
      <c r="L19" s="2296"/>
      <c r="M19" s="2296"/>
      <c r="N19" s="2296"/>
      <c r="O19" s="2296"/>
      <c r="P19" s="2296"/>
      <c r="Q19" s="1744"/>
      <c r="R19" s="961"/>
      <c r="S19" s="961"/>
      <c r="T19" s="961"/>
      <c r="U19" s="1798" t="s">
        <v>36</v>
      </c>
      <c r="V19" s="3448" t="s">
        <v>27</v>
      </c>
      <c r="W19" s="3449"/>
      <c r="X19" s="3517"/>
      <c r="Y19" s="3518"/>
      <c r="Z19" s="3518"/>
      <c r="AA19" s="2404"/>
      <c r="AC19" s="2297"/>
      <c r="AG19" s="289"/>
      <c r="AH19" s="290"/>
      <c r="AI19" s="1862" t="s">
        <v>45</v>
      </c>
      <c r="AJ19" s="1863"/>
      <c r="AK19" s="1863"/>
      <c r="AL19" s="289"/>
      <c r="AN19" s="537"/>
      <c r="AO19" s="290"/>
      <c r="AP19" s="290">
        <v>3</v>
      </c>
      <c r="AQ19" s="537"/>
      <c r="AR19" s="67"/>
      <c r="AS19" s="67"/>
      <c r="AT19" s="67"/>
      <c r="AU19" s="67"/>
      <c r="AV19" s="67"/>
      <c r="AW19" s="67"/>
      <c r="AX19" s="67"/>
      <c r="AY19" s="914"/>
      <c r="AZ19" s="914"/>
      <c r="BA19" s="1011"/>
      <c r="BB19" s="3052" t="s">
        <v>54</v>
      </c>
      <c r="BC19" s="3053"/>
      <c r="BD19" s="3054"/>
      <c r="BE19" s="3058" t="s">
        <v>55</v>
      </c>
      <c r="BF19" s="3053"/>
      <c r="BG19" s="3054"/>
      <c r="BH19" s="3058" t="s">
        <v>56</v>
      </c>
      <c r="BI19" s="3054"/>
      <c r="BJ19" s="3053" t="s">
        <v>57</v>
      </c>
      <c r="BK19" s="3060"/>
    </row>
    <row r="20" spans="1:66" s="541" customFormat="1" ht="16.5" customHeight="1" x14ac:dyDescent="0.35">
      <c r="A20" s="953"/>
      <c r="B20" s="1801"/>
      <c r="C20" s="977"/>
      <c r="D20" s="2549"/>
      <c r="E20" s="1798"/>
      <c r="G20" s="2495" t="s">
        <v>352</v>
      </c>
      <c r="H20" s="3494"/>
      <c r="I20" s="3495"/>
      <c r="J20" s="3495"/>
      <c r="K20" s="3496"/>
      <c r="L20" s="2271" t="s">
        <v>355</v>
      </c>
      <c r="M20" s="2271"/>
      <c r="N20" s="2271"/>
      <c r="O20" s="2271"/>
      <c r="P20" s="2271"/>
      <c r="Q20" s="1744"/>
      <c r="R20" s="961"/>
      <c r="S20" s="961"/>
      <c r="T20" s="961"/>
      <c r="U20" s="1798" t="s">
        <v>38</v>
      </c>
      <c r="V20" s="3448" t="s">
        <v>27</v>
      </c>
      <c r="W20" s="3449"/>
      <c r="X20" s="3517"/>
      <c r="Y20" s="3518"/>
      <c r="Z20" s="3518"/>
      <c r="AA20" s="2404"/>
      <c r="AC20" s="2297"/>
      <c r="AG20" s="1864"/>
      <c r="AH20" s="290"/>
      <c r="AI20" s="1873" t="s">
        <v>49</v>
      </c>
      <c r="AJ20" s="1863"/>
      <c r="AK20" s="1863"/>
      <c r="AL20" s="289"/>
      <c r="AO20" s="290">
        <v>4</v>
      </c>
      <c r="AP20" s="289"/>
      <c r="AR20" s="537"/>
      <c r="AS20" s="537"/>
      <c r="AT20" s="537"/>
      <c r="AU20" s="537"/>
      <c r="AY20" s="914"/>
      <c r="AZ20" s="914"/>
      <c r="BA20" s="1898">
        <v>0.04</v>
      </c>
      <c r="BB20" s="3055"/>
      <c r="BC20" s="3056"/>
      <c r="BD20" s="3057"/>
      <c r="BE20" s="3059"/>
      <c r="BF20" s="3056"/>
      <c r="BG20" s="3057"/>
      <c r="BH20" s="3059"/>
      <c r="BI20" s="3057"/>
      <c r="BJ20" s="3056"/>
      <c r="BK20" s="3061"/>
    </row>
    <row r="21" spans="1:66" s="541" customFormat="1" ht="16.5" customHeight="1" x14ac:dyDescent="0.35">
      <c r="A21" s="953"/>
      <c r="B21" s="1801"/>
      <c r="C21" s="977"/>
      <c r="D21" s="2549"/>
      <c r="E21" s="1798"/>
      <c r="G21" s="2494" t="s">
        <v>354</v>
      </c>
      <c r="H21" s="3489"/>
      <c r="I21" s="3490"/>
      <c r="J21" s="3490"/>
      <c r="K21" s="3491"/>
      <c r="L21" s="2272"/>
      <c r="M21" s="1820"/>
      <c r="N21" s="1820"/>
      <c r="O21" s="1820"/>
      <c r="P21" s="1820"/>
      <c r="Q21" s="1745"/>
      <c r="T21" s="961"/>
      <c r="U21" s="1798" t="s">
        <v>41</v>
      </c>
      <c r="V21" s="3448" t="s">
        <v>27</v>
      </c>
      <c r="W21" s="3449"/>
      <c r="X21" s="3517"/>
      <c r="Y21" s="3518"/>
      <c r="Z21" s="3518"/>
      <c r="AA21" s="2404"/>
      <c r="AC21" s="2297"/>
      <c r="AD21" s="1821"/>
      <c r="AE21" s="1354"/>
      <c r="AF21" s="1354"/>
      <c r="AG21" s="1864"/>
      <c r="AH21" s="290"/>
      <c r="AI21" s="1873"/>
      <c r="AJ21" s="1865"/>
      <c r="AK21" s="1863"/>
      <c r="AL21" s="289"/>
      <c r="AO21" s="290"/>
      <c r="AP21" s="289"/>
      <c r="AR21" s="537"/>
      <c r="AS21" s="537"/>
      <c r="AT21" s="537"/>
      <c r="AU21" s="537"/>
      <c r="AY21" s="3421" t="s">
        <v>99</v>
      </c>
      <c r="AZ21" s="3422"/>
      <c r="BA21" s="1018" t="s">
        <v>61</v>
      </c>
      <c r="BB21" s="3035">
        <f>IFERROR('KB_CRITERIA AND CALCULATION '!AL94,"-")</f>
        <v>0</v>
      </c>
      <c r="BC21" s="3046"/>
      <c r="BD21" s="3036"/>
      <c r="BE21" s="3035">
        <f>'KB_CRITERIA AND CALCULATION '!AL97</f>
        <v>0</v>
      </c>
      <c r="BF21" s="3046"/>
      <c r="BG21" s="3036"/>
      <c r="BH21" s="3035">
        <f>'KB_CRITERIA AND CALCULATION '!AL100</f>
        <v>0</v>
      </c>
      <c r="BI21" s="3036"/>
      <c r="BJ21" s="3035">
        <f>'KB_CRITERIA AND CALCULATION '!AL103</f>
        <v>0</v>
      </c>
      <c r="BK21" s="3036"/>
    </row>
    <row r="22" spans="1:66" s="541" customFormat="1" ht="16.5" customHeight="1" x14ac:dyDescent="0.35">
      <c r="A22" s="953"/>
      <c r="B22" s="1801"/>
      <c r="C22" s="2550"/>
      <c r="D22" s="2549"/>
      <c r="E22" s="2549"/>
      <c r="F22" s="2551"/>
      <c r="G22" s="2494" t="s">
        <v>356</v>
      </c>
      <c r="H22" s="3489"/>
      <c r="I22" s="3490"/>
      <c r="J22" s="3490"/>
      <c r="K22" s="3491"/>
      <c r="L22" s="2273"/>
      <c r="M22" s="1822"/>
      <c r="N22" s="1822"/>
      <c r="O22" s="1822"/>
      <c r="P22" s="1822"/>
      <c r="Q22" s="1745"/>
      <c r="T22" s="961"/>
      <c r="U22" s="1798" t="s">
        <v>44</v>
      </c>
      <c r="V22" s="3448" t="s">
        <v>27</v>
      </c>
      <c r="W22" s="3449"/>
      <c r="X22" s="3517"/>
      <c r="Y22" s="3518"/>
      <c r="Z22" s="3518"/>
      <c r="AA22" s="2404"/>
      <c r="AC22" s="2297"/>
      <c r="AD22" s="1824"/>
      <c r="AE22" s="953"/>
      <c r="AF22"/>
      <c r="AG22" s="1866"/>
      <c r="AH22" s="290"/>
      <c r="AI22" s="1873"/>
      <c r="AJ22" s="1863"/>
      <c r="AK22" s="1863"/>
      <c r="AL22" s="289"/>
      <c r="AO22" s="290"/>
      <c r="AP22" s="290"/>
      <c r="AQ22" s="208"/>
      <c r="AR22" s="208"/>
      <c r="AS22" s="208"/>
      <c r="AT22" s="208"/>
      <c r="AU22" s="208"/>
      <c r="AV22" s="208"/>
      <c r="AW22" s="208"/>
      <c r="AX22" s="208"/>
      <c r="AY22" s="3423"/>
      <c r="AZ22" s="3424"/>
      <c r="BA22" s="1020" t="s">
        <v>64</v>
      </c>
      <c r="BB22" s="3037">
        <f>'KB_CRITERIA AND CALCULATION '!AL95</f>
        <v>0</v>
      </c>
      <c r="BC22" s="3039"/>
      <c r="BD22" s="3038"/>
      <c r="BE22" s="3037">
        <f>'KB_CRITERIA AND CALCULATION '!AL98</f>
        <v>0</v>
      </c>
      <c r="BF22" s="3039"/>
      <c r="BG22" s="3038"/>
      <c r="BH22" s="3037">
        <f>'KB_CRITERIA AND CALCULATION '!AL101</f>
        <v>0</v>
      </c>
      <c r="BI22" s="3038"/>
      <c r="BJ22" s="3037">
        <f>'KB_CRITERIA AND CALCULATION '!AL104</f>
        <v>0</v>
      </c>
      <c r="BK22" s="3038"/>
      <c r="BL22" s="208"/>
      <c r="BM22" s="208"/>
      <c r="BN22" s="208"/>
    </row>
    <row r="23" spans="1:66" s="548" customFormat="1" ht="16.5" customHeight="1" thickBot="1" x14ac:dyDescent="0.4">
      <c r="A23" s="953"/>
      <c r="B23" s="2496"/>
      <c r="C23" s="988"/>
      <c r="D23" s="989"/>
      <c r="E23" s="989"/>
      <c r="F23" s="989"/>
      <c r="G23" s="2494" t="s">
        <v>357</v>
      </c>
      <c r="H23" s="3484"/>
      <c r="I23" s="3485"/>
      <c r="J23" s="3485"/>
      <c r="K23" s="3486"/>
      <c r="L23" s="3493" t="s">
        <v>3712</v>
      </c>
      <c r="M23" s="3493"/>
      <c r="N23" s="2637"/>
      <c r="O23" s="2637"/>
      <c r="P23" s="2637"/>
      <c r="Q23" s="1550"/>
      <c r="R23" s="1816"/>
      <c r="S23" s="1816"/>
      <c r="T23" s="2135"/>
      <c r="U23" s="1848" t="s">
        <v>358</v>
      </c>
      <c r="V23" s="3446" t="s">
        <v>27</v>
      </c>
      <c r="W23" s="3447"/>
      <c r="X23" s="3517"/>
      <c r="Y23" s="3518"/>
      <c r="Z23" s="3518"/>
      <c r="AA23" s="2404"/>
      <c r="AC23" s="2297"/>
      <c r="AD23" s="1825"/>
      <c r="AE23" s="993"/>
      <c r="AF23" s="953"/>
      <c r="AG23" s="953"/>
      <c r="AH23" s="953"/>
      <c r="AI23" s="953"/>
      <c r="AJ23" s="953"/>
      <c r="AK23" s="953"/>
      <c r="AL23" s="541"/>
      <c r="AM23" s="541"/>
      <c r="AN23" s="541"/>
      <c r="AO23" s="289"/>
      <c r="AP23" s="289"/>
      <c r="AQ23" s="541"/>
      <c r="AR23" s="541"/>
      <c r="AS23" s="541"/>
      <c r="AT23" s="541"/>
      <c r="AU23" s="541"/>
      <c r="AV23" s="541"/>
      <c r="AW23" s="541"/>
      <c r="AX23" s="541"/>
      <c r="AY23" s="3423"/>
      <c r="AZ23" s="3424"/>
      <c r="BA23" s="1020" t="s">
        <v>67</v>
      </c>
      <c r="BB23" s="3037" t="str">
        <f>'KB_CRITERIA AND CALCULATION '!AL96</f>
        <v/>
      </c>
      <c r="BC23" s="3039"/>
      <c r="BD23" s="3038"/>
      <c r="BE23" s="3037" t="str">
        <f>'KB_CRITERIA AND CALCULATION '!AL99</f>
        <v/>
      </c>
      <c r="BF23" s="3039"/>
      <c r="BG23" s="3038"/>
      <c r="BH23" s="3037" t="str">
        <f>'KB_CRITERIA AND CALCULATION '!AL102</f>
        <v/>
      </c>
      <c r="BI23" s="3038"/>
      <c r="BJ23" s="3037" t="str">
        <f>'KB_CRITERIA AND CALCULATION '!AL105</f>
        <v/>
      </c>
      <c r="BK23" s="3038"/>
    </row>
    <row r="24" spans="1:66" s="548" customFormat="1" ht="16.5" customHeight="1" thickBot="1" x14ac:dyDescent="0.4">
      <c r="A24" s="953"/>
      <c r="B24" s="2497"/>
      <c r="C24" s="2498"/>
      <c r="D24" s="2498"/>
      <c r="E24" s="2498"/>
      <c r="F24" s="2498"/>
      <c r="G24" s="2499" t="s">
        <v>1088</v>
      </c>
      <c r="H24" s="3497" t="s">
        <v>3679</v>
      </c>
      <c r="I24" s="3498"/>
      <c r="J24" s="3498"/>
      <c r="K24" s="3499"/>
      <c r="L24" s="990"/>
      <c r="M24" s="988"/>
      <c r="N24" s="988"/>
      <c r="O24" s="988"/>
      <c r="P24" s="988"/>
      <c r="Q24" s="2298"/>
      <c r="R24" s="2298"/>
      <c r="S24" s="2298"/>
      <c r="T24" s="2298"/>
      <c r="U24" s="2299"/>
      <c r="V24" s="2298"/>
      <c r="W24" s="2298"/>
      <c r="X24" s="2298"/>
      <c r="Y24" s="2300"/>
      <c r="Z24" s="1826"/>
      <c r="AA24" s="1823"/>
      <c r="AB24" s="1823"/>
      <c r="AC24" s="1823"/>
      <c r="AD24" s="1825"/>
      <c r="AE24" s="993"/>
      <c r="AF24" s="953"/>
      <c r="AG24" s="953"/>
      <c r="AH24" s="953"/>
      <c r="AI24" s="953"/>
      <c r="AJ24" s="953"/>
      <c r="AK24" s="953"/>
      <c r="AL24" s="541"/>
      <c r="AM24" s="541"/>
      <c r="AN24" s="541"/>
      <c r="AO24" s="289"/>
      <c r="AP24" s="289"/>
      <c r="AQ24" s="541"/>
      <c r="AR24" s="541"/>
      <c r="AS24" s="541"/>
      <c r="AT24" s="541"/>
      <c r="AU24" s="541"/>
      <c r="AV24" s="541"/>
      <c r="AW24" s="541"/>
      <c r="AX24" s="541"/>
      <c r="AY24" s="3423"/>
      <c r="AZ24" s="3424"/>
      <c r="BA24" s="1020"/>
      <c r="BB24" s="2118"/>
      <c r="BC24" s="1009"/>
      <c r="BD24" s="2119"/>
      <c r="BE24" s="2118"/>
      <c r="BF24" s="1009"/>
      <c r="BG24" s="2119"/>
      <c r="BH24" s="2118"/>
      <c r="BI24" s="2119"/>
      <c r="BJ24" s="2118"/>
      <c r="BK24" s="2119"/>
    </row>
    <row r="25" spans="1:66" s="548" customFormat="1" ht="16.5" customHeight="1" thickBot="1" x14ac:dyDescent="0.4">
      <c r="A25" s="953"/>
      <c r="B25" s="988"/>
      <c r="C25" s="988"/>
      <c r="D25" s="989"/>
      <c r="E25" s="989"/>
      <c r="F25" s="989"/>
      <c r="G25" s="1791"/>
      <c r="H25" s="988"/>
      <c r="I25" s="988"/>
      <c r="J25" s="988"/>
      <c r="K25" s="988"/>
      <c r="L25" s="990"/>
      <c r="M25" s="988"/>
      <c r="N25" s="988"/>
      <c r="O25" s="988"/>
      <c r="P25" s="988"/>
      <c r="Q25" s="2675"/>
      <c r="R25" s="2676"/>
      <c r="S25" s="2418"/>
      <c r="T25" s="2418"/>
      <c r="U25" s="2418"/>
      <c r="V25" s="2418"/>
      <c r="W25" s="2419"/>
      <c r="X25" s="2419"/>
      <c r="Y25" s="2419"/>
      <c r="Z25" s="2419"/>
      <c r="AA25" s="2419"/>
      <c r="AB25" s="2419"/>
      <c r="AC25" s="2419"/>
      <c r="AD25" s="2420"/>
      <c r="AE25" s="2421"/>
      <c r="AF25" s="2422"/>
      <c r="AG25" s="2422"/>
      <c r="AH25" s="2422"/>
      <c r="AI25" s="2422"/>
      <c r="AJ25" s="2422"/>
      <c r="AK25" s="2422"/>
      <c r="AL25" s="541"/>
      <c r="AM25" s="541"/>
      <c r="AN25" s="541"/>
      <c r="AO25" s="289"/>
      <c r="AP25" s="289"/>
      <c r="AQ25" s="541"/>
      <c r="AR25" s="541"/>
      <c r="AS25" s="541"/>
      <c r="AT25" s="541"/>
      <c r="AU25" s="541"/>
      <c r="AV25" s="541"/>
      <c r="AW25" s="541"/>
      <c r="AX25" s="541"/>
      <c r="AY25" s="3423"/>
      <c r="AZ25" s="3424"/>
      <c r="BA25" s="1020"/>
      <c r="BB25" s="2118"/>
      <c r="BC25" s="1009"/>
      <c r="BD25" s="2119"/>
      <c r="BE25" s="2118"/>
      <c r="BF25" s="1009"/>
      <c r="BG25" s="2119"/>
      <c r="BH25" s="2118"/>
      <c r="BI25" s="2119"/>
      <c r="BJ25" s="2118"/>
      <c r="BK25" s="2119"/>
    </row>
    <row r="26" spans="1:66" s="537" customFormat="1" ht="15.75" customHeight="1" thickBot="1" x14ac:dyDescent="0.3">
      <c r="A26" s="951"/>
      <c r="B26" s="1783"/>
      <c r="C26" s="1784"/>
      <c r="D26" s="1784"/>
      <c r="E26" s="1784"/>
      <c r="F26" s="1795"/>
      <c r="G26" s="2607" t="s">
        <v>359</v>
      </c>
      <c r="H26" s="3325">
        <f>IF(V5="3 Year Fixed",36, IF(V5="5 Year Fixed",60,IF(V5="Tracker",24,24)))</f>
        <v>24</v>
      </c>
      <c r="I26" s="3325"/>
      <c r="J26" s="3325"/>
      <c r="K26" s="3326"/>
      <c r="L26" s="2355"/>
      <c r="M26" s="2356"/>
      <c r="N26" s="2356"/>
      <c r="O26" s="2356"/>
      <c r="P26" s="2356"/>
      <c r="Q26" s="2423" t="s">
        <v>360</v>
      </c>
      <c r="R26" s="2423" t="str">
        <f>Product_Selected</f>
        <v>1) Standard</v>
      </c>
      <c r="S26" s="2423"/>
      <c r="T26" s="2423"/>
      <c r="U26" s="2424"/>
      <c r="V26" s="2424"/>
      <c r="W26" s="2424"/>
      <c r="X26" s="2424"/>
      <c r="Y26" s="2424"/>
      <c r="Z26" s="2424"/>
      <c r="AA26" s="2424"/>
      <c r="AB26" s="3301"/>
      <c r="AC26" s="3301"/>
      <c r="AD26" s="2425"/>
      <c r="AE26" s="2426"/>
      <c r="AF26" s="2426"/>
      <c r="AG26" s="2426"/>
      <c r="AH26" s="2426"/>
      <c r="AI26" s="2426"/>
      <c r="AJ26" s="2426"/>
      <c r="AK26" s="2426"/>
      <c r="AO26" s="290"/>
      <c r="AP26" s="290"/>
      <c r="AY26" s="3425"/>
      <c r="AZ26" s="3426"/>
      <c r="BA26" s="1022" t="s">
        <v>71</v>
      </c>
      <c r="BB26" s="3020" t="e">
        <f>'KB_CRITERIA AND CALCULATION '!#REF!</f>
        <v>#REF!</v>
      </c>
      <c r="BC26" s="3021"/>
      <c r="BD26" s="3022"/>
      <c r="BE26" s="3020" t="e">
        <f>'KB_CRITERIA AND CALCULATION '!#REF!</f>
        <v>#REF!</v>
      </c>
      <c r="BF26" s="3021"/>
      <c r="BG26" s="3022"/>
      <c r="BH26" s="3020" t="e">
        <f>'KB_CRITERIA AND CALCULATION '!#REF!</f>
        <v>#REF!</v>
      </c>
      <c r="BI26" s="3022"/>
      <c r="BJ26" s="3020" t="e">
        <f>'KB_CRITERIA AND CALCULATION '!#REF!</f>
        <v>#REF!</v>
      </c>
      <c r="BK26" s="3022"/>
    </row>
    <row r="27" spans="1:66" s="537" customFormat="1" ht="17.25" customHeight="1" thickBot="1" x14ac:dyDescent="0.4">
      <c r="A27" s="951"/>
      <c r="B27" s="1785"/>
      <c r="C27" s="1799" t="s">
        <v>361</v>
      </c>
      <c r="D27" s="2437"/>
      <c r="E27" s="2437"/>
      <c r="G27" s="1878" t="s">
        <v>362</v>
      </c>
      <c r="H27" s="3323" t="s">
        <v>63</v>
      </c>
      <c r="I27" s="3323"/>
      <c r="J27" s="3323"/>
      <c r="K27" s="3324"/>
      <c r="L27" s="2359"/>
      <c r="Q27" s="3436" t="s">
        <v>363</v>
      </c>
      <c r="R27" s="3436"/>
      <c r="S27" s="2394" t="s">
        <v>364</v>
      </c>
      <c r="T27" s="2394" t="s">
        <v>365</v>
      </c>
      <c r="U27" s="2393" t="s">
        <v>366</v>
      </c>
      <c r="V27" s="2393" t="s">
        <v>367</v>
      </c>
      <c r="W27" s="2394" t="s">
        <v>188</v>
      </c>
      <c r="X27" s="2394" t="s">
        <v>368</v>
      </c>
      <c r="Y27" s="2393" t="s">
        <v>369</v>
      </c>
      <c r="Z27" s="2393" t="s">
        <v>370</v>
      </c>
      <c r="AA27" s="2416" t="s">
        <v>371</v>
      </c>
      <c r="AB27" s="2417"/>
      <c r="AC27" s="2427"/>
      <c r="AD27" s="2427"/>
      <c r="AE27" s="2427"/>
      <c r="AF27" s="2427"/>
      <c r="AG27" s="2427"/>
      <c r="AH27" s="2427"/>
      <c r="AI27" s="2427"/>
      <c r="AJ27" s="2427"/>
      <c r="AK27" s="2427"/>
      <c r="AL27" s="2427"/>
      <c r="AM27" s="2427"/>
      <c r="AO27" s="290"/>
      <c r="AP27" s="290"/>
    </row>
    <row r="28" spans="1:66" s="537" customFormat="1" ht="17.25" customHeight="1" thickBot="1" x14ac:dyDescent="0.4">
      <c r="A28" s="951"/>
      <c r="B28" s="1785"/>
      <c r="C28" s="1786"/>
      <c r="D28" s="2437"/>
      <c r="E28" s="2437"/>
      <c r="G28" s="1878" t="s">
        <v>372</v>
      </c>
      <c r="H28" s="3500" t="str">
        <f>IF(V5="Tracker","Tracker","Fixed")</f>
        <v>Fixed</v>
      </c>
      <c r="I28" s="3500"/>
      <c r="J28" s="3500"/>
      <c r="K28" s="3501"/>
      <c r="L28" s="2359"/>
      <c r="Q28" s="3492" t="s">
        <v>329</v>
      </c>
      <c r="R28" s="3492"/>
      <c r="S28" s="2395">
        <f>IF(OR(V3="Residential BTL",V3="Retention "),'KB Model Suggestions Tr 2yr'!J8,'KB_C&amp;S Opt Roll Defer '!J8)</f>
        <v>8.9900000000000008E-2</v>
      </c>
      <c r="T28" s="2396" t="str">
        <f>"R:"&amp;IF(AND(OR(V3="Residential BTL",V3="Retention "),Roll2&gt;9),9,IF(AND(OR(V3="Semi-Commercial",V3="Commercial"),Roll2&gt;6),6,Roll2))&amp;"   D:"&amp;TEXT(IF(AND(OR(V3="Residential BTL",V3="Retention "),Defer2&gt;2%),2%,IF(AND(OR(V3="Semi-Commercial",V3="Commercial"),Defer2&gt;1.5%),1.5%,Defer2)),"0.00%")</f>
        <v>R:   D:0.00%</v>
      </c>
      <c r="U28" s="2397">
        <f>V28-(V28*(IF(Defer2&gt;2%,2%,Defer2)/12)*24)-(V28*(S28-IF(Defer2&gt;2%,2%,Defer2))/12*IF(Roll2&gt;9,9,Roll2))-(V28*'KB Model Suggestions Tr 2yr'!S30)</f>
        <v>0</v>
      </c>
      <c r="V28" s="2397">
        <f>IF(OR(V3="Residential BTL",V3="Retention "),
MIN(IF(($V$9*24)/((($S$28-BBR+'Product Data'!$K$2-IF(Defer2&gt;2%,2%,Defer2))/12)*(24-IF(Roll2&gt;9,9,Roll2))*'Product Data'!$P$18)&gt;
'KB Model Suggestions Tr 2yr'!L8,
'KB Model Suggestions Tr 2yr'!L8,($V$9*24)/((($S$28-BBR+'Product Data'!$K$2-IF(Defer2&gt;2%,2%,Defer2))/12)*(24-IF(Roll2&gt;9,9,Roll2))*'Product Data'!$P$18)),'Product Data'!P16),
IF(OR(V3&lt;&gt;"Residential BTL",V3&lt;&gt;"Retention "),
MIN(IF((($V$9+$V$11)*24)/((($S$28-BBR+'Product Data'!$K$2-IF(Defer2&gt;2%,2%,Defer2))/12)*(24-IF(Roll2&gt;9,9,Roll2))*'Product Data'!$P$18)&gt;'KB_C&amp;S Opt Roll Defer '!L8,'KB_C&amp;S Opt Roll Defer '!L8,(($V$9+$V$11)*24)/((($S$28-BBR+'Product Data'!$K$2-IF(Defer2&gt;2%,2%,Defer2))/12)*(24-IF(Roll2&gt;9,9,Roll2))*'Product Data'!$P$18)),'Product Data'!P16),0))</f>
        <v>0</v>
      </c>
      <c r="W28" s="2396">
        <f>V28*(S28-(IF(Defer2&gt;2%,2%,Defer2)))/12</f>
        <v>0</v>
      </c>
      <c r="X28" s="2396">
        <f>((V28*(S28-IF(Defer2&gt;2%,2%,Defer2))/12*(24-IF(Roll2&gt;9,9,Roll2)))+V28*'KB Model Suggestions Tr 2yr'!S30)/2</f>
        <v>0</v>
      </c>
      <c r="Y28" s="2396">
        <f>IF(OR(V3="Residential BTL",V3="Retention "),IF(OR(V28&gt;='Product Data'!$P$16,'KB Model Suggestions Tr 2yr'!J10&gt;='Product Data'!$P$16),'BTL Calculator'!U28,'KB Model Suggestions Tr 2yr'!J10),IF(OR(V28&gt;='Product Data'!$P$16,'KB_C&amp;S Opt Roll Defer '!N10&gt;='Product Data'!$P$16),'BTL Calculator'!U28,'KB_C&amp;S Opt Roll Defer '!N10))</f>
        <v>0</v>
      </c>
      <c r="Z28" s="2397">
        <f>IF(OR(V3="Residential BTL",V3="Retention "),IF(AO28=1,(($V$9*24)/((($S$28-BBR+'Product Data'!$K$2-2%)/12)*(24-9)*'Product Data'!$P$18)-(($V$9*24)/((($S$28-BBR+'Product Data'!$K$2-2%)/12)*(24-9)*'Product Data'!$P$18)*2%/12)*24-(($V$9*24)/((($S$28-BBR+'Product Data'!$K$2-2%)/12)*(24-9)*'Product Data'!$P$18)*($S$28-2%)/12*9)-($V$9*24)/((($S$28-BBR+'Product Data'!$K$2-2%)/12)*(24-9)*'Product Data'!$P$18)*0.02),Y28),IF(AO28=1,((($V$9+$V$11)*24)/((($S$28-BBR+'Product Data'!$K$2-2%)/12)*(24-9)*'Product Data'!$P$18)-((($V$9+$V$11)*24)/((($S$28-BBR+'Product Data'!$K$2-2%)/12)*(24-9)*'Product Data'!$P$18)*2%/12)*24-((($V$9+$V$11)*24)/((($S$28-BBR+'Product Data'!$K$2-2%)/12)*(24-9)*'Product Data'!$P$18)*($S$28-2%)/12*9)-(($V$9+$V$11)*24)/((($S$28-BBR+'Product Data'!$K$2-2%)/12)*(24-9)*'Product Data'!$P$18)*0.02),Y28))</f>
        <v>0</v>
      </c>
      <c r="AA28" s="3511" t="str">
        <f>IF(OR(V3="Residential BTL",V3="Retention "),IF(Y28="","Max Gross Loan achieved on this product, for higher loan size refer to Fusion.",'KB Model Suggestions Tr 2yr'!J3),IF(Y28="","Max Gross Loan achieved on this product, for higher loan size refer to Fusion.",'KB_C&amp;S Opt Roll Defer '!J3))</f>
        <v>Max LTV possible with 0m Rolled &amp; 0.00% Deferred</v>
      </c>
      <c r="AB28" s="3512"/>
      <c r="AC28" s="3512"/>
      <c r="AD28" s="3512"/>
      <c r="AE28" s="3512"/>
      <c r="AF28" s="3512"/>
      <c r="AG28" s="2428"/>
      <c r="AH28" s="2428"/>
      <c r="AI28" s="2428"/>
      <c r="AJ28" s="2428"/>
      <c r="AK28" s="2428"/>
      <c r="AL28" s="2428"/>
      <c r="AM28" s="2428"/>
      <c r="AO28" s="290" t="str">
        <f t="shared" ref="AO28:AO35" si="0">IF(ISNUMBER(SEARCH("need Top Slice",AA28)),1,"")</f>
        <v/>
      </c>
      <c r="AP28" s="290"/>
    </row>
    <row r="29" spans="1:66" s="208" customFormat="1" ht="17.25" customHeight="1" thickBot="1" x14ac:dyDescent="0.4">
      <c r="A29" s="914"/>
      <c r="B29" s="1787"/>
      <c r="C29" s="1786"/>
      <c r="D29" s="2437"/>
      <c r="E29" s="2437"/>
      <c r="G29" s="1878" t="s">
        <v>373</v>
      </c>
      <c r="H29" s="3323" t="str">
        <f>IF(OR(V3="Residential BTL",V3="Retention "),'KB_CRITERIA AND CALCULATION '!D36,'KB_CRITERIA AND CALCULATION '!W36)</f>
        <v>1) Standard</v>
      </c>
      <c r="I29" s="3323"/>
      <c r="J29" s="3323"/>
      <c r="K29" s="3324"/>
      <c r="L29" s="1871"/>
      <c r="Q29" s="3440" t="s">
        <v>333</v>
      </c>
      <c r="R29" s="3440"/>
      <c r="S29" s="2395">
        <f>IF(OR(V3="Residential BTL",V3="Retention "),'KB Model Suggestions Tr 2yr'!F8,'KB_C&amp;S Opt Roll Defer '!F8)</f>
        <v>8.0399999999999999E-2</v>
      </c>
      <c r="T29" s="2396" t="str">
        <f>"R:"&amp;IF(AND(OR(V3="Residential BTL",V3="Retention "),Roll4&gt;9),9,IF(AND(OR(V3="Semi-Commercial",V3="Commercial"),Roll4&gt;6),6,Roll4))&amp;"   D:"&amp;TEXT(IF(AND(OR(V3="Residential BTL",V3="Retention "),Defer4&gt;2%),2%,IF(AND(OR(V3="Semi-Commercial",V3="Commercial"),Defer4&gt;1.5%),1.5%,Defer4)),"0.00%")</f>
        <v>R:   D:0.00%</v>
      </c>
      <c r="U29" s="2397">
        <f>V29-(V29*(IF(Defer4&gt;2%,2%,Defer4)/12)*24)-(V29*(S29-IF(Defer4&gt;2%,2%,Defer4))/12*IF(Roll4&gt;9,9,Roll4))-(V29*'KB Model Suggestions Tr 2yr'!T30)</f>
        <v>0</v>
      </c>
      <c r="V29" s="2397">
        <f>IF(OR(V3="Residential BTL",V3="Retention "),MIN(IF(($V$9*24)/(((S29-BBR+'Product Data'!$K$3-IF(Defer4&gt;2%,2%,Defer4))/12)*(24-IF(Roll4&gt;9,9,Roll4))*'Product Data'!$P$18)&gt;
'KB Model Suggestions Tr 2yr'!H8,'KB Model Suggestions Tr 2yr'!H8,(V9*24)/(((S29-BBR+'Product Data'!$K$3-IF(Defer4&gt;2%,2%,Defer4))/12)*(24-IF(Roll4&gt;9,9,Roll4))*'Product Data'!$P$18)),'Product Data'!$P$16),
IF(OR(V3&lt;&gt;"Residential BTL",V3&lt;&gt;"Retention "),MIN(IF((($V$9+V11)*24)/(((S29-BBR+'Product Data'!$K$3-IF(Defer4&gt;2%,2%,Defer4))/12)*(24-IF(Roll4&gt;9,9,Roll4))*'Product Data'!$P$18)&gt;'KB_C&amp;S Opt Roll Defer '!H8,'KB_C&amp;S Opt Roll Defer '!H8,((V9+V11)*24)/(((S29-BBR+'Product Data'!$K$3-IF(Defer4&gt;2%,2%,Defer4))/12)*(24-IF(Roll4&gt;9,9,Roll4))*'Product Data'!$P$18)),'Product Data'!$P$16)))</f>
        <v>0</v>
      </c>
      <c r="W29" s="2396">
        <f>V29*(S29-(IF(Defer4&gt;2%,2%,Defer4)))/12</f>
        <v>0</v>
      </c>
      <c r="X29" s="2396">
        <f>((V29*(S29-IF(Defer4&gt;2%,2%,Defer4))/12*(24-IF(Roll4&gt;9,9,Roll4)))+V29*'KB Model Suggestions Tr 2yr'!T30)/2</f>
        <v>0</v>
      </c>
      <c r="Y29" s="2396">
        <f>IF(OR(V3="Residential BTL",V3="Retention "),IF(OR(V29&gt;='Product Data'!$P$16,'KB Model Suggestions Tr 2yr'!F10&gt;='Product Data'!$P$16),'BTL Calculator'!U29,'KB Model Suggestions Tr 2yr'!F10),IF(OR(V29&gt;='Product Data'!$P$16,'KB_C&amp;S Opt Roll Defer '!N11&gt;='Product Data'!$P$16),'BTL Calculator'!U29,'KB_C&amp;S Opt Roll Defer '!N11))</f>
        <v>0</v>
      </c>
      <c r="Z29" s="2397">
        <f>IF(OR(V3="Residential BTL",V3="Retention "),IF(AO29=1,($V$9*24)/((($S$29-BBR+'Product Data'!$K$3-2%)/12)*(24-9)*'Product Data'!$P$18)-(($V$9*24)/((($S$29-BBR+'Product Data'!$K$3-2%)/12)*(24-9)*'Product Data'!$P$18)*2%/12)*24-(($V$9*24)/((($S$29-BBR+'Product Data'!$K$3-2%)/12)*(24-9)*'Product Data'!$P$18)*($S$29-2%)/12*9)-($V$9*24)/((($S$29-BBR+'Product Data'!$K$3-2%)/12)*(24-9)*'Product Data'!$P$18)*0.04,Y29),IF(AO29=1,(($V$9+$V$11)*24)/((($S$29-BBR+'Product Data'!$K$3-2%)/12)*(24-9)*'Product Data'!$P$18)-((($V$9+$V$11)*24)/((($S$29-BBR+'Product Data'!$K$3-2%)/12)*(24-9)*'Product Data'!$P$18)*2%/12)*24-((($V$9+$V$11)*24)/((($S$29-BBR+'Product Data'!$K$3-2%)/12)*(24-9)*'Product Data'!$P$18)*($S$29-2%)/12*9)-(($V$9+$V$11)*24)/((($S$29-BBR+'Product Data'!$K$3-2%)/12)*(24-9)*'Product Data'!$P$18)*0.04,Y29))</f>
        <v>0</v>
      </c>
      <c r="AA29" s="3513" t="str">
        <f>IF(OR(V3="Residential BTL",V3="Retention "),IF(Y29="","Max Gross Loan achieved on this product, for higher loan size refer to Fusion.",'KB Model Suggestions Tr 2yr'!F3),IF(Y29="","Max Gross Loan achieved on this product, for higher loan size refer to Fusion.",'KB_C&amp;S Opt Roll Defer '!F3))</f>
        <v>Max LTV possible with  0m Rolled &amp; 0.00% Deferred</v>
      </c>
      <c r="AB29" s="3514"/>
      <c r="AC29" s="3514"/>
      <c r="AD29" s="3514"/>
      <c r="AE29" s="3514"/>
      <c r="AF29" s="3514"/>
      <c r="AG29" s="2428"/>
      <c r="AH29" s="2428"/>
      <c r="AI29" s="2428"/>
      <c r="AJ29" s="2428"/>
      <c r="AK29" s="2428"/>
      <c r="AL29" s="2428"/>
      <c r="AM29" s="2428"/>
      <c r="AO29" s="290" t="str">
        <f t="shared" si="0"/>
        <v/>
      </c>
      <c r="AP29" s="290"/>
      <c r="AR29"/>
      <c r="AS29"/>
      <c r="AT29"/>
    </row>
    <row r="30" spans="1:66" s="208" customFormat="1" ht="17.25" customHeight="1" thickBot="1" x14ac:dyDescent="0.4">
      <c r="A30" s="914"/>
      <c r="B30" s="1787"/>
      <c r="C30" s="1786"/>
      <c r="D30" s="1786"/>
      <c r="E30" s="1786"/>
      <c r="G30" s="1798" t="s">
        <v>3783</v>
      </c>
      <c r="H30" s="3302"/>
      <c r="I30" s="3302"/>
      <c r="J30" s="3302"/>
      <c r="K30" s="3303"/>
      <c r="L30" s="1782"/>
      <c r="Q30" s="3440" t="s">
        <v>334</v>
      </c>
      <c r="R30" s="3440"/>
      <c r="S30" s="2395">
        <f>IF(OR(V3="Residential BTL",V3="Retention "),'KB Model Suggestions Tr 2yr'!B8,'KB_C&amp;S Opt Roll Defer '!B8)</f>
        <v>7.0400000000000004E-2</v>
      </c>
      <c r="T30" s="2396" t="str">
        <f>"R:"&amp;IF(AND(OR(V3="Residential BTL",V3="Retention "),Roll6&gt;9),9,IF(AND(OR(V3="Semi-Commercial",V3="Commercial"),Roll6&gt;6),6,Roll6))&amp;"   D:"&amp;TEXT(IF(AND(OR(V3="Residential BTL",V3="Retention "),Defer6&gt;2%),2%,IF(AND(OR(V3&lt;&gt;"Residential BTL",V3&lt;&gt;"Retention "),Defer6&gt;1.5%),1.5%,Defer6)),"0.00%")</f>
        <v>R:   D:0.00%</v>
      </c>
      <c r="U30" s="2397">
        <f>V30-(V30*(IF(Defer6&gt;2%,2%,Defer6)/12)*24)-(V30*(S30-IF(Defer6&gt;2%,2%,Defer6))/12*IF(Roll6&gt;9,9,Roll6))-(V30*'KB Model Suggestions Tr 2yr'!U30)</f>
        <v>0</v>
      </c>
      <c r="V30" s="2397">
        <f>IF(OR(V3="Residential BTL",V3="Retention "),MIN(IF((V9*24)/(((S30-BBR+'Product Data'!$K$3-IF(Defer6&gt;2%,2%,Defer6))/12)*(24-IF(Roll6&gt;9,9,Roll6))*'Product Data'!$P$18)&gt;'KB Model Suggestions Tr 2yr'!D8,'KB Model Suggestions Tr 2yr'!D8,(V9*24)/(((S30-BBR+'Product Data'!$K$3-IF(Defer6&gt;2%,2%,Defer6))/12)*(24-IF(Roll6&gt;9,9,Roll6))*'Product Data'!$P$18)),'Product Data'!$P$16),IF(OR(V3&lt;&gt;"Residential BTL",V3&lt;&gt;"Retention "),MIN(IF(((V9+V11)*24)/(((S30-BBR+'Product Data'!$K$3-IF(Defer6&gt;2%,2%,Defer6))/12)*(24-IF(Roll6&gt;9,9,Roll6))*'Product Data'!$P$18)&gt;'KB_C&amp;S Opt Roll Defer '!D8,'KB_C&amp;S Opt Roll Defer '!D8,((V9+V11)*24)/(((S30-BBR+'Product Data'!$K$3-IF(Defer6&gt;2%,2%,Defer6))/12)*(24-IF(Roll6&gt;9,9,Roll6))*'Product Data'!$P$18)),'Product Data'!$P$16)))</f>
        <v>0</v>
      </c>
      <c r="W30" s="2396">
        <f>V30*(S30-(IF(Defer6&gt;2%,2%,Defer6)))/12</f>
        <v>0</v>
      </c>
      <c r="X30" s="2396">
        <f>((V30*(S30-IF(Defer6&gt;2%,2%,Defer6))/12*(24-IF(Roll6&gt;9,9,Roll6)))+V30*'KB Model Suggestions Tr 2yr'!U30)/2</f>
        <v>0</v>
      </c>
      <c r="Y30" s="2396">
        <f>IF(OR(V3="Residential BTL",V3="Retention "),IF(OR(V30&gt;='Product Data'!$P$16,'KB Model Suggestions Tr 2yr'!B10&gt;='Product Data'!$P$16),'BTL Calculator'!U30,'KB Model Suggestions Tr 2yr'!B10),IF(OR(V30&gt;='Product Data'!$P$16,'KB_C&amp;S Opt Roll Defer '!N12&gt;='Product Data'!$P$16),'BTL Calculator'!U30,'KB_C&amp;S Opt Roll Defer '!N12))</f>
        <v>0</v>
      </c>
      <c r="Z30" s="2397">
        <f>IF(OR(V3="Residential BTL",V3="Retention "),IF(AO30=1,(($V$9*24)/((($S$30-BBR+'Product Data'!$K$3-2%)/12)*(24-9)*'Product Data'!$P$18)-(($V$9*24)/((($S$30-BBR+'Product Data'!$K$3-2%)/12)*(24-9)*'Product Data'!$P$18)*2%/12)*24-(($V$9*24)/((($S$30-BBR+'Product Data'!$K$3-2%)/12)*(24-9)*'Product Data'!$P$18)*($S$30-2%)/12*9)-($V$9*24)/((($S$30-BBR+'Product Data'!$K$3-2%)/12)*(24-9)*'Product Data'!$P$18)*0.06),Y30),IF(AO30=1,(($V$13*24)/((($S$30-BBR+'Product Data'!$K$3-2%)/12)*(24-9)*'Product Data'!$P$18)-(($V$13*24)/((($S$30-BBR+'Product Data'!$K$3-2%)/12)*(24-9)*'Product Data'!$P$18)*2%/12)*24-(($V$13*24)/((($S$30-BBR+'Product Data'!$K$3-2%)/12)*(24-9)*'Product Data'!$P$18)*($S$30-2%)/12*9)-($V$13*24)/((($S$30-BBR+'Product Data'!$K$3-2%)/12)*(24-9)*'Product Data'!$P$18)*0.06),Y30))</f>
        <v>0</v>
      </c>
      <c r="AA30" s="3513" t="str">
        <f>IF(OR(V3="Residential BTL",V3="Retention "),IF(Y30="","Max Gross Loan achieved on this product, for higher loan size refer to Fusion.",'KB Model Suggestions Tr 2yr'!B3),IF(Y30="","Max Gross Loan achieved on this product, for higher loan size refer to Fusion.",'KB_C&amp;S Opt Roll Defer '!B3))</f>
        <v>Max LTV possible with  0m Rolled &amp; 0.00% Deferred</v>
      </c>
      <c r="AB30" s="3514"/>
      <c r="AC30" s="3514"/>
      <c r="AD30" s="3514"/>
      <c r="AE30" s="3514"/>
      <c r="AF30" s="3514"/>
      <c r="AG30" s="2428"/>
      <c r="AH30" s="2428"/>
      <c r="AI30" s="2428"/>
      <c r="AJ30" s="2428"/>
      <c r="AK30" s="2428"/>
      <c r="AL30" s="2428"/>
      <c r="AM30" s="2428"/>
      <c r="AO30" s="290" t="str">
        <f t="shared" si="0"/>
        <v/>
      </c>
      <c r="AP30" s="290"/>
      <c r="AR30"/>
      <c r="AS30"/>
      <c r="AT30"/>
      <c r="AY30" s="914"/>
      <c r="AZ30" s="914"/>
      <c r="BA30" s="1011"/>
      <c r="BB30" s="3052" t="s">
        <v>54</v>
      </c>
      <c r="BC30" s="3053"/>
      <c r="BD30" s="3054"/>
      <c r="BE30" s="3058" t="s">
        <v>55</v>
      </c>
      <c r="BF30" s="3053"/>
      <c r="BG30" s="3054"/>
      <c r="BH30" s="3058" t="s">
        <v>56</v>
      </c>
      <c r="BI30" s="3054"/>
      <c r="BJ30" s="3053" t="s">
        <v>57</v>
      </c>
      <c r="BK30" s="3060"/>
    </row>
    <row r="31" spans="1:66" s="208" customFormat="1" ht="17.25" customHeight="1" thickBot="1" x14ac:dyDescent="0.4">
      <c r="A31" s="914"/>
      <c r="B31" s="1787"/>
      <c r="C31" s="1786"/>
      <c r="D31" s="1786"/>
      <c r="E31" s="1786"/>
      <c r="G31" s="1798" t="str">
        <f>IF(Rate_Type="Fixed", "","BBR Override?")</f>
        <v/>
      </c>
      <c r="H31" s="3442"/>
      <c r="I31" s="3442"/>
      <c r="J31" s="3442"/>
      <c r="K31" s="3443"/>
      <c r="L31" s="1782"/>
      <c r="Q31" s="3441" t="s">
        <v>336</v>
      </c>
      <c r="R31" s="3441"/>
      <c r="S31" s="2398">
        <f>IF(OR(V3="Residential BTL",V3="Retention "),'KB Model Suggestions Fixed 2yr'!J8,'KB_C&amp;S 2yr fixed'!J8)</f>
        <v>8.2900000000000001E-2</v>
      </c>
      <c r="T31" s="2399" t="str">
        <f>"R:"&amp;IF(AND(OR(V3="Residential BTL",V3="Retention "),Roll2&gt;9),9,IF(AND(OR(V3="Semi-Commercial",V3="Commercial"),Roll2&gt;6),6,Roll2))&amp;"   D:"&amp;TEXT(IF(Defer2&gt;1.25%,1.25%,Defer2),"0.00%")</f>
        <v>R:   D:0.00%</v>
      </c>
      <c r="U31" s="2400">
        <f>V31-(V31*(IF(Defer2&gt;1.25%,1.25%,Defer2)/12)*24)-(V31*(S31-IF(Defer2&gt;1.25%,1.25%,Defer2))/12*IF(Roll2&gt;9,9,Roll2))-(V31*'KB Model Suggestions Fixed 2yr'!S30)</f>
        <v>0</v>
      </c>
      <c r="V31" s="2400">
        <f>IF(OR(V3="Residential BTL",V3="Retention "),MIN(IF(($V$9*24)/((($S$31-IF(Defer2&gt;1.25%,1.25%,Defer2))/12)*(24-IF(Roll2&gt;9,9,Roll2))*'Product Data'!$P$23)&gt;'KB Model Suggestions Fixed 2yr'!L8,'KB Model Suggestions Fixed 2yr'!L8,($V$9*24)/((($S$31-IF(Defer2&gt;1.25%,1.25%,Defer2))/12)*(24-IF(Roll2&gt;9,9,Roll2))*'Product Data'!$P$23)),'Product Data'!$P$16),
IF(OR(V3&lt;&gt;"Residential BTL",V3&lt;&gt;"Retention "),MIN(IF((($V$9+$V$11)*24)/((($S$31-IF(Defer2&gt;1.25%,1.25%,Defer2))/12)*(24-IF(Roll2&gt;9,9,Roll2))*'Product Data'!$P$23)&gt;'KB_C&amp;S 2yr fixed'!L8,'KB_C&amp;S 2yr fixed'!L8,(($V$9+$V$11)*24)/((($S$31-IF(Defer2&gt;1.25%,1.25%,Defer2))/12)*(24-IF(Roll2&gt;9,9,Roll2))*'Product Data'!$P$23)),'Product Data'!$P$16)))</f>
        <v>0</v>
      </c>
      <c r="W31" s="2399">
        <f>V31*(S31-(IF(Defer2&gt;1.25%,1.25%,Defer2)))/12</f>
        <v>0</v>
      </c>
      <c r="X31" s="2399">
        <f>((V31*(S31-IF(Defer2&gt;1.25%,1.25%,Defer2))/12*(24-IF(Roll2&gt;9,9,Roll2)))+V31*'KB Model Suggestions Fixed 2yr'!S30)/2</f>
        <v>0</v>
      </c>
      <c r="Y31" s="2399">
        <f>IF(OR(V3="Residential BTL",V3="Retention "),IF(OR(V31&gt;='Product Data'!$P$16,'KB Model Suggestions Fixed 2yr'!J10&gt;='Product Data'!$P$16),'BTL Calculator'!U31,'KB Model Suggestions Fixed 2yr'!J10),IF(OR(V31&gt;='Product Data'!$P$16,'KB_C&amp;S 2yr fixed'!N10&gt;='Product Data'!$P$16),'BTL Calculator'!U31,'KB_C&amp;S 2yr fixed'!N10))</f>
        <v>0</v>
      </c>
      <c r="Z31" s="2400">
        <f>IF(OR(V3="Residential BTL",V3="Retention "),IF(AO31=1,(($V$9*24)/((($S$31-1.25%)/12)*(24-9)*'Product Data'!$P$23)-(($V$9*24)/((($S$31-1.25%)/12)*(24-9)*'Product Data'!$P$23)*1.25%/12)*24-(($V$9*24)/((($S$31-1.25%)/12)*(24-9)*'Product Data'!$P$23)*(S31-1.25%)/12*9)-($V$9*24)/((($S$31-1.25%)/12)*(24-9)*'Product Data'!$P$23)*0.02),Y31),IF(AO31=1,(($V$13*24)/((($S$31-1.25%)/12)*(24-9)*'Product Data'!$P$23)-(($V$13*24)/((($S$31-1.25%)/12)*(24-9)*'Product Data'!$P$23)*1.25%/12)*24-(($V$13*24)/((($S$31-1.25%)/12)*(24-9)*'Product Data'!$P$23)*(S31-1.25%)/12*9)-($V$13*24)/((($S$31-1.25%)/12)*(24-9)*'Product Data'!$P$23)*0.02),Y31))</f>
        <v>0</v>
      </c>
      <c r="AA31" s="3515" t="str">
        <f>IF(OR(V3="Residential BTL",V3="Retention "),IF(Y31="","Max Gross Loan achieved on this product, for higher loan size refer to Fusion.",'KB Model Suggestions Fixed 2yr'!J3),IF(Y31="","Max Gross Loan achieved on this product, for higher loan size refer to Fusion.",'KB_C&amp;S 2yr fixed'!J3))</f>
        <v>Max LTV possible with 0m Rolled &amp; 0.00% Deferred</v>
      </c>
      <c r="AB31" s="3516"/>
      <c r="AC31" s="3516"/>
      <c r="AD31" s="3516"/>
      <c r="AE31" s="3516"/>
      <c r="AF31" s="3516"/>
      <c r="AG31" s="2429"/>
      <c r="AH31" s="2429"/>
      <c r="AI31" s="2429"/>
      <c r="AJ31" s="2429"/>
      <c r="AK31" s="2429"/>
      <c r="AL31" s="2429"/>
      <c r="AM31" s="2429"/>
      <c r="AO31" s="290" t="str">
        <f t="shared" si="0"/>
        <v/>
      </c>
      <c r="AP31" s="290"/>
      <c r="AR31"/>
      <c r="AS31"/>
      <c r="AT31"/>
      <c r="AY31" s="914"/>
      <c r="AZ31" s="914"/>
      <c r="BA31" s="1898">
        <v>0.02</v>
      </c>
      <c r="BB31" s="3055"/>
      <c r="BC31" s="3056"/>
      <c r="BD31" s="3057"/>
      <c r="BE31" s="3059"/>
      <c r="BF31" s="3056"/>
      <c r="BG31" s="3057"/>
      <c r="BH31" s="3059"/>
      <c r="BI31" s="3057"/>
      <c r="BJ31" s="3056"/>
      <c r="BK31" s="3061"/>
    </row>
    <row r="32" spans="1:66" s="208" customFormat="1" ht="17.25" customHeight="1" thickBot="1" x14ac:dyDescent="0.4">
      <c r="A32" s="914"/>
      <c r="B32" s="1785"/>
      <c r="C32" s="2438"/>
      <c r="D32" s="2438"/>
      <c r="E32" s="2438"/>
      <c r="G32" s="1798" t="str">
        <f>IF(Rate_Type="Fixed", "","Stress BBR Override?")</f>
        <v/>
      </c>
      <c r="H32" s="3437"/>
      <c r="I32" s="3438"/>
      <c r="J32" s="3438"/>
      <c r="K32" s="3439"/>
      <c r="L32" s="2361"/>
      <c r="Q32" s="3441" t="s">
        <v>337</v>
      </c>
      <c r="R32" s="3441"/>
      <c r="S32" s="2398">
        <f>IF(OR(V3="Residential BTL",V3="Retention "),'KB Model Suggestions Fixed 2yr'!F8,'KB_C&amp;S 2yr fixed'!F8)</f>
        <v>7.1900000000000006E-2</v>
      </c>
      <c r="T32" s="2399" t="str">
        <f>"R:"&amp;IF(AND(OR(V3="Residential BTL",V3="Retention "),Roll4&gt;9),9,IF(AND(OR(V3="Semi-Commercial",V3="Commercial"),Roll4&gt;6),6,Roll4))&amp;"   D:"&amp;TEXT(IF(Defer4&gt;1.25%,1.25%,Defer4),"0.00%")</f>
        <v>R:   D:0.00%</v>
      </c>
      <c r="U32" s="2400">
        <f>V32-(V32*(IF(Defer4&gt;1.25%,1.25%,Defer4)/12)*24)-(V32*(S32-IF(Defer4&gt;1.25%,1.25%,Defer4))/12*IF(Roll4&gt;9,9,Roll4))-(V32*'KB Model Suggestions Fixed 2yr'!T30)</f>
        <v>0</v>
      </c>
      <c r="V32" s="2400">
        <f>IF(OR(V3="Residential BTL",V3="Retention "),MIN(IF((V9*24)/(((S32-IF(Defer4&gt;1.25%,1.25%,Defer4))/12)*(24-IF(Roll4&gt;9,9,Roll4))*'Product Data'!$P$23)&gt;'KB Model Suggestions Fixed 2yr'!H8,'KB Model Suggestions Fixed 2yr'!H8,(V9*24)/(((S32-IF(Defer4&gt;1.25%,1.25%,Defer4))/12)*(24-IF(Roll4&gt;9,9,Roll4))*'Product Data'!$P$23)),'Product Data'!$P$16),
IF(OR(V3&lt;&gt;"Residential BTL",V3&lt;&gt;"Retention "),MIN(IF(((V9+V11)*24)/(((S32-IF(Defer4&gt;1.25%,1.25%,Defer4))/12)*(24-IF(Roll4&gt;9,9,Roll4))*'Product Data'!$P$23)&gt;'KB_C&amp;S 2yr fixed'!H8,'KB_C&amp;S 2yr fixed'!H8,((V9+V11)*24)/(((S32-IF(Defer4&gt;1.25%,1.25%,Defer4))/12)*(24-IF(Roll4&gt;9,9,Roll4))*'Product Data'!$P$23)),'Product Data'!$P$16)))</f>
        <v>0</v>
      </c>
      <c r="W32" s="2399">
        <f>V32*(S32-(IF(Defer4&gt;1.25%,1.25%,Defer4)))/12</f>
        <v>0</v>
      </c>
      <c r="X32" s="2399">
        <f>((V32*(S32-IF(Defer4&gt;1.25%,1.25%,Defer4))/12*(24-IF(Roll4&gt;9,9,Roll4)))+V32*'KB Model Suggestions Fixed 2yr'!T30)/2</f>
        <v>0</v>
      </c>
      <c r="Y32" s="2399">
        <f>IF(OR(V3="Residential BTL",V3="Retention "),IF(OR(V32&gt;='Product Data'!$P$16,'KB Model Suggestions Fixed 2yr'!F10&gt;='Product Data'!$P$16),'BTL Calculator'!U32,'KB Model Suggestions Fixed 2yr'!F10),IF(OR(V32&gt;='Product Data'!$P$16,'KB_C&amp;S 2yr fixed'!N11&gt;='Product Data'!$P$16),'BTL Calculator'!U32,'KB_C&amp;S 2yr fixed'!N11))</f>
        <v>0</v>
      </c>
      <c r="Z32" s="2400">
        <f>IF(OR(V3="Residential BTL",V3="Retention "),IF(AO32=1,(($V$9*24)/((($S$32-1.25%)/12)*(24-9)*'Product Data'!$P$23)-(($V$9*24)/((($S$32-1.25%)/12)*(24-9)*'Product Data'!$P$23)*1.25%/12)*24-(($V$9*24)/((($S$32-1.25%)/12)*(24-9)*'Product Data'!$P$23)*($S$32-1.25%)/12*9)-($V$10*24)/((($S$32-1.25%)/12)*(24-9)*'Product Data'!$P$23)*0.04),Y32),IF(AO32=1,(($V$13*24)/((($S$32-1.25%)/12)*(24-9)*'Product Data'!$P$23)-(($V$13*24)/((($S$32-1.25%)/12)*(24-9)*'Product Data'!$P$23)*1.25%/12)*24-(($V$13*24)/((($S$32-1.25%)/12)*(24-9)*'Product Data'!$P$23)*($S$32-1.25%)/12*9)-($V$10*24)/((($S$32-1.25%)/12)*(24-9)*'Product Data'!$P$23)*0.04),Y32))</f>
        <v>0</v>
      </c>
      <c r="AA32" s="3515" t="str">
        <f>IF(OR(V3="Residential BTL",V3="Retention "),IF(Y32="","Max Gross Loan achieved on this product, for higher loan size refer to Fusion.",'KB Model Suggestions Fixed 2yr'!F3),IF(Y32="","Max Gross Loan achieved on this product, for higher loan size refer to Fusion.",'KB_C&amp;S 2yr fixed'!F3))</f>
        <v>Max LTV possible with  0m Rolled &amp; 0.00% Deferred</v>
      </c>
      <c r="AB32" s="3516"/>
      <c r="AC32" s="3516"/>
      <c r="AD32" s="3516"/>
      <c r="AE32" s="3516"/>
      <c r="AF32" s="3516"/>
      <c r="AG32" s="2429"/>
      <c r="AH32" s="2429"/>
      <c r="AI32" s="2429"/>
      <c r="AJ32" s="2429"/>
      <c r="AK32" s="2429"/>
      <c r="AL32" s="2429"/>
      <c r="AM32" s="2429"/>
      <c r="AO32" s="290" t="str">
        <f t="shared" si="0"/>
        <v/>
      </c>
      <c r="AP32" s="290"/>
      <c r="AR32"/>
      <c r="AS32"/>
      <c r="AT32"/>
      <c r="AY32" s="3421" t="s">
        <v>99</v>
      </c>
      <c r="AZ32" s="3422"/>
      <c r="BA32" s="1018" t="s">
        <v>61</v>
      </c>
      <c r="BB32" s="3035">
        <f>IFERROR('KB_CRITERIA AND CALCULATION '!$AL$76,"-")</f>
        <v>0</v>
      </c>
      <c r="BC32" s="3046"/>
      <c r="BD32" s="3036"/>
      <c r="BE32" s="3035">
        <f>IFERROR('KB_CRITERIA AND CALCULATION '!$AL$79,"-")</f>
        <v>0</v>
      </c>
      <c r="BF32" s="3046"/>
      <c r="BG32" s="3036"/>
      <c r="BH32" s="3035">
        <f>IFERROR('KB_CRITERIA AND CALCULATION '!$AL$82,"-")</f>
        <v>0</v>
      </c>
      <c r="BI32" s="3036"/>
      <c r="BJ32" s="3035">
        <f>IFERROR('KB_CRITERIA AND CALCULATION '!$AL$85,"-")</f>
        <v>0</v>
      </c>
      <c r="BK32" s="3036"/>
    </row>
    <row r="33" spans="1:63" s="208" customFormat="1" ht="17.25" customHeight="1" thickBot="1" x14ac:dyDescent="0.4">
      <c r="A33" s="914"/>
      <c r="B33" s="1785"/>
      <c r="C33" s="2438"/>
      <c r="D33" s="2438"/>
      <c r="E33" s="2438"/>
      <c r="G33" s="1798" t="s">
        <v>3786</v>
      </c>
      <c r="H33" s="3400"/>
      <c r="I33" s="3401"/>
      <c r="J33" s="3401"/>
      <c r="K33" s="3402"/>
      <c r="L33" s="2362"/>
      <c r="Q33" s="3441" t="s">
        <v>340</v>
      </c>
      <c r="R33" s="3441"/>
      <c r="S33" s="2398">
        <f>IF(OR(V3="Residential BTL",V3="Retention "),'KB Model Suggestions Fixed 2yr'!B8,'KB_C&amp;S 2yr fixed'!B8)</f>
        <v>6.2899999999999998E-2</v>
      </c>
      <c r="T33" s="2399" t="str">
        <f>"R:"&amp;IF(AND(OR(V3="Residential BTL",V3="Retention "),Roll6&gt;9),9,IF(AND(OR(V3="Semi-Commercial",V3="Commercial"),Roll6&gt;6),6,Roll6))&amp;"   D:"&amp;TEXT(IF(Defer6&gt;1.25%,1.25%,Defer6),"0.00%")</f>
        <v>R:   D:0.00%</v>
      </c>
      <c r="U33" s="2400">
        <f>V33-(V33*(IF(Defer6&gt;1.25%,1.25%,Defer6)/12)*24)-(V33*(S33-IF(Defer6&gt;1.25%,1.25%,Defer6))/12*IF(Roll6&gt;9,9,Roll6))-(V33*'KB Model Suggestions Fixed 2yr'!U30)</f>
        <v>0</v>
      </c>
      <c r="V33" s="2400">
        <f>IF(OR(V3="Residential BTL",V3="Retention "),MIN(IF(($V$9*24)/((($S$33-IF(Defer6&gt;1.25%,1.25%,Defer6))/12)*(24-IF(Roll6&gt;9,9,Roll6))*'Product Data'!$P$23)&gt;'KB Model Suggestions Fixed 2yr'!D8,'KB Model Suggestions Fixed 2yr'!D8,($V$9*24)/((($S$33-IF(Defer6&gt;1.25%,1.25%,Defer6))/12)*(24-IF(Roll6&gt;9,9,Roll6))*'Product Data'!$P$23)),'Product Data'!$P$16),
IF(OR(V3&lt;&gt;"Residential BTL",V3&lt;&gt;"Retention "),MIN(IF((($V$9+V11)*24)/((($S$33-IF(Defer6&gt;1.25%,1.25%,Defer6))/12)*(24-IF(Roll6&gt;9,9,Roll6))*'Product Data'!$P$23)&gt;'KB_C&amp;S 2yr fixed'!D8,'KB_C&amp;S 2yr fixed'!D8,(($V$9+V11)*24)/((($S$33-IF(Defer6&gt;1.25%,1.25%,Defer6))/12)*(24-IF(Roll6&gt;9,9,Roll6))*'Product Data'!$P$23)),'Product Data'!$P$16)))</f>
        <v>0</v>
      </c>
      <c r="W33" s="2399">
        <f>V33*(S33-(IF(Defer6&gt;1.25%,1.25%,Defer6)))/12</f>
        <v>0</v>
      </c>
      <c r="X33" s="2399">
        <f>((V33*(S33-IF(Defer6&gt;1.25%,1.25%,Defer6))/12*(24-IF(Roll6&gt;9,9,Roll6)))+V33*'KB Model Suggestions Fixed 2yr'!U30)/2</f>
        <v>0</v>
      </c>
      <c r="Y33" s="2399">
        <f>IF(OR(V3="Residential BTL",V3="Retention "),IF(OR(V33&gt;='Product Data'!$P$16,'KB Model Suggestions Fixed 2yr'!B10&gt;='Product Data'!$P$16),'BTL Calculator'!U33,'KB Model Suggestions Fixed 2yr'!B10),IF(OR(V33&gt;='Product Data'!$P$16,'KB_C&amp;S 2yr fixed'!N12&gt;='Product Data'!$P$16),'BTL Calculator'!U33,'KB_C&amp;S 2yr fixed'!N12))</f>
        <v>0</v>
      </c>
      <c r="Z33" s="2400">
        <f>IF(OR(V3="Residential BTL",V3="Retention "),IF(AO33=1,(($V$9*24)/((($S$33-1.25%)/12)*(24-9)*'Product Data'!$P$23)-(($V$9*24)/((($S$33-1.25%)/12)*(24-9)*'Product Data'!$P$23)*1.25%/12)*24-(($V$9*24)/((($S$33-1.25%)/12)*(24-9)*'Product Data'!$P$23)*($S$33-1.25%)/12*9)-($V$9*24)/((($S$33-1.25%)/12)*(24-9)*'Product Data'!$P$23)*0.06),Y33),IF(AO33=1,(($V$13*24)/((($S$33-1.25%)/12)*(24-9)*'Product Data'!$P$23)-(($V$13*24)/((($S$33-1.25%)/12)*(24-9)*'Product Data'!$P$23)*1.25%/12)*24-(($V$13*24)/((($S$33-1.25%)/12)*(24-9)*'Product Data'!$P$23)*($S$33-1.25%)/12*9)-($V$13*24)/((($S$33-1.25%)/12)*(24-9)*'Product Data'!$P$23)*0.06),Y33))</f>
        <v>0</v>
      </c>
      <c r="AA33" s="3515" t="str">
        <f>IF(OR(V3="Residential BTL",V3="Retention "),IF(Y33="","Max Gross Loan achieved on this product, for higher loan size refer to Fusion.",'KB Model Suggestions Fixed 2yr'!B3),IF(Y33="","Max Gross Loan achieved on this product, for higher loan size refer to Fusion.",'KB_C&amp;S 2yr fixed'!B3))</f>
        <v>Max LTV possible with  0m Rolled &amp; 0.00% Deferred</v>
      </c>
      <c r="AB33" s="3516"/>
      <c r="AC33" s="3516"/>
      <c r="AD33" s="3516"/>
      <c r="AE33" s="3516"/>
      <c r="AF33" s="3516"/>
      <c r="AG33" s="2429"/>
      <c r="AH33" s="2429"/>
      <c r="AI33" s="2429"/>
      <c r="AJ33" s="2429"/>
      <c r="AK33" s="2429"/>
      <c r="AL33" s="2429"/>
      <c r="AM33" s="2429"/>
      <c r="AO33" s="290" t="str">
        <f t="shared" si="0"/>
        <v/>
      </c>
      <c r="AP33" s="2466" t="b">
        <f>IF('KB_CRITERIA AND CALCULATION '!$F$36&lt;=$AP18,TRUE,FALSE)</f>
        <v>1</v>
      </c>
      <c r="AQ33" s="1351"/>
      <c r="AR33" s="1351"/>
      <c r="AS33" s="1351"/>
      <c r="AT33"/>
      <c r="AY33" s="3423"/>
      <c r="AZ33" s="3424"/>
      <c r="BA33" s="1020" t="s">
        <v>64</v>
      </c>
      <c r="BB33" s="3037">
        <f>'KB_CRITERIA AND CALCULATION '!$AL$77</f>
        <v>0</v>
      </c>
      <c r="BC33" s="3039"/>
      <c r="BD33" s="3038"/>
      <c r="BE33" s="3037">
        <f>'KB_CRITERIA AND CALCULATION '!$AL$80</f>
        <v>0</v>
      </c>
      <c r="BF33" s="3039"/>
      <c r="BG33" s="3038"/>
      <c r="BH33" s="3037">
        <f>'KB_CRITERIA AND CALCULATION '!$AL$83</f>
        <v>0</v>
      </c>
      <c r="BI33" s="3038"/>
      <c r="BJ33" s="3037">
        <f>'KB_CRITERIA AND CALCULATION '!$AL$86</f>
        <v>0</v>
      </c>
      <c r="BK33" s="3038"/>
    </row>
    <row r="34" spans="1:63" s="208" customFormat="1" ht="17.25" customHeight="1" thickBot="1" x14ac:dyDescent="0.4">
      <c r="A34" s="914"/>
      <c r="B34" s="1785"/>
      <c r="C34" s="1786"/>
      <c r="D34" s="2437"/>
      <c r="E34" s="2437"/>
      <c r="G34" s="1878" t="s">
        <v>3784</v>
      </c>
      <c r="H34" s="3374" t="e">
        <f>'KB_CRITERIA AND CALCULATION '!M90</f>
        <v>#N/A</v>
      </c>
      <c r="I34" s="3374"/>
      <c r="J34" s="3374"/>
      <c r="K34" s="3375"/>
      <c r="L34" s="3404" t="str">
        <f>IF(OR(V21="Yes", V22="Yes"), "Can be restricted to 70% LTV","")</f>
        <v/>
      </c>
      <c r="M34" s="3405"/>
      <c r="N34" s="2633"/>
      <c r="O34" s="2633"/>
      <c r="P34" s="2633"/>
      <c r="Q34" s="3264" t="s">
        <v>342</v>
      </c>
      <c r="R34" s="3264"/>
      <c r="S34" s="2401">
        <f>IF(OR(V3="Residential BTL",V3="Retention "),'KB Model Suggestions Fixed 3yr'!J8,'KB_C&amp;S 3yr fixed'!J8)</f>
        <v>8.1900000000000001E-2</v>
      </c>
      <c r="T34" s="2402" t="str">
        <f>"R:"&amp;IF(AND(OR(V3="Residential BTL",V3="Retention "),Roll2&gt;9),9,
IF(AND(OR(V3="Semi-Commercial",V3="Commercial"),Roll2&gt;6),6,Roll2))&amp;"   D:"&amp;TEXT(IF(Defer2&gt;1.25%,1.25%,Defer2),"0.00%")</f>
        <v>R:   D:0.00%</v>
      </c>
      <c r="U34" s="2403">
        <f>V34-(V34*(IF(Defer2&gt;1.25%,1.25%,Defer2)/12)*36)-(V34*(S34-IF(Defer2&gt;1.25%,1.25%,Defer2))/12*IF(Roll2&gt;9,9,Roll2))-(V34*'KB Model Suggestions Fixed 3yr'!S30)</f>
        <v>0</v>
      </c>
      <c r="V34" s="2403">
        <f>IF(OR(V3="Residential BTL",V3="Retention "),MIN(IF(($V$9*36)/((($S$34-IF(Defer2&gt;1.25%,1.25%,Defer2))/12)*(36-IF(Roll2&gt;9,9,Roll2))*'Product Data'!$P$23)&gt;'KB Model Suggestions Fixed 3yr'!L8,'KB Model Suggestions Fixed 3yr'!L8,($V$9*36)/((($S$34-IF(Defer2&gt;1.25%,1.25%,Defer2))/12)*(36-IF(Roll2&gt;9,9,Roll2))*'Product Data'!$P$23)),'Product Data'!$P$16),
IF(OR(V3&lt;&gt;"Residential BTL",V3&lt;&gt;"Retention "),MIN(IF((($V$9+V11)*36)/((($S$34-IF(Defer2&gt;1.25%,1.25%,Defer2))/12)*(36-IF(Roll2&gt;9,9,Roll2))*'Product Data'!$P$23)&gt;'KB_C&amp;S 3yr fixed'!L8,'KB_C&amp;S 3yr fixed'!L8,(($V$9+V11)*36)/((($S$34-IF(Defer2&gt;1.25%,1.25%,Defer2))/12)*(36-IF(Roll2&gt;9,9,Roll2))*'Product Data'!$P$23)),'Product Data'!$P$16)))</f>
        <v>0</v>
      </c>
      <c r="W34" s="2402">
        <f>V34*(S34-(IF(Defer2&gt;1.25%,1.25%,Defer2)))/12</f>
        <v>0</v>
      </c>
      <c r="X34" s="2402">
        <f>((V34*(S34-IF(Defer2&gt;1.25%,1.25%,Defer2))/12*(36-IF(Roll2&gt;9,9,Roll2)))+V34*'KB Model Suggestions Fixed 3yr'!S30)/2</f>
        <v>0</v>
      </c>
      <c r="Y34" s="2402">
        <f>IF(OR(V3="Residential BTL",V3="Retention "),IF(OR(V34&gt;='Product Data'!$P$16,'KB Model Suggestions Fixed 3yr'!J10&gt;='Product Data'!$P$16),'BTL Calculator'!U34,'KB Model Suggestions Fixed 3yr'!J10),IF(OR(V34&gt;='Product Data'!$P$16,'KB_C&amp;S 3yr fixed'!N10&gt;='Product Data'!$P$16),'BTL Calculator'!U34,'KB_C&amp;S 3yr fixed'!N10))</f>
        <v>0</v>
      </c>
      <c r="Z34" s="2403">
        <f>IF(OR(V3="Residential BTL",V3="Retention "),IF(AO34=1,(($V$9*36)/((($S$34-1.25%)/12)*(36-9)*'Product Data'!$P$23)-(($V$9*36)/((($S$34-1.25%)/12)*(36-9)*'Product Data'!$P$23)*1.25%/12)*36-(($V$9*36)/((($S$34-1.25%)/12)*(36-9)*'Product Data'!$P$23)*(S34-1.25%)/12*9)-($V$9*36)/((($S$34-1.25%)/12)*(36-9)*'Product Data'!$P$23)*0.02),Y34),IF(AO34=1,(($V$13*36)/((($S$34-1.25%)/12)*(36-9)*'Product Data'!$P$23)-(($V$13*36)/((($S$34-1.25%)/12)*(36-9)*'Product Data'!$P$23)*1.25%/12)*36-(($V$13*36)/((($S$34-1.25%)/12)*(36-9)*'Product Data'!$P$23)*(S34-1.25%)/12*9)-($V$13*36)/((($S$34-1.25%)/12)*(36-9)*'Product Data'!$P$23)*0.02),Y34))</f>
        <v>0</v>
      </c>
      <c r="AA34" s="3409" t="str">
        <f>IF(OR(V3="Residential BTL",V3="Retention "),IF(Y34="","Max Gross Loan achieved on this product, for higher loan size refer to Fusion.",'KB Model Suggestions Fixed 3yr'!J3),IF(Y34="","Max Gross Loan achieved on this product, for higher loan size refer to Fusion.",'KB_C&amp;S 3yr fixed'!J3))</f>
        <v>Max LTV possible with 0m Rolled &amp; 0.00% Deferred</v>
      </c>
      <c r="AB34" s="3410"/>
      <c r="AC34" s="3410"/>
      <c r="AD34" s="3410"/>
      <c r="AE34" s="3410"/>
      <c r="AF34" s="3410"/>
      <c r="AG34" s="2430"/>
      <c r="AH34" s="2430"/>
      <c r="AI34" s="2430"/>
      <c r="AJ34" s="2430"/>
      <c r="AK34" s="2430"/>
      <c r="AL34" s="2430"/>
      <c r="AM34" s="2430"/>
      <c r="AO34" s="290" t="str">
        <f t="shared" si="0"/>
        <v/>
      </c>
      <c r="AP34" s="2466" t="b">
        <f>IF('KB_CRITERIA AND CALCULATION '!$F$36&lt;=$AP19,TRUE,FALSE)</f>
        <v>1</v>
      </c>
      <c r="AQ34" s="1351"/>
      <c r="AR34" s="1351"/>
      <c r="AS34" s="1351"/>
      <c r="AT34"/>
      <c r="AY34" s="3423"/>
      <c r="AZ34" s="3424"/>
      <c r="BA34" s="1020" t="s">
        <v>67</v>
      </c>
      <c r="BB34" s="3037" t="str">
        <f>'KB_CRITERIA AND CALCULATION '!$AL$78</f>
        <v/>
      </c>
      <c r="BC34" s="3039"/>
      <c r="BD34" s="3038"/>
      <c r="BE34" s="3037" t="str">
        <f>'KB_CRITERIA AND CALCULATION '!$AL$81</f>
        <v/>
      </c>
      <c r="BF34" s="3039"/>
      <c r="BG34" s="3038"/>
      <c r="BH34" s="3037" t="str">
        <f>'KB_CRITERIA AND CALCULATION '!$AL$84</f>
        <v/>
      </c>
      <c r="BI34" s="3038"/>
      <c r="BJ34" s="3037" t="str">
        <f>'KB_CRITERIA AND CALCULATION '!$AL$87</f>
        <v/>
      </c>
      <c r="BK34" s="3038"/>
    </row>
    <row r="35" spans="1:63" s="208" customFormat="1" ht="17.25" customHeight="1" thickBot="1" x14ac:dyDescent="0.4">
      <c r="A35" s="914"/>
      <c r="B35" s="1788"/>
      <c r="C35" s="1772"/>
      <c r="D35" s="1772"/>
      <c r="E35" s="1772"/>
      <c r="G35" s="1878" t="s">
        <v>3785</v>
      </c>
      <c r="H35" s="3302" t="s">
        <v>98</v>
      </c>
      <c r="I35" s="3302"/>
      <c r="J35" s="3302"/>
      <c r="K35" s="3303"/>
      <c r="L35" s="3404"/>
      <c r="M35" s="3405"/>
      <c r="N35" s="2633"/>
      <c r="O35" s="2633"/>
      <c r="P35" s="2633"/>
      <c r="Q35" s="3264" t="s">
        <v>345</v>
      </c>
      <c r="R35" s="3264"/>
      <c r="S35" s="2401">
        <f>IF(OR(V3="Residential BTL",V3="Retention "),'KB Model Suggestions Fixed 3yr'!F8,'KB_C&amp;S 3yr fixed'!F8)</f>
        <v>7.4899999999999994E-2</v>
      </c>
      <c r="T35" s="2402" t="str">
        <f>"R:"&amp;IF(AND(OR(V3="Residential BTL",V3="Retention "),Roll4&gt;9),9,
IF(AND(OR(V3="Semi-Commercial",V3="Commercial"),Roll4&gt;6),6,Roll4))&amp;"   D:"&amp;TEXT(IF(Defer4&gt;1.25%,1.25%,Defer4),"0.00%")</f>
        <v>R:   D:0.00%</v>
      </c>
      <c r="U35" s="2403">
        <f>V35-(V35*(IF(Defer4&gt;1.25%,1.25%,Defer4)/12)*36)-(V35*(S35-IF(Defer4&gt;1.25%,1.25%,Defer4))/12*IF(Roll4&gt;9,9,Roll4))-(V35*'KB Model Suggestions Fixed 3yr'!T30)</f>
        <v>0</v>
      </c>
      <c r="V35" s="2403">
        <f>IF(OR(V3="Residential BTL",V3="Retention "),MIN(IF(($V$9*36)/((($S$35-IF(Defer4&gt;1.25%,1.25%,Defer4))/12)*(36-IF(Roll4&gt;9,9,Roll4))*'Product Data'!$P$23)&gt;'KB Model Suggestions Fixed 3yr'!H8,'KB Model Suggestions Fixed 3yr'!H8,($V$9*36)/((($S$35-IF(Defer4&gt;1.25%,1.25%,Defer4))/12)*(36-IF(Roll4&gt;9,9,Roll4))*'Product Data'!$P$23)),'Product Data'!$P$16),
IF(OR(V3&lt;&gt;"Residential BTL",V3&lt;&gt;"Retention "),MIN(IF((($V$9+V11)*36)/((($S$35-IF(Defer4&gt;1.25%,1.25%,Defer4))/12)*(36-IF(Roll4&gt;9,9,Roll4))*'Product Data'!$P$23)&gt;'KB_C&amp;S 3yr fixed'!H8,'KB_C&amp;S 3yr fixed'!H8,(($V$9+V11)*36)/((($S$35-IF(Defer4&gt;1.25%,1.25%,Defer4))/12)*(36-IF(Roll4&gt;9,9,Roll4))*'Product Data'!$P$23)),'Product Data'!$P$16)))</f>
        <v>0</v>
      </c>
      <c r="W35" s="2402">
        <f>V35*(S35-(IF(Defer4&gt;1.25%,1.25%,Defer4)))/12</f>
        <v>0</v>
      </c>
      <c r="X35" s="2402">
        <f>((V35*(S35-IF(Defer4&gt;1.25%,1.25%,Defer4))/12*(36-IF(Roll4&gt;9,9,Roll4)))+V35*'KB Model Suggestions Fixed 3yr'!T30)/2</f>
        <v>0</v>
      </c>
      <c r="Y35" s="2402">
        <f>IF(OR(V3="Residential BTL",V3="Retention "),IF(OR(V35&gt;='Product Data'!$P$16,'KB Model Suggestions Fixed 3yr'!F10&gt;='Product Data'!$P$16),'BTL Calculator'!U35,'KB Model Suggestions Fixed 3yr'!F10),IF(OR(V35&gt;='Product Data'!$P$16,'KB_C&amp;S 3yr fixed'!N11&gt;='Product Data'!$P$16),'BTL Calculator'!U35,'KB_C&amp;S 3yr fixed'!N11))</f>
        <v>0</v>
      </c>
      <c r="Z35" s="2403">
        <f>IF(OR(V3="Residential BTL",V3="Retention "),IF(AO35=1,(($V$9*36)/((($S$35-1.25%)/12)*(36-9)*'Product Data'!$P$23)-(($V$9*36)/((($S$35-1.25%)/12)*(36-9)*'Product Data'!$P$23)*1.25%/12)*36-(($V$9*36)/((($S$35-1.25%)/12)*(36-9)*'Product Data'!$P$23)*(S35-1.25%)/12*9)-($AF$11*36)/((($S$35-1.25%)/12)*(36-9)*'Product Data'!$P$23)*0.04),Y35),IF(AO35=1,(($V$13*36)/((($S$35-1.25%)/12)*(36-9)*'Product Data'!$P$23)-(($V$13*36)/((($S$35-1.25%)/12)*(36-9)*'Product Data'!$P$23)*1.25%/12)*36-(($V$13*36)/((($S$35-1.25%)/12)*(36-9)*'Product Data'!$P$23)*(S35-1.25%)/12*9)-($AF$11*36)/((($S$35-1.25%)/12)*(36-9)*'Product Data'!$P$23)*0.04),Y35))</f>
        <v>0</v>
      </c>
      <c r="AA35" s="3409" t="str">
        <f>IF(OR(V3="Residential BTL",V3="Retention "),IF(Y35="","Max Gross Loan achieved on this product, for higher loan size refer to Fusion.",'KB Model Suggestions Fixed 3yr'!F3),IF(Y35="","Max Gross Loan achieved on this product, for higher loan size refer to Fusion.",'KB_C&amp;S 3yr fixed'!F3))</f>
        <v>Max LTV possible with  0m Rolled &amp; 0.00% Deferred</v>
      </c>
      <c r="AB35" s="3410"/>
      <c r="AC35" s="3410"/>
      <c r="AD35" s="3410"/>
      <c r="AE35" s="3410"/>
      <c r="AF35" s="3410"/>
      <c r="AG35" s="2430"/>
      <c r="AH35" s="2430"/>
      <c r="AI35" s="2430"/>
      <c r="AJ35" s="2430"/>
      <c r="AK35" s="2430"/>
      <c r="AL35" s="2430"/>
      <c r="AM35" s="2430"/>
      <c r="AO35" s="290" t="str">
        <f t="shared" si="0"/>
        <v/>
      </c>
      <c r="AP35" s="290"/>
      <c r="AR35"/>
      <c r="AS35"/>
      <c r="AT35"/>
      <c r="AY35" s="3425"/>
      <c r="AZ35" s="3426"/>
      <c r="BA35" s="1022" t="s">
        <v>71</v>
      </c>
      <c r="BB35" s="3020" t="e">
        <f>'KB_CRITERIA AND CALCULATION '!#REF!</f>
        <v>#REF!</v>
      </c>
      <c r="BC35" s="3021"/>
      <c r="BD35" s="3022"/>
      <c r="BE35" s="3020" t="e">
        <f>'KB_CRITERIA AND CALCULATION '!#REF!</f>
        <v>#REF!</v>
      </c>
      <c r="BF35" s="3021"/>
      <c r="BG35" s="3022"/>
      <c r="BH35" s="3020" t="e">
        <f>'KB_CRITERIA AND CALCULATION '!#REF!</f>
        <v>#REF!</v>
      </c>
      <c r="BI35" s="3022"/>
      <c r="BJ35" s="3020" t="e">
        <f>'KB_CRITERIA AND CALCULATION '!#REF!</f>
        <v>#REF!</v>
      </c>
      <c r="BK35" s="3022"/>
    </row>
    <row r="36" spans="1:63" s="208" customFormat="1" ht="17.25" customHeight="1" x14ac:dyDescent="0.35">
      <c r="A36" s="914"/>
      <c r="B36" s="1788"/>
      <c r="C36" s="1772"/>
      <c r="D36" s="1772"/>
      <c r="E36" s="1772"/>
      <c r="G36" s="1798" t="str">
        <f>"Gross "&amp;'Product Data'!$AF$4&amp;" Proc Fee"</f>
        <v>Gross Broker Proc Fee</v>
      </c>
      <c r="H36" s="3266">
        <f>+IF(V2="Core",0.7%,IF(AND(V3="Retention ",H35="Via Club/Network"),0.6%,IF(V3="Retention ",0.5%,1%)))</f>
        <v>0.01</v>
      </c>
      <c r="I36" s="3267"/>
      <c r="J36" s="3267"/>
      <c r="K36" s="3268"/>
      <c r="L36" s="3273" t="s">
        <v>3761</v>
      </c>
      <c r="M36" s="3274"/>
      <c r="N36" s="2635"/>
      <c r="O36" s="2674"/>
      <c r="P36" s="2674"/>
      <c r="Q36" s="3265" t="s">
        <v>348</v>
      </c>
      <c r="R36" s="3265"/>
      <c r="S36" s="2694">
        <f>IF(OR(V3="Residential BTL",V3="Retention "),'KB Model Suggestions Fixed 3yr'!B8,'KB_C&amp;S 3yr fixed'!B8)</f>
        <v>6.7900000000000002E-2</v>
      </c>
      <c r="T36" s="2695" t="str">
        <f>"R:"&amp;IF(AND(OR(V3="Residential BTL",V3="Retention "),Roll6&gt;9),9,
IF(AND(OR(V3="Semi-Commercial",V3="Commercial"),Roll6&gt;6),6,Roll6))&amp;"   D:"&amp;TEXT(IF(Defer6&gt;1.25%,1.25%,Defer6),"0.00%")</f>
        <v>R:   D:0.00%</v>
      </c>
      <c r="U36" s="2696">
        <f>V36-(V36*(IF(Defer6&gt;1.25%,1.25%,Defer6)/12)*36)-(V36*(S36-IF(Defer6&gt;1.25%,1.25%,Defer6))/12*IF(Roll6&gt;9,9,Roll6))-(V36*'KB Model Suggestions Fixed 3yr'!U30)</f>
        <v>0</v>
      </c>
      <c r="V36" s="2696">
        <f>IF(OR(V3="Residential BTL",V3="Retention "),MIN(IF(($V$9*36)/((($S$36-IF(Defer6&gt;1.25%,1.25%,Defer6))/12)*(36-IF(Roll6&gt;9,9,Roll6))*'Product Data'!$P$23)&gt;'KB Model Suggestions Fixed 3yr'!D8,'KB Model Suggestions Fixed 3yr'!D8,($V$9*36)/((($S$36-IF(Defer6&gt;1.25%,1.25%,Defer6))/12)*(36-IF(Roll6&gt;9,9,Roll6))*'Product Data'!$P$23)),'Product Data'!$P$16),
IF(OR(V3&lt;&gt;"Residential BTL",V3&lt;&gt;"Retention "),MIN(IF((($V$9+V11)*36)/((($S$36-IF(Defer6&gt;1.25%,1.25%,Defer6))/12)*(36-IF(Roll6&gt;9,9,Roll6))*'Product Data'!$P$23)&gt;'KB_C&amp;S 3yr fixed'!D8,'KB_C&amp;S 3yr fixed'!D8,(($V$9+V11)*36)/((($S$36-IF(Defer6&gt;1.25%,1.25%,Defer6))/12)*(36-IF(Roll6&gt;9,9,Roll6))*'Product Data'!$P$23)),'Product Data'!$P$16)))</f>
        <v>0</v>
      </c>
      <c r="W36" s="2695">
        <f>V36*(S36-(IF(Defer6&gt;1.25%,1.25%,Defer6)))/12</f>
        <v>0</v>
      </c>
      <c r="X36" s="2695">
        <f>((V36*(S36-IF(Defer6&gt;1.25%,1.25%,Defer6))/12*(36-IF(Roll6&gt;9,9,Roll6)))+V36*'KB Model Suggestions Fixed 3yr'!U30)/2</f>
        <v>0</v>
      </c>
      <c r="Y36" s="2695">
        <f>IF(OR(V3="Residential BTL",V3="Retention "),IF(OR(V36&gt;='Product Data'!$P$16,'KB Model Suggestions Fixed 3yr'!B10&gt;='Product Data'!$P$16),'BTL Calculator'!U36,'KB Model Suggestions Fixed 3yr'!B10),IF(OR(V36&gt;='Product Data'!$P$16,'KB_C&amp;S 3yr fixed'!N12&gt;='Product Data'!$P$16),'BTL Calculator'!U36,'KB_C&amp;S 3yr fixed'!N12))</f>
        <v>0</v>
      </c>
      <c r="Z36" s="2696">
        <f>IF(OR(V3="Residential BTL",V3="Retention "),IF(AO36=1,(($V$9*36)/((($S$36-1.25%)/12)*(36-9)*'Product Data'!$P$23)-(($V$9*36)/((($S$36-1.25%)/12)*(36-9)*'Product Data'!$P$23)*1.25%/12)*36-(($V$9*36)/((($S$36-1.25%)/12)*(36-9)*'Product Data'!$P$23)*(S36-1.25%)/12*9)-($V$9*36)/((($S$36-1.25%)/12)*(36-9)*'Product Data'!$P$23)*0.06),Y36),IF(AO36=1,(($V$13*36)/((($S$36-1.25%)/12)*(36-9)*'Product Data'!$P$23)-(($V$13*36)/((($S$36-1.25%)/12)*(36-9)*'Product Data'!$P$23)*1.25%/12)*36-(($V$13*36)/((($S$36-1.25%)/12)*(36-9)*'Product Data'!$P$23)*(S36-1.25%)/12*9)-($V$13*36)/((($S$36-1.25%)/12)*(36-9)*'Product Data'!$P$23)*0.06),Y36))</f>
        <v>0</v>
      </c>
      <c r="AA36" s="3407" t="str">
        <f>IF(OR(V3="Residential BTL",V3="Retention "),IF(Y36="","Max Gross Loan achieved on this product, for higher loan size refer to Fusion.",'KB Model Suggestions Fixed 3yr'!B3),IF(Y36="","Max Gross Loan achieved on this product, for higher loan size refer to Fusion.",'KB_C&amp;S 3yr fixed'!B3))</f>
        <v>Max LTV possible with  0m Rolled &amp; 0.00% Deferred</v>
      </c>
      <c r="AB36" s="3408"/>
      <c r="AC36" s="3408"/>
      <c r="AD36" s="3408"/>
      <c r="AE36" s="3408"/>
      <c r="AF36" s="3408"/>
      <c r="AG36" s="2697"/>
      <c r="AH36" s="2697"/>
      <c r="AI36" s="2697"/>
      <c r="AJ36" s="2697"/>
      <c r="AK36" s="2697"/>
      <c r="AL36" s="2697"/>
      <c r="AM36" s="2697"/>
      <c r="AO36" s="290" t="str">
        <f t="shared" ref="AO36:AO43" si="1">IF(ISNUMBER(SEARCH("need Top Slice",AA36)),1,"")</f>
        <v/>
      </c>
      <c r="AP36" s="290"/>
      <c r="AR36"/>
      <c r="AS36" s="208" t="s">
        <v>93</v>
      </c>
      <c r="AT36"/>
    </row>
    <row r="37" spans="1:63" s="208" customFormat="1" ht="18.75" customHeight="1" x14ac:dyDescent="0.35">
      <c r="A37" s="914"/>
      <c r="B37" s="1787"/>
      <c r="C37" s="1772"/>
      <c r="D37" s="1772"/>
      <c r="E37" s="1772"/>
      <c r="G37" s="1798" t="str">
        <f>"Gross "&amp;'Product Data'!$AF$4&amp;" Proc Fee Override:"&amp;" %"</f>
        <v>Gross Broker Proc Fee Override: %</v>
      </c>
      <c r="H37" s="3302"/>
      <c r="I37" s="3302"/>
      <c r="J37" s="3302"/>
      <c r="K37" s="3303"/>
      <c r="L37" s="2365"/>
      <c r="Q37" s="3411" t="s">
        <v>3725</v>
      </c>
      <c r="R37" s="3411"/>
      <c r="S37" s="2698" t="e">
        <f>'KB Model Suggestions Fixed  5yr'!J8</f>
        <v>#N/A</v>
      </c>
      <c r="T37" s="2699" t="str">
        <f>"R:"&amp;IF(AND(OR(V3="Residential BTL",V3="Retention "),Roll2&gt;9),9,IF(AND(OR(V3="Semi-Commercial",V3="Commercial"),Roll2&gt;6),6,Roll2))&amp;"   D:"&amp;TEXT(IF(Defer2&gt;0.75%,0.75%,Defer2),"0.00%")</f>
        <v>R:   D:0.00%</v>
      </c>
      <c r="U37" s="2699" t="e">
        <f>V37-(V37*(IF(Defer2&gt;0.75%,0.75%,Defer2)/12)*60)-(V37*(S37-IF(Defer2&gt;0.75%,0.75%,Defer2))/12*IF(Roll2&gt;9,9,Roll2))-(V37*'KB Model Suggestions Fixed  5yr'!S30)</f>
        <v>#N/A</v>
      </c>
      <c r="V37" s="2700" t="b">
        <f>IF(OR(V3="Residential BTL",V3="Retention "),MIN(IF(($V$9*60)/((($S$37-IF(Defer2&gt;0.75%,0.75%,Defer2))/12)*(60-IF(Roll2&gt;9,9,Roll2))*
'Product Data'!$P$23)&gt;'KB Model Suggestions Fixed  5yr'!L8,'KB Model Suggestions Fixed  5yr'!L8,($V$9*60)/
((($S$37-IF(Defer2&gt;0.75%,0.75%,Defer2))/12)*(60-IF(Roll2&gt;9,9,Roll2))*'Product Data'!$P$23)),'Product Data'!$P$16))</f>
        <v>0</v>
      </c>
      <c r="W37" s="2699" t="e">
        <f>V37*(S37-(IF(Defer2&gt;0.75%,0.75%,Defer2)))/12</f>
        <v>#N/A</v>
      </c>
      <c r="X37" s="2699" t="e">
        <f>((V37*(S37-IF(Defer2&gt;0.75%,0.75%,Defer2))/12*(60-IF(Roll2&gt;9,9,Roll2)))+V37*'KB Model Suggestions Fixed  5yr'!S30)/2</f>
        <v>#N/A</v>
      </c>
      <c r="Y37" s="2699" t="e">
        <f>IF(OR(V37&gt;='Product Data'!$P$16,'KB Model Suggestions Fixed  5yr'!J10&gt;='Product Data'!$P$16),'BTL Calculator'!U37,'KB Model Suggestions Fixed  5yr'!J10)</f>
        <v>#N/A</v>
      </c>
      <c r="Z37" s="2699" t="e">
        <f>IF(AO37=1,(($V$9*60)/((($S$37-0.75%)/12)*(60-9)*'Product Data'!$P$23)-(($V$9*60)/((($S$37-0.75%)/12)*(60-9)*'Product Data'!$P$23)*0.75%/12)*60-(($V$9*60)/((($S$37-0.75%)/12)*(60-9)*'Product Data'!$P$23)*(S37-0.75%)/12*9)-($V$9*60)/((($S$37-0.75%)/12)*(60-9)*'Product Data'!$P$23)*0.02),Y37)</f>
        <v>#N/A</v>
      </c>
      <c r="AA37" s="3412" t="e">
        <f>'KB Model Suggestions Fixed  5yr'!J3</f>
        <v>#N/A</v>
      </c>
      <c r="AB37" s="3412"/>
      <c r="AC37" s="3412"/>
      <c r="AD37" s="3412"/>
      <c r="AE37" s="3412"/>
      <c r="AF37" s="3412"/>
      <c r="AG37" s="2701"/>
      <c r="AH37" s="2701"/>
      <c r="AI37" s="2701"/>
      <c r="AJ37" s="2701"/>
      <c r="AK37" s="2701"/>
      <c r="AL37" s="2701"/>
      <c r="AM37" s="2701"/>
      <c r="AO37" s="290" t="str">
        <f t="shared" si="1"/>
        <v/>
      </c>
      <c r="AP37" s="2467" t="str">
        <f>'Product Data'!B9</f>
        <v>1) Standard BTL</v>
      </c>
      <c r="AQ37" s="547" t="b">
        <f>IF('KB_CRITERIA AND CALCULATION '!$F$36&lt;=$AP17,TRUE,FALSE)</f>
        <v>1</v>
      </c>
      <c r="AR37"/>
      <c r="AS37" s="456" t="str">
        <f>Product_Selected</f>
        <v>1) Standard</v>
      </c>
      <c r="AT37"/>
    </row>
    <row r="38" spans="1:63" s="537" customFormat="1" ht="18.75" customHeight="1" x14ac:dyDescent="0.35">
      <c r="A38" s="951"/>
      <c r="B38" s="1785"/>
      <c r="C38" s="1786"/>
      <c r="D38" s="1786"/>
      <c r="E38" s="1786"/>
      <c r="G38" s="1798" t="s">
        <v>102</v>
      </c>
      <c r="H38" s="3387"/>
      <c r="I38" s="3387"/>
      <c r="J38" s="3387"/>
      <c r="K38" s="3388"/>
      <c r="L38" s="2366"/>
      <c r="Q38" s="3411" t="s">
        <v>3726</v>
      </c>
      <c r="R38" s="3411"/>
      <c r="S38" s="2698" t="e">
        <f>'KB Model Suggestions Fixed  5yr'!F8</f>
        <v>#N/A</v>
      </c>
      <c r="T38" s="2699" t="str">
        <f>"R:"&amp;IF(AND(OR(V3="Residential BTL",V3="Retention "),Roll4&gt;9),9,IF(AND(OR(V3="Semi-Commercial",V3="Commercial"),Roll4&gt;6),6,Roll4))&amp;"   D:"&amp;TEXT(IF(Defer4&gt;0.75%,0.75%,Defer4),"0.00%")</f>
        <v>R:   D:0.00%</v>
      </c>
      <c r="U38" s="2699" t="e">
        <f>V38-(V38*(IF(Defer4&gt;0.75%,0.75%,Defer4)/12)*60)-(V38*(S38-IF(Defer4&gt;0.75%,0.75%,Defer4))/12*IF(Roll4&gt;9,9,Roll4))-(V38*'KB Model Suggestions Fixed  5yr'!T30)</f>
        <v>#N/A</v>
      </c>
      <c r="V38" s="2699" t="b">
        <f>IF(OR(V3="Residential BTL",V3="Retention "),MIN(IF(($V$9*60)/((($S$38-IF(Defer4&gt;0.75%,0.75%,Defer4))/12)*(60-IF(Roll4&gt;9,9,Roll4))*
'Product Data'!$P$23)&gt;'KB Model Suggestions Fixed  5yr'!H8,'KB Model Suggestions Fixed  5yr'!H8,($V$9*60)/
((($S$38-IF(Defer4&gt;0.75%,0.75%,Defer4))/12)*(60-IF(Roll4&gt;9,9,Roll4))*'Product Data'!$P$23)),'Product Data'!$P$16))</f>
        <v>0</v>
      </c>
      <c r="W38" s="2699" t="e">
        <f>V38*(S38-(IF(Defer4&gt;0.75%,0.75%,Defer4)))/12</f>
        <v>#N/A</v>
      </c>
      <c r="X38" s="2699" t="e">
        <f>((V38*(S38-IF(Defer4&gt;0.75%,0.75%,Defer4))/12*(60-IF(Roll4&gt;9,9,Roll4)))+V38*'KB Model Suggestions Fixed  5yr'!T30)/2</f>
        <v>#N/A</v>
      </c>
      <c r="Y38" s="2699" t="e">
        <f>IF(OR(V38&gt;='Product Data'!$P$16,'KB Model Suggestions Fixed  5yr'!F10&gt;='Product Data'!$P$16),'BTL Calculator'!U38,'KB Model Suggestions Fixed  5yr'!F10)</f>
        <v>#N/A</v>
      </c>
      <c r="Z38" s="2699" t="e">
        <f>IF(AO38=1,(($V$9*60)/((($S$38-0.75%)/12)*(60-9)*'Product Data'!$P$23)-(($V$9*60)/((($S$38-0.75%)/12)*(60-9)*'Product Data'!$P$23)*0.75%/12)*60-(($V$9*60)/((($S$38-0.75%)/12)*(60-9)*'Product Data'!$P$23)*(S38-0.75%)/12*9)-($V$9*60)/((($S$38-0.75%)/12)*(60-9)*'Product Data'!$P$23)*0.02),Y38)</f>
        <v>#N/A</v>
      </c>
      <c r="AA38" s="3412" t="e">
        <f>'KB Model Suggestions Fixed  5yr'!F3</f>
        <v>#N/A</v>
      </c>
      <c r="AB38" s="3412"/>
      <c r="AC38" s="3412"/>
      <c r="AD38" s="3412"/>
      <c r="AE38" s="3412"/>
      <c r="AF38" s="3412"/>
      <c r="AG38" s="2701"/>
      <c r="AH38" s="2701"/>
      <c r="AI38" s="2701"/>
      <c r="AJ38" s="2701"/>
      <c r="AK38" s="2701"/>
      <c r="AL38" s="2701"/>
      <c r="AM38" s="2701"/>
      <c r="AO38" s="290" t="str">
        <f t="shared" si="1"/>
        <v/>
      </c>
      <c r="AP38" s="290"/>
    </row>
    <row r="39" spans="1:63" s="537" customFormat="1" ht="18.75" customHeight="1" x14ac:dyDescent="0.35">
      <c r="A39" s="951"/>
      <c r="B39" s="1788"/>
      <c r="C39" s="1151"/>
      <c r="D39" s="1151"/>
      <c r="E39" s="1151"/>
      <c r="G39" s="1878" t="str">
        <f>"Broker Client Fee (Optional)"&amp;" %"</f>
        <v>Broker Client Fee (Optional) %</v>
      </c>
      <c r="H39" s="3302"/>
      <c r="I39" s="3302"/>
      <c r="J39" s="3302"/>
      <c r="K39" s="3303"/>
      <c r="L39" s="2363"/>
      <c r="Q39" s="3411" t="s">
        <v>3727</v>
      </c>
      <c r="R39" s="3411"/>
      <c r="S39" s="2698" t="e">
        <f>'KB Model Suggestions Fixed  5yr'!B8</f>
        <v>#N/A</v>
      </c>
      <c r="T39" s="2699" t="str">
        <f>"R:"&amp;IF(AND(OR(V3="Residential BTL",V3="Retention "),Roll6&gt;9),9,IF(AND(OR(V3="Semi-Commercial",V3="Commercial"),Roll6&gt;6),6,Roll6))&amp;"   D:"&amp;TEXT(IF(Defer6&gt;0.75%,0.75%,Defer6),"0.00%")</f>
        <v>R:   D:0.00%</v>
      </c>
      <c r="U39" s="2699" t="e">
        <f>V39-(V39*(IF(Defer6&gt;0.75%,0.75%,Defer6)/12)*60)-(V39*(S39-IF(Defer6&gt;0.75%,0.75%,Defer6))/12*IF(Roll6&gt;9,9,Roll6))-(V39*'KB Model Suggestions Fixed  5yr'!U30)</f>
        <v>#N/A</v>
      </c>
      <c r="V39" s="2699" t="b">
        <f>IF(OR(V3="Residential BTL",V3="Retention "),MIN(IF(($V$9*60)/((($S$39-IF(Defer6&gt;0.75%,0.75%,Defer6))/12)*(60-IF(Roll6&gt;9,9,Roll6))*
'Product Data'!$P$23)&gt;'KB Model Suggestions Fixed  5yr'!D8,'KB Model Suggestions Fixed  5yr'!D8,($V$9*60)/
((($S$39-IF(Defer6&gt;0.75%,0.75%,Defer6))/12)*(60-IF(Roll6&gt;9,9,Roll6))*'Product Data'!$P$23)),'Product Data'!$P$16))</f>
        <v>0</v>
      </c>
      <c r="W39" s="2699" t="e">
        <f>V39*(S39-(IF(Defer6&gt;0.75%,0.75%,Defer6)))/12</f>
        <v>#N/A</v>
      </c>
      <c r="X39" s="2699" t="e">
        <f>((V39*(S39-IF(Defer6&gt;0.75%,0.75%,Defer6))/12*(60-IF(Roll6&gt;9,9,Roll6)))+V39*'KB Model Suggestions Fixed  5yr'!U30)/2</f>
        <v>#N/A</v>
      </c>
      <c r="Y39" s="2699" t="e">
        <f>IF(OR(V39&gt;='Product Data'!$P$16,'KB Model Suggestions Fixed  5yr'!B10&gt;='Product Data'!$P$16),'BTL Calculator'!U39,'KB Model Suggestions Fixed  5yr'!B10)</f>
        <v>#N/A</v>
      </c>
      <c r="Z39" s="2699" t="e">
        <f>IF(AO39=1,(($V$9*60)/((($S$39-0.75%)/12)*(60-9)*'Product Data'!$P$23)-(($V$9*60)/((($S$39-0.75%)/12)*(60-9)*'Product Data'!$P$23)*0.75%/12)*60-(($V$9*60)/((($S$39-0.75%)/12)*(60-9)*'Product Data'!$P$23)*(S39-0.75%)/12*9)-($V$9*60)/((($S$39-0.75%)/12)*(60-9)*'Product Data'!$P$23)*0.02),Y39)</f>
        <v>#N/A</v>
      </c>
      <c r="AA39" s="3412" t="e">
        <f>'KB Model Suggestions Fixed  5yr'!B3</f>
        <v>#N/A</v>
      </c>
      <c r="AB39" s="3412"/>
      <c r="AC39" s="3412"/>
      <c r="AD39" s="3412"/>
      <c r="AE39" s="3412"/>
      <c r="AF39" s="3412"/>
      <c r="AG39" s="2701"/>
      <c r="AH39" s="2701"/>
      <c r="AI39" s="2701"/>
      <c r="AJ39" s="2701"/>
      <c r="AK39" s="2701"/>
      <c r="AL39" s="2701"/>
      <c r="AM39" s="2701"/>
      <c r="AO39" s="290" t="str">
        <f t="shared" si="1"/>
        <v/>
      </c>
      <c r="AP39" s="290"/>
    </row>
    <row r="40" spans="1:63" s="537" customFormat="1" ht="18.75" customHeight="1" thickBot="1" x14ac:dyDescent="0.4">
      <c r="A40" s="951"/>
      <c r="B40" s="2439"/>
      <c r="C40" s="2440"/>
      <c r="D40" s="2440"/>
      <c r="E40" s="2441"/>
      <c r="F40" s="2442"/>
      <c r="G40" s="2606" t="s">
        <v>102</v>
      </c>
      <c r="H40" s="3475"/>
      <c r="I40" s="3475"/>
      <c r="J40" s="3475"/>
      <c r="K40" s="3476"/>
      <c r="L40" s="2363"/>
      <c r="Q40" s="3431" t="s">
        <v>3820</v>
      </c>
      <c r="R40" s="3431"/>
      <c r="S40" s="2688" t="e">
        <f>'KB Model Suggestions Tr 2yr'!N8</f>
        <v>#N/A</v>
      </c>
      <c r="T40" s="2689" t="str">
        <f>"R:"&amp;IF(AND(OR(V3="Residential BTL",V3="Retention "),Roll3&gt;9),9,IF(AND(OR(V3="Semi-Commercial",V3="Commercial"),Roll3&gt;6),6,Roll3))&amp;"   D:"&amp;TEXT(IF(AND(OR(V3="Residential BTL",V3="Retention "),Defer3&gt;2%),2%,IF(AND(OR(V3="Semi-Commercial",V3="Commercial"),Defer3&gt;1.5%),1.5%,Defer3)),"0.00%")</f>
        <v>R:   D:0.00%</v>
      </c>
      <c r="U40" s="2690" t="e">
        <f>V40-(V40*(IF(Defer3&gt;2%,2%,Defer3)/12)*24)-(V40*(S40-IF(Defer3&gt;2%,2%,Defer3))/12*IF(Roll3&gt;9,9,Roll3))-(V40*'KB Model Suggestions Tr 2yr'!V30)</f>
        <v>#N/A</v>
      </c>
      <c r="V40" s="2691" t="e">
        <f>IF(OR(V3="Residential BTL",V3="Retention "),
MIN(IF(($V$9*24)/((($S$40-BBR+'Product Data'!$K$2-IF(Defer3&gt;2%,2%,Defer3))/12)*(24-IF(Roll3&gt;9,9,Roll3))*'Product Data'!$P$18)&gt;
'KB Model Suggestions Tr 2yr'!P8,
'KB Model Suggestions Tr 2yr'!P8,($V$9*24)/((($S$40-BBR+'Product Data'!$K$2-IF(Defer3&gt;2%,2%,Defer3))/12)*(24-IF(Roll3&gt;9,9,Roll3))*'Product Data'!$P$18)),'Product Data'!P16),
IF(OR(V3&lt;&gt;"Residential BTL",V3&lt;&gt;"Retention "),
MIN(IF((($V$9+$V$11)*24)/((($S$40-BBR+'Product Data'!$K$2-IF(Defer3&gt;2%,2%,Defer3))/12)*(24-IF(Roll3&gt;9,9,Roll3))*'Product Data'!$P$18)&gt;'KB_C&amp;S Opt Roll Defer '!L8,'KB_C&amp;S Opt Roll Defer '!L8,(($V$9+$V$11)*24)/((($S$40-BBR+'Product Data'!$K$2-IF(Defer3&gt;2%,2%,Defer3))/12)*(24-IF(Roll3&gt;9,9,Roll3))*'Product Data'!$P$18)),'Product Data'!P16),0))</f>
        <v>#N/A</v>
      </c>
      <c r="W40" s="2689" t="e">
        <f>V40*(S40-(IF(Defer3&gt;2%,2%,Defer3)))/12</f>
        <v>#N/A</v>
      </c>
      <c r="X40" s="2689" t="e">
        <f>((V40*(S40-IF(Defer3&gt;2%,2%,Defer3))/12*(24-IF(Roll3&gt;9,9,Roll3)))+V40*'KB Model Suggestions Tr 2yr'!V30)/2</f>
        <v>#N/A</v>
      </c>
      <c r="Y40" s="2689" t="str">
        <f>IF(OR(V3="Residential BTL",V3="Retention "),IF(OR(V40&gt;='Product Data'!$P$16,'KB Model Suggestions Tr 2yr'!N10&gt;='Product Data'!$P$16),'BTL Calculator'!U40,'KB Model Suggestions Tr 2yr'!N10),"")</f>
        <v/>
      </c>
      <c r="Z40" s="2690" t="str">
        <f>IF(V3="Residential BTL",IF(AO30=1,(($V$9*24)/((($S$40-BBR+'Product Data'!$K$3-2%)/12)*(24-9)*'Product Data'!$P$18)-(($V$9*24)/((($S$40-BBR+'Product Data'!$K$3-2%)/12)*(24-9)*'Product Data'!$P$18)*2%/12)*24-(($V$9*24)/((($S$40-BBR+'Product Data'!$K$3-2%)/12)*(24-9)*'Product Data'!$P$18)*($S$40-2%)/12*9)-($V$9*24)/((($S$40-BBR+'Product Data'!$K$3-2%)/12)*(24-9)*'Product Data'!$P$18)*0.03),Y40),IF(AO30=1,(($V$13*24)/((($S$40-BBR+'Product Data'!$K$3-2%)/12)*(24-9)*'Product Data'!$P$18)-(($V$13*24)/((($S$40-BBR+'Product Data'!$K$3-2%)/12)*(24-9)*'Product Data'!$P$18)*2%/12)*24-(($V$13*24)/((($S$40-BBR+'Product Data'!$K$3-2%)/12)*(24-9)*'Product Data'!$P$18)*($S$40-2%)/12*9)-($V$13*24)/((($S$40-BBR+'Product Data'!$K$3-2%)/12)*(24-9)*'Product Data'!$P$18)*0.03),Y40))</f>
        <v/>
      </c>
      <c r="AA40" s="3434" t="str">
        <f>IF(V3="Residential BTL",IF(Y40="","Max Gross Loan achieved on this product, for higher loan size refer to Fusion.",'KB Model Suggestions Tr 2yr'!N3),"")</f>
        <v/>
      </c>
      <c r="AB40" s="3435"/>
      <c r="AC40" s="3435"/>
      <c r="AD40" s="3435"/>
      <c r="AE40" s="3435"/>
      <c r="AF40" s="3435"/>
      <c r="AG40" s="2687"/>
      <c r="AH40" s="2687"/>
      <c r="AI40" s="2687"/>
      <c r="AJ40" s="2687"/>
      <c r="AK40" s="2687"/>
      <c r="AL40" s="2687"/>
      <c r="AM40" s="2687"/>
      <c r="AO40" s="290" t="str">
        <f t="shared" si="1"/>
        <v/>
      </c>
      <c r="AP40" s="2467">
        <f>'Product Data'!B12</f>
        <v>0</v>
      </c>
      <c r="AQ40" s="547" t="b">
        <f>IF('KB_CRITERIA AND CALCULATION '!$F$36&lt;=$AO20,TRUE,FALSE)</f>
        <v>1</v>
      </c>
      <c r="AR40"/>
      <c r="AS40"/>
      <c r="AT40"/>
    </row>
    <row r="41" spans="1:63" s="537" customFormat="1" ht="18.75" customHeight="1" thickBot="1" x14ac:dyDescent="0.4">
      <c r="A41" s="951"/>
      <c r="B41" s="2311"/>
      <c r="C41" s="2437"/>
      <c r="D41" s="2437"/>
      <c r="E41" s="2686"/>
      <c r="G41" s="1878"/>
      <c r="H41" s="2692"/>
      <c r="I41" s="2692"/>
      <c r="J41" s="2692"/>
      <c r="K41" s="2692"/>
      <c r="L41" s="2363"/>
      <c r="Q41" s="3269" t="s">
        <v>3821</v>
      </c>
      <c r="R41" s="3269"/>
      <c r="S41" s="2688" t="e">
        <f>'KB Model Suggestions Fixed 2yr'!N8</f>
        <v>#N/A</v>
      </c>
      <c r="T41" s="2689" t="str">
        <f>"R:"&amp;IF(AND(OR(V3="Residential BTL",V3="Retention "),Roll3&gt;9),9,IF(AND(OR(V3="Semi-Commercial",V3="Commercial"),Roll3&gt;6),6,Roll3))&amp;"   D:"&amp;TEXT(IF(Defer3&gt;1.25%,1.25%,Defer3),"0.00%")</f>
        <v>R:   D:0.00%</v>
      </c>
      <c r="U41" s="2690" t="e">
        <f>V41-(V41*(IF(Defer3&gt;1.25%,1.25%,Defer3)/12)*24)-(V41*(S41-IF(Defer3&gt;1.25%,1.25%,Defer3))/12*IF(Roll3&gt;9,9,Roll3))-(V41*'KB Model Suggestions Fixed 2yr'!V30)</f>
        <v>#N/A</v>
      </c>
      <c r="V41" s="2690" t="e">
        <f>IF(OR(V3="Residential BTL",V3="Retention "),MIN(IF(($V$9*24)/((($S$41-IF(Defer3&gt;1.25%,1.25%,Defer3))/12)*(24-IF(Roll3&gt;9,9,Roll3))*'Product Data'!$P$23)&gt;'KB Model Suggestions Fixed 2yr'!P8,'KB Model Suggestions Fixed 2yr'!P8,($V$9*24)/((($S$41-IF(Defer3&gt;1.25%,1.25%,Defer3))/12)*(24-IF(Roll3&gt;9,9,Roll3))*'Product Data'!$P$23)),'Product Data'!$P$16),
IF(OR(V3&lt;&gt;"Residential BTL",V3&lt;&gt;"Retention "),MIN(IF((($V$9+$V$11)*24)/((($S$41-IF(Defer3&gt;1.25%,1.25%,Defer3))/12)*(24-IF(Roll3&gt;9,9,Roll3))*'Product Data'!$P$23)&gt;'KB_C&amp;S 2yr fixed'!L8,'KB_C&amp;S 2yr fixed'!L8,(($V$9+$V$11)*24)/((($S$41-IF(Defer3&gt;1.25%,1.25%,Defer3))/12)*(24-IF(Roll3&gt;9,9,Roll3))*'Product Data'!$P$23)),'Product Data'!$P$16)))</f>
        <v>#N/A</v>
      </c>
      <c r="W41" s="2689" t="e">
        <f>V41*(S41-(IF(Defer3&gt;1.25%,1.25%,Defer3)))/12</f>
        <v>#N/A</v>
      </c>
      <c r="X41" s="2689" t="e">
        <f>((V41*(S41-IF(Defer3&gt;1.25%,1.25%,Defer3))/12*(24-IF(Roll3&gt;9,9,Roll3)))+V41*'KB Model Suggestions Fixed 2yr'!V30)/2</f>
        <v>#N/A</v>
      </c>
      <c r="Y41" s="2689" t="str">
        <f>IF(OR(V3="Residential BTL",V3="Retention "),IF(OR(V41&gt;='Product Data'!$P$16,'KB Model Suggestions Fixed 2yr'!N10&gt;='Product Data'!$P$16),'BTL Calculator'!U41,'KB Model Suggestions Fixed 2yr'!N10),"")</f>
        <v/>
      </c>
      <c r="Z41" s="2690" t="str">
        <f>IF(V3="Residential BTL",IF(AO33=1,(($V$9*24)/((($S$41-1.25%)/12)*(24-9)*'Product Data'!$P$23)-(($V$9*24)/((($S$41-1.25%)/12)*(24-9)*'Product Data'!$P$23)*1.25%/12)*24-(($V$9*24)/((($S$41-1.25%)/12)*(24-9)*'Product Data'!$P$23)*($S$41-1.25%)/12*9)-($V$9*24)/((($S$41-1.25%)/12)*(24-9)*'Product Data'!$P$23)*0.03),Y41),IF(AO33=1,(($V$13*24)/((($S$41-1.25%)/12)*(24-9)*'Product Data'!$P$23)-(($V$13*24)/((($S$41-1.25%)/12)*(24-9)*'Product Data'!$P$23)*1.25%/12)*24-(($V$13*24)/((($S$41-1.25%)/12)*(24-9)*'Product Data'!$P$23)*($S$41-1.25%)/12*9)-($V$13*24)/((($S$41-1.25%)/12)*(24-9)*'Product Data'!$P$23)*0.03),Y41))</f>
        <v/>
      </c>
      <c r="AA41" s="3428" t="str">
        <f>IF(OR(V3="Residential BTL",V3="Retention "),IF(Y41="","Max Gross Loan achieved on this product, for higher loan size refer to Fusion.",'KB Model Suggestions Fixed 2yr'!N3),"")</f>
        <v/>
      </c>
      <c r="AB41" s="3429"/>
      <c r="AC41" s="3429"/>
      <c r="AD41" s="3429"/>
      <c r="AE41" s="3429"/>
      <c r="AF41" s="3429"/>
      <c r="AG41" s="2687"/>
      <c r="AH41" s="2687"/>
      <c r="AI41" s="2687"/>
      <c r="AJ41" s="2687"/>
      <c r="AK41" s="2687"/>
      <c r="AL41" s="2687"/>
      <c r="AM41" s="2687"/>
      <c r="AO41" s="290" t="str">
        <f t="shared" si="1"/>
        <v/>
      </c>
      <c r="AP41" s="2467"/>
      <c r="AQ41" s="547"/>
      <c r="AR41"/>
      <c r="AS41"/>
      <c r="AT41"/>
    </row>
    <row r="42" spans="1:63" s="537" customFormat="1" ht="18.75" customHeight="1" thickBot="1" x14ac:dyDescent="0.4">
      <c r="A42" s="951"/>
      <c r="B42" s="2311"/>
      <c r="C42" s="2437"/>
      <c r="D42" s="2437"/>
      <c r="E42" s="2686"/>
      <c r="G42" s="1878"/>
      <c r="H42" s="2692"/>
      <c r="I42" s="2692"/>
      <c r="J42" s="2692"/>
      <c r="K42" s="2692"/>
      <c r="L42" s="2363"/>
      <c r="Q42" s="3269" t="s">
        <v>3822</v>
      </c>
      <c r="R42" s="3269"/>
      <c r="S42" s="2688" t="e">
        <f>'KB Model Suggestions Fixed 3yr'!N8</f>
        <v>#N/A</v>
      </c>
      <c r="T42" s="2689" t="str">
        <f>"R:"&amp;IF(AND(OR(V3="Residential BTL",V3="Retention "),Roll3&gt;9),9,IF(AND(OR(V3="Semi-Commercial",V3="Commercial"),Roll3&gt;6),6,Roll3))&amp;"   D:"&amp;TEXT(IF(Defer3&gt;1.25%,1.25%,Defer3),"0.00%")</f>
        <v>R:   D:0.00%</v>
      </c>
      <c r="U42" s="2690" t="e">
        <f>V42-(V42*(IF(Defer3&gt;1.25%,1.25%,Defer3)/12)*36)-(V42*(S42-IF(Defer3&gt;1.25%,1.25%,Defer3))/12*IF(Roll3&gt;9,9,Roll3))-(V42*'KB Model Suggestions Fixed 3yr'!V30)</f>
        <v>#N/A</v>
      </c>
      <c r="V42" s="2690" t="e">
        <f>IF(OR(V3="Residential BTL",V3="Retention "),MIN(IF(($V$9*36)/((($S$42-IF(Defer3&gt;1.25%,1.25%,Defer3))/12)*(36-IF(Roll3&gt;9,9,Roll3))*'Product Data'!$P$23)&gt;'KB Model Suggestions Fixed 3yr'!P8,'KB Model Suggestions Fixed 3yr'!P8,($V$9*36)/((($S$42-IF(Defer3&gt;1.25%,1.25%,Defer3))/12)*(36-IF(Roll3&gt;9,9,Roll3))*'Product Data'!$P$23)),'Product Data'!$P$16),
IF(OR(V3&lt;&gt;"Residential BTL",V3&lt;&gt;"Retention "),MIN(IF((($V$9+V11)*36)/((($S$42-IF(Defer3&gt;1.25%,1.25%,Defer3))/12)*(36-IF(Roll3&gt;9,9,Roll3))*'Product Data'!$P$23)&gt;'KB_C&amp;S 3yr fixed'!H8,'KB_C&amp;S 3yr fixed'!H8,(($V$9+V11)*36)/((($S$42-IF(Defer3&gt;1.25%,1.25%,Defer3))/12)*(36-IF(Roll3&gt;9,9,Roll3))*'Product Data'!$P$23)),'Product Data'!$P$16)))</f>
        <v>#N/A</v>
      </c>
      <c r="W42" s="2689" t="e">
        <f>V42*(S42-(IF(Defer3&gt;1.25%,1.25%,Defer3)))/12</f>
        <v>#N/A</v>
      </c>
      <c r="X42" s="2689" t="e">
        <f>((V42*(S42-IF(Defer3&gt;1.25%,1.25%,Defer3))/12*(24-IF(Roll3&gt;9,9,Roll3)))+V42*'KB Model Suggestions Fixed 3yr'!V30)/2</f>
        <v>#N/A</v>
      </c>
      <c r="Y42" s="2689" t="str">
        <f>IF(OR(V3="Residential BTL",V3="Retention "),IF(OR(V42&gt;='Product Data'!$P$16,'KB Model Suggestions Fixed 3yr'!N10&gt;='Product Data'!$P$16),'BTL Calculator'!U42,'KB Model Suggestions Fixed 3yr'!N10),"")</f>
        <v/>
      </c>
      <c r="Z42" s="2690" t="str">
        <f>IF(V3="Residential BTL",IF(AO33=1,(($V$9*24)/((($S$42-1.25%)/12)*(24-9)*'Product Data'!$P$23)-(($V$9*24)/((($S$42-1.25%)/12)*(24-9)*'Product Data'!$P$23)*1.25%/12)*24-(($V$9*24)/((($S$42-1.25%)/12)*(24-9)*'Product Data'!$P$23)*($S$42-1.25%)/12*9)-($V$9*24)/((($S$42-1.25%)/12)*(24-9)*'Product Data'!$P$23)*0.03),Y42),IF(AO33=1,(($V$13*24)/((($S$42-1.25%)/12)*(24-9)*'Product Data'!$P$23)-(($V$13*24)/((($S$42-1.25%)/12)*(24-9)*'Product Data'!$P$23)*1.25%/12)*24-(($V$13*24)/((($S$42-1.25%)/12)*(24-9)*'Product Data'!$P$23)*($S$42-1.25%)/12*9)-($V$13*24)/((($S$42-1.25%)/12)*(24-9)*'Product Data'!$P$23)*0.03),Y42))</f>
        <v/>
      </c>
      <c r="AA42" s="3428" t="str">
        <f>IF(OR(V3="Residential BTL",V3="Retention "),IF(Y42="","Max Gross Loan achieved on this product, for higher loan size refer to Fusion.",'KB Model Suggestions Fixed 3yr'!N3),"")</f>
        <v/>
      </c>
      <c r="AB42" s="3429"/>
      <c r="AC42" s="3429"/>
      <c r="AD42" s="3429"/>
      <c r="AE42" s="3429"/>
      <c r="AF42" s="3429"/>
      <c r="AG42" s="2687"/>
      <c r="AH42" s="2687"/>
      <c r="AI42" s="2687"/>
      <c r="AJ42" s="2687"/>
      <c r="AK42" s="2687"/>
      <c r="AL42" s="2687"/>
      <c r="AM42" s="2687"/>
      <c r="AO42" s="290" t="str">
        <f t="shared" si="1"/>
        <v/>
      </c>
      <c r="AP42" s="2467"/>
      <c r="AQ42" s="547"/>
      <c r="AR42"/>
      <c r="AS42"/>
      <c r="AT42"/>
    </row>
    <row r="43" spans="1:63" s="537" customFormat="1" ht="18.75" customHeight="1" thickBot="1" x14ac:dyDescent="0.4">
      <c r="A43" s="951"/>
      <c r="B43" s="2311"/>
      <c r="C43" s="2437"/>
      <c r="D43" s="2437"/>
      <c r="E43" s="2686"/>
      <c r="G43" s="1878"/>
      <c r="H43" s="2692"/>
      <c r="I43" s="2692"/>
      <c r="J43" s="2692"/>
      <c r="K43" s="2692"/>
      <c r="L43" s="2363"/>
      <c r="Q43" s="3270"/>
      <c r="R43" s="3270"/>
      <c r="S43" s="2709"/>
      <c r="T43" s="2710"/>
      <c r="U43" s="2710"/>
      <c r="V43" s="2711"/>
      <c r="W43" s="2710"/>
      <c r="X43" s="2710"/>
      <c r="Y43" s="2710"/>
      <c r="Z43" s="2710"/>
      <c r="AA43" s="3430"/>
      <c r="AB43" s="3430"/>
      <c r="AC43" s="3430"/>
      <c r="AD43" s="3430"/>
      <c r="AE43" s="3430"/>
      <c r="AF43" s="3430"/>
      <c r="AG43" s="2712"/>
      <c r="AH43" s="2712"/>
      <c r="AI43" s="2712"/>
      <c r="AJ43" s="2712"/>
      <c r="AK43" s="2712"/>
      <c r="AL43" s="2712"/>
      <c r="AM43" s="2712"/>
      <c r="AO43" s="290" t="str">
        <f t="shared" si="1"/>
        <v/>
      </c>
      <c r="AP43" s="2467"/>
      <c r="AQ43" s="547"/>
      <c r="AR43"/>
      <c r="AS43"/>
      <c r="AT43"/>
    </row>
    <row r="44" spans="1:63" s="537" customFormat="1" ht="18.75" thickBot="1" x14ac:dyDescent="0.3">
      <c r="A44" s="951"/>
      <c r="B44" s="1802"/>
      <c r="C44" s="1802"/>
      <c r="D44" s="2435"/>
      <c r="E44" s="2436"/>
      <c r="F44" s="2436"/>
      <c r="G44" s="2436"/>
      <c r="H44" s="2436"/>
      <c r="I44" s="2436"/>
      <c r="J44" s="2436"/>
      <c r="K44" s="2436"/>
      <c r="L44" s="2363"/>
      <c r="M44" s="2367"/>
      <c r="N44" s="2367"/>
      <c r="O44" s="2367"/>
      <c r="P44" s="2367"/>
      <c r="Q44" s="3432" t="s">
        <v>374</v>
      </c>
      <c r="R44" s="3433"/>
      <c r="S44" s="3433"/>
      <c r="T44" s="3433"/>
      <c r="U44" s="2434" t="str">
        <f>IF(AND(U45="Yes ",U46="Yes "),"Yes ",IF(U45="No ","No ",IF(U46="No ","No ","TBC")))</f>
        <v>TBC</v>
      </c>
      <c r="V44" s="1741" t="str">
        <f>IFERROR(IF('Product Data'!AP44=3, "GL higher then £3m not eligible for title insurance",""),"")</f>
        <v/>
      </c>
      <c r="W44" s="2449"/>
      <c r="X44" s="2449"/>
      <c r="Y44" s="2449"/>
      <c r="Z44" s="2449"/>
      <c r="AA44" s="2449"/>
      <c r="AC44" s="2449"/>
      <c r="AD44" s="2357"/>
      <c r="AE44" s="2357"/>
      <c r="AF44" s="951"/>
      <c r="AG44" s="951"/>
      <c r="AH44" s="1352"/>
      <c r="AI44" s="951"/>
      <c r="AJ44" s="951"/>
      <c r="AK44" s="951"/>
      <c r="AO44" s="290"/>
      <c r="AP44" s="2467"/>
      <c r="AQ44" s="547"/>
      <c r="AR44"/>
      <c r="AS44"/>
      <c r="AT44"/>
    </row>
    <row r="45" spans="1:63" s="537" customFormat="1" ht="3.75" customHeight="1" thickBot="1" x14ac:dyDescent="0.3">
      <c r="A45" s="951"/>
      <c r="B45" s="3463" t="s">
        <v>3770</v>
      </c>
      <c r="C45" s="3464"/>
      <c r="D45" s="3464"/>
      <c r="E45" s="3464"/>
      <c r="F45" s="3464"/>
      <c r="G45" s="3465"/>
      <c r="H45" s="3469" t="s">
        <v>27</v>
      </c>
      <c r="I45" s="3470"/>
      <c r="J45" s="3473" t="str">
        <f>IF(H45="Yes", "Please add details in DIP section","")</f>
        <v/>
      </c>
      <c r="K45" s="3474"/>
      <c r="L45" s="3474"/>
      <c r="M45" s="3474"/>
      <c r="N45" s="2631"/>
      <c r="O45" s="2631"/>
      <c r="P45" s="2631"/>
      <c r="Q45" s="3420" t="s">
        <v>3830</v>
      </c>
      <c r="R45" s="3420"/>
      <c r="S45" s="3420"/>
      <c r="T45" s="3420"/>
      <c r="U45" s="2758" t="s">
        <v>325</v>
      </c>
      <c r="V45" s="1741"/>
      <c r="W45" s="2449"/>
      <c r="X45" s="2449"/>
      <c r="Y45" s="2449"/>
      <c r="Z45" s="2449"/>
      <c r="AA45" s="2449"/>
      <c r="AC45" s="2449"/>
      <c r="AD45" s="2357"/>
      <c r="AE45" s="2357"/>
      <c r="AF45" s="1849"/>
      <c r="AG45" s="293"/>
      <c r="AH45" s="293"/>
      <c r="AI45" s="293"/>
      <c r="AJ45" s="293"/>
      <c r="AK45" s="293"/>
      <c r="AL45" s="293"/>
      <c r="AM45" s="1558"/>
      <c r="AO45" s="290" t="e">
        <f>IF(H40+H39*AK190&lt;0,"Invalid",IF(H40+H39*AK190&gt;'BTL Calculator'!M157,"Broker Fee Should be less than the "&amp;TEXT('BTL Calculator'!M157,"£0,0")&amp;" product fee",""))</f>
        <v>#N/A</v>
      </c>
      <c r="AP45" s="290"/>
      <c r="AR45"/>
      <c r="AS45"/>
      <c r="AT45"/>
      <c r="BB45" s="3427" t="str">
        <f>IF(H39&gt;0.01,"Warning: High broker fee","")</f>
        <v/>
      </c>
      <c r="BC45" s="3427"/>
      <c r="BD45" s="3427"/>
      <c r="BE45" s="3427"/>
      <c r="BF45" s="3427"/>
      <c r="BG45" s="3427"/>
    </row>
    <row r="46" spans="1:63" s="537" customFormat="1" ht="18.75" thickBot="1" x14ac:dyDescent="0.3">
      <c r="A46" s="951"/>
      <c r="B46" s="3466"/>
      <c r="C46" s="3467"/>
      <c r="D46" s="3467"/>
      <c r="E46" s="3467"/>
      <c r="F46" s="3467"/>
      <c r="G46" s="3468"/>
      <c r="H46" s="3471"/>
      <c r="I46" s="3472"/>
      <c r="J46" s="3473"/>
      <c r="K46" s="3474"/>
      <c r="L46" s="3474"/>
      <c r="M46" s="3474"/>
      <c r="N46" s="2631"/>
      <c r="O46" s="2631"/>
      <c r="P46" s="2631"/>
      <c r="Q46" s="3413" t="s">
        <v>375</v>
      </c>
      <c r="R46" s="3414"/>
      <c r="S46" s="3414"/>
      <c r="T46" s="3415"/>
      <c r="U46" s="2448" t="s">
        <v>327</v>
      </c>
      <c r="V46" s="2469"/>
      <c r="AC46" s="2449"/>
      <c r="AD46" s="2357"/>
      <c r="AE46" s="2357"/>
      <c r="AF46" s="1849"/>
      <c r="AG46" s="293"/>
      <c r="AH46" s="293"/>
      <c r="AI46" s="293"/>
      <c r="AJ46" s="293"/>
      <c r="AK46" s="293"/>
      <c r="AL46" s="293"/>
      <c r="AM46" s="1558"/>
      <c r="AO46" s="290"/>
      <c r="AP46" s="290"/>
      <c r="AR46"/>
      <c r="AS46"/>
      <c r="AT46"/>
    </row>
    <row r="47" spans="1:63" s="550" customFormat="1" ht="125.25" customHeight="1" x14ac:dyDescent="0.15">
      <c r="A47" s="951"/>
      <c r="B47" s="1777"/>
      <c r="C47" s="2567"/>
      <c r="D47" s="1777"/>
      <c r="E47" s="1777"/>
      <c r="F47" s="1777"/>
      <c r="G47" s="1777"/>
      <c r="H47" s="1777"/>
      <c r="I47" s="1777"/>
      <c r="J47" s="1777"/>
      <c r="K47" s="1777"/>
      <c r="L47" s="2367"/>
      <c r="M47" s="2367"/>
      <c r="N47" s="2367"/>
      <c r="O47" s="2367"/>
      <c r="P47" s="2367"/>
      <c r="Q47" s="2367"/>
      <c r="R47" s="2367"/>
      <c r="S47" s="2368"/>
      <c r="T47" s="2368"/>
      <c r="U47" s="2368"/>
      <c r="V47" s="2368"/>
      <c r="W47" s="3242" t="s">
        <v>376</v>
      </c>
      <c r="X47" s="3242"/>
      <c r="Y47" s="3242"/>
      <c r="Z47" s="3242"/>
      <c r="AA47" s="3242"/>
      <c r="AB47" s="537"/>
      <c r="AC47" s="2449"/>
      <c r="AD47" s="2357"/>
      <c r="AE47" s="2357"/>
      <c r="AF47" s="1849"/>
      <c r="AG47" s="1778"/>
      <c r="AH47" s="1778"/>
      <c r="AI47" s="1778"/>
      <c r="AJ47" s="1778"/>
      <c r="AK47" s="1778"/>
      <c r="AL47" s="998"/>
      <c r="AM47" s="1558"/>
      <c r="AN47" s="537"/>
      <c r="AO47" s="290"/>
      <c r="AP47" s="290"/>
      <c r="AQ47" s="537"/>
      <c r="AR47" s="537"/>
      <c r="AS47" s="537"/>
      <c r="AT47" s="537"/>
      <c r="AU47" s="537"/>
      <c r="AV47" s="537"/>
      <c r="AW47" s="537"/>
      <c r="AX47" s="537"/>
    </row>
    <row r="48" spans="1:63" ht="21" hidden="1" x14ac:dyDescent="0.35">
      <c r="A48"/>
      <c r="B48" s="1777"/>
      <c r="C48" s="1777"/>
      <c r="D48" s="1777"/>
      <c r="E48" s="1777"/>
      <c r="F48" s="1777"/>
      <c r="G48" s="1777"/>
      <c r="H48" s="1777"/>
      <c r="I48" s="1777"/>
      <c r="J48" s="1777"/>
      <c r="K48" s="1777"/>
      <c r="L48" s="2369"/>
      <c r="M48" s="2370"/>
      <c r="N48" s="2370"/>
      <c r="O48" s="2370"/>
      <c r="P48" s="2370"/>
      <c r="W48" s="2542"/>
      <c r="X48" s="2542"/>
      <c r="Y48" s="2542"/>
      <c r="Z48" s="2542"/>
      <c r="AA48" s="2542"/>
      <c r="AB48" s="3389"/>
      <c r="AC48" s="3389"/>
      <c r="AD48" s="2371"/>
      <c r="AE48"/>
      <c r="AF48"/>
      <c r="AG48"/>
      <c r="AH48"/>
      <c r="AI48"/>
      <c r="AJ48"/>
      <c r="AK48"/>
      <c r="AL48" s="67"/>
      <c r="AM48" s="67"/>
      <c r="AO48" s="537"/>
    </row>
    <row r="49" spans="1:48" ht="21" hidden="1" x14ac:dyDescent="0.35">
      <c r="A49"/>
      <c r="B49" s="1777"/>
      <c r="C49" s="1777"/>
      <c r="D49" s="1777"/>
      <c r="E49" s="1777"/>
      <c r="F49" s="1777"/>
      <c r="G49" s="1777"/>
      <c r="H49" s="1777"/>
      <c r="I49" s="1777"/>
      <c r="J49" s="1777"/>
      <c r="K49" s="1777"/>
      <c r="L49" s="2369"/>
      <c r="M49" s="2370"/>
      <c r="N49" s="2370"/>
      <c r="O49" s="2370"/>
      <c r="P49" s="2370"/>
      <c r="V49" s="2540"/>
      <c r="W49" s="2540"/>
      <c r="X49" s="2540"/>
      <c r="Y49" s="2540"/>
      <c r="Z49" s="2540"/>
      <c r="AA49" s="2540"/>
      <c r="AB49" s="2372"/>
      <c r="AC49" s="2372"/>
      <c r="AD49" s="2364"/>
      <c r="AE49"/>
      <c r="AF49"/>
      <c r="AG49"/>
      <c r="AH49"/>
      <c r="AI49"/>
      <c r="AJ49"/>
      <c r="AK49"/>
      <c r="AL49" s="67"/>
      <c r="AM49" s="67"/>
      <c r="AO49" s="537"/>
    </row>
    <row r="50" spans="1:48" ht="21" hidden="1" x14ac:dyDescent="0.35">
      <c r="A50"/>
      <c r="B50" s="1777"/>
      <c r="C50" s="1777"/>
      <c r="D50" s="1777"/>
      <c r="E50" s="1777"/>
      <c r="F50" s="1777"/>
      <c r="G50" s="1777"/>
      <c r="H50" s="1777"/>
      <c r="I50" s="1777"/>
      <c r="J50" s="1777"/>
      <c r="K50" s="1777"/>
      <c r="L50" s="2369"/>
      <c r="M50" s="2370"/>
      <c r="N50" s="2370"/>
      <c r="O50" s="2370"/>
      <c r="P50" s="2370"/>
      <c r="W50" s="2542"/>
      <c r="X50" s="2542"/>
      <c r="Y50" s="2542"/>
      <c r="Z50" s="2542"/>
      <c r="AA50" s="2542"/>
      <c r="AB50" s="3389"/>
      <c r="AC50" s="3389"/>
      <c r="AD50" s="2364"/>
      <c r="AE50"/>
      <c r="AF50"/>
      <c r="AG50"/>
      <c r="AH50"/>
      <c r="AI50"/>
      <c r="AJ50"/>
      <c r="AK50"/>
      <c r="AL50" s="67"/>
      <c r="AM50" s="67"/>
      <c r="AO50" s="537"/>
    </row>
    <row r="51" spans="1:48" ht="121.5" hidden="1" customHeight="1" x14ac:dyDescent="0.35">
      <c r="A51"/>
      <c r="B51" s="1777"/>
      <c r="C51" s="1777"/>
      <c r="D51" s="1777"/>
      <c r="E51" s="1777"/>
      <c r="F51" s="1777"/>
      <c r="G51" s="1777"/>
      <c r="H51" s="1777"/>
      <c r="I51" s="1777"/>
      <c r="J51" s="1777"/>
      <c r="K51" s="1777"/>
      <c r="L51" s="2369"/>
      <c r="M51" s="2370"/>
      <c r="N51" s="2370"/>
      <c r="O51" s="2370"/>
      <c r="P51" s="2370"/>
      <c r="Q51" s="2543"/>
      <c r="R51" s="2544"/>
      <c r="S51" s="2544"/>
      <c r="T51" s="2544"/>
      <c r="U51" s="2544"/>
      <c r="V51" s="2544"/>
      <c r="AB51" s="3389"/>
      <c r="AC51" s="3389"/>
      <c r="AD51" s="2364"/>
      <c r="AE51"/>
      <c r="AF51"/>
      <c r="AG51" s="208"/>
      <c r="AH51" s="208"/>
      <c r="AJ51" s="67"/>
      <c r="AK51" s="67"/>
      <c r="AL51" s="67"/>
      <c r="AM51" s="67"/>
      <c r="AO51" s="537"/>
    </row>
    <row r="52" spans="1:48" customFormat="1" ht="21" hidden="1" x14ac:dyDescent="0.35">
      <c r="B52" s="1777"/>
      <c r="C52" s="1777"/>
      <c r="D52" s="1777"/>
      <c r="E52" s="1777"/>
      <c r="F52" s="1777"/>
      <c r="G52" s="1777"/>
      <c r="H52" s="1777"/>
      <c r="I52" s="1777"/>
      <c r="J52" s="1777"/>
      <c r="K52" s="1777"/>
      <c r="L52" s="2369"/>
      <c r="M52" s="2369"/>
      <c r="N52" s="2369"/>
      <c r="O52" s="2369"/>
      <c r="P52" s="2369"/>
      <c r="Q52" s="2545"/>
      <c r="R52" s="2546"/>
      <c r="S52" s="2546"/>
      <c r="T52" s="2546"/>
      <c r="U52" s="2546" t="str">
        <f>IF(OR('Product Data'!AF4="Broker",'Product Data'!AF4="Client"),"","Please note for this case you do not pay the broker directly, you will be paying the "&amp;'Product Data'!$AF$4)</f>
        <v/>
      </c>
      <c r="V52" s="2546"/>
      <c r="W52" s="2546"/>
      <c r="X52" s="2546"/>
      <c r="Y52" s="2546"/>
      <c r="Z52" s="2546"/>
      <c r="AA52" s="2546"/>
      <c r="AB52" s="2373"/>
      <c r="AC52" s="2373"/>
      <c r="AD52" s="2373"/>
      <c r="AE52" s="1346"/>
      <c r="AF52" s="947"/>
      <c r="AG52" s="2970"/>
      <c r="AH52" s="2970"/>
      <c r="AI52" s="2970"/>
      <c r="AJ52" s="2970"/>
      <c r="AK52" s="2970"/>
      <c r="AL52" s="67"/>
      <c r="AM52" s="67"/>
      <c r="AN52" s="67"/>
      <c r="AO52" s="537"/>
      <c r="AP52" s="67"/>
      <c r="AQ52" s="67"/>
    </row>
    <row r="53" spans="1:48" customFormat="1" hidden="1" x14ac:dyDescent="0.35">
      <c r="C53" s="208"/>
      <c r="D53" s="440"/>
      <c r="E53" s="440"/>
      <c r="F53" s="440"/>
      <c r="G53" s="208"/>
      <c r="H53" s="208"/>
      <c r="I53" s="208"/>
      <c r="J53" s="208"/>
      <c r="K53" s="208"/>
      <c r="L53" s="208"/>
      <c r="M53" s="208"/>
      <c r="N53" s="208"/>
      <c r="O53" s="208"/>
      <c r="P53" s="208"/>
      <c r="Q53" s="2541"/>
      <c r="R53" s="2541"/>
      <c r="S53" s="2541"/>
      <c r="T53" s="2541"/>
      <c r="U53" s="2541"/>
      <c r="V53" s="2541"/>
      <c r="W53" s="2541"/>
      <c r="X53" s="2541"/>
      <c r="Y53" s="2541"/>
      <c r="Z53" s="2541"/>
      <c r="AA53" s="2541"/>
      <c r="AB53" s="208"/>
      <c r="AC53" s="208"/>
      <c r="AD53" s="208"/>
      <c r="AE53" s="208"/>
      <c r="AF53" s="208"/>
      <c r="AG53" s="208"/>
      <c r="AH53" s="208"/>
      <c r="AI53" s="456"/>
      <c r="AJ53" s="456"/>
      <c r="AK53" s="456"/>
      <c r="AL53" s="208"/>
      <c r="AM53" s="208"/>
      <c r="AN53" s="67"/>
      <c r="AO53" s="67"/>
      <c r="AP53" s="67"/>
      <c r="AQ53" s="67"/>
      <c r="AR53" s="67"/>
      <c r="AS53" s="67"/>
    </row>
    <row r="54" spans="1:48" s="1853" customFormat="1" ht="5.25" customHeight="1" x14ac:dyDescent="0.35">
      <c r="A54" s="3416"/>
      <c r="B54" s="3416"/>
      <c r="C54" s="3416"/>
      <c r="D54" s="3416"/>
      <c r="E54" s="3416"/>
      <c r="F54" s="3416"/>
      <c r="G54" s="3416"/>
      <c r="H54" s="3416"/>
      <c r="I54" s="3416"/>
      <c r="J54" s="3416"/>
      <c r="K54" s="3416"/>
      <c r="L54" s="3416"/>
      <c r="M54" s="3416"/>
      <c r="N54" s="3416"/>
      <c r="O54" s="3416"/>
      <c r="P54" s="3416"/>
      <c r="Q54" s="3416"/>
      <c r="R54" s="3416"/>
      <c r="S54" s="3416"/>
      <c r="T54" s="3416"/>
      <c r="U54" s="3416"/>
      <c r="V54" s="3416"/>
      <c r="W54" s="3416"/>
      <c r="X54" s="3416"/>
      <c r="Y54" s="3416"/>
      <c r="Z54" s="3416"/>
      <c r="AA54" s="3416"/>
      <c r="AB54" s="3416"/>
      <c r="AC54" s="3416"/>
      <c r="AD54" s="3416"/>
      <c r="AE54" s="3416"/>
      <c r="AF54" s="3416"/>
      <c r="AG54" s="3416"/>
      <c r="AH54" s="3416"/>
      <c r="AI54" s="3416"/>
      <c r="AJ54" s="3416"/>
      <c r="AK54" s="3416"/>
      <c r="AL54" s="3416"/>
      <c r="AM54" s="3416"/>
      <c r="AN54" s="3416"/>
      <c r="AO54" s="3416"/>
    </row>
    <row r="55" spans="1:48" customFormat="1" ht="2.25" customHeight="1" x14ac:dyDescent="0.35">
      <c r="C55" s="208"/>
      <c r="D55" s="440"/>
      <c r="E55" s="440"/>
      <c r="F55" s="440"/>
      <c r="G55" s="208"/>
      <c r="H55" s="208"/>
      <c r="I55" s="208"/>
      <c r="J55" s="208"/>
      <c r="K55" s="208"/>
      <c r="L55" s="208"/>
      <c r="S55" s="208"/>
      <c r="AA55" s="208"/>
      <c r="AB55" s="208"/>
      <c r="AC55" s="208"/>
      <c r="AD55" s="208"/>
      <c r="AE55" s="208"/>
      <c r="AF55" s="456"/>
      <c r="AG55" s="456"/>
      <c r="AH55" s="456"/>
      <c r="AI55" s="208"/>
      <c r="AJ55" s="208"/>
      <c r="AK55" s="208"/>
      <c r="AL55" s="208"/>
      <c r="AM55" s="208"/>
      <c r="AN55" s="67"/>
      <c r="AO55" s="67"/>
      <c r="AP55" s="67"/>
      <c r="AQ55" s="67"/>
      <c r="AR55" s="67"/>
      <c r="AS55" s="67"/>
    </row>
    <row r="56" spans="1:48" customFormat="1" ht="30" customHeight="1" x14ac:dyDescent="0.35">
      <c r="C56" s="2444" t="s">
        <v>105</v>
      </c>
      <c r="D56" s="930"/>
      <c r="E56" s="930"/>
      <c r="F56" s="930"/>
      <c r="G56" s="914"/>
      <c r="H56" s="914"/>
      <c r="I56" s="914"/>
      <c r="J56" s="914"/>
      <c r="K56" s="914"/>
      <c r="L56" s="914"/>
      <c r="S56" s="914"/>
      <c r="AA56" s="914"/>
      <c r="AB56" s="914"/>
      <c r="AC56" s="914"/>
      <c r="AD56" s="914"/>
      <c r="AE56" s="914"/>
      <c r="AF56" s="865"/>
      <c r="AG56" s="865"/>
      <c r="AH56" s="865"/>
      <c r="AI56" s="208"/>
      <c r="AJ56" s="208"/>
      <c r="AK56" s="208"/>
      <c r="AL56" s="208"/>
      <c r="AM56" s="208"/>
      <c r="AN56" s="358"/>
      <c r="AO56" s="67"/>
      <c r="AP56" s="67"/>
      <c r="AQ56" s="67"/>
      <c r="AR56" s="67"/>
      <c r="AS56" s="67"/>
      <c r="AT56" s="67"/>
      <c r="AU56" s="67"/>
      <c r="AV56" s="67"/>
    </row>
    <row r="57" spans="1:48" customFormat="1" ht="31.5" hidden="1" customHeight="1" x14ac:dyDescent="0.35">
      <c r="C57" s="3417" t="e">
        <f>'KB_CRITERIA AND CALCULATION '!#REF!</f>
        <v>#REF!</v>
      </c>
      <c r="D57" s="3418"/>
      <c r="E57" s="3418"/>
      <c r="F57" s="3418"/>
      <c r="G57" s="3418"/>
      <c r="H57" s="3418"/>
      <c r="I57" s="3418"/>
      <c r="J57" s="3418"/>
      <c r="K57" s="3418"/>
      <c r="L57" s="3418"/>
      <c r="M57" s="3418"/>
      <c r="N57" s="3418"/>
      <c r="O57" s="3418"/>
      <c r="P57" s="3418"/>
      <c r="Q57" s="3418"/>
      <c r="R57" s="3418"/>
      <c r="S57" s="3418"/>
      <c r="T57" s="3418"/>
      <c r="U57" s="3418"/>
      <c r="V57" s="3418"/>
      <c r="W57" s="3418"/>
      <c r="X57" s="3418"/>
      <c r="Y57" s="3418"/>
      <c r="Z57" s="3418"/>
      <c r="AA57" s="3418"/>
      <c r="AB57" s="3418"/>
      <c r="AC57" s="3418"/>
      <c r="AD57" s="3418"/>
      <c r="AE57" s="3418"/>
      <c r="AF57" s="3418"/>
      <c r="AG57" s="3419"/>
      <c r="AH57" s="865"/>
      <c r="AI57" s="208"/>
      <c r="AJ57" s="208"/>
      <c r="AK57" s="208"/>
      <c r="AL57" s="208"/>
      <c r="AM57" s="208"/>
      <c r="AN57" s="358"/>
      <c r="AO57" s="67"/>
      <c r="AP57" s="67"/>
      <c r="AQ57" s="67"/>
      <c r="AR57" s="67"/>
      <c r="AS57" s="67"/>
      <c r="AT57" s="67"/>
      <c r="AU57" s="67"/>
      <c r="AV57" s="67"/>
    </row>
    <row r="58" spans="1:48" ht="19.5" customHeight="1" x14ac:dyDescent="0.35">
      <c r="A58" s="67"/>
      <c r="B58" s="67"/>
      <c r="C58"/>
      <c r="D58" s="931"/>
      <c r="E58" s="931"/>
      <c r="F58" s="931"/>
      <c r="G58" s="931"/>
      <c r="H58" s="931"/>
      <c r="I58" s="931"/>
      <c r="J58" s="931"/>
      <c r="K58" s="932"/>
      <c r="L58" s="932"/>
      <c r="M58" s="932"/>
      <c r="N58" s="932"/>
      <c r="O58" s="932"/>
      <c r="P58" s="932"/>
      <c r="Q58" s="932"/>
      <c r="R58" s="932"/>
      <c r="S58" s="914"/>
      <c r="T58" s="933"/>
      <c r="U58" s="933"/>
      <c r="V58" s="933"/>
      <c r="W58" s="933"/>
      <c r="X58" s="933"/>
      <c r="Y58" s="3403" t="str">
        <f>IF(V22="Yes","Please ensure LTV is below 70% due to New Build","")</f>
        <v/>
      </c>
      <c r="Z58" s="3403"/>
      <c r="AA58" s="3403"/>
      <c r="AB58" s="3403"/>
      <c r="AC58" s="3403"/>
      <c r="AD58" s="3403"/>
      <c r="AE58" s="3403"/>
      <c r="AF58" s="3403"/>
      <c r="AG58" s="3403"/>
      <c r="AH58"/>
      <c r="AQ58" s="1337"/>
    </row>
    <row r="59" spans="1:48" ht="7.5" customHeight="1" x14ac:dyDescent="0.35">
      <c r="A59" s="67"/>
      <c r="B59" s="67"/>
      <c r="C59"/>
      <c r="D59" s="930"/>
      <c r="E59" s="930"/>
      <c r="F59" s="934"/>
      <c r="G59" s="934"/>
      <c r="H59" s="934"/>
      <c r="I59" s="934"/>
      <c r="J59" s="934"/>
      <c r="K59" s="934"/>
      <c r="L59" s="934"/>
      <c r="M59" s="934"/>
      <c r="N59" s="934"/>
      <c r="O59" s="934"/>
      <c r="P59" s="934"/>
      <c r="Q59" s="934"/>
      <c r="R59" s="934"/>
      <c r="S59" s="914"/>
      <c r="T59" s="933"/>
      <c r="U59" s="933"/>
      <c r="V59" s="933"/>
      <c r="W59" s="933"/>
      <c r="X59" s="933"/>
      <c r="Y59" s="933"/>
      <c r="Z59"/>
      <c r="AA59"/>
      <c r="AB59"/>
      <c r="AC59"/>
      <c r="AD59"/>
      <c r="AE59"/>
      <c r="AF59"/>
      <c r="AG59"/>
      <c r="AH59"/>
    </row>
    <row r="60" spans="1:48" ht="18" customHeight="1" x14ac:dyDescent="0.35">
      <c r="A60" s="67"/>
      <c r="B60" s="67"/>
      <c r="D60" s="2527"/>
      <c r="E60" s="2527"/>
      <c r="F60" s="2527" t="s">
        <v>377</v>
      </c>
      <c r="G60" s="3392" t="s">
        <v>108</v>
      </c>
      <c r="H60" s="3392"/>
      <c r="I60" s="3392"/>
      <c r="J60" s="3392"/>
      <c r="K60" s="3392"/>
      <c r="L60" s="1908"/>
      <c r="M60" s="1908"/>
      <c r="N60" s="1908"/>
      <c r="O60" s="1908"/>
      <c r="P60" s="1908"/>
      <c r="Q60" s="3406">
        <f>IF(OR(G60="Specific Net Loan ",G60="Specific Gross Loan "),1,0)</f>
        <v>0</v>
      </c>
      <c r="R60" s="3406"/>
      <c r="S60" s="3406"/>
      <c r="T60" s="3406"/>
      <c r="U60" s="3406"/>
      <c r="V60" s="3406"/>
      <c r="W60" s="3406"/>
      <c r="X60"/>
      <c r="Y60" s="2997"/>
      <c r="Z60" s="2997"/>
      <c r="AA60" s="2997"/>
      <c r="AB60" s="2997"/>
      <c r="AC60" s="2997"/>
      <c r="AD60" s="2997"/>
      <c r="AE60" s="2997"/>
      <c r="AF60" s="2997"/>
      <c r="AG60" s="2997"/>
      <c r="AH60"/>
      <c r="AN60" s="2961" t="str">
        <f>IF(Rate_Type="Tracker",IF(('KB_CRITERIA AND CALCULATION '!$AV$90="Y")*($R$67&gt;'Product Data'!$P$20),"ICR above "&amp;TEXT('Product Data'!$P$19,"000%")&amp;", Please reduce Rolled Months",""),"")</f>
        <v/>
      </c>
      <c r="AO60" s="2961"/>
      <c r="AP60" s="850"/>
      <c r="AQ60" s="1357"/>
    </row>
    <row r="61" spans="1:48" ht="17.25" customHeight="1" x14ac:dyDescent="0.35">
      <c r="A61" s="67"/>
      <c r="B61" s="67"/>
      <c r="C61" s="1869"/>
      <c r="D61" s="1870"/>
      <c r="E61" s="1870"/>
      <c r="F61" s="2528" t="s">
        <v>3720</v>
      </c>
      <c r="G61" s="3479" t="s">
        <v>27</v>
      </c>
      <c r="H61" s="3480"/>
      <c r="I61" s="3480"/>
      <c r="J61" s="3480"/>
      <c r="K61" s="3481"/>
      <c r="L61" s="935"/>
      <c r="M61" s="935"/>
      <c r="N61" s="935"/>
      <c r="O61" s="935"/>
      <c r="P61" s="935"/>
      <c r="Q61" s="934"/>
      <c r="R61" s="934"/>
      <c r="S61" s="914"/>
      <c r="T61" s="933"/>
      <c r="U61" s="933"/>
      <c r="V61" s="933"/>
      <c r="W61" s="933"/>
      <c r="X61" s="933"/>
      <c r="Y61" s="2997"/>
      <c r="Z61" s="2997"/>
      <c r="AA61" s="2997"/>
      <c r="AB61" s="2997"/>
      <c r="AC61" s="2997"/>
      <c r="AD61" s="2997"/>
      <c r="AE61" s="2997"/>
      <c r="AF61" s="2997"/>
      <c r="AG61" s="2997"/>
      <c r="AH61"/>
      <c r="AN61" s="2961"/>
      <c r="AO61" s="2961"/>
    </row>
    <row r="62" spans="1:48" ht="18" customHeight="1" x14ac:dyDescent="0.35">
      <c r="A62" s="67"/>
      <c r="B62" s="67"/>
      <c r="D62" s="2527"/>
      <c r="E62" s="2527"/>
      <c r="F62" s="2528" t="s">
        <v>3721</v>
      </c>
      <c r="G62" s="3482" t="str">
        <f>IF(G61="No",H29,I62)</f>
        <v>1) Standard</v>
      </c>
      <c r="H62" s="3483"/>
      <c r="I62" s="3478" t="s">
        <v>432</v>
      </c>
      <c r="J62" s="3478"/>
      <c r="K62" s="3478"/>
      <c r="L62"/>
      <c r="M62"/>
      <c r="N62"/>
      <c r="O62"/>
      <c r="P62"/>
      <c r="Q62"/>
      <c r="R62"/>
      <c r="S62" s="1"/>
      <c r="T62"/>
      <c r="U62"/>
      <c r="V62"/>
      <c r="W62"/>
      <c r="X62"/>
      <c r="Y62" s="2997"/>
      <c r="Z62" s="2997"/>
      <c r="AA62" s="2997"/>
      <c r="AB62" s="2997"/>
      <c r="AC62" s="2997"/>
      <c r="AD62" s="2997"/>
      <c r="AE62" s="2997"/>
      <c r="AF62" s="2997"/>
      <c r="AG62" s="2997"/>
      <c r="AH62"/>
      <c r="AN62" s="2961"/>
      <c r="AO62" s="2961"/>
      <c r="AP62"/>
      <c r="AQ62" s="622"/>
    </row>
    <row r="63" spans="1:48" ht="9.75" customHeight="1" x14ac:dyDescent="0.35">
      <c r="A63" s="67"/>
      <c r="B63" s="287"/>
      <c r="C63" s="1"/>
      <c r="D63" s="1748"/>
      <c r="E63" s="1748"/>
      <c r="F63" s="1749"/>
      <c r="G63" s="1749"/>
      <c r="H63" s="1749"/>
      <c r="I63" s="1749"/>
      <c r="J63" s="1749"/>
      <c r="K63" s="1749"/>
      <c r="L63" s="1749"/>
      <c r="M63" s="1749"/>
      <c r="N63" s="1749"/>
      <c r="O63" s="1749"/>
      <c r="P63" s="1749"/>
      <c r="Q63" s="1749"/>
      <c r="R63" s="1749"/>
      <c r="S63" s="1558"/>
      <c r="T63" s="1750"/>
      <c r="U63" s="1750"/>
      <c r="V63" s="1750"/>
      <c r="W63" s="1750"/>
      <c r="X63" s="1750"/>
      <c r="Y63" s="1750"/>
      <c r="Z63"/>
      <c r="AA63"/>
      <c r="AB63"/>
      <c r="AC63"/>
      <c r="AD63"/>
      <c r="AE63"/>
      <c r="AF63"/>
      <c r="AG63"/>
      <c r="AH63"/>
      <c r="AN63" s="2961"/>
      <c r="AO63" s="2961"/>
    </row>
    <row r="64" spans="1:48" ht="18" hidden="1" customHeight="1" x14ac:dyDescent="0.35">
      <c r="A64" s="67"/>
      <c r="B64" s="287"/>
      <c r="C64" s="293"/>
      <c r="D64" s="1580"/>
      <c r="E64" s="1751"/>
      <c r="F64" s="1751"/>
      <c r="G64" s="1751"/>
      <c r="H64" s="3271"/>
      <c r="I64" s="3271"/>
      <c r="J64" s="3271"/>
      <c r="K64" s="3271"/>
      <c r="L64" s="3271"/>
      <c r="M64" s="3271"/>
      <c r="N64" s="3271"/>
      <c r="O64" s="3271"/>
      <c r="P64" s="3271"/>
      <c r="Q64" s="3271"/>
      <c r="R64" s="3271"/>
      <c r="S64" s="3271"/>
      <c r="T64" s="1751"/>
      <c r="U64" s="1558"/>
      <c r="V64" s="1558"/>
      <c r="W64" s="1558"/>
      <c r="X64" s="1558"/>
      <c r="Y64" s="1558"/>
      <c r="Z64" s="914"/>
      <c r="AA64"/>
      <c r="AB64" s="914"/>
      <c r="AC64" s="914"/>
      <c r="AD64" s="914"/>
      <c r="AE64" s="914"/>
      <c r="AF64" s="865"/>
      <c r="AG64" s="865"/>
      <c r="AH64" s="865"/>
      <c r="AN64" s="2961"/>
      <c r="AO64" s="2961"/>
      <c r="AP64"/>
      <c r="AQ64" s="618"/>
    </row>
    <row r="65" spans="1:43" ht="10.5" hidden="1" customHeight="1" x14ac:dyDescent="0.35">
      <c r="A65" s="67"/>
      <c r="B65" s="287"/>
      <c r="C65" s="1"/>
      <c r="D65" s="1748"/>
      <c r="E65" s="1748"/>
      <c r="F65" s="1749"/>
      <c r="G65" s="1749"/>
      <c r="H65" s="1749"/>
      <c r="I65" s="1749"/>
      <c r="J65" s="1749"/>
      <c r="K65" s="1749"/>
      <c r="L65" s="1749"/>
      <c r="M65" s="1749"/>
      <c r="N65" s="1749"/>
      <c r="O65" s="1749"/>
      <c r="P65" s="1749"/>
      <c r="Q65" s="1749"/>
      <c r="R65" s="1749"/>
      <c r="S65" s="1558"/>
      <c r="T65" s="1750"/>
      <c r="U65" s="1750"/>
      <c r="V65" s="1750"/>
      <c r="W65" s="1750"/>
      <c r="X65" s="1750"/>
      <c r="Y65" s="1750"/>
      <c r="Z65"/>
      <c r="AA65"/>
      <c r="AB65"/>
      <c r="AC65"/>
      <c r="AD65"/>
      <c r="AE65" s="936"/>
      <c r="AF65" s="936"/>
      <c r="AG65" s="936"/>
      <c r="AH65" s="936"/>
      <c r="AN65" s="2961"/>
      <c r="AO65" s="2961"/>
      <c r="AP65"/>
      <c r="AQ65"/>
    </row>
    <row r="66" spans="1:43" ht="4.5" hidden="1" customHeight="1" x14ac:dyDescent="0.35">
      <c r="A66" s="67"/>
      <c r="B66" s="287"/>
      <c r="C66" s="3281"/>
      <c r="D66" s="3281"/>
      <c r="E66" s="3281"/>
      <c r="F66" s="3281"/>
      <c r="G66" s="3295"/>
      <c r="H66" s="3295"/>
      <c r="I66" s="1688"/>
      <c r="J66" s="1688"/>
      <c r="K66" s="1688"/>
      <c r="L66" s="1688"/>
      <c r="M66" s="3294"/>
      <c r="N66" s="3294"/>
      <c r="O66" s="3294"/>
      <c r="P66" s="3294"/>
      <c r="Q66" s="3294"/>
      <c r="R66" s="1688"/>
      <c r="S66" s="3295"/>
      <c r="T66" s="3295"/>
      <c r="U66" s="3295"/>
      <c r="V66" s="1688"/>
      <c r="W66" s="1688"/>
      <c r="X66" s="1688"/>
      <c r="Y66" s="1688"/>
      <c r="Z66" s="936"/>
      <c r="AA66" s="936"/>
      <c r="AB66" s="936"/>
      <c r="AC66" s="936"/>
      <c r="AD66" s="936"/>
      <c r="AE66" s="936"/>
      <c r="AF66" s="936"/>
      <c r="AG66" s="936"/>
      <c r="AH66"/>
      <c r="AN66" s="2961"/>
      <c r="AO66" s="2961"/>
      <c r="AP66"/>
      <c r="AQ66"/>
    </row>
    <row r="67" spans="1:43" ht="15" hidden="1" customHeight="1" x14ac:dyDescent="0.35">
      <c r="A67" s="67"/>
      <c r="B67" s="287"/>
      <c r="C67" s="3281"/>
      <c r="D67" s="3281"/>
      <c r="E67" s="3281"/>
      <c r="F67" s="3281"/>
      <c r="G67" s="3295"/>
      <c r="H67" s="3295"/>
      <c r="I67" s="3327"/>
      <c r="J67" s="3327"/>
      <c r="K67" s="3327"/>
      <c r="L67" s="1688"/>
      <c r="M67" s="3294"/>
      <c r="N67" s="3294"/>
      <c r="O67" s="3294"/>
      <c r="P67" s="3294"/>
      <c r="Q67" s="3294"/>
      <c r="R67" s="1752"/>
      <c r="S67" s="3295"/>
      <c r="T67" s="3295"/>
      <c r="U67" s="3295"/>
      <c r="V67" s="293"/>
      <c r="W67" s="1753"/>
      <c r="X67" s="1688"/>
      <c r="Y67" s="1688"/>
      <c r="Z67" s="2998"/>
      <c r="AA67" s="2998"/>
      <c r="AB67" s="2998"/>
      <c r="AC67" s="2998"/>
      <c r="AD67" s="2998"/>
      <c r="AE67" s="2998"/>
      <c r="AF67" s="2998"/>
      <c r="AG67" s="2998"/>
      <c r="AH67" s="2998"/>
      <c r="AN67" s="2961"/>
      <c r="AO67" s="2961"/>
      <c r="AP67"/>
      <c r="AQ67"/>
    </row>
    <row r="68" spans="1:43" ht="18" hidden="1" customHeight="1" x14ac:dyDescent="0.35">
      <c r="A68" s="67"/>
      <c r="B68" s="287"/>
      <c r="C68" s="3281"/>
      <c r="D68" s="3281"/>
      <c r="E68" s="3281"/>
      <c r="F68" s="3281"/>
      <c r="G68" s="3295"/>
      <c r="H68" s="3295"/>
      <c r="I68" s="1688"/>
      <c r="J68" s="1688"/>
      <c r="K68" s="1688"/>
      <c r="L68" s="1688"/>
      <c r="M68" s="3294"/>
      <c r="N68" s="3294"/>
      <c r="O68" s="3294"/>
      <c r="P68" s="3294"/>
      <c r="Q68" s="3294"/>
      <c r="R68" s="1688"/>
      <c r="S68" s="3295"/>
      <c r="T68" s="3295"/>
      <c r="U68" s="3295"/>
      <c r="V68" s="1688"/>
      <c r="W68" s="1688"/>
      <c r="X68" s="1688"/>
      <c r="Y68" s="1688"/>
      <c r="Z68" s="2998"/>
      <c r="AA68" s="2998"/>
      <c r="AB68" s="2998"/>
      <c r="AC68" s="2998"/>
      <c r="AD68" s="2998"/>
      <c r="AE68" s="2998"/>
      <c r="AF68" s="2998"/>
      <c r="AG68" s="2998"/>
      <c r="AH68" s="2998"/>
      <c r="AN68" s="2961"/>
      <c r="AO68" s="2961"/>
    </row>
    <row r="69" spans="1:43" ht="21" hidden="1" customHeight="1" x14ac:dyDescent="0.35">
      <c r="A69" s="67"/>
      <c r="B69" s="293"/>
      <c r="C69" s="3477"/>
      <c r="D69" s="3477"/>
      <c r="E69" s="3477"/>
      <c r="F69" s="3477"/>
      <c r="G69" s="3477"/>
      <c r="H69" s="3477"/>
      <c r="I69" s="3477"/>
      <c r="J69" s="3477"/>
      <c r="K69" s="1754"/>
      <c r="L69" s="1754"/>
      <c r="M69" s="3243"/>
      <c r="N69" s="3243"/>
      <c r="O69" s="3243"/>
      <c r="P69" s="3243"/>
      <c r="Q69" s="3243"/>
      <c r="R69" s="3243"/>
      <c r="S69" s="3243"/>
      <c r="T69" s="3243"/>
      <c r="U69" s="3243"/>
      <c r="V69" s="3243"/>
      <c r="W69" s="3243"/>
      <c r="X69" s="3243"/>
      <c r="Y69" s="3243"/>
      <c r="Z69" s="2998"/>
      <c r="AA69" s="2998"/>
      <c r="AB69" s="2998"/>
      <c r="AC69" s="2998"/>
      <c r="AD69" s="2998"/>
      <c r="AE69" s="2998"/>
      <c r="AF69" s="2998"/>
      <c r="AG69" s="2998"/>
      <c r="AH69" s="2998"/>
      <c r="AN69" s="2961"/>
      <c r="AO69" s="2961"/>
    </row>
    <row r="70" spans="1:43" ht="17.25" hidden="1" customHeight="1" x14ac:dyDescent="0.35">
      <c r="A70" s="67"/>
      <c r="B70" s="293"/>
      <c r="C70" s="3282"/>
      <c r="D70" s="3282"/>
      <c r="E70" s="3282"/>
      <c r="F70" s="3282"/>
      <c r="G70" s="3282"/>
      <c r="H70" s="3282"/>
      <c r="I70" s="3282"/>
      <c r="J70" s="3282"/>
      <c r="K70" s="3282"/>
      <c r="L70" s="3282"/>
      <c r="M70" s="3282"/>
      <c r="N70" s="3282"/>
      <c r="O70" s="3282"/>
      <c r="P70" s="3282"/>
      <c r="Q70" s="3282"/>
      <c r="R70" s="3282"/>
      <c r="S70" s="3282"/>
      <c r="T70" s="3282"/>
      <c r="U70" s="3282"/>
      <c r="V70" s="3282"/>
      <c r="W70" s="3282"/>
      <c r="X70" s="3282"/>
      <c r="Y70" s="3282"/>
      <c r="Z70" s="2998"/>
      <c r="AA70" s="2998"/>
      <c r="AB70" s="2998"/>
      <c r="AC70" s="2998"/>
      <c r="AD70" s="2998"/>
      <c r="AE70" s="2998"/>
      <c r="AF70" s="2998"/>
      <c r="AG70" s="2998"/>
      <c r="AH70" s="2998"/>
      <c r="AN70" s="2961"/>
      <c r="AO70" s="2961"/>
      <c r="AQ70" s="618"/>
    </row>
    <row r="71" spans="1:43" ht="17.25" customHeight="1" x14ac:dyDescent="0.35">
      <c r="A71" s="67"/>
      <c r="C71" s="2926"/>
      <c r="D71" s="2926"/>
      <c r="E71" s="2926"/>
      <c r="F71" s="2926"/>
      <c r="G71" s="2926"/>
      <c r="H71" s="2926"/>
      <c r="I71" s="2926"/>
      <c r="J71" s="2926"/>
      <c r="K71" s="2926"/>
      <c r="L71" s="2926"/>
      <c r="M71" s="2926"/>
      <c r="N71" s="2926"/>
      <c r="O71" s="2926"/>
      <c r="P71" s="2926"/>
      <c r="Q71" s="2926"/>
      <c r="R71" s="2926"/>
      <c r="S71" s="2926"/>
      <c r="T71" s="2926"/>
      <c r="U71" s="2926"/>
      <c r="V71" s="2926"/>
      <c r="W71" s="2926"/>
      <c r="X71" s="2926"/>
      <c r="Y71" s="2926"/>
      <c r="Z71"/>
      <c r="AA71"/>
      <c r="AB71"/>
      <c r="AC71"/>
      <c r="AD71"/>
      <c r="AE71"/>
      <c r="AF71"/>
      <c r="AG71"/>
      <c r="AH71" s="865"/>
      <c r="AI71" s="3376" t="e">
        <f>IF('KB_CRITERIA AND CALCULATION '!AN90='KB_CRITERIA AND CALCULATION '!M90,"Note: Gross Loan capped at max LTV of "&amp;TEXT('KB_CRITERIA AND CALCULATION '!M90,"0%"),"")</f>
        <v>#N/A</v>
      </c>
      <c r="AJ71" s="3376"/>
      <c r="AK71" s="3376"/>
      <c r="AL71" s="3376"/>
      <c r="AM71" s="3376"/>
    </row>
    <row r="72" spans="1:43" x14ac:dyDescent="0.35">
      <c r="A72" s="67"/>
      <c r="C72" s="914"/>
      <c r="D72" s="914"/>
      <c r="E72"/>
      <c r="F72"/>
      <c r="G72"/>
      <c r="H72"/>
      <c r="I72" s="930" t="s">
        <v>127</v>
      </c>
      <c r="J72" s="1234">
        <v>0.7</v>
      </c>
      <c r="K72"/>
      <c r="L72" t="str">
        <f>"= Set gross loan wanted to "&amp;TEXT(J72*Property_Value,"£0,0")</f>
        <v>= Set gross loan wanted to £00</v>
      </c>
      <c r="M72"/>
      <c r="N72"/>
      <c r="O72"/>
      <c r="P72"/>
      <c r="Q72"/>
      <c r="R72"/>
      <c r="S72"/>
      <c r="T72"/>
      <c r="U72"/>
      <c r="V72" s="944"/>
      <c r="W72" s="944"/>
      <c r="X72" s="944"/>
      <c r="Y72"/>
      <c r="Z72" s="945"/>
      <c r="AA72"/>
      <c r="AB72"/>
      <c r="AC72"/>
      <c r="AD72"/>
      <c r="AE72"/>
      <c r="AF72"/>
      <c r="AG72"/>
      <c r="AH72" s="914"/>
      <c r="AI72" s="1312"/>
      <c r="AM72" s="67"/>
    </row>
    <row r="73" spans="1:43" ht="18.75" thickBot="1" x14ac:dyDescent="0.4">
      <c r="A73" s="67"/>
      <c r="C73" s="914"/>
      <c r="D73" s="914"/>
      <c r="E73"/>
      <c r="F73"/>
      <c r="G73"/>
      <c r="H73"/>
      <c r="I73" s="930"/>
      <c r="J73" s="1951"/>
      <c r="K73"/>
      <c r="L73"/>
      <c r="M73"/>
      <c r="N73"/>
      <c r="O73"/>
      <c r="P73"/>
      <c r="Q73"/>
      <c r="R73"/>
      <c r="S73"/>
      <c r="T73"/>
      <c r="U73"/>
      <c r="V73" s="944"/>
      <c r="W73" s="944"/>
      <c r="X73" s="944"/>
      <c r="Y73"/>
      <c r="Z73" s="945"/>
      <c r="AA73"/>
      <c r="AB73"/>
      <c r="AC73"/>
      <c r="AD73"/>
      <c r="AE73"/>
      <c r="AF73"/>
      <c r="AG73"/>
      <c r="AH73" s="914"/>
      <c r="AI73" s="1312"/>
      <c r="AM73" s="67"/>
    </row>
    <row r="74" spans="1:43" ht="5.25" customHeight="1" thickBot="1" x14ac:dyDescent="0.4">
      <c r="A74" s="67"/>
      <c r="B74" s="67"/>
      <c r="C74" s="3287" t="s">
        <v>379</v>
      </c>
      <c r="D74" s="3288"/>
      <c r="E74" s="3288"/>
      <c r="F74" s="3293"/>
      <c r="G74" s="3293"/>
      <c r="H74" s="3293"/>
      <c r="I74" s="3293"/>
      <c r="J74" s="3293"/>
      <c r="K74" s="3293"/>
      <c r="L74" s="3293"/>
      <c r="M74" s="3293"/>
      <c r="N74" s="2632"/>
      <c r="O74" s="2632"/>
      <c r="P74" s="2632"/>
      <c r="Q74" s="1949"/>
      <c r="R74" s="67"/>
      <c r="S74" s="67"/>
      <c r="T74" s="67"/>
      <c r="U74" s="67"/>
      <c r="V74" s="67"/>
      <c r="W74" s="67"/>
      <c r="X74" s="67"/>
      <c r="Y74" s="67"/>
      <c r="Z74" s="67"/>
      <c r="AA74" s="67"/>
      <c r="AB74" s="67"/>
      <c r="AC74" s="67"/>
      <c r="AD74" s="67"/>
      <c r="AE74" s="67"/>
      <c r="AF74" s="67"/>
      <c r="AG74" s="67"/>
    </row>
    <row r="75" spans="1:43" s="287" customFormat="1" ht="108.75" customHeight="1" thickBot="1" x14ac:dyDescent="0.4">
      <c r="A75" s="1946"/>
      <c r="B75" s="1946"/>
      <c r="C75" s="3289"/>
      <c r="D75" s="3290"/>
      <c r="E75" s="3290"/>
      <c r="F75" s="3247" t="str">
        <f>IF(V5="Tracker",AA30,IF(V5="2 Year Fixed",AA33,IF(V5="3 Year Fixed",AA36,IF(V5="5 Year Fixed",AA39,""))))</f>
        <v/>
      </c>
      <c r="G75" s="3248"/>
      <c r="H75" s="1948"/>
      <c r="I75" s="3247" t="str">
        <f>IF(V5="Tracker",AA29,IF(V5="2 Year Fixed",AA32,IF(V5="3 Year Fixed",AA35,IF(V5="5 Year Fixed",AA38,""))))</f>
        <v/>
      </c>
      <c r="J75" s="3248"/>
      <c r="K75" s="1948"/>
      <c r="L75" s="3247" t="str">
        <f>IF(V5="Tracker",AA28,IF(V5="2 Year Fixed",AA31,IF(V5="3 Year Fixed",AA34,IF(V5="5 Year Fixed",AA37,""))))</f>
        <v/>
      </c>
      <c r="M75" s="3248"/>
      <c r="N75" s="1948"/>
      <c r="O75" s="3247" t="str">
        <f>IFERROR(IF(V5="Tracker",AA40,IF(V5="2 Year Fixed",AA41,IF(V5="3 Year Fixed",AA42,IF(V5="5 Year Fixed",AA43,"")))),"")</f>
        <v/>
      </c>
      <c r="P75" s="3248"/>
      <c r="Q75" s="1948"/>
      <c r="R75" s="3297"/>
      <c r="S75" s="3298"/>
      <c r="T75" s="3298"/>
      <c r="U75" s="3298"/>
      <c r="V75" s="1946"/>
      <c r="W75" s="1946"/>
      <c r="X75" s="1946"/>
      <c r="Y75" s="1946"/>
      <c r="Z75" s="1946"/>
      <c r="AA75" s="1946"/>
      <c r="AB75" s="1946"/>
      <c r="AC75" s="1946"/>
      <c r="AD75" s="1946"/>
      <c r="AE75" s="1946"/>
      <c r="AF75" s="1946"/>
      <c r="AG75" s="1946"/>
      <c r="AH75" s="1946"/>
      <c r="AI75" s="1946"/>
      <c r="AJ75" s="1946"/>
      <c r="AK75" s="1946"/>
      <c r="AL75" s="1946"/>
      <c r="AM75" s="1946"/>
      <c r="AN75" s="1946"/>
      <c r="AO75" s="1946"/>
    </row>
    <row r="76" spans="1:43" ht="5.25" customHeight="1" thickBot="1" x14ac:dyDescent="0.5">
      <c r="A76" s="66"/>
      <c r="B76" s="66"/>
      <c r="C76" s="3291"/>
      <c r="D76" s="3292"/>
      <c r="E76" s="3292"/>
      <c r="F76" s="3245"/>
      <c r="G76" s="3245"/>
      <c r="H76" s="3245"/>
      <c r="I76" s="3245"/>
      <c r="J76" s="3245"/>
      <c r="K76" s="3245"/>
      <c r="L76" s="3245"/>
      <c r="M76" s="3245"/>
      <c r="N76" s="2634"/>
      <c r="O76" s="2634"/>
      <c r="P76" s="2634"/>
      <c r="Q76" s="1950"/>
      <c r="R76" s="66"/>
      <c r="S76" s="66"/>
      <c r="T76" s="66"/>
      <c r="U76" s="1818"/>
      <c r="V76" s="1818"/>
      <c r="W76" s="1818"/>
      <c r="X76" s="66"/>
      <c r="Y76" s="66"/>
      <c r="Z76" s="66"/>
      <c r="AA76" s="1879"/>
      <c r="AB76" s="66"/>
      <c r="AC76" s="66"/>
      <c r="AD76" s="66"/>
      <c r="AE76" s="66"/>
      <c r="AF76" s="66"/>
      <c r="AG76" s="66"/>
      <c r="AH76" s="66"/>
      <c r="AI76" s="66"/>
      <c r="AJ76" s="66"/>
      <c r="AK76" s="3381" t="s">
        <v>380</v>
      </c>
      <c r="AL76" s="3381"/>
      <c r="AM76" s="3381"/>
      <c r="AN76" s="3381"/>
      <c r="AO76" s="3381"/>
    </row>
    <row r="77" spans="1:43" s="541" customFormat="1" ht="22.5" customHeight="1" x14ac:dyDescent="0.45">
      <c r="A77" s="1028"/>
      <c r="B77" s="1529"/>
      <c r="C77" s="1899"/>
      <c r="D77" s="1900"/>
      <c r="E77" s="1901"/>
      <c r="F77" s="1902"/>
      <c r="G77" s="1903"/>
      <c r="H77" s="1903"/>
      <c r="I77" s="1904" t="str">
        <f xml:space="preserve"> G60 &amp; " Calculator"</f>
        <v>Basic Loan Calculator</v>
      </c>
      <c r="J77" s="1902" t="str">
        <f>IF($H$29=Product_Selected, "Tier "&amp; $H$29, "Tier "&amp; Product_Selected)</f>
        <v>Tier 1) Standard</v>
      </c>
      <c r="K77" s="1905"/>
      <c r="L77" s="1906"/>
      <c r="M77" s="1907"/>
      <c r="N77" s="1907"/>
      <c r="O77" s="1907"/>
      <c r="P77" s="1907"/>
      <c r="Q77" s="2471" t="e">
        <f>IF(AND(V3="Commercial",F89&gt;=2000000),1,IF(AND(V3="Semi-Commercial",F89&gt;=2000000),1,IF(AND(V3="Residential BTL",F89&gt;=3000000),1,IF(AND(V3="Commercial",I89&gt;=2000000),1,IF(AND(V3="Semi-Commercial",I89&gt;=2000000),1,IF(AND(V3="Residential BTL",I89&gt;=3000000),1,IF(AND(V3="Commercial",L89&gt;=2000000),1,IF(AND(V3="Semi-Commercial",L89&gt;=2000000),1,IF(AND(V3="Residential BTL",L89&gt;=3000000),1,0)))))))))</f>
        <v>#N/A</v>
      </c>
      <c r="R77" s="3281" t="s">
        <v>3647</v>
      </c>
      <c r="S77" s="3281"/>
      <c r="T77" s="3281"/>
      <c r="U77" s="1732"/>
      <c r="V77" s="1732"/>
      <c r="W77" s="1732"/>
      <c r="X77" s="1732"/>
      <c r="Y77" s="1879"/>
      <c r="Z77" s="1879"/>
      <c r="AB77" s="1879"/>
      <c r="AC77" s="1879"/>
      <c r="AD77" s="1879"/>
      <c r="AE77" s="1879"/>
      <c r="AF77" s="1879"/>
      <c r="AG77" s="1106"/>
      <c r="AH77" s="1106"/>
      <c r="AI77" s="1732"/>
      <c r="AJ77" s="1732"/>
      <c r="AK77" s="3381"/>
      <c r="AL77" s="3381"/>
      <c r="AM77" s="3381"/>
      <c r="AN77" s="3381"/>
      <c r="AO77" s="3381"/>
    </row>
    <row r="78" spans="1:43" s="541" customFormat="1" ht="22.5" customHeight="1" x14ac:dyDescent="0.45">
      <c r="A78" s="1581"/>
      <c r="B78" s="1529"/>
      <c r="C78" s="1899"/>
      <c r="D78" s="1900"/>
      <c r="E78" s="1901"/>
      <c r="F78" s="2171"/>
      <c r="G78" s="1903"/>
      <c r="H78" s="1903"/>
      <c r="I78" s="2171"/>
      <c r="J78" s="1902"/>
      <c r="K78" s="1905"/>
      <c r="L78" s="1906"/>
      <c r="M78" s="1907"/>
      <c r="N78" s="1907"/>
      <c r="O78" s="1907"/>
      <c r="P78" s="1907"/>
      <c r="Q78" s="1689"/>
      <c r="R78" s="3281"/>
      <c r="S78" s="3281"/>
      <c r="T78" s="3281"/>
      <c r="U78" s="1732"/>
      <c r="V78" s="1732"/>
      <c r="W78" s="1732"/>
      <c r="X78" s="1732"/>
      <c r="Y78" s="1879"/>
      <c r="Z78" s="1879"/>
      <c r="AB78" s="1879"/>
      <c r="AC78" s="1879"/>
      <c r="AD78" s="1879"/>
      <c r="AE78" s="1879"/>
      <c r="AF78" s="1879"/>
      <c r="AG78" s="1106"/>
      <c r="AH78" s="1106"/>
      <c r="AI78" s="1732"/>
      <c r="AJ78" s="1732"/>
      <c r="AK78" s="3381"/>
      <c r="AL78" s="3381"/>
      <c r="AM78" s="3381"/>
      <c r="AN78" s="3381"/>
      <c r="AO78" s="3381"/>
    </row>
    <row r="79" spans="1:43" s="541" customFormat="1" ht="39.75" customHeight="1" thickBot="1" x14ac:dyDescent="0.5">
      <c r="A79" s="1581"/>
      <c r="B79" s="1529"/>
      <c r="C79" s="2261" t="str">
        <f>IF(V3="Residential BTL","","Top Slicing only as an exception")</f>
        <v>Top Slicing only as an exception</v>
      </c>
      <c r="D79" s="1900"/>
      <c r="E79" s="1901"/>
      <c r="F79" s="3246" t="str">
        <f>IF(F80&gt;(Monthly_Rent*20%),"REDUCE TOP SLICE - MAX 20% ("&amp;TEXT(Monthly_Rent*20%,"£0,0")&amp;") OF MONTH RENT ("&amp;TEXT(Monthly_Rent,"£0,0")&amp;")","")</f>
        <v/>
      </c>
      <c r="G79" s="3246"/>
      <c r="H79" s="1903"/>
      <c r="I79" s="3246" t="str">
        <f>IF(I80&gt;(Monthly_Rent*20%),"REDUCE TOP SLICE - MAX 20% ("&amp;TEXT(Monthly_Rent*20%,"£0,0")&amp;") OF MONTH RENT ("&amp;TEXT(Monthly_Rent,"£0,0")&amp;")","")</f>
        <v/>
      </c>
      <c r="J79" s="3246"/>
      <c r="K79" s="1905"/>
      <c r="L79" s="3246" t="str">
        <f>IF(L80&gt;(Monthly_Rent*20%),"REDUCE TOP SLICE - MAX 20% ("&amp;TEXT(Monthly_Rent*20%,"£0,0")&amp;") OF MONTH RENT ("&amp;TEXT(Monthly_Rent,"£0,0")&amp;")","")</f>
        <v/>
      </c>
      <c r="M79" s="3246"/>
      <c r="N79" s="2639"/>
      <c r="O79" s="3246" t="str">
        <f>IF(O80&gt;(Monthly_Rent*20%),"REDUCE TOP SLICE - MAX 20% ("&amp;TEXT(Monthly_Rent*20%,"£0,0")&amp;") OF MONTH RENT ("&amp;TEXT(Monthly_Rent,"£0,0")&amp;")","")</f>
        <v/>
      </c>
      <c r="P79" s="3246"/>
      <c r="Q79" s="1689"/>
      <c r="R79" s="2512"/>
      <c r="S79" s="2512"/>
      <c r="T79" s="2512"/>
      <c r="U79" s="1732"/>
      <c r="V79" s="2445" t="s">
        <v>382</v>
      </c>
      <c r="W79" s="1732"/>
      <c r="X79" s="1732"/>
      <c r="Y79" s="1879"/>
      <c r="Z79" s="1879"/>
      <c r="AA79" s="1879"/>
      <c r="AB79" s="1879"/>
      <c r="AC79" s="1879"/>
      <c r="AD79" s="1879"/>
      <c r="AE79" s="1879"/>
      <c r="AF79" s="1879"/>
      <c r="AG79" s="1106"/>
      <c r="AH79" s="1106"/>
      <c r="AI79" s="1732"/>
      <c r="AJ79" s="1732"/>
      <c r="AK79" s="3381"/>
      <c r="AL79" s="3381"/>
      <c r="AM79" s="3381"/>
      <c r="AN79" s="3381"/>
      <c r="AO79" s="3381"/>
    </row>
    <row r="80" spans="1:43" ht="26.25" customHeight="1" thickBot="1" x14ac:dyDescent="0.4">
      <c r="A80"/>
      <c r="B80" s="1"/>
      <c r="C80" s="1909" t="s">
        <v>383</v>
      </c>
      <c r="D80" s="1910"/>
      <c r="E80" s="1911"/>
      <c r="F80" s="3390"/>
      <c r="G80" s="3391"/>
      <c r="H80" s="1910"/>
      <c r="I80" s="3390"/>
      <c r="J80" s="3391"/>
      <c r="K80" s="1910"/>
      <c r="L80" s="3390"/>
      <c r="M80" s="3391"/>
      <c r="N80" s="1910"/>
      <c r="O80" s="3390"/>
      <c r="P80" s="3391"/>
      <c r="Q80" s="1113"/>
      <c r="R80" s="3249"/>
      <c r="S80" s="3249"/>
      <c r="T80" s="3509"/>
      <c r="U80" s="3296" t="s">
        <v>381</v>
      </c>
      <c r="V80" s="1819"/>
      <c r="Y80" s="1880"/>
      <c r="Z80" s="1769"/>
      <c r="AA80" s="1770"/>
      <c r="AC80" s="1881"/>
      <c r="AD80" s="1771"/>
      <c r="AE80" s="1771"/>
      <c r="AF80" s="1771"/>
      <c r="AG80" s="1039"/>
      <c r="AH80" s="1043"/>
      <c r="AK80" s="3382"/>
      <c r="AL80" s="3382"/>
      <c r="AM80" s="3382"/>
      <c r="AN80" s="3382"/>
      <c r="AO80" s="3382"/>
    </row>
    <row r="81" spans="1:46" ht="26.25" customHeight="1" thickBot="1" x14ac:dyDescent="0.4">
      <c r="A81"/>
      <c r="B81" s="1"/>
      <c r="C81" s="1909" t="s">
        <v>131</v>
      </c>
      <c r="D81" s="3393"/>
      <c r="E81" s="3394"/>
      <c r="F81" s="2472"/>
      <c r="G81" s="2473"/>
      <c r="H81" s="1913"/>
      <c r="I81" s="2472"/>
      <c r="J81" s="2473"/>
      <c r="K81" s="1912"/>
      <c r="L81" s="2472"/>
      <c r="M81" s="2473"/>
      <c r="N81" s="1912"/>
      <c r="O81" s="2472"/>
      <c r="P81" s="2473"/>
      <c r="Q81" s="2736"/>
      <c r="R81" s="2737">
        <v>6</v>
      </c>
      <c r="S81" s="2738"/>
      <c r="T81" s="3509"/>
      <c r="U81" s="3296"/>
      <c r="V81" s="1819"/>
      <c r="W81" s="1880"/>
      <c r="X81" s="2390"/>
      <c r="Y81" s="2390"/>
      <c r="Z81" s="2390"/>
      <c r="AA81" s="2390"/>
      <c r="AB81" s="2390"/>
      <c r="AC81" s="2390"/>
      <c r="AD81" s="2390"/>
      <c r="AG81" s="1712"/>
      <c r="AH81" s="1043"/>
      <c r="AI81" s="3347" t="s">
        <v>384</v>
      </c>
      <c r="AJ81" s="3348"/>
      <c r="AK81" s="3348"/>
      <c r="AL81" s="3368" t="s">
        <v>621</v>
      </c>
      <c r="AM81" s="3369"/>
      <c r="AN81" s="3369"/>
      <c r="AO81" s="3370"/>
      <c r="AQ81" s="3358"/>
      <c r="AR81" s="3358"/>
      <c r="AS81" s="3358"/>
    </row>
    <row r="82" spans="1:46" ht="26.25" customHeight="1" x14ac:dyDescent="0.35">
      <c r="A82"/>
      <c r="B82" s="1"/>
      <c r="C82" s="3395" t="b">
        <f>IF(OR(V3="Residential BTL",V3="Retention "),IF(Roll6&gt;9,"Max Roll for Residentials is 9 Months, Please reduce.",IF(Roll4&gt;9,"Max Roll for Residentials is 9 Months, Please reduce.",IF(Roll2&gt;9,"Max Roll for Residentials is 9 Months, Please reduce.",IF(Roll3&gt;9,"Max Roll for Residentials is 9 Months, Please reduce.","")))),IF(V3="Semi-Commercial",IF(Roll6&gt;6,"Max Roll for Semi-Commercial is 6 Months, Please reduce.",IF(Roll4&gt;6,"Max Roll for Semi-Commercial is 6 Months, Please reduce.",IF(Roll2&gt;6,"Max Roll for Semi-Commercial is 6 Months, Please reduce.",""))),IF(V3="Commercial",IF(Roll6&gt;6,"Max Roll for Commercial is 6 Months, Please reduce.",IF(Roll4&gt;6,"Max Roll for Commercial is 6 Months, Please reduce.",IF(Roll2&gt;6,"Max Roll for Commercial is 6 Months, Please reduce.",""))))))</f>
        <v>0</v>
      </c>
      <c r="D82" s="3395"/>
      <c r="E82" s="3395"/>
      <c r="F82" s="3395"/>
      <c r="G82" s="3395"/>
      <c r="H82" s="2625"/>
      <c r="I82" s="3399" t="str">
        <f>IF(OR(V5="",V2="core"),"",IF(V5="Choose Rate Type","",IF(AND(V5="3 Year Fixed",OR(V3="Residential BTL",V3="Retention ")),IF(Defer6&gt;0.0125,"MAX DEFER FOR 3 YR FIXED IS 1.25% - please reduce",IF(Defer4&gt;0.0125,"MAX DEFER FOR 3 YR FIXED IS 1.25% - please reduce",IF(Defer2&gt;0.0125,"MAX DEFER FOR 3 YR FIXED IS 1.25% - please reduce",IF(Defer3&gt;0.0125,"MAX DEFER FOR 3 YR FIXED IS 1.25% - please reduce","")))),IF(AND(V5="5 Year Fixed",OR(V3="Residential BTL",V3="Retention ")),IF(Defer6&gt;0.0125,"MAX DEFER FOR 5 YR FIXED IS 1.25% - please reduce",IF(Defer4&gt;0.0125,"MAX DEFER FOR 5 YR FIXED IS 1.25% - please reduce",IF(Defer2&gt;0.0125,"MAX DEFER FOR 5 YR FIXED IS 1.25% - please reduce",""))),IF(AND(V5="2 Year Fixed",OR(V3="Residential BTL",V3="Retention ")),IF(Defer6&gt;0.0125,"MAX DEFER FOR 2 YR FIXED IS 1.25% - please reduce",IF(Defer4&gt;0.0125,"MAX DEFER FOR 2 YR FIXED IS 1.25% - please reduce",IF(Defer2&gt;0.0125,"MAX DEFER FOR 2 YR FIXED IS 1.25% - please reduce",IF(Defer3&gt;0.0125,"MAX DEFER FOR 2 YR FIXED IS 1.25% - please reduce","")))),IF(AND(V5="Tracker",OR(V3="Residential BTL",V3="Retention ")),IF(Defer6&gt;0.02,"MAX DEFER FOR TRACKER IS 2% - please reduce",IF(Defer4&gt;0.02,"MAX DEFER FOR TRACKER IS 2% - please reduce",IF(Defer2&gt;0.02,"MAX DEFER FOR TRACKER IS 2% - please reduce",IF(Defer3&gt;0.02,"MAX DEFER FOR TRACKER IS 2% - please reduce","")))),
IF(AND(V5="3 Year Fixed",V3="Commercial"),IF(Defer6&gt;0.0125,"MAX DEFER FOR 3 YR FIXED IS 1.25% - please reduce",IF(Defer4&gt;0.0125,"MAX DEFER FOR 3 YR FIXED IS 1.25% - please reduce",IF(Defer2&gt;0.0125,"MAX DEFER FOR 3 YR FIXED IS 1.25% - please reduce",""))),IF(AND(V5="2 Year Fixed",V3="Commercial"),IF(Defer6&gt;0.0125,"MAX DEFER FOR 2 YR FIXED IS 1.25% - please reduce",IF(Defer4&gt;0.0125,"MAX DEFER FOR 2 YR FIXED IS 1.25% - please reduce",IF(Defer2&gt;0.0125,"MAX DEFER FOR 2 YR FIXED IS 1.25% - please reduce",""))),IF(AND(V5="Tracker",V3="Commercial"),IF(Defer6&gt;0.015,"MAX DEFER FOR TRACKER IS 1.5% - please reduce",IF(Defer4&gt;0.015,"MAX DEFER FOR TRACKER IS 1.5% - please reduce",IF(Defer2&gt;0.015,"MAX DEFER FOR TRACKER IS 1.5% - please reduce",""))),
IF(AND(V5="3 Year Fixed",V3="Semi-Commercial"),IF(Defer6&gt;0.0125,"MAX DEFER FOR 3 YR FIXED IS 1.25% - please reduce",IF(Defer4&gt;0.0125,"MAX DEFER FOR 3 YR FIXED IS 1.25% - please reduce",IF(Defer2&gt;0.0125,"MAX DEFER FOR 3 YR FIXED IS 1.25% - please reduce",""))),IF(AND(V5="2 Year Fixed",V3="Semi-Commercial"),IF(Defer6&gt;0.0125,"MAX DEFER FOR 2 YR FIXED IS 1.25% - please reduce",IF(Defer4&gt;0.0125,"MAX DEFER FOR 2 YR FIXED IS 1.25% - please reduce",IF(Defer2&gt;0.0125,"MAX DEFER FOR 2 YR FIXED IS 1.25% - please reduce",""))),IF(AND(V5="Tracker",V3="Semi-Commercial"),IF(Defer6&gt;0.015,"MAX DEFER FOR TRACKER IS 1.5% - please reduce",IF(Defer4&gt;0.015,"MAX DEFER FOR TRACKER IS 1.5% - please reduce",IF(Defer2&gt;0.015,"MAX DEFER FOR TRACKER IS 1.5% - please reduce","")))))))))))))))</f>
        <v/>
      </c>
      <c r="J82" s="3399"/>
      <c r="K82" s="3399"/>
      <c r="L82" s="3399"/>
      <c r="M82" s="3399"/>
      <c r="N82" s="2435"/>
      <c r="O82" s="2435"/>
      <c r="P82" s="2435"/>
      <c r="Q82" s="2626"/>
      <c r="R82" s="2739"/>
      <c r="S82" s="2739"/>
      <c r="T82" s="2470"/>
      <c r="U82" s="1"/>
      <c r="V82" s="1819"/>
      <c r="W82" s="1880"/>
      <c r="X82" s="2390"/>
      <c r="Y82" s="2390"/>
      <c r="Z82" s="2390"/>
      <c r="AA82" s="2390"/>
      <c r="AB82" s="2390"/>
      <c r="AC82" s="2390"/>
      <c r="AD82" s="2390"/>
      <c r="AG82" s="1712"/>
      <c r="AH82" s="1043"/>
      <c r="AI82" s="3349"/>
      <c r="AJ82" s="3350"/>
      <c r="AK82" s="3350"/>
      <c r="AL82" s="3371"/>
      <c r="AM82" s="3372"/>
      <c r="AN82" s="3372"/>
      <c r="AO82" s="3373"/>
      <c r="AQ82" s="3358"/>
      <c r="AR82" s="3358"/>
      <c r="AS82" s="3358"/>
    </row>
    <row r="83" spans="1:46" ht="21.75" customHeight="1" thickBot="1" x14ac:dyDescent="0.4">
      <c r="A83"/>
      <c r="B83" s="1"/>
      <c r="C83" s="1616" t="s">
        <v>386</v>
      </c>
      <c r="D83" s="1616"/>
      <c r="E83" s="1616"/>
      <c r="F83" s="3286">
        <v>350000</v>
      </c>
      <c r="G83" s="3286"/>
      <c r="H83" s="1616"/>
      <c r="I83" s="3286">
        <v>350000</v>
      </c>
      <c r="J83" s="3286"/>
      <c r="K83" s="1616"/>
      <c r="L83" s="3286">
        <v>350000</v>
      </c>
      <c r="M83" s="3286"/>
      <c r="N83" s="1616"/>
      <c r="O83" s="3286">
        <v>350000</v>
      </c>
      <c r="P83" s="3286"/>
      <c r="Q83" s="2626"/>
      <c r="R83" s="290"/>
      <c r="S83" s="2739"/>
      <c r="T83" s="2470"/>
      <c r="U83" s="1"/>
      <c r="V83" s="1819"/>
      <c r="W83" s="2413"/>
      <c r="X83" s="3355">
        <f>V3</f>
        <v>0</v>
      </c>
      <c r="Y83" s="3355"/>
      <c r="Z83" s="2406" t="s">
        <v>136</v>
      </c>
      <c r="AC83" s="2407"/>
      <c r="AD83" s="2560"/>
      <c r="AG83" s="1713"/>
      <c r="AH83" s="1189"/>
      <c r="AI83" s="3349"/>
      <c r="AJ83" s="3350"/>
      <c r="AK83" s="3350"/>
      <c r="AL83" s="3371"/>
      <c r="AM83" s="3372"/>
      <c r="AN83" s="3372"/>
      <c r="AO83" s="3373"/>
      <c r="AQ83" s="3358"/>
      <c r="AR83" s="3358"/>
      <c r="AS83" s="3358"/>
    </row>
    <row r="84" spans="1:46" ht="69" customHeight="1" thickBot="1" x14ac:dyDescent="0.4">
      <c r="A84"/>
      <c r="B84" s="1709"/>
      <c r="C84" s="3283"/>
      <c r="D84" s="3283"/>
      <c r="E84" s="2627"/>
      <c r="F84" s="3272" t="str">
        <f>IF(Specific_Loan=FALSE,"",IF(F83="","",IF(F83&lt;'Product Data'!P15,"Loan size too small, please use a higher amount",IF(OR(F83&gt;'Product Data'!P16,F83&gt;'Product Data'!P16)," ",IF(F83&gt;Property_Value,"Loan Size bigger than property value, please reduce",IF(F83&gt;'KB_CRITERIA AND CALCULATION '!N126,"Loan size above max LTV for property, please reduce","")))))&amp;IF(G60='KB_CRITERIA AND CALCULATION '!C89,IF(F83&gt;'KB_CRITERIA AND CALCULATION '!F71,"Max Net Loan achieved on this product, for higher loan size refer to Fusion",IF(F83&gt;AK197,Z67,"")),"")&amp;IF(G60='KB_CRITERIA AND CALCULATION '!C88,IF(F83&gt;'KB_CRITERIA AND CALCULATION '!E70,"Max Gross Loan achieved on this product, for higher loan size refer to Fusion",""),""))</f>
        <v/>
      </c>
      <c r="G84" s="3272"/>
      <c r="H84" s="2628"/>
      <c r="I84" s="3272" t="str">
        <f>IF(Specific_Loan=FALSE,"",IF(I83="","",IF(I83&lt;'Product Data'!P15,"Loan size too small, please use a higher amount",IF(OR(I83&gt;'Product Data'!P16,I83&gt;'Product Data'!P16)," ",IF(I83&gt;Property_Value,"Loan Size bigger than property value, please reduce",IF(I83&gt;'KB_CRITERIA AND CALCULATION '!N108,"Loan size above max LTV for property, please reduce","")))))&amp;IF(G60='KB_CRITERIA AND CALCULATION '!C89,IF(I83&gt;'KB_CRITERIA AND CALCULATION '!E71,"Max Net Loan achieved on this product, for higher loan size refer to Fusion",IF(I83&gt;AK197,Z67,"")),"")&amp;IF(G60='KB_CRITERIA AND CALCULATION '!C88,IF(I83&gt;'KB_CRITERIA AND CALCULATION '!E70,"Max Gross Loan achieved on this product, for higher loan size refer to Fusion",""),""))</f>
        <v/>
      </c>
      <c r="J84" s="3272"/>
      <c r="K84" s="2629"/>
      <c r="L84" s="3272" t="str">
        <f>IF(Specific_Loan=FALSE,"",IF(L83="","",IF(L83&lt;'Product Data'!P15,"Loan size too small, please use a higher amount",IF(OR(L83&gt;'Product Data'!P16,L83&gt;'Product Data'!P16)," ",IF(L83&gt;Property_Value,"Loan Size bigger than property value, please reduce",IF(L83&gt;'KB_CRITERIA AND CALCULATION '!N90,"Loan size above max LTV for property, please reduce","")))))&amp;IF(G60='KB_CRITERIA AND CALCULATION '!C89,IF(L83&gt;MaxNetLoan,"Max Net Loan achieved on this product, for higher loan size refer to Fusion",IF(L83&gt;AK197,Z67,"")),"")&amp;IF(G60='KB_CRITERIA AND CALCULATION '!C88,IF(L83&gt;MaxGrossLoan,"Max Gross Loan achieved on this product, for higher loan size refer to Fusion",""),""))</f>
        <v/>
      </c>
      <c r="M84" s="3272"/>
      <c r="N84" s="2640"/>
      <c r="O84" s="3272" t="str">
        <f>IF(Specific_Loan=FALSE,"",IF(O83="","",IF(O83&lt;'Product Data'!P15,"Loan size too small, please use a higher amount",IF(OR(O83&gt;'Product Data'!P16,O83&gt;'Product Data'!P16)," ",IF(O83&gt;Property_Value,"Loan Size bigger than property value, please reduce",IF(O83&gt;'KB_CRITERIA AND CALCULATION '!N144,"Loan size above max LTV for property, please reduce","")))))&amp;IF(G60='KB_CRITERIA AND CALCULATION '!C89,IF(O83&gt;'KB_CRITERIA AND CALCULATION '!G71,"Max Net Loan achieved on this product, for higher loan size refer to Fusion",IF(O83&gt;AK197,Z67,"")),"")&amp;IF(G60='KB_CRITERIA AND CALCULATION '!C88,IF(O83&gt;'KB_CRITERIA AND CALCULATION '!E70,"Max Gross Loan achieved on this product, for higher loan size refer to Fusion",""),""))</f>
        <v/>
      </c>
      <c r="P84" s="3272"/>
      <c r="Q84" s="2626"/>
      <c r="R84" s="3396" t="s">
        <v>3718</v>
      </c>
      <c r="S84" s="3396"/>
      <c r="U84" s="1"/>
      <c r="V84" s="1819"/>
      <c r="W84" s="2414"/>
      <c r="X84" s="2405" t="str">
        <f>$H$8</f>
        <v>xxxxxxx</v>
      </c>
      <c r="Y84" s="2405"/>
      <c r="Z84" s="2433" t="str">
        <f>$H$10</f>
        <v>xxxxxxx</v>
      </c>
      <c r="AA84" s="2433"/>
      <c r="AB84" s="2408" t="str">
        <f xml:space="preserve"> "Ref. "&amp;TEXT($H$7,"00")</f>
        <v>Ref. xxxxxxx</v>
      </c>
      <c r="AC84" s="2409"/>
      <c r="AD84" s="2409"/>
      <c r="AG84" s="1692"/>
      <c r="AH84" s="1693"/>
      <c r="AI84" s="1803"/>
      <c r="AJ84" s="1804"/>
      <c r="AK84" s="2450" t="s">
        <v>387</v>
      </c>
      <c r="AL84" s="1803"/>
      <c r="AM84" s="1918"/>
      <c r="AN84" s="1804"/>
      <c r="AO84" s="1805"/>
    </row>
    <row r="85" spans="1:46" ht="20.100000000000001" customHeight="1" thickBot="1" x14ac:dyDescent="0.4">
      <c r="A85"/>
      <c r="B85" s="1709"/>
      <c r="C85" s="1709"/>
      <c r="D85" s="1"/>
      <c r="E85" s="1592"/>
      <c r="F85" s="3279" t="str">
        <f>+IF(V3="Retention ", "5.5% fee range"," 6% fee range")</f>
        <v xml:space="preserve"> 6% fee range</v>
      </c>
      <c r="G85" s="3280"/>
      <c r="H85" s="1593"/>
      <c r="I85" s="3336" t="str">
        <f>+IF(V3="Retention ", "3.5% fee range"," 4% fee range")</f>
        <v xml:space="preserve"> 4% fee range</v>
      </c>
      <c r="J85" s="3337"/>
      <c r="K85" s="1588"/>
      <c r="L85" s="3284" t="str">
        <f>+IF(V3="Retention ", "1.5% fee range"," 2% fee range")</f>
        <v xml:space="preserve"> 2% fee range</v>
      </c>
      <c r="M85" s="3285"/>
      <c r="N85" s="2654"/>
      <c r="O85" s="3507" t="str">
        <f>+IF(V3="Retention ", "2.5% fee range"," 3% fee range")&amp;" "&amp;"(SE)"</f>
        <v xml:space="preserve"> 3% fee range (SE)</v>
      </c>
      <c r="P85" s="3508"/>
      <c r="R85" s="3275" t="s">
        <v>3693</v>
      </c>
      <c r="S85" s="3275"/>
      <c r="T85" s="3252" t="s">
        <v>3697</v>
      </c>
      <c r="U85" s="3252"/>
      <c r="V85" s="1819"/>
      <c r="W85" s="2414"/>
      <c r="X85" s="3244" t="str">
        <f>" Property value "&amp; TEXT(Property_Value,"£#,#")&amp;" "&amp;"  Monthly rent "&amp; IF(OR(V3="Residential BTL", V3="Retention "), TEXT(IF(OR(V8="Annual",V8="Weekly"),V10,V9),"£#,#"),TEXT(V13,"£#,#"))</f>
        <v xml:space="preserve"> Property value £   Monthly rent £</v>
      </c>
      <c r="Y85" s="3244"/>
      <c r="Z85" s="3244"/>
      <c r="AA85" s="3244"/>
      <c r="AB85" s="3244"/>
      <c r="AC85" s="3244"/>
      <c r="AD85" s="2679"/>
      <c r="AE85" s="2679"/>
      <c r="AG85" s="1694"/>
      <c r="AH85" s="1695"/>
      <c r="AI85" s="1806"/>
      <c r="AK85" s="2451" t="s">
        <v>388</v>
      </c>
      <c r="AL85" s="2457">
        <f>VLOOKUP($AL$81,'Product Data'!$AX$5:$BA$9,2,0)</f>
        <v>0</v>
      </c>
      <c r="AM85" s="1919"/>
      <c r="AN85" s="2455" t="s">
        <v>389</v>
      </c>
      <c r="AO85" s="2464" t="str">
        <f>TEXT('Product Data'!E3,"0.00%")</f>
        <v>4.00%</v>
      </c>
    </row>
    <row r="86" spans="1:46" ht="21" x14ac:dyDescent="0.35">
      <c r="A86"/>
      <c r="B86" s="1709"/>
      <c r="C86" s="1835" t="s">
        <v>140</v>
      </c>
      <c r="D86" s="1"/>
      <c r="F86" s="1896" t="e">
        <f>'KB_CRITERIA AND CALCULATION '!H126</f>
        <v>#N/A</v>
      </c>
      <c r="G86" s="1895" t="str">
        <f>IF(Rate_Type="Tracker",TEXT(F86-BBR,"0.00%")&amp;"+ BBR","")</f>
        <v/>
      </c>
      <c r="H86" s="1200"/>
      <c r="I86" s="1896" t="e">
        <f>'KB_CRITERIA AND CALCULATION '!H108</f>
        <v>#N/A</v>
      </c>
      <c r="J86" s="1895" t="str">
        <f>IF(Rate_Type="Tracker",TEXT(I86-BBR,"0.00%")&amp;"+ BBR","")</f>
        <v/>
      </c>
      <c r="K86" s="1200"/>
      <c r="L86" s="1896" t="e">
        <f>[0]!Tier_Standard_rate</f>
        <v>#N/A</v>
      </c>
      <c r="M86" s="1895" t="str">
        <f>IF(Rate_Type="Tracker",TEXT([0]!Tier_Standard_rate-BBR,"0.00%")&amp;"+ BBR","")</f>
        <v/>
      </c>
      <c r="N86" s="2641"/>
      <c r="O86" s="1896" t="e">
        <f>'KB_CRITERIA AND CALCULATION '!H144</f>
        <v>#N/A</v>
      </c>
      <c r="P86" s="1895" t="str">
        <f>IF(Rate_Type="Tracker",TEXT(O86-BBR,"0.00%")&amp;"+ BBR","")</f>
        <v/>
      </c>
      <c r="R86" s="2740">
        <f>IF(AND(V3="Residential BTL",'Fusion Calc'!M5&gt;3000000,'Fusion Calc'!M9&lt;3000000),'Fusion Calc'!C5,IF(AND(V3&lt;&gt;"Residential BTL",'Fusion Calc'!M6&gt;3000000,'Fusion Calc'!M10&lt;3000000),'Fusion Calc'!C6,IF(AND($V$3="Residential BTL",'Fusion Calc'!M5&lt;=3000000),'Fusion Calc'!C5,IF(AND($V$3&lt;&gt;"Residential BTL",'Fusion Calc'!M6&lt;=3000000),'Fusion Calc'!C6,IF(AND($V$3="Residential BTL",'Fusion Calc'!M9&gt;3000000),'Fusion Calc'!C9,IF(AND($V$3&lt;&gt;"Residential BTL",'Fusion Calc'!M10&gt;3000000),'Fusion Calc'!C10,1))))))</f>
        <v>9.290000000000001E-2</v>
      </c>
      <c r="S86" s="1866"/>
      <c r="T86" s="2564" t="s">
        <v>3695</v>
      </c>
      <c r="U86" s="1"/>
      <c r="V86" s="1819"/>
      <c r="W86" s="2414"/>
      <c r="X86" s="2374"/>
      <c r="Y86" s="2374"/>
      <c r="Z86" s="2375"/>
      <c r="AA86" s="2375"/>
      <c r="AB86" s="2375"/>
      <c r="AC86" s="2375"/>
      <c r="AD86" s="2375"/>
      <c r="AE86" s="1804"/>
      <c r="AG86" s="1714"/>
      <c r="AH86" s="1693"/>
      <c r="AI86" s="1806"/>
      <c r="AK86" s="2451" t="s">
        <v>390</v>
      </c>
      <c r="AL86" s="2457">
        <f>$AL$85-AL93</f>
        <v>0</v>
      </c>
      <c r="AM86" s="1920"/>
      <c r="AN86" s="2456" t="s">
        <v>391</v>
      </c>
      <c r="AO86" s="2464" t="str">
        <f>IF(V5="Tracker",IF(AL81="Core
 2% Fee",TEXT('Product Data'!K2,"0.00%"),TEXT('Product Data'!K3,"0.00%")),"")</f>
        <v/>
      </c>
    </row>
    <row r="87" spans="1:46" ht="20.100000000000001" customHeight="1" thickBot="1" x14ac:dyDescent="0.4">
      <c r="A87" s="862"/>
      <c r="B87" s="1709"/>
      <c r="C87" s="1836" t="s">
        <v>145</v>
      </c>
      <c r="D87" s="1"/>
      <c r="F87" s="1897" t="e">
        <f>'KB_CRITERIA AND CALCULATION '!L126</f>
        <v>#N/A</v>
      </c>
      <c r="G87" s="1894" t="str">
        <f>IF(Rate_Type="Tracker",TEXT('KB_CRITERIA AND CALCULATION '!L126 - BBR,"0.00%")&amp;"+ BBR","")</f>
        <v/>
      </c>
      <c r="H87" s="1201"/>
      <c r="I87" s="1897" t="e">
        <f>'KB_CRITERIA AND CALCULATION '!L108</f>
        <v>#N/A</v>
      </c>
      <c r="J87" s="1894" t="str">
        <f>IF(Rate_Type="Tracker",TEXT('KB_CRITERIA AND CALCULATION '!L108 - BBR,"0.00%")&amp;"+ BBR","")</f>
        <v/>
      </c>
      <c r="K87" s="1201"/>
      <c r="L87" s="1897" t="e">
        <f>'KB_CRITERIA AND CALCULATION '!L90</f>
        <v>#N/A</v>
      </c>
      <c r="M87" s="1894" t="str">
        <f>IF(Rate_Type="Tracker",TEXT('KB_CRITERIA AND CALCULATION '!L90 - BBR,"0.00%")&amp;"+ BBR","")</f>
        <v/>
      </c>
      <c r="N87" s="2642"/>
      <c r="O87" s="1897" t="e">
        <f>'KB_CRITERIA AND CALCULATION '!L144</f>
        <v>#N/A</v>
      </c>
      <c r="P87" s="1894" t="str">
        <f>IF(Rate_Type="Tracker",TEXT('KB_CRITERIA AND CALCULATION '!L144 - BBR,"0.00%")&amp;"+ BBR","")</f>
        <v/>
      </c>
      <c r="R87" s="2741">
        <f>R86-S81</f>
        <v>9.290000000000001E-2</v>
      </c>
      <c r="S87" s="2742"/>
      <c r="U87" s="1"/>
      <c r="V87" s="3239" t="s">
        <v>392</v>
      </c>
      <c r="W87" s="3240"/>
      <c r="X87" s="3379">
        <f>IF(Rate_Type="Tracker","Tracker",$V$5)</f>
        <v>0</v>
      </c>
      <c r="Y87" s="3380"/>
      <c r="Z87" s="3353">
        <f>IF(Rate_Type="Tracker","Tracker",$V$5)</f>
        <v>0</v>
      </c>
      <c r="AA87" s="3354"/>
      <c r="AB87" s="3359">
        <f>IF(Rate_Type="Tracker","Tracker",$V$5)</f>
        <v>0</v>
      </c>
      <c r="AC87" s="3360"/>
      <c r="AD87" s="3383">
        <f>IF(Rate_Type="Tracker","Tracker",$V$5)</f>
        <v>0</v>
      </c>
      <c r="AE87" s="3384"/>
      <c r="AG87" s="1708"/>
      <c r="AH87" s="1696"/>
      <c r="AI87" s="1806"/>
      <c r="AK87" s="2451" t="s">
        <v>393</v>
      </c>
      <c r="AL87" s="2457">
        <f>VLOOKUP($AL$81,'Product Data'!$AX$5:$BM$9,16,0)</f>
        <v>0</v>
      </c>
      <c r="AM87" s="1919"/>
      <c r="AN87" s="2455" t="s">
        <v>394</v>
      </c>
      <c r="AO87" s="2464">
        <f>VLOOKUP($AL$81,'Product Data'!$AX$5:$BK$9,14,0)</f>
        <v>0</v>
      </c>
    </row>
    <row r="88" spans="1:46" ht="20.100000000000001" customHeight="1" thickBot="1" x14ac:dyDescent="0.4">
      <c r="A88" s="862"/>
      <c r="B88" s="1709"/>
      <c r="C88" s="1623"/>
      <c r="D88" s="1"/>
      <c r="F88" s="2305"/>
      <c r="G88" s="1717"/>
      <c r="H88" s="1201"/>
      <c r="I88" s="1716"/>
      <c r="J88" s="1717"/>
      <c r="K88" s="1201"/>
      <c r="L88" s="1716"/>
      <c r="M88" s="1717"/>
      <c r="N88" s="1717"/>
      <c r="O88" s="1716"/>
      <c r="P88" s="1717"/>
      <c r="R88" s="290"/>
      <c r="S88" s="290"/>
      <c r="U88" s="1"/>
      <c r="V88" s="3239" t="s">
        <v>395</v>
      </c>
      <c r="W88" s="3240"/>
      <c r="X88" s="3377" t="str">
        <f>IF(AND(OR(V3="Residential BTL", V3="Retention "),Product_Selected="1) Standard BTL"),"Tier 1",IF(AND(OR(V3="Residential BTL", V3="Retention "),Product_Selected="2) Solutions BTL"),"Tier 2",IF(AND(OR(V3="Residential BTL", V3="Retention "),Product_Selected="3) Specialist BTL"),"Tier 3",IF(AND(OR(V3="Residential BTL", V3="Retention "),Product_Selected="4) Bespoke"),"Tier 4",IF(AND(V3="Semi-Commercial",Product_Selected="1) Standard"),"Tier 1",IF(AND(V3="Semi-Commercial",Product_Selected="2) Bespoke"),"Tier 2",IF(AND(V3="Commercial",Product_Selected="1) Standard"),"Tier 1",IF(AND(V3="Commercial",Product_Selected="2) Bespoke"),"Tier 2",""))))))))&amp; IF(V3="Retention "," range with"&amp;" 5.5% Fee"," range with"&amp;" 6% Fee")</f>
        <v xml:space="preserve"> range with 6% Fee</v>
      </c>
      <c r="Y88" s="3378"/>
      <c r="Z88" s="3361" t="str">
        <f>IF(AND(OR(V3="Residential BTL", V3="Retention "),Product_Selected="1) Standard BTL"),"Tier 1",IF(AND(OR(V3="Residential BTL", V3="Retention "),Product_Selected="2) Solutions BTL"),"Tier 2",IF(AND(OR(V3="Residential BTL", V3="Retention "),Product_Selected="3) Specialist BTL"),"Tier 3",IF(AND(OR(V3="Residential BTL", V3="Retention "),Product_Selected="4) Bespoke"),"Tier 4",IF(AND(V3="Semi-Commercial",Product_Selected="1) Standard"),"Tier 1",IF(AND(V3="Semi-Commercial",Product_Selected="2) Bespoke"),"Tier 2",IF(AND(V3="Commercial",Product_Selected="1) Standard"),"Tier 1",IF(AND(V3="Commercial",Product_Selected="2) Bespoke"),"Tier 2",""))))))))&amp; IF(V3="Retention "," range with"&amp;" 3.5% Fee"," range with"&amp;" 4% Fee")</f>
        <v xml:space="preserve"> range with 4% Fee</v>
      </c>
      <c r="AA88" s="3362"/>
      <c r="AB88" s="3257" t="str">
        <f>IF(AND(OR(V3="Residential BTL", V3="Retention "),Product_Selected="1) Standard BTL"),"Tier 1",IF(AND(OR(V3="Residential BTL", V3="Retention "),Product_Selected="2) Solutions BTL"),"Tier 2",IF(AND(OR(V3="Residential BTL", V3="Retention "),Product_Selected="3) Specialist BTL"),"Tier 3",IF(AND(OR(V3="Residential BTL", V3="Retention "),Product_Selected="4) Bespoke"),"Tier 4",IF(AND(V3="Semi-Commercial",Product_Selected="1) Standard"),"Tier 1",IF(AND(V3="Semi-Commercial",Product_Selected="2) Bespoke"),"Tier 2",IF(AND(V3="Commercial",Product_Selected="1) Standard"),"Tier 1",IF(AND(V3="Commercial",Product_Selected="2) Bespoke"),"Tier 2",""))))))))&amp; IF(V3="Retention "," range with"&amp;" 1.5% Fee"," range with"&amp;" 2% Fee")</f>
        <v xml:space="preserve"> range with 2% Fee</v>
      </c>
      <c r="AC88" s="3258"/>
      <c r="AD88" s="3385" t="str">
        <f>IF(AND(OR(V3="Residential BTL", V3="Retention "),Product_Selected="1) Standard BTL"),"Tier 1",IF(AND(OR(V3="Residential BTL", V3="Retention "),Product_Selected="2) Solutions BTL"),"Tier 2",IF(AND(OR(V3="Residential BTL", V3="Retention "),Product_Selected="3) Specialist BTL"),"Tier 3",IF(AND(OR(V3="Residential BTL", V3="Retention "),Product_Selected="4) Bespoke"),"Tier 4",IF(AND(V3="Semi-Commercial",Product_Selected="1) Standard"),"Tier 1",IF(AND(V3="Semi-Commercial",Product_Selected="2) Bespoke"),"Tier 2",IF(AND(V3="Commercial",Product_Selected="1) Standard"),"Tier 1",IF(AND(V3="Commercial",Product_Selected="2) Bespoke"),"Tier 2",""))))))))&amp; IF(V3="Retention "," range with"&amp;" 2.5% Fee"," range with"&amp;" 3% Fee")</f>
        <v xml:space="preserve"> range with 3% Fee</v>
      </c>
      <c r="AE88" s="3386"/>
      <c r="AG88" s="1708"/>
      <c r="AH88" s="1697"/>
      <c r="AI88" s="1806"/>
      <c r="AK88" s="2451" t="s">
        <v>396</v>
      </c>
      <c r="AL88" s="2457">
        <f>VLOOKUP($AL$81,'Product Data'!$AX$5:$BA$9,3,0)</f>
        <v>0</v>
      </c>
      <c r="AM88" s="1919"/>
      <c r="AN88" s="2455" t="s">
        <v>397</v>
      </c>
      <c r="AO88" s="2465">
        <f>VLOOKUP($AL$81,'Product Data'!$AX$5:$BL$9,15,0)</f>
        <v>0</v>
      </c>
    </row>
    <row r="89" spans="1:46" ht="20.100000000000001" customHeight="1" x14ac:dyDescent="0.35">
      <c r="A89" s="862"/>
      <c r="B89" s="1709"/>
      <c r="C89" s="1613" t="s">
        <v>149</v>
      </c>
      <c r="D89" s="1"/>
      <c r="F89" s="1834" t="e">
        <f>IF(RoundDown,'KB_CRITERIA AND CALCULATION '!$R$126,'KB_CRITERIA AND CALCULATION '!$Q$126)</f>
        <v>#N/A</v>
      </c>
      <c r="G89" s="1893" t="str">
        <f>IFERROR(TEXT('KB_CRITERIA AND CALCULATION '!AN126,"00%") &amp;" LTV","")</f>
        <v/>
      </c>
      <c r="H89" s="1201"/>
      <c r="I89" s="1834" t="e">
        <f>IF(RoundDown,'KB_CRITERIA AND CALCULATION '!$R$108,'KB_CRITERIA AND CALCULATION '!$Q$108)</f>
        <v>#N/A</v>
      </c>
      <c r="J89" s="1893" t="str">
        <f>IFERROR(TEXT('KB_CRITERIA AND CALCULATION '!AN108,"00%") &amp;" LTV","")</f>
        <v/>
      </c>
      <c r="K89" s="1718"/>
      <c r="L89" s="1834" t="e">
        <f>IF(RoundDown,'KB_CRITERIA AND CALCULATION '!$R$90,'KB_CRITERIA AND CALCULATION '!$Q$90)</f>
        <v>#N/A</v>
      </c>
      <c r="M89" s="1893" t="str">
        <f>IFERROR(TEXT('KB_CRITERIA AND CALCULATION '!AN90,"00%") &amp;" LTV","")</f>
        <v/>
      </c>
      <c r="N89" s="2643"/>
      <c r="O89" s="1834" t="e">
        <f>IF(RoundDown,'KB_CRITERIA AND CALCULATION '!$R$144,'KB_CRITERIA AND CALCULATION '!$Q$144)</f>
        <v>#N/A</v>
      </c>
      <c r="P89" s="1893" t="str">
        <f>IFERROR(TEXT('KB_CRITERIA AND CALCULATION '!AN144,"00%") &amp;" LTV","")</f>
        <v/>
      </c>
      <c r="Q89" s="2573"/>
      <c r="R89" s="2743">
        <f>IF($R$86='Fusion Calc'!C5,'Fusion Calc'!L5,IF('BTL Calculator'!$R$86='Fusion Calc'!C6,'Fusion Calc'!L6,IF('BTL Calculator'!$R$86='Fusion Calc'!C9,'Fusion Calc'!L9,IF('BTL Calculator'!$R$86='Fusion Calc'!C10,'Fusion Calc'!L10,""))))</f>
        <v>0</v>
      </c>
      <c r="S89" s="2744" t="str">
        <f>IFERROR(TEXT(R89/Property_Value,"00%") &amp; "LTV","")</f>
        <v/>
      </c>
      <c r="U89" s="1"/>
      <c r="V89" s="3239" t="s">
        <v>398</v>
      </c>
      <c r="W89" s="3240"/>
      <c r="X89" s="2391" t="e">
        <f>IF(X87="Tracker",TEXT(F86-BBR,"0.00%")&amp;" + BBR",F86)</f>
        <v>#N/A</v>
      </c>
      <c r="Y89" s="2377" t="str">
        <f>IF(Rate_Type="Tracker"," 2yr tracker",IF($V$5="2 Year Fixed", "2yr fixed",IF($V$5="3 Year Fixed"," 3yr fixed","")))</f>
        <v/>
      </c>
      <c r="Z89" s="2391" t="e">
        <f>IF(Z87="Tracker",TEXT(I86-BBR,"0.00%")&amp;" + BBR",I86)</f>
        <v>#N/A</v>
      </c>
      <c r="AA89" s="2377" t="str">
        <f>IF(Rate_Type="Tracker"," 2yr tracker",IF($V$5="2 Year Fixed", "2yr fixed",IF($V$5="3 Year Fixed"," 3yr fixed","")))</f>
        <v/>
      </c>
      <c r="AB89" s="2391" t="e">
        <f>IF(AB87="Tracker",TEXT(L86-BBR,"0.00%")&amp;" + BBR",L86)</f>
        <v>#N/A</v>
      </c>
      <c r="AC89" s="2377" t="str">
        <f>IF(Rate_Type="Tracker"," 2yr tracker",IF($V$5="2 Year Fixed", "2yr fixed",IF($V$5="3 Year Fixed"," 3yr fixed","")))</f>
        <v/>
      </c>
      <c r="AD89" s="2391" t="e">
        <f>IF(AB87="Tracker",TEXT(O86-BBR,"0.00%")&amp;" + BBR",O86)</f>
        <v>#N/A</v>
      </c>
      <c r="AE89" s="2377" t="str">
        <f>IF(Rate_Type="Tracker"," 2yr tracker",IF($V$5="2 Year Fixed", "2yr fixed",IF($V$5="3 Year Fixed"," 3yr fixed","")))</f>
        <v/>
      </c>
      <c r="AG89" s="1708"/>
      <c r="AH89" s="1697"/>
      <c r="AI89" s="1808"/>
      <c r="AJ89" s="2452"/>
      <c r="AK89" s="2451" t="s">
        <v>399</v>
      </c>
      <c r="AL89" s="2457">
        <f>VLOOKUP($AL$81,'Product Data'!$AX$5:$BB$9,4,0)</f>
        <v>0</v>
      </c>
      <c r="AM89" s="1921">
        <f>AL90*AL89</f>
        <v>0</v>
      </c>
      <c r="AN89" s="2455" t="s">
        <v>400</v>
      </c>
      <c r="AO89" s="2468" t="str">
        <f>IF(OR(V3="Residential BTL", V3="Retention "), IF(U44="Yes ",IF(AL90&gt;3000000,"",IF(((AL90*0.0013)+(AL90*0.0013)*12%)&lt;392,392,(AL90*0.0013)+(AL90*0.0013)*12%)),""),"")</f>
        <v/>
      </c>
    </row>
    <row r="90" spans="1:46" ht="20.100000000000001" customHeight="1" thickBot="1" x14ac:dyDescent="0.4">
      <c r="A90" s="862"/>
      <c r="B90" s="1709"/>
      <c r="C90" s="1613" t="s">
        <v>152</v>
      </c>
      <c r="D90" s="1"/>
      <c r="F90" s="1833" t="e">
        <f>'KB_CRITERIA AND CALCULATION '!AL126</f>
        <v>#N/A</v>
      </c>
      <c r="G90" s="1892" t="str">
        <f>IFERROR(TEXT('KB_CRITERIA AND CALCULATION '!AM126,"00%") &amp;" LTV","")</f>
        <v/>
      </c>
      <c r="H90" s="1532"/>
      <c r="I90" s="1833" t="e">
        <f>'KB_CRITERIA AND CALCULATION '!AL108</f>
        <v>#N/A</v>
      </c>
      <c r="J90" s="1892" t="str">
        <f>IFERROR(TEXT('KB_CRITERIA AND CALCULATION '!AM108,"00%") &amp;" LTV","")</f>
        <v/>
      </c>
      <c r="K90" s="1719"/>
      <c r="L90" s="1833" t="e">
        <f>'KB_CRITERIA AND CALCULATION '!AL90</f>
        <v>#N/A</v>
      </c>
      <c r="M90" s="1892" t="str">
        <f>IFERROR(TEXT('KB_CRITERIA AND CALCULATION '!AM90,"00%") &amp;" LTV","")</f>
        <v/>
      </c>
      <c r="N90" s="2643"/>
      <c r="O90" s="1833" t="e">
        <f>'KB_CRITERIA AND CALCULATION '!AL144</f>
        <v>#N/A</v>
      </c>
      <c r="P90" s="1892" t="str">
        <f>IFERROR(TEXT('KB_CRITERIA AND CALCULATION '!AM144,"00%") &amp;" LTV","")</f>
        <v/>
      </c>
      <c r="R90" s="2745">
        <f>IF($R$86='Fusion Calc'!C5,'Fusion Calc'!N5,IF('BTL Calculator'!$R$86='Fusion Calc'!C6,'Fusion Calc'!N6,IF('BTL Calculator'!$R$86='Fusion Calc'!C9,'Fusion Calc'!N9,IF('BTL Calculator'!$R$86='Fusion Calc'!C10,'Fusion Calc'!N10,""))))</f>
        <v>0</v>
      </c>
      <c r="S90" s="2744" t="str">
        <f>IFERROR(TEXT(R90/Property_Value,"00%") &amp; "LTV","")</f>
        <v/>
      </c>
      <c r="U90" s="1"/>
      <c r="V90" s="3239" t="s">
        <v>390</v>
      </c>
      <c r="W90" s="3240"/>
      <c r="X90" s="2376" t="e">
        <f>TEXT(F87,"0.00%")</f>
        <v>#N/A</v>
      </c>
      <c r="Y90" s="2377" t="str">
        <f>IF(Rate_Type="Tracker"," 2yr tracker",IF($V$5="2 Year Fixed", "2yr fixed",IF($V$5="3 Year Fixed"," 3yr fixed","")))</f>
        <v/>
      </c>
      <c r="Z90" s="2391" t="e">
        <f>I87</f>
        <v>#N/A</v>
      </c>
      <c r="AA90" s="2377" t="str">
        <f>IF(Rate_Type="Tracker"," 2yr tracker",IF($V$5="2 Year Fixed", "2yr fixed",IF($V$5="3 Year Fixed"," 3yr fixed","")))</f>
        <v/>
      </c>
      <c r="AB90" s="2391" t="e">
        <f>L87</f>
        <v>#N/A</v>
      </c>
      <c r="AC90" s="2377" t="str">
        <f>IF(Rate_Type="Tracker"," 2yr tracker",IF($V$5="2 Year Fixed", "2yr fixed",IF($V$5="3 Year Fixed"," 3yr fixed","")))</f>
        <v/>
      </c>
      <c r="AD90" s="2391" t="e">
        <f>O87</f>
        <v>#N/A</v>
      </c>
      <c r="AE90" s="2377" t="str">
        <f>IF(Rate_Type="Tracker"," 2yr tracker",IF($V$5="2 Year Fixed", "2yr fixed",IF($V$5="3 Year Fixed"," 3yr fixed","")))</f>
        <v/>
      </c>
      <c r="AG90" s="1708"/>
      <c r="AH90" s="1697"/>
      <c r="AI90" s="1808"/>
      <c r="AJ90" s="2452"/>
      <c r="AK90" s="2451" t="s">
        <v>401</v>
      </c>
      <c r="AL90" s="2458">
        <f>IFERROR(VLOOKUP($AL$81,'Product Data'!$AX$5:$BB$9,5,0),0)</f>
        <v>0</v>
      </c>
      <c r="AM90" s="1922" t="e">
        <f>TEXT($AL$90/Property_Value, "00%")&amp; " LTV"</f>
        <v>#DIV/0!</v>
      </c>
      <c r="AN90" s="1775"/>
      <c r="AO90" s="1807"/>
    </row>
    <row r="91" spans="1:46" s="532" customFormat="1" ht="20.100000000000001" customHeight="1" thickBot="1" x14ac:dyDescent="0.4">
      <c r="A91" s="862"/>
      <c r="B91" s="1709"/>
      <c r="C91" s="67"/>
      <c r="D91" s="1"/>
      <c r="F91" s="287"/>
      <c r="G91" s="287"/>
      <c r="H91" s="287"/>
      <c r="I91" s="287"/>
      <c r="J91" s="287"/>
      <c r="K91" s="287"/>
      <c r="L91" s="287"/>
      <c r="M91" s="287"/>
      <c r="N91" s="287"/>
      <c r="O91" s="287"/>
      <c r="P91" s="287"/>
      <c r="R91" s="289"/>
      <c r="S91" s="289"/>
      <c r="U91" s="1"/>
      <c r="V91" s="3239" t="s">
        <v>161</v>
      </c>
      <c r="W91" s="3240"/>
      <c r="X91" s="3356" t="str">
        <f>'KB_CRITERIA AND CALCULATION '!AJ33</f>
        <v>-</v>
      </c>
      <c r="Y91" s="3357"/>
      <c r="Z91" s="3356" t="str">
        <f>'KB_CRITERIA AND CALCULATION '!AC33</f>
        <v>-</v>
      </c>
      <c r="AA91" s="3357"/>
      <c r="AB91" s="3356" t="str">
        <f>'KB_CRITERIA AND CALCULATION '!L32</f>
        <v>-</v>
      </c>
      <c r="AC91" s="3357"/>
      <c r="AD91" s="3356" t="str">
        <f>'KB_CRITERIA AND CALCULATION '!AO33</f>
        <v>-</v>
      </c>
      <c r="AE91" s="3357"/>
      <c r="AG91" s="1708"/>
      <c r="AH91" s="1697"/>
      <c r="AI91" s="1809"/>
      <c r="AK91" s="2451" t="s">
        <v>366</v>
      </c>
      <c r="AL91" s="2458">
        <f>VLOOKUP($AL$81,'Product Data'!$AX$5:$BC$9,6,0)</f>
        <v>0</v>
      </c>
      <c r="AM91" s="1922" t="e">
        <f>TEXT($AL$91/Property_Value, "00%")&amp; " LTV"</f>
        <v>#DIV/0!</v>
      </c>
      <c r="AN91" s="2455" t="s">
        <v>474</v>
      </c>
      <c r="AO91" s="2585">
        <f>VLOOKUP($AL$81,'Product Data'!$AX$5:$BP$9,19,0)</f>
        <v>0</v>
      </c>
      <c r="AP91" s="137"/>
      <c r="AQ91" s="137"/>
      <c r="AR91" s="137"/>
      <c r="AS91" s="137"/>
      <c r="AT91" s="137"/>
    </row>
    <row r="92" spans="1:46" s="137" customFormat="1" ht="30.75" customHeight="1" x14ac:dyDescent="0.3">
      <c r="A92" s="862"/>
      <c r="B92" s="1709"/>
      <c r="C92" s="1614" t="s">
        <v>158</v>
      </c>
      <c r="D92" s="1"/>
      <c r="F92" s="1838">
        <f>IFERROR(IF('KB_CRITERIA AND CALCULATION '!K126=0,"None",TEXT('KB_CRITERIA AND CALCULATION '!K126,"#")&amp;" m"),0)</f>
        <v>0</v>
      </c>
      <c r="G92" s="1885" t="e">
        <f>'KB_CRITERIA AND CALCULATION '!AE126</f>
        <v>#N/A</v>
      </c>
      <c r="H92" s="1721"/>
      <c r="I92" s="1838">
        <f>IFERROR(IF('KB_CRITERIA AND CALCULATION '!K108=0,"None",TEXT('KB_CRITERIA AND CALCULATION '!K108,"#")&amp;" m"),0)</f>
        <v>0</v>
      </c>
      <c r="J92" s="1885" t="e">
        <f>'KB_CRITERIA AND CALCULATION '!AE108</f>
        <v>#N/A</v>
      </c>
      <c r="K92" s="1720"/>
      <c r="L92" s="1838">
        <f>IFERROR(IF(rolled_Months=0,"None",TEXT(rolled_Months,"#")&amp;" m"),0)</f>
        <v>0</v>
      </c>
      <c r="M92" s="1885" t="e">
        <f>'KB_CRITERIA AND CALCULATION '!AE90</f>
        <v>#N/A</v>
      </c>
      <c r="N92" s="2644"/>
      <c r="O92" s="1838">
        <f>IFERROR(IF('KB_CRITERIA AND CALCULATION '!K144=0,"None",TEXT('KB_CRITERIA AND CALCULATION '!K144,"#")&amp;" m"),0)</f>
        <v>0</v>
      </c>
      <c r="P92" s="1885" t="e">
        <f>'KB_CRITERIA AND CALCULATION '!AE144</f>
        <v>#N/A</v>
      </c>
      <c r="R92" s="2746" t="str">
        <f>IF(R81=0,"None",R81 &amp; " m")</f>
        <v>6 m</v>
      </c>
      <c r="S92" s="2747">
        <f>IF($R$86='Fusion Calc'!$C$5,'Fusion Calc'!O5,IF('BTL Calculator'!$R$86='Fusion Calc'!$C$6,'Fusion Calc'!O6,IF('BTL Calculator'!$R$86='Fusion Calc'!$C$9,'Fusion Calc'!O9,IF('BTL Calculator'!$R$86='Fusion Calc'!$C$10,'Fusion Calc'!O10,IF('BTL Calculator'!$R$86='Fusion Calc'!$C$14,'Fusion Calc'!O14,IF('BTL Calculator'!$R$86='Fusion Calc'!$C$15,'Fusion Calc'!O15,""))))))</f>
        <v>0</v>
      </c>
      <c r="U92" s="1"/>
      <c r="V92" s="3364" t="s">
        <v>402</v>
      </c>
      <c r="W92" s="3365"/>
      <c r="X92" s="1877" t="e">
        <f>F90</f>
        <v>#N/A</v>
      </c>
      <c r="Y92" s="2385" t="str">
        <f>"@ "&amp;G90</f>
        <v xml:space="preserve">@ </v>
      </c>
      <c r="Z92" s="1877" t="e">
        <f>I90</f>
        <v>#N/A</v>
      </c>
      <c r="AA92" s="2385" t="str">
        <f>"@ "&amp;J90</f>
        <v xml:space="preserve">@ </v>
      </c>
      <c r="AB92" s="1877" t="e">
        <f>L90</f>
        <v>#N/A</v>
      </c>
      <c r="AC92" s="2385" t="str">
        <f>"@ "&amp;M90</f>
        <v xml:space="preserve">@ </v>
      </c>
      <c r="AD92" s="1877" t="e">
        <f>O90</f>
        <v>#N/A</v>
      </c>
      <c r="AE92" s="2385" t="str">
        <f>"@ "&amp;P90</f>
        <v xml:space="preserve">@ </v>
      </c>
      <c r="AG92" s="1710"/>
      <c r="AH92" s="1698"/>
      <c r="AI92" s="1810"/>
      <c r="AK92" s="2451" t="s">
        <v>403</v>
      </c>
      <c r="AL92" s="2459">
        <f>VLOOKUP($AL$81,'Product Data'!$AX$5:$BD$9,7,0)</f>
        <v>0</v>
      </c>
      <c r="AM92" s="2532">
        <f>VLOOKUP($AL$81,'Product Data'!$AX$5:$BE$9,8,0)</f>
        <v>0</v>
      </c>
      <c r="AN92" s="1775"/>
      <c r="AO92" s="1807"/>
    </row>
    <row r="93" spans="1:46" s="137" customFormat="1" ht="20.100000000000001" customHeight="1" thickBot="1" x14ac:dyDescent="0.35">
      <c r="A93" s="862"/>
      <c r="B93" s="1709"/>
      <c r="C93" s="1614" t="s">
        <v>159</v>
      </c>
      <c r="D93" s="1"/>
      <c r="F93" s="1839" t="e">
        <f>IF('KB_CRITERIA AND CALCULATION '!J126=0%,"None",TEXT('KB_CRITERIA AND CALCULATION '!J126,"0.00%"))</f>
        <v>#N/A</v>
      </c>
      <c r="G93" s="1886" t="e">
        <f>'KB_CRITERIA AND CALCULATION '!AD126</f>
        <v>#N/A</v>
      </c>
      <c r="H93" s="1721"/>
      <c r="I93" s="1839" t="e">
        <f>IF('KB_CRITERIA AND CALCULATION '!J108=0%,"None",TEXT('KB_CRITERIA AND CALCULATION '!J108,"0.00%"))</f>
        <v>#N/A</v>
      </c>
      <c r="J93" s="1886" t="e">
        <f>'KB_CRITERIA AND CALCULATION '!AD108</f>
        <v>#N/A</v>
      </c>
      <c r="K93" s="1720"/>
      <c r="L93" s="1839" t="e">
        <f>IF('KB_CRITERIA AND CALCULATION '!J90=0%,"None",TEXT('KB_CRITERIA AND CALCULATION '!J90,"0.00%"))</f>
        <v>#N/A</v>
      </c>
      <c r="M93" s="1886" t="e">
        <f>'KB_CRITERIA AND CALCULATION '!AD90</f>
        <v>#N/A</v>
      </c>
      <c r="N93" s="2644"/>
      <c r="O93" s="1839" t="e">
        <f>IF('KB_CRITERIA AND CALCULATION '!J144=0%,"None",TEXT('KB_CRITERIA AND CALCULATION '!J144,"0.00%"))</f>
        <v>#N/A</v>
      </c>
      <c r="P93" s="1886" t="e">
        <f>'KB_CRITERIA AND CALCULATION '!AD144</f>
        <v>#N/A</v>
      </c>
      <c r="R93" s="2748" t="str">
        <f>IF(S81=0,"None",S81)</f>
        <v>None</v>
      </c>
      <c r="S93" s="2747">
        <f>IF($R$86='Fusion Calc'!$C$5,'Fusion Calc'!Q5,IF('BTL Calculator'!$R$86='Fusion Calc'!$C$6,'Fusion Calc'!Q6,IF('BTL Calculator'!$R$86='Fusion Calc'!$C$9,'Fusion Calc'!Q9,IF('BTL Calculator'!$R$86='Fusion Calc'!$C$10,'Fusion Calc'!Q10,IF('BTL Calculator'!$R$86='Fusion Calc'!$C$14,'Fusion Calc'!Q14,IF('BTL Calculator'!$R$86='Fusion Calc'!$C$15,'Fusion Calc'!Q15,""))))))</f>
        <v>0</v>
      </c>
      <c r="U93" s="1"/>
      <c r="V93" s="2561"/>
      <c r="W93" s="2415"/>
      <c r="X93" s="2381" t="s">
        <v>404</v>
      </c>
      <c r="Y93" s="2410"/>
      <c r="Z93" s="2411"/>
      <c r="AA93" s="2411"/>
      <c r="AB93" s="2411"/>
      <c r="AC93" s="2382"/>
      <c r="AD93" s="2411"/>
      <c r="AE93" s="2382"/>
      <c r="AG93" s="1708"/>
      <c r="AH93" s="1697"/>
      <c r="AI93" s="1810"/>
      <c r="AJ93" s="2452"/>
      <c r="AK93" s="2451" t="s">
        <v>405</v>
      </c>
      <c r="AL93" s="2460">
        <f>VLOOKUP($AL$81,'Product Data'!$AX$5:$BF$9,9,0)</f>
        <v>0</v>
      </c>
      <c r="AM93" s="2532">
        <f>VLOOKUP($AL$81,'Product Data'!$AX$5:$BG$9,10,0)</f>
        <v>0</v>
      </c>
      <c r="AN93" s="1775"/>
      <c r="AO93" s="1807"/>
    </row>
    <row r="94" spans="1:46" s="532" customFormat="1" ht="20.100000000000001" customHeight="1" thickBot="1" x14ac:dyDescent="0.35">
      <c r="A94" s="862"/>
      <c r="B94" s="1709"/>
      <c r="C94" s="1614" t="s">
        <v>406</v>
      </c>
      <c r="D94" s="1"/>
      <c r="F94" s="1887" t="e">
        <f>'KB_CRITERIA AND CALCULATION '!Z126</f>
        <v>#N/A</v>
      </c>
      <c r="G94" s="1837"/>
      <c r="H94" s="1733"/>
      <c r="I94" s="1887" t="e">
        <f>'KB_CRITERIA AND CALCULATION '!Z108</f>
        <v>#N/A</v>
      </c>
      <c r="J94" s="1837"/>
      <c r="K94" s="1734"/>
      <c r="L94" s="1887" t="e">
        <f>'KB_CRITERIA AND CALCULATION '!Z90</f>
        <v>#N/A</v>
      </c>
      <c r="M94" s="1837"/>
      <c r="N94" s="2645"/>
      <c r="O94" s="1887" t="e">
        <f>'KB_CRITERIA AND CALCULATION '!Z144</f>
        <v>#N/A</v>
      </c>
      <c r="P94" s="1837"/>
      <c r="R94" s="2749">
        <f>IF($R$86='Fusion Calc'!$C$5,'Fusion Calc'!R5,IF('BTL Calculator'!$R$86='Fusion Calc'!$C$6,'Fusion Calc'!R6,IF('BTL Calculator'!$R$86='Fusion Calc'!$C$9,'Fusion Calc'!R9,IF('BTL Calculator'!$R$86='Fusion Calc'!$C$10,'Fusion Calc'!R10,IF('BTL Calculator'!$R$86='Fusion Calc'!$C$14,'Fusion Calc'!R14,IF('BTL Calculator'!$R$86='Fusion Calc'!$C$15,'Fusion Calc'!R15,""))))))</f>
        <v>0</v>
      </c>
      <c r="S94" s="2749"/>
      <c r="U94" s="1"/>
      <c r="V94" s="3239" t="s">
        <v>162</v>
      </c>
      <c r="W94" s="3240"/>
      <c r="X94" s="1841" t="e">
        <f>X97*F98</f>
        <v>#N/A</v>
      </c>
      <c r="Y94" s="2386" t="e">
        <f>"("&amp;TEXT(X94/X97,"0.00%")&amp;")"</f>
        <v>#N/A</v>
      </c>
      <c r="Z94" s="1841" t="e">
        <f>Z97*I98</f>
        <v>#N/A</v>
      </c>
      <c r="AA94" s="2387" t="e">
        <f>"("&amp;TEXT(Z94/Z97,"0.00%")&amp;")"</f>
        <v>#N/A</v>
      </c>
      <c r="AB94" s="1841" t="e">
        <f>AB97*L98</f>
        <v>#N/A</v>
      </c>
      <c r="AC94" s="2386" t="e">
        <f>"("&amp;TEXT(AB94/AB97,"0.00%")&amp;")"</f>
        <v>#N/A</v>
      </c>
      <c r="AD94" s="1841" t="e">
        <f>AD97*O98</f>
        <v>#N/A</v>
      </c>
      <c r="AE94" s="2386" t="e">
        <f>"("&amp;TEXT(AD94/AD97,"0.00%")&amp;")"</f>
        <v>#N/A</v>
      </c>
      <c r="AG94" s="1708"/>
      <c r="AH94" s="1699"/>
      <c r="AI94" s="1811"/>
      <c r="AK94" s="2451" t="s">
        <v>407</v>
      </c>
      <c r="AL94" s="2461">
        <f>VLOOKUP($AL$81,'Product Data'!$AX$5:$BH$9,11,0)</f>
        <v>0</v>
      </c>
      <c r="AM94" s="1924">
        <f>VLOOKUP($AL$81,'Product Data'!$AX$5:$BI$9,12,0)</f>
        <v>0</v>
      </c>
      <c r="AN94" s="1775"/>
      <c r="AO94" s="1807"/>
      <c r="AP94" s="137"/>
      <c r="AQ94" s="137"/>
      <c r="AR94" s="137"/>
      <c r="AS94" s="2454"/>
      <c r="AT94" s="137"/>
    </row>
    <row r="95" spans="1:46" s="532" customFormat="1" ht="20.100000000000001" customHeight="1" thickBot="1" x14ac:dyDescent="0.35">
      <c r="A95" s="862"/>
      <c r="B95" s="1709"/>
      <c r="C95" s="1614" t="s">
        <v>160</v>
      </c>
      <c r="D95" s="1"/>
      <c r="F95" s="3255" t="str">
        <f>'KB_CRITERIA AND CALCULATION '!W126</f>
        <v>-</v>
      </c>
      <c r="G95" s="3256"/>
      <c r="H95" s="1721"/>
      <c r="I95" s="3255" t="str">
        <f>'KB_CRITERIA AND CALCULATION '!W108</f>
        <v>-</v>
      </c>
      <c r="J95" s="3256"/>
      <c r="K95" s="1725"/>
      <c r="L95" s="3255" t="str">
        <f>'KB_CRITERIA AND CALCULATION '!W90</f>
        <v>-</v>
      </c>
      <c r="M95" s="3256"/>
      <c r="N95" s="2646"/>
      <c r="O95" s="3255" t="str">
        <f>'KB_CRITERIA AND CALCULATION '!W144</f>
        <v>-</v>
      </c>
      <c r="P95" s="3256"/>
      <c r="Q95" s="137"/>
      <c r="R95" s="3259" t="str">
        <f>IFERROR(IF($R$86='Fusion Calc'!C5,'Fusion Calc'!W5,IF($R$86='Fusion Calc'!C6,'Fusion Calc'!W6,IF('BTL Calculator'!$R$86='Fusion Calc'!C9,'Fusion Calc'!W9,IF('BTL Calculator'!$R$86='Fusion Calc'!C10,'Fusion Calc'!W10,IF('BTL Calculator'!$R$86='Fusion Calc'!C14,'Fusion Calc'!W14,IF('BTL Calculator'!$R$86='Fusion Calc'!C15,'Fusion Calc'!W15,"")))))),"-")</f>
        <v>-</v>
      </c>
      <c r="S95" s="3259"/>
      <c r="T95" s="137"/>
      <c r="U95" s="1"/>
      <c r="V95" s="3239" t="s">
        <v>408</v>
      </c>
      <c r="W95" s="3240"/>
      <c r="X95" s="1840" t="e">
        <f>'KB_CRITERIA AND CALCULATION '!AE126</f>
        <v>#N/A</v>
      </c>
      <c r="Y95" s="2380" t="e">
        <f>"(" &amp; 'KB_CRITERIA AND CALCULATION '!K126 &amp; " months"&amp;")"</f>
        <v>#N/A</v>
      </c>
      <c r="Z95" s="1840" t="e">
        <f>'KB_CRITERIA AND CALCULATION '!AE108</f>
        <v>#N/A</v>
      </c>
      <c r="AA95" s="2380" t="e">
        <f>"(" &amp; 'KB_CRITERIA AND CALCULATION '!K108 &amp; " months"&amp;")"</f>
        <v>#N/A</v>
      </c>
      <c r="AB95" s="1840" t="e">
        <f>Rolled_Owed</f>
        <v>#N/A</v>
      </c>
      <c r="AC95" s="2380" t="e">
        <f>"(" &amp; rolled_Months &amp; " months"&amp;")"</f>
        <v>#N/A</v>
      </c>
      <c r="AD95" s="1840" t="e">
        <f>'KB_CRITERIA AND CALCULATION '!AE144</f>
        <v>#N/A</v>
      </c>
      <c r="AE95" s="2380" t="e">
        <f>"(" &amp; 'KB_CRITERIA AND CALCULATION '!K144 &amp; " months"&amp;")"</f>
        <v>#N/A</v>
      </c>
      <c r="AG95" s="1708"/>
      <c r="AH95" s="1700"/>
      <c r="AI95" s="1812"/>
      <c r="AJ95" s="2452"/>
      <c r="AK95" s="2451" t="s">
        <v>409</v>
      </c>
      <c r="AL95" s="2461">
        <f>VLOOKUP($AL$81,'Product Data'!$AX$5:$BJ$9,13,0)</f>
        <v>0</v>
      </c>
      <c r="AM95" s="1923"/>
      <c r="AN95" s="1775"/>
      <c r="AO95" s="1807"/>
      <c r="AP95" s="137"/>
      <c r="AQ95" s="137"/>
      <c r="AR95" s="137"/>
      <c r="AS95" s="137"/>
      <c r="AT95" s="137"/>
    </row>
    <row r="96" spans="1:46" s="137" customFormat="1" ht="20.100000000000001" customHeight="1" thickBot="1" x14ac:dyDescent="0.35">
      <c r="A96" s="862"/>
      <c r="B96" s="1709"/>
      <c r="C96" s="1614" t="s">
        <v>410</v>
      </c>
      <c r="D96" s="1"/>
      <c r="E96" s="532"/>
      <c r="F96" s="3255" t="e">
        <f>'KB_CRITERIA AND CALCULATION '!X126</f>
        <v>#N/A</v>
      </c>
      <c r="G96" s="3256"/>
      <c r="H96" s="1721"/>
      <c r="I96" s="3255" t="str">
        <f>'KB_CRITERIA AND CALCULATION '!X108</f>
        <v/>
      </c>
      <c r="J96" s="3256"/>
      <c r="K96" s="1725"/>
      <c r="L96" s="3255" t="str">
        <f>'KB_CRITERIA AND CALCULATION '!X90</f>
        <v/>
      </c>
      <c r="M96" s="3256"/>
      <c r="N96" s="2646"/>
      <c r="O96" s="3255" t="str">
        <f>'KB_CRITERIA AND CALCULATION '!X144</f>
        <v/>
      </c>
      <c r="P96" s="3256"/>
      <c r="R96" s="3397"/>
      <c r="S96" s="3397"/>
      <c r="V96" s="3239" t="s">
        <v>411</v>
      </c>
      <c r="W96" s="3240"/>
      <c r="X96" s="1840" t="e">
        <f>'KB_CRITERIA AND CALCULATION '!AD126</f>
        <v>#N/A</v>
      </c>
      <c r="Y96" s="2380" t="e">
        <f>"("&amp;F93 &amp;")"</f>
        <v>#N/A</v>
      </c>
      <c r="Z96" s="1840" t="e">
        <f>'KB_CRITERIA AND CALCULATION '!AD108</f>
        <v>#N/A</v>
      </c>
      <c r="AA96" s="2380" t="e">
        <f>"("&amp;I93 &amp;")"</f>
        <v>#N/A</v>
      </c>
      <c r="AB96" s="1840" t="e">
        <f>Deferred_Owed</f>
        <v>#N/A</v>
      </c>
      <c r="AC96" s="2380" t="e">
        <f>"("&amp;L93 &amp;")"</f>
        <v>#N/A</v>
      </c>
      <c r="AD96" s="1840" t="e">
        <f>'KB_CRITERIA AND CALCULATION '!AD144</f>
        <v>#N/A</v>
      </c>
      <c r="AE96" s="2380" t="e">
        <f>"("&amp;O93 &amp;")"</f>
        <v>#N/A</v>
      </c>
      <c r="AG96" s="1708"/>
      <c r="AH96" s="1701"/>
      <c r="AI96" s="1806"/>
      <c r="AJ96" s="2453"/>
      <c r="AK96" s="2454" t="str">
        <f>V104</f>
        <v>Broker Client Fee</v>
      </c>
      <c r="AL96" s="2462">
        <f>VLOOKUP(AL81,'Product Data'!AX4:BN9,17,0)</f>
        <v>0</v>
      </c>
      <c r="AM96" s="1924"/>
      <c r="AN96" s="1775"/>
      <c r="AO96" s="1807"/>
    </row>
    <row r="97" spans="1:51" s="137" customFormat="1" ht="39.75" customHeight="1" thickBot="1" x14ac:dyDescent="0.3">
      <c r="A97" s="862"/>
      <c r="B97" s="1709"/>
      <c r="C97" s="2530"/>
      <c r="D97" s="1688"/>
      <c r="E97" s="2529"/>
      <c r="F97" s="3276" t="str">
        <f>IF($H$28="Tracker",IF('KB_CRITERIA AND CALCULATION '!X126&lt;120%,"FAIL: BBR Stress test ICR below 120%. Reduce Loan Size or Roll/Defer more",IF(('KB_CRITERIA AND CALCULATION '!X126&gt;=120%)*('KB_CRITERIA AND CALCULATION '!X126&lt;130%),"WARNING: BBR Stress test ICR below 130% . UW Mgr Exception, Reduce Loan Size, Roll/Defer more, &amp; review non-BTL income/assets.",IF(('KB_CRITERIA AND CALCULATION '!X126&gt;=130%)*('KB_CRITERIA AND CALCULATION '!X126&lt;150%),"This tracker loan passes BBR stress test!",IF('KB_CRITERIA AND CALCULATION '!X126&gt;=150%,"ICR above 150%, pleased reduce rolled months")))),"")</f>
        <v/>
      </c>
      <c r="G97" s="3276"/>
      <c r="H97" s="2531"/>
      <c r="I97" s="3276" t="str">
        <f>IF($H$28="Tracker",IF('KB_CRITERIA AND CALCULATION '!X108&lt;120%,"FAIL: BBR Stress test ICR below 120%. Reduce Loan Size or Roll/Defer more",IF(('KB_CRITERIA AND CALCULATION '!X108&gt;=120%)*('KB_CRITERIA AND CALCULATION '!X108&lt;130%),"WARNING: BBR Stress test ICR below 130% . UW Mgr Exception, Reduce Loan Size, Roll/Defer more, &amp; review non-BTL income/assets.",IF(('KB_CRITERIA AND CALCULATION '!X108&gt;=130%)*('KB_CRITERIA AND CALCULATION '!X108&lt;150%),"This tracker loan passes BBR stress test!",IF('KB_CRITERIA AND CALCULATION '!X108&gt;=150%,"ICR above 150%, pleased reduce rolled months")))),"")</f>
        <v/>
      </c>
      <c r="J97" s="3276"/>
      <c r="K97" s="2531"/>
      <c r="L97" s="3276" t="str">
        <f>IF($H$28="Tracker",IF('KB_CRITERIA AND CALCULATION '!X90&lt;120%,"FAIL: BBR Stress test ICR below 120%. Reduce Loan Size or Roll/Defer more",IF(('KB_CRITERIA AND CALCULATION '!X90&gt;=120%)*('KB_CRITERIA AND CALCULATION '!X90&lt;130%),"WARNING: BBR Stress test ICR below 130% . UW Mgr Exception, Reduce Loan Size, Roll/Defer more, &amp; review non-BTL income/assets.",IF(('KB_CRITERIA AND CALCULATION '!X90&gt;=130%)*('KB_CRITERIA AND CALCULATION '!X90&lt;150%),"This tracker loan passes BBR stress test!",IF('KB_CRITERIA AND CALCULATION '!X90&gt;=150%,"ICR above 150%, pleased reduce rolled months")))),"")</f>
        <v/>
      </c>
      <c r="M97" s="3276"/>
      <c r="N97" s="2647"/>
      <c r="O97" s="3276" t="str">
        <f>IF($H$28="Tracker",IF('KB_CRITERIA AND CALCULATION '!AA90&lt;120%,"FAIL: BBR Stress test ICR below 120%. Reduce Loan Size or Roll/Defer more",IF(('KB_CRITERIA AND CALCULATION '!AA90&gt;=120%)*('KB_CRITERIA AND CALCULATION '!AA90&lt;130%),"WARNING: BBR Stress test ICR below 130% . UW Mgr Exception, Reduce Loan Size, Roll/Defer more, &amp; review non-BTL income/assets.",IF(('KB_CRITERIA AND CALCULATION '!AA90&gt;=130%)*('KB_CRITERIA AND CALCULATION '!AA90&lt;150%),"This tracker loan passes BBR stress test!",IF('KB_CRITERIA AND CALCULATION '!AA90&gt;=150%,"ICR above 150%, pleased reduce rolled months")))),"")</f>
        <v/>
      </c>
      <c r="P97" s="3276"/>
      <c r="R97" s="3398"/>
      <c r="S97" s="3398"/>
      <c r="T97" s="532"/>
      <c r="V97" s="3364" t="s">
        <v>412</v>
      </c>
      <c r="W97" s="3365"/>
      <c r="X97" s="2275" t="e">
        <f>F89</f>
        <v>#N/A</v>
      </c>
      <c r="Y97" s="2388" t="str">
        <f>"@ "&amp;G89</f>
        <v xml:space="preserve">@ </v>
      </c>
      <c r="Z97" s="2275" t="e">
        <f>I89</f>
        <v>#N/A</v>
      </c>
      <c r="AA97" s="2388" t="str">
        <f>"@ "&amp;J89</f>
        <v xml:space="preserve">@ </v>
      </c>
      <c r="AB97" s="2275" t="e">
        <f>L89</f>
        <v>#N/A</v>
      </c>
      <c r="AC97" s="2388" t="str">
        <f>"@ "&amp;M89</f>
        <v xml:space="preserve">@ </v>
      </c>
      <c r="AD97" s="2275" t="e">
        <f>O89</f>
        <v>#N/A</v>
      </c>
      <c r="AE97" s="2388" t="str">
        <f>"@ "&amp;P89</f>
        <v xml:space="preserve">@ </v>
      </c>
      <c r="AG97" s="1708"/>
      <c r="AH97" s="1691"/>
      <c r="AI97" s="1914"/>
      <c r="AJ97" s="1915"/>
      <c r="AK97" s="2683" t="s">
        <v>413</v>
      </c>
      <c r="AL97" s="2463">
        <f>VLOOKUP(AL81,'Product Data'!AX4:BO9,18,0)</f>
        <v>0</v>
      </c>
      <c r="AM97" s="1917"/>
      <c r="AN97" s="1916"/>
      <c r="AO97" s="1917"/>
    </row>
    <row r="98" spans="1:51" s="137" customFormat="1" ht="22.5" customHeight="1" thickBot="1" x14ac:dyDescent="0.3">
      <c r="A98" s="862"/>
      <c r="B98" s="1709"/>
      <c r="C98" s="1614" t="s">
        <v>162</v>
      </c>
      <c r="D98" s="1"/>
      <c r="F98" s="1888" t="e">
        <f>'KB_CRITERIA AND CALCULATION '!I126</f>
        <v>#N/A</v>
      </c>
      <c r="G98" s="1829"/>
      <c r="H98" s="1726"/>
      <c r="I98" s="1888" t="e">
        <f>'KB_CRITERIA AND CALCULATION '!I108</f>
        <v>#N/A</v>
      </c>
      <c r="J98" s="1829"/>
      <c r="K98" s="1201"/>
      <c r="L98" s="1888" t="e">
        <f>Prod_Fee_Chosen</f>
        <v>#N/A</v>
      </c>
      <c r="M98" s="1829"/>
      <c r="N98" s="2648"/>
      <c r="O98" s="1888" t="e">
        <f>'KB_CRITERIA AND CALCULATION '!I144</f>
        <v>#N/A</v>
      </c>
      <c r="P98" s="1829"/>
      <c r="Q98" s="485"/>
      <c r="R98" s="2750">
        <f>+IF('BTL Calculator'!V3 = "Retention ",1.5%,2%)</f>
        <v>0.02</v>
      </c>
      <c r="S98" s="2750"/>
      <c r="U98" s="1"/>
      <c r="V98" s="3239" t="s">
        <v>190</v>
      </c>
      <c r="W98" s="3240"/>
      <c r="X98" s="2276" t="str">
        <f>'KB_CRITERIA AND CALCULATION '!V126</f>
        <v>-</v>
      </c>
      <c r="Y98" s="2389" t="e">
        <f>"from month "&amp;'KB_CRITERIA AND CALCULATION '!K126+1</f>
        <v>#N/A</v>
      </c>
      <c r="Z98" s="2276" t="str">
        <f>'KB_CRITERIA AND CALCULATION '!V108</f>
        <v>-</v>
      </c>
      <c r="AA98" s="2389" t="e">
        <f>"from month "&amp;'KB_CRITERIA AND CALCULATION '!K108+1</f>
        <v>#N/A</v>
      </c>
      <c r="AB98" s="2276" t="str">
        <f>Monthly_DD</f>
        <v>-</v>
      </c>
      <c r="AC98" s="2389" t="e">
        <f>"from month "&amp;rolled_Months+1</f>
        <v>#N/A</v>
      </c>
      <c r="AD98" s="2276" t="str">
        <f>'KB_CRITERIA AND CALCULATION '!V144</f>
        <v>-</v>
      </c>
      <c r="AE98" s="2389" t="e">
        <f>"from month "&amp;'KB_CRITERIA AND CALCULATION '!K144+1</f>
        <v>#N/A</v>
      </c>
      <c r="AG98" s="1708"/>
      <c r="AH98" s="1691"/>
      <c r="AI98" s="1691"/>
      <c r="AJ98" s="1063"/>
      <c r="AK98" s="862"/>
    </row>
    <row r="99" spans="1:51" s="532" customFormat="1" ht="20.100000000000001" customHeight="1" x14ac:dyDescent="0.25">
      <c r="A99" s="862"/>
      <c r="B99" s="1709"/>
      <c r="C99" s="1614" t="s">
        <v>166</v>
      </c>
      <c r="D99" s="1"/>
      <c r="E99" s="137"/>
      <c r="F99" s="1889" t="e">
        <f>'KB_CRITERIA AND CALCULATION '!AI126</f>
        <v>#N/A</v>
      </c>
      <c r="G99" s="2306" t="e">
        <f>F99/F89</f>
        <v>#N/A</v>
      </c>
      <c r="H99" s="1532"/>
      <c r="I99" s="1889" t="e">
        <f>'KB_CRITERIA AND CALCULATION '!AI108</f>
        <v>#N/A</v>
      </c>
      <c r="J99" s="2306" t="e">
        <f>I99/I89</f>
        <v>#N/A</v>
      </c>
      <c r="K99" s="1532"/>
      <c r="L99" s="1889" t="e">
        <f>L101</f>
        <v>#N/A</v>
      </c>
      <c r="M99" s="2306" t="e">
        <f>L99/L89</f>
        <v>#N/A</v>
      </c>
      <c r="N99" s="2649"/>
      <c r="O99" s="1889" t="e">
        <f>'KB_CRITERIA AND CALCULATION '!AI144</f>
        <v>#N/A</v>
      </c>
      <c r="P99" s="2306" t="e">
        <f>O99/O89</f>
        <v>#N/A</v>
      </c>
      <c r="Q99" s="137"/>
      <c r="R99" s="2747">
        <f>R89*R98</f>
        <v>0</v>
      </c>
      <c r="S99" s="2751">
        <f>R98</f>
        <v>0.02</v>
      </c>
      <c r="T99" s="137"/>
      <c r="U99" s="1"/>
      <c r="V99" s="3239" t="s">
        <v>414</v>
      </c>
      <c r="W99" s="3240"/>
      <c r="X99" s="3328" t="str">
        <f>IF($F$80="", "No",$F$80)</f>
        <v>No</v>
      </c>
      <c r="Y99" s="3329"/>
      <c r="Z99" s="3328" t="str">
        <f>IF($I$80="", "No",$I$80)</f>
        <v>No</v>
      </c>
      <c r="AA99" s="3329"/>
      <c r="AB99" s="3328" t="str">
        <f>IF($L$80="", "No",$L$80)</f>
        <v>No</v>
      </c>
      <c r="AC99" s="3329"/>
      <c r="AD99" s="3328" t="str">
        <f>IF($R$80="", "No",$R$80)</f>
        <v>No</v>
      </c>
      <c r="AE99" s="3329"/>
      <c r="AG99" s="1708"/>
      <c r="AH99" s="1702"/>
      <c r="AI99" s="1702"/>
      <c r="AJ99" s="1069"/>
      <c r="AK99" s="862"/>
      <c r="AL99" s="137"/>
      <c r="AM99" s="137"/>
      <c r="AN99" s="137"/>
      <c r="AO99" s="137"/>
      <c r="AP99" s="137"/>
      <c r="AQ99" s="137"/>
      <c r="AR99" s="137"/>
      <c r="AS99" s="137"/>
      <c r="AT99" s="137"/>
    </row>
    <row r="100" spans="1:51" s="532" customFormat="1" ht="20.100000000000001" customHeight="1" thickBot="1" x14ac:dyDescent="0.3">
      <c r="A100"/>
      <c r="B100" s="1709"/>
      <c r="C100" s="1739" t="s">
        <v>169</v>
      </c>
      <c r="D100" s="1"/>
      <c r="F100" s="1890" t="e">
        <f>'KB_CRITERIA AND CALCULATION '!AJ126</f>
        <v>#N/A</v>
      </c>
      <c r="G100" s="2306" t="e">
        <f>F100/F89</f>
        <v>#N/A</v>
      </c>
      <c r="H100" s="1532"/>
      <c r="I100" s="1890" t="e">
        <f>'KB_CRITERIA AND CALCULATION '!AJ108</f>
        <v>#N/A</v>
      </c>
      <c r="J100" s="2306" t="e">
        <f>I100/I89</f>
        <v>#N/A</v>
      </c>
      <c r="K100" s="1532"/>
      <c r="L100" s="1890" t="s">
        <v>170</v>
      </c>
      <c r="M100" s="1830"/>
      <c r="N100" s="2650"/>
      <c r="O100" s="1890" t="e">
        <f>'KB_CRITERIA AND CALCULATION '!AJ144</f>
        <v>#N/A</v>
      </c>
      <c r="P100" s="2306" t="e">
        <f>O100/O89</f>
        <v>#N/A</v>
      </c>
      <c r="Q100" s="137"/>
      <c r="R100" s="2747" t="s">
        <v>170</v>
      </c>
      <c r="S100" s="2747"/>
      <c r="U100" s="1"/>
      <c r="V100" s="3239" t="s">
        <v>415</v>
      </c>
      <c r="W100" s="3240"/>
      <c r="X100" s="3250" t="str">
        <f>'KB_CRITERIA AND CALCULATION '!W126</f>
        <v>-</v>
      </c>
      <c r="Y100" s="3251"/>
      <c r="Z100" s="3250" t="str">
        <f>'KB_CRITERIA AND CALCULATION '!W108</f>
        <v>-</v>
      </c>
      <c r="AA100" s="3251"/>
      <c r="AB100" s="3250" t="str">
        <f>'KB_CRITERIA AND CALCULATION '!W90</f>
        <v>-</v>
      </c>
      <c r="AC100" s="3251"/>
      <c r="AD100" s="3250" t="str">
        <f>'KB_CRITERIA AND CALCULATION '!W144</f>
        <v>-</v>
      </c>
      <c r="AE100" s="3251"/>
      <c r="AG100" s="1708"/>
      <c r="AH100" s="1878"/>
      <c r="AN100" s="2447"/>
      <c r="AO100" s="137"/>
      <c r="AP100" s="137"/>
      <c r="AQ100" s="137"/>
      <c r="AR100" s="137"/>
      <c r="AS100" s="137"/>
      <c r="AT100" s="137"/>
    </row>
    <row r="101" spans="1:51" s="137" customFormat="1" ht="20.100000000000001" customHeight="1" thickBot="1" x14ac:dyDescent="0.3">
      <c r="A101"/>
      <c r="B101" s="1709"/>
      <c r="C101" s="1738" t="s">
        <v>173</v>
      </c>
      <c r="D101" s="1"/>
      <c r="E101" s="532"/>
      <c r="F101" s="1891" t="e">
        <f>'KB_CRITERIA AND CALCULATION '!AH126</f>
        <v>#N/A</v>
      </c>
      <c r="G101" s="1831"/>
      <c r="H101" s="1727"/>
      <c r="I101" s="1891" t="e">
        <f>'KB_CRITERIA AND CALCULATION '!AH108</f>
        <v>#N/A</v>
      </c>
      <c r="J101" s="1831"/>
      <c r="K101" s="1728"/>
      <c r="L101" s="1891" t="e">
        <f>'KB_CRITERIA AND CALCULATION '!AH90</f>
        <v>#N/A</v>
      </c>
      <c r="M101" s="1831"/>
      <c r="N101" s="2645"/>
      <c r="O101" s="1891" t="e">
        <f>'KB_CRITERIA AND CALCULATION '!AH144</f>
        <v>#N/A</v>
      </c>
      <c r="P101" s="1831"/>
      <c r="R101" s="2749">
        <f>R99</f>
        <v>0</v>
      </c>
      <c r="S101" s="2749"/>
      <c r="T101" s="532"/>
      <c r="U101" s="1"/>
      <c r="V101" s="3239" t="str">
        <f>"Revert Rate (from year "&amp;IF('BTL Calculator'!V5="3 year fixed","4",IF('BTL Calculator'!V5="5 year fixed","6","3"))&amp;")"</f>
        <v>Revert Rate (from year 3)</v>
      </c>
      <c r="W101" s="3240"/>
      <c r="X101" s="3351" t="str">
        <f>G109</f>
        <v>-8.59% + MVR (currently 8.59%)</v>
      </c>
      <c r="Y101" s="3352"/>
      <c r="Z101" s="3351" t="str">
        <f>J109</f>
        <v>-8.59% + MVR (currently 8.59%)</v>
      </c>
      <c r="AA101" s="3352"/>
      <c r="AB101" s="3338" t="str">
        <f>M109</f>
        <v>-8.59% + MVR (currently 8.59%)</v>
      </c>
      <c r="AC101" s="3339"/>
      <c r="AD101" s="3338" t="str">
        <f>P109</f>
        <v>-8.59% + MVR (currently 8.59%)</v>
      </c>
      <c r="AE101" s="3339"/>
      <c r="AG101" s="1703"/>
      <c r="AH101" s="1703"/>
      <c r="AI101" s="1703"/>
      <c r="AJ101" s="1069"/>
      <c r="AK101" s="862"/>
      <c r="AN101" s="485"/>
    </row>
    <row r="102" spans="1:51" s="137" customFormat="1" ht="24.75" customHeight="1" thickBot="1" x14ac:dyDescent="0.3">
      <c r="A102"/>
      <c r="B102" s="1709"/>
      <c r="C102" s="532"/>
      <c r="D102" s="532"/>
      <c r="E102" s="532"/>
      <c r="F102" s="532"/>
      <c r="G102" s="532"/>
      <c r="H102" s="532"/>
      <c r="I102" s="532"/>
      <c r="J102" s="532"/>
      <c r="K102" s="532"/>
      <c r="L102" s="532"/>
      <c r="M102" s="532"/>
      <c r="N102" s="532"/>
      <c r="O102" s="532"/>
      <c r="P102" s="532"/>
      <c r="R102" s="2529"/>
      <c r="S102" s="2529"/>
      <c r="U102" s="1"/>
      <c r="V102" s="3364" t="s">
        <v>416</v>
      </c>
      <c r="W102" s="3365"/>
      <c r="X102" s="3366" t="e">
        <f>'KB_CRITERIA AND CALCULATION '!Z126+'KB_CRITERIA AND CALCULATION '!AD126+'KB_CRITERIA AND CALCULATION '!AE126+'KB_CRITERIA AND CALCULATION '!AH126</f>
        <v>#N/A</v>
      </c>
      <c r="Y102" s="3367"/>
      <c r="Z102" s="3340" t="e">
        <f>'KB_CRITERIA AND CALCULATION '!Z108+'KB_CRITERIA AND CALCULATION '!AD108+'KB_CRITERIA AND CALCULATION '!AE108+'KB_CRITERIA AND CALCULATION '!AH108</f>
        <v>#N/A</v>
      </c>
      <c r="AA102" s="3341"/>
      <c r="AB102" s="3340" t="e">
        <f>'KB_CRITERIA AND CALCULATION '!Z90+'KB_CRITERIA AND CALCULATION '!AD90+'KB_CRITERIA AND CALCULATION '!AE90+'KB_CRITERIA AND CALCULATION '!AH90</f>
        <v>#N/A</v>
      </c>
      <c r="AC102" s="3341"/>
      <c r="AD102" s="3340" t="e">
        <f>'KB_CRITERIA AND CALCULATION '!Z144+'KB_CRITERIA AND CALCULATION '!AD144+'KB_CRITERIA AND CALCULATION '!AE144+'KB_CRITERIA AND CALCULATION '!AH144</f>
        <v>#N/A</v>
      </c>
      <c r="AE102" s="3341"/>
      <c r="AG102" s="1708"/>
      <c r="AH102" s="1703"/>
      <c r="AI102" s="1703"/>
      <c r="AJ102" s="1069"/>
      <c r="AK102" s="862"/>
    </row>
    <row r="103" spans="1:51" s="532" customFormat="1" ht="22.5" customHeight="1" thickBot="1" x14ac:dyDescent="0.3">
      <c r="A103"/>
      <c r="B103" s="1709"/>
      <c r="C103" s="1614" t="s">
        <v>417</v>
      </c>
      <c r="D103" s="1"/>
      <c r="F103" s="1842" t="e">
        <f>'KB_CRITERIA AND CALCULATION '!AG126</f>
        <v>#N/A</v>
      </c>
      <c r="G103" s="1843" t="str">
        <f>IFERROR(TEXT('KB_CRITERIA AND CALCULATION '!AG126/Property_Value,"00%") &amp;" LTV","")</f>
        <v/>
      </c>
      <c r="H103" s="1723"/>
      <c r="I103" s="1842" t="e">
        <f>'KB_CRITERIA AND CALCULATION '!AG108</f>
        <v>#N/A</v>
      </c>
      <c r="J103" s="1843" t="str">
        <f>IFERROR(TEXT('KB_CRITERIA AND CALCULATION '!AG108/Property_Value,"00%") &amp;" LTV","")</f>
        <v/>
      </c>
      <c r="K103" s="1719"/>
      <c r="L103" s="1842" t="e">
        <f>'KB_CRITERIA AND CALCULATION '!AG90</f>
        <v>#N/A</v>
      </c>
      <c r="M103" s="1843" t="str">
        <f>IFERROR(TEXT('KB_CRITERIA AND CALCULATION '!AG90/Property_Value,"00%") &amp;" LTV","")</f>
        <v/>
      </c>
      <c r="N103" s="2643"/>
      <c r="O103" s="1842" t="e">
        <f>'KB_CRITERIA AND CALCULATION '!AG144</f>
        <v>#N/A</v>
      </c>
      <c r="P103" s="1843" t="str">
        <f>IFERROR(TEXT('KB_CRITERIA AND CALCULATION '!AG144/Property_Value,"00%") &amp;" LTV","")</f>
        <v/>
      </c>
      <c r="Q103" s="137"/>
      <c r="R103" s="2752">
        <f>R90+R101</f>
        <v>0</v>
      </c>
      <c r="S103" s="2744" t="str">
        <f>IFERROR(TEXT(R103/Property_Value,"00%") &amp; "LTV","")</f>
        <v/>
      </c>
      <c r="U103" s="1"/>
      <c r="V103" s="3239" t="s">
        <v>413</v>
      </c>
      <c r="W103" s="3240"/>
      <c r="X103" s="3340" t="e">
        <f>IF(H38="",IF($H$37="",$H$36*F89,$H$37*F89),H38)</f>
        <v>#N/A</v>
      </c>
      <c r="Y103" s="3341"/>
      <c r="Z103" s="3340" t="e">
        <f>IF(H38="",IF($H$37="",$H$36*I89,$H$37*I89),H38)</f>
        <v>#N/A</v>
      </c>
      <c r="AA103" s="3341"/>
      <c r="AB103" s="3340" t="e">
        <f>IF(H38="",IF($H$37="",$H$36*L89,$H$37*L89),H38)</f>
        <v>#N/A</v>
      </c>
      <c r="AC103" s="3341"/>
      <c r="AD103" s="3340" t="e">
        <f>IF(H38="",IF($H$37="",$H$36*O89,$H$37*O89),H38)</f>
        <v>#N/A</v>
      </c>
      <c r="AE103" s="3341"/>
      <c r="AG103" s="1708"/>
      <c r="AH103" s="1704"/>
      <c r="AI103" s="1701"/>
      <c r="AJ103" s="1069"/>
      <c r="AK103" s="862"/>
      <c r="AL103" s="137"/>
      <c r="AM103" s="137"/>
      <c r="AN103" s="137"/>
      <c r="AO103" s="137"/>
      <c r="AP103" s="137"/>
      <c r="AQ103" s="137"/>
      <c r="AR103" s="137"/>
      <c r="AS103" s="137"/>
      <c r="AT103" s="137"/>
    </row>
    <row r="104" spans="1:51" s="137" customFormat="1" ht="20.25" customHeight="1" thickBot="1" x14ac:dyDescent="0.3">
      <c r="A104"/>
      <c r="B104" s="1709"/>
      <c r="C104" s="1616"/>
      <c r="D104" s="1"/>
      <c r="F104" s="1736" t="s">
        <v>185</v>
      </c>
      <c r="G104" s="1735"/>
      <c r="H104" s="1723"/>
      <c r="I104" s="1736" t="s">
        <v>185</v>
      </c>
      <c r="J104" s="1737"/>
      <c r="K104" s="1724"/>
      <c r="L104" s="1722"/>
      <c r="M104" s="1724"/>
      <c r="N104" s="1724"/>
      <c r="O104" s="2693" t="s">
        <v>185</v>
      </c>
      <c r="P104" s="2693"/>
      <c r="Q104" s="532"/>
      <c r="R104" s="2745"/>
      <c r="S104" s="2748"/>
      <c r="T104" s="532"/>
      <c r="U104" s="1"/>
      <c r="V104" s="3239" t="s">
        <v>3763</v>
      </c>
      <c r="W104" s="3240"/>
      <c r="X104" s="3345" t="str">
        <f>IF(($H$39+$H$40)=0,"Not Applicable",($H$39*$X$97)+$H$40)</f>
        <v>Not Applicable</v>
      </c>
      <c r="Y104" s="3346"/>
      <c r="Z104" s="3345" t="str">
        <f>IF(($H$39+$H$40)=0,"Not Applicable",($H$39*$Z$97)+$H$40)</f>
        <v>Not Applicable</v>
      </c>
      <c r="AA104" s="3346"/>
      <c r="AB104" s="3345" t="str">
        <f>IF(($H$39+$H$40)=0,"Not Applicable",($H$39*$AB$97)+$H$40)</f>
        <v>Not Applicable</v>
      </c>
      <c r="AC104" s="3346"/>
      <c r="AD104" s="3345" t="str">
        <f>IF(($H$39+$H$40)=0,"Not Applicable",($H$39*$AD$97)+$H$40)</f>
        <v>Not Applicable</v>
      </c>
      <c r="AE104" s="3346"/>
      <c r="AG104" s="1708"/>
      <c r="AH104" s="3363"/>
      <c r="AI104" s="3363"/>
      <c r="AJ104" s="1069"/>
      <c r="AK104" s="862"/>
    </row>
    <row r="105" spans="1:51" s="532" customFormat="1" ht="6" customHeight="1" thickBot="1" x14ac:dyDescent="0.3">
      <c r="A105"/>
      <c r="B105" s="1709"/>
      <c r="C105" s="1617"/>
      <c r="D105" s="1"/>
      <c r="E105" s="137"/>
      <c r="F105" s="1730"/>
      <c r="G105" s="1731"/>
      <c r="H105" s="1721"/>
      <c r="I105" s="1730"/>
      <c r="J105" s="1731"/>
      <c r="K105" s="1731"/>
      <c r="L105" s="1730"/>
      <c r="M105" s="1731"/>
      <c r="N105" s="1731"/>
      <c r="O105" s="1730"/>
      <c r="P105" s="1731"/>
      <c r="Q105" s="137"/>
      <c r="R105" s="2753"/>
      <c r="S105" s="2754"/>
      <c r="U105" s="1"/>
      <c r="V105" s="2562"/>
      <c r="X105" s="2673"/>
      <c r="Y105" s="2673"/>
      <c r="Z105" s="2412"/>
      <c r="AA105" s="2412"/>
      <c r="AB105" s="2412"/>
      <c r="AC105" s="2412"/>
      <c r="AD105" s="2412"/>
      <c r="AG105" s="1715"/>
      <c r="AH105" s="3363"/>
      <c r="AI105" s="3363"/>
      <c r="AL105" s="137"/>
      <c r="AM105" s="137"/>
      <c r="AN105" s="137"/>
      <c r="AO105" s="137"/>
      <c r="AP105" s="137"/>
      <c r="AQ105" s="137"/>
      <c r="AR105" s="137"/>
      <c r="AS105" s="137"/>
      <c r="AT105" s="137"/>
    </row>
    <row r="106" spans="1:51" s="137" customFormat="1" ht="20.100000000000001" customHeight="1" x14ac:dyDescent="0.35">
      <c r="A106"/>
      <c r="B106" s="1709"/>
      <c r="C106" s="1614" t="s">
        <v>188</v>
      </c>
      <c r="D106" s="1"/>
      <c r="E106" s="287"/>
      <c r="F106" s="1838" t="str">
        <f>TEXT('KB_CRITERIA AND CALCULATION '!V126,"£#,#.00")</f>
        <v>-</v>
      </c>
      <c r="G106" s="1882" t="e">
        <f>" month "&amp;TEXT('KB_CRITERIA AND CALCULATION '!K126+1,"#")</f>
        <v>#N/A</v>
      </c>
      <c r="H106" s="1721"/>
      <c r="I106" s="1838" t="str">
        <f>TEXT('KB_CRITERIA AND CALCULATION '!V108,"£#,#.00")</f>
        <v>-</v>
      </c>
      <c r="J106" s="1882" t="e">
        <f>" month "&amp;TEXT('KB_CRITERIA AND CALCULATION '!K108+1,"#")</f>
        <v>#N/A</v>
      </c>
      <c r="K106" s="1729"/>
      <c r="L106" s="1838" t="str">
        <f>TEXT('KB_CRITERIA AND CALCULATION '!V90,"£#,#.00")</f>
        <v>-</v>
      </c>
      <c r="M106" s="1882" t="e">
        <f>" month "&amp;TEXT(rolled_Months+1,"#")</f>
        <v>#N/A</v>
      </c>
      <c r="N106" s="2645"/>
      <c r="O106" s="1838" t="str">
        <f>TEXT('KB_CRITERIA AND CALCULATION '!V144,"£#,#.00")</f>
        <v>-</v>
      </c>
      <c r="P106" s="1882" t="e">
        <f>" month "&amp;TEXT('KB_CRITERIA AND CALCULATION '!K144+1,"#")</f>
        <v>#N/A</v>
      </c>
      <c r="Q106" s="532"/>
      <c r="R106" s="2755">
        <f>R87*R89/12</f>
        <v>0</v>
      </c>
      <c r="S106" s="2749" t="str">
        <f>" month "&amp;TEXT(R81+1,"#")</f>
        <v xml:space="preserve"> month 7</v>
      </c>
      <c r="T106" s="532"/>
      <c r="U106" s="1"/>
      <c r="V106" s="3335" t="s">
        <v>418</v>
      </c>
      <c r="W106" s="3335"/>
      <c r="X106" s="3333" t="str">
        <f>IF(AND(V2="Core",V5="3 Year Fixed"),"25-year total term, made up of an initial fixed rate for 3 years, then followed by a Revert Rate for remaining 22 years. No ERCs from year 4.
MVR is the MFS variable rate, currently 8.59%.",IF(AND(V2="Core",V5="5 Year Fixed"),"25-year total term, made up of an initial fixed rate for 5 years, then followed by a Revert Rate for remaining 20 years. No ERCs from year 6.
MVR is the MFS variable rate, currently 8.59%.",IF(AND(V2="Core",V5="2 Year Fixed"),"25-year total term, made up of an initial fixed rate for 2 years, then followed by a Revert Rate for remaining 23 years. No ERCs from year 3.
MVR is the MFS variable rate, currently 8.59%.",IF(AND(V2="Core",V5="Tracker"),"25-year total term, made up of an initial tracker rate for 2 years, then followed by a Revert Rate for remaining 23 years. No ERCs from year 3.
MVR is the MFS variable rate, currently 8.59%.",
IF(V5="3 Year Fixed","10-year total term, made up of an initial fixed rate for 3 years, then followed by a Revert Rate for remaining 7 years. No ERCs from year 4.
MVR is the MFS variable rate, currently 8.59%.",IF(V5="5 Year Fixed","10-year total term, made up of an initial fixed rate for 5 years, then followed by a Revert Rate for remaining 5 years. No ERCs from year 6.
MVR is the MFS variable rate, currently 8.59%.",IF(V5="2 Year Fixed","10-year total term, made up of an initial fixed rate for 2 years, then followed by a Revert Rate for remaining 8 years. No ERCs from year 3.
MVR is the MFS variable rate, currently 8.59%.","10-year total term, made up of an initial tracker rate for 2 years, then followed by a Revert Rate for remaining 8 years. No ERCs from year 3.
MVR is the MFS variable rate, currently 8.59%.")))))))</f>
        <v>10-year total term, made up of an initial tracker rate for 2 years, then followed by a Revert Rate for remaining 8 years. No ERCs from year 3.
MVR is the MFS variable rate, currently 8.59%.</v>
      </c>
      <c r="Y106" s="3333"/>
      <c r="Z106" s="3333"/>
      <c r="AA106" s="3333"/>
      <c r="AB106" s="3333"/>
      <c r="AC106" s="3333"/>
      <c r="AD106" s="2671"/>
      <c r="AE106" s="2671"/>
      <c r="AG106" s="1711"/>
      <c r="AH106" s="1705"/>
      <c r="AI106" s="1705"/>
    </row>
    <row r="107" spans="1:51" s="137" customFormat="1" ht="18" customHeight="1" x14ac:dyDescent="0.35">
      <c r="A107"/>
      <c r="B107" s="1709"/>
      <c r="C107" s="1614" t="s">
        <v>419</v>
      </c>
      <c r="D107" s="1"/>
      <c r="E107" s="287"/>
      <c r="F107" s="1839" t="e">
        <f>'KB_CRITERIA AND CALCULATION '!Z126+'KB_CRITERIA AND CALCULATION '!AD126+'KB_CRITERIA AND CALCULATION '!AE126+'KB_CRITERIA AND CALCULATION '!AH126</f>
        <v>#N/A</v>
      </c>
      <c r="G107" s="1846"/>
      <c r="H107" s="1721"/>
      <c r="I107" s="1839" t="e">
        <f>'KB_CRITERIA AND CALCULATION '!Z108+'KB_CRITERIA AND CALCULATION '!AD108+'KB_CRITERIA AND CALCULATION '!AE108+'KB_CRITERIA AND CALCULATION '!AH108</f>
        <v>#N/A</v>
      </c>
      <c r="J107" s="1846"/>
      <c r="K107" s="1729"/>
      <c r="L107" s="1839" t="e">
        <f>'KB_CRITERIA AND CALCULATION '!Z90+'KB_CRITERIA AND CALCULATION '!AD90+'KB_CRITERIA AND CALCULATION '!AE90+'KB_CRITERIA AND CALCULATION '!AH90</f>
        <v>#N/A</v>
      </c>
      <c r="M107" s="1846"/>
      <c r="N107" s="2645"/>
      <c r="O107" s="1839" t="e">
        <f>'KB_CRITERIA AND CALCULATION '!Z144+'KB_CRITERIA AND CALCULATION '!AD144+'KB_CRITERIA AND CALCULATION '!AE144+'KB_CRITERIA AND CALCULATION '!AH144</f>
        <v>#N/A</v>
      </c>
      <c r="P107" s="1846"/>
      <c r="R107" s="2749">
        <f>R101+R94+S92+S93</f>
        <v>0</v>
      </c>
      <c r="S107" s="2749"/>
      <c r="U107" s="1"/>
      <c r="V107" s="3335"/>
      <c r="W107" s="3335"/>
      <c r="X107" s="3334"/>
      <c r="Y107" s="3334"/>
      <c r="Z107" s="3334"/>
      <c r="AA107" s="3334"/>
      <c r="AB107" s="3334"/>
      <c r="AC107" s="3334"/>
      <c r="AD107" s="2672"/>
      <c r="AE107" s="2672"/>
      <c r="AG107" s="1711"/>
      <c r="AH107" s="1701"/>
      <c r="AI107" s="1701"/>
      <c r="AY107" s="137" t="e">
        <f>"Max Loan "&amp;TEXT(MaxGrossLoan/1000000,"£0.00")&amp;"m minus deferred interest of "&amp;TEXT(Deferred_Int_Owed,"£0,0")</f>
        <v>#N/A</v>
      </c>
    </row>
    <row r="108" spans="1:51" s="287" customFormat="1" ht="20.100000000000001" customHeight="1" x14ac:dyDescent="0.35">
      <c r="A108"/>
      <c r="B108" s="1709"/>
      <c r="C108" s="1614" t="s">
        <v>420</v>
      </c>
      <c r="D108" s="1"/>
      <c r="E108" s="440"/>
      <c r="F108" s="1883" t="str">
        <f>'KB_CRITERIA AND CALCULATION '!T126</f>
        <v>-</v>
      </c>
      <c r="G108" s="1884"/>
      <c r="H108" s="1201"/>
      <c r="I108" s="1883" t="str">
        <f>'KB_CRITERIA AND CALCULATION '!T108</f>
        <v>-</v>
      </c>
      <c r="J108" s="1884"/>
      <c r="K108" s="1201"/>
      <c r="L108" s="1883" t="str">
        <f>Monthly_Payment</f>
        <v>-</v>
      </c>
      <c r="M108" s="1884"/>
      <c r="N108" s="1717"/>
      <c r="O108" s="1883" t="str">
        <f>'KB_CRITERIA AND CALCULATION '!T144</f>
        <v>-</v>
      </c>
      <c r="P108" s="1884"/>
      <c r="Q108" s="137"/>
      <c r="R108" s="2755">
        <f>SUM(R94,S93,S92)/24</f>
        <v>0</v>
      </c>
      <c r="S108" s="2756"/>
      <c r="T108" s="137"/>
      <c r="U108" s="1"/>
      <c r="V108" s="3239" t="s">
        <v>421</v>
      </c>
      <c r="W108" s="3239"/>
      <c r="X108" s="2284" t="str">
        <f>IF(V3= "Retention ", "TBC by the Underwriter",IF(V3="Residential BTL","£199","£250"))</f>
        <v>£250</v>
      </c>
      <c r="Y108" s="2378" t="s">
        <v>422</v>
      </c>
      <c r="Z108" s="2378"/>
      <c r="AA108" s="2378" t="s">
        <v>423</v>
      </c>
      <c r="AB108" s="2378"/>
      <c r="AC108" s="2378"/>
      <c r="AD108" s="2378"/>
      <c r="AE108" s="2378"/>
      <c r="AG108" s="1711"/>
      <c r="AH108" s="1703"/>
      <c r="AI108" s="1703"/>
      <c r="AJ108" s="1069"/>
      <c r="AK108"/>
      <c r="AL108" s="67"/>
      <c r="AM108" s="67"/>
      <c r="AN108" s="67"/>
      <c r="AO108" s="67"/>
      <c r="AP108" s="67"/>
      <c r="AQ108" s="67"/>
      <c r="AR108" s="67"/>
      <c r="AS108" s="137"/>
      <c r="AT108" s="137"/>
    </row>
    <row r="109" spans="1:51" s="287" customFormat="1" ht="20.100000000000001" customHeight="1" x14ac:dyDescent="0.35">
      <c r="A109"/>
      <c r="B109" s="1709"/>
      <c r="C109" s="1614" t="s">
        <v>194</v>
      </c>
      <c r="D109" s="1"/>
      <c r="E109" s="440"/>
      <c r="F109" s="1875" t="b">
        <f>IF(V3="Retention ",
VLOOKUP(Product_Selected,'Product Data'!B200:J202,9,0),
IF(AND(V5="3 Year Fixed",V3="Residential BTL"),VLOOKUP(Product_Selected,'Product Data'!B97:F100,5,0),IF(AND(V5="2 Year Fixed",V3="Residential BTL"),VLOOKUP(Product_Selected,'Product Data'!B72:F75,5,0),IF(AND(V5="Tracker",V3="Residential BTL"),VLOOKUP(Product_Selected,'Product Data'!B21:K24,10,0),IF(AND(V5="3 Year Fixed",V3="Commercial"),VLOOKUP(Product_Selected,'Product Data'!B132:K133,10,0),IF(AND(V5="2 Year Fixed",V3="Commercial"),VLOOKUP(Product_Selected,'Product Data'!B119:K120,10,0),IF(AND(V5="Tracker",V3="Commercial"),VLOOKUP(Product_Selected,'Product Data'!B55:K56,10,0),IF(AND(V5="3 Year Fixed",V3="Semi-Commercial"),VLOOKUP(Product_Selected,'Product Data'!B158:K159,10,0),IF(AND(V5="2 Year Fixed",V3="Semi-Commercial"),VLOOKUP(Product_Selected,'Product Data'!B145:K146,10,0),IF(AND(V5="5 Year Fixed",V3="Residential BTL"),VLOOKUP(Product_Selected,'Product Data'!B176:F179,5,0),IF(AND(V5="Tracker",V3="Semi-Commercial"),VLOOKUP(Product_Selected,'Product Data'!B42:K43,10,0))))))))))))</f>
        <v>0</v>
      </c>
      <c r="G109" s="2578" t="str">
        <f>IF(F109=8.59%,"MVR",TEXT(F109-MVR,"0.00%")&amp;" + MVR") &amp; " (currently 8.59%)"</f>
        <v>-8.59% + MVR (currently 8.59%)</v>
      </c>
      <c r="H109" s="1740"/>
      <c r="I109" s="1875" t="b">
        <f>IF(V3="Retention ",
VLOOKUP(Product_Selected,'Product Data'!B195:J197,9,0),
IF(AND(V5="3 Year Fixed",V3="Residential BTL"),
VLOOKUP(Product_Selected,'Product Data'!B91:F94,5,0),
IF(AND(V5="2 Year Fixed",V3="Residential BTL"),
VLOOKUP(Product_Selected,'Product Data'!B66:F69,5,0),
IF(AND(V5="Tracker",V3="Residential BTL"),
VLOOKUP(Product_Selected,'Product Data'!B15:K18,10,0),
IF(AND(V5="3 Year Fixed",V3="Commercial"),
VLOOKUP(Product_Selected,'Product Data'!B128:K129,10,0),
IF(AND(V5="2 Year Fixed",V3="Commercial"),
VLOOKUP(Product_Selected,'Product Data'!B115:K116,10,0),
IF(AND(V5="Tracker",V3="Commercial"),
VLOOKUP(Product_Selected,'Product Data'!B51:K52,10,0),
IF(AND(V5="3 Year Fixed",V3="Semi-Commercial"),
VLOOKUP(Product_Selected,'Product Data'!B154:K155,10,0),
IF(AND(V5="2 Year Fixed",V3="Semi-Commercial"),
VLOOKUP(Product_Selected,'Product Data'!B141:K142,10,0),
IF(AND(V5="5 Year Fixed",V3="Residential BTL"),
VLOOKUP(Product_Selected,'Product Data'!B170:F173,5,0),
IF(AND(V5="Tracker",V3="Semi-Commercial"),
VLOOKUP(Product_Selected,'Product Data'!B38:K39,10,0))))))))))))</f>
        <v>0</v>
      </c>
      <c r="J109" s="2578" t="str">
        <f>IF(I109=8.59%,"MVR",TEXT(I109-MVR,"0.00%")&amp;" + MVR")&amp; " (currently 8.59%)"</f>
        <v>-8.59% + MVR (currently 8.59%)</v>
      </c>
      <c r="K109" s="1740"/>
      <c r="L109" s="1875" t="b">
        <f>IF(V3="Retention ",
VLOOKUP(Product_Selected,'Product Data'!B190:J192,9,0),
IF(AND(V5="3 Year Fixed",V3="Residential BTL"),
VLOOKUP(Product_Selected,'Product Data'!B85:F88,5,0),
IF(AND(V5="2 Year Fixed",V3="Residential BTL"),
VLOOKUP(Product_Selected,'Product Data'!B60:F63,5,0),
IF(AND(V5="Tracker",V3="Residential BTL"),
VLOOKUP(Product_Selected,'Product Data'!B9:K12,10,0),
IF(AND(V5="3 Year Fixed",V3="Commercial"),
VLOOKUP(Product_Selected,'Product Data'!B124:K125,10,0),
IF(AND(V5="2 Year Fixed",V3="Commercial"),
VLOOKUP(Product_Selected,'Product Data'!B111:K112,10,0),
IF(AND(V5="Tracker",V3="Commercial"),
VLOOKUP(Product_Selected,'Product Data'!B47:K48,10,0),
IF(AND(V5="3 Year Fixed",V3="Semi-Commercial"),
VLOOKUP(Product_Selected,'Product Data'!B150:K151,10,0),
IF(AND(V5="2 Year Fixed",V3="Semi-Commercial"),
VLOOKUP(Product_Selected,'Product Data'!B137:K138,10,0),
IF(AND(V5="5 Year Fixed",V3="Residential BTL"),
VLOOKUP(Product_Selected,'Product Data'!B164:F167,5,0),
IF(AND(V5="Tracker",V3="Semi-Commercial"),
VLOOKUP(Product_Selected,'Product Data'!B34:K35,10,0))))))))))))</f>
        <v>0</v>
      </c>
      <c r="M109" s="2578" t="str">
        <f>IF(L109=8.59%,"MVR",TEXT(L109-MVR,"0.00%")&amp;" + MVR")&amp; " (currently 8.59%)"</f>
        <v>-8.59% + MVR (currently 8.59%)</v>
      </c>
      <c r="N109" s="2651"/>
      <c r="O109" s="2677" t="b">
        <f>IF(V3="Retention ",
VLOOKUP(Product_Selected,'Product Data'!B190:J192,9,0),
IF(AND(V5="3 Year Fixed",V3="Residential BTL"),
VLOOKUP(Product_Selected,'Product Data'!B85:F88,5,0),
IF(AND(V5="2 Year Fixed",V3="Residential BTL"),
VLOOKUP(Product_Selected,'Product Data'!B60:F63,5,0),
IF(AND(V5="Tracker",V3="Residential BTL"),
VLOOKUP(Product_Selected,'Product Data'!B9:K12,10,0),
IF(AND(V5="3 Year Fixed",V3="Commercial"),
VLOOKUP(Product_Selected,'Product Data'!B124:K125,10,0),
IF(AND(V5="2 Year Fixed",V3="Commercial"),
VLOOKUP(Product_Selected,'Product Data'!B111:K112,10,0),
IF(AND(V5="Tracker",V3="Commercial"),
VLOOKUP(Product_Selected,'Product Data'!B47:K48,10,0),
IF(AND(V5="3 Year Fixed",V3="Semi-Commercial"),
VLOOKUP(Product_Selected,'Product Data'!B150:K151,10,0),
IF(AND(V5="2 Year Fixed",V3="Semi-Commercial"),
VLOOKUP(Product_Selected,'Product Data'!B137:K138,10,0),
IF(AND(V5="5 Year Fixed",V3="Residential BTL"),
VLOOKUP(Product_Selected,'Product Data'!B164:F167,5,0),
IF(AND(V5="Tracker",V3="Semi-Commercial"),
VLOOKUP(Product_Selected,'Product Data'!B34:K35,10,0))))))))))))</f>
        <v>0</v>
      </c>
      <c r="P109" s="2578" t="str">
        <f>IF(I109=8.59%,"MVR",TEXT(I109-MVR,"0.00%")&amp;" + MVR")&amp; " (currently 8.59%)"</f>
        <v>-8.59% + MVR (currently 8.59%)</v>
      </c>
      <c r="R109" s="2750" t="s">
        <v>170</v>
      </c>
      <c r="S109" s="2757"/>
      <c r="U109" s="1"/>
      <c r="V109" s="3239" t="s">
        <v>424</v>
      </c>
      <c r="W109" s="3239"/>
      <c r="X109" s="2383" t="s">
        <v>425</v>
      </c>
      <c r="Y109" s="2378"/>
      <c r="Z109" s="2378"/>
      <c r="AA109" s="2378" t="s">
        <v>423</v>
      </c>
      <c r="AB109" s="2378"/>
      <c r="AC109" s="2378"/>
      <c r="AD109" s="2378"/>
      <c r="AE109" s="2378"/>
      <c r="AG109" s="1711"/>
      <c r="AH109" s="1703"/>
      <c r="AI109" s="1703"/>
      <c r="AJ109" s="1069"/>
      <c r="AK109"/>
      <c r="AL109" s="67"/>
      <c r="AM109" s="67"/>
      <c r="AN109" s="67"/>
      <c r="AO109" s="67"/>
      <c r="AP109" s="67"/>
      <c r="AQ109" s="67"/>
      <c r="AR109" s="67"/>
      <c r="AS109" s="137"/>
      <c r="AT109" s="137" t="str">
        <f>IF(AND(H30&gt;0,H30&lt;&gt;"",ISERROR(SEARCH("Bespoke",G62))),"Caution: rate override normally only on Bespoke tier","")</f>
        <v/>
      </c>
    </row>
    <row r="110" spans="1:51" ht="20.100000000000001" customHeight="1" thickBot="1" x14ac:dyDescent="0.45">
      <c r="A110"/>
      <c r="B110" s="1709"/>
      <c r="C110" s="1614" t="s">
        <v>426</v>
      </c>
      <c r="D110" s="1"/>
      <c r="E110" s="1"/>
      <c r="F110" s="1844" t="e">
        <f>F89*F109/12</f>
        <v>#N/A</v>
      </c>
      <c r="G110" s="1845" t="str">
        <f>IFERROR("ICR "&amp;TEXT(Monthly_Rent/F110,"0%"),"")</f>
        <v/>
      </c>
      <c r="H110" s="1"/>
      <c r="I110" s="1844" t="e">
        <f>I89*I109/12</f>
        <v>#N/A</v>
      </c>
      <c r="J110" s="1845" t="str">
        <f>IFERROR("ICR "&amp;TEXT(Monthly_Rent/I110,"0%"),"")</f>
        <v/>
      </c>
      <c r="K110" s="1"/>
      <c r="L110" s="1844" t="e">
        <f>L89*L109/12</f>
        <v>#N/A</v>
      </c>
      <c r="M110" s="1845" t="str">
        <f>IFERROR("ICR "&amp;TEXT(Monthly_Rent/L110,"0%"),"")</f>
        <v/>
      </c>
      <c r="N110" s="2652"/>
      <c r="O110" s="1844" t="e">
        <f>O89*O109/12</f>
        <v>#N/A</v>
      </c>
      <c r="P110" s="1845" t="str">
        <f>IFERROR("ICR "&amp;TEXT(Monthly_Rent/O110,"0%"),"")</f>
        <v/>
      </c>
      <c r="Q110" s="287"/>
      <c r="R110" s="2747" t="s">
        <v>170</v>
      </c>
      <c r="S110" s="2757"/>
      <c r="T110" s="2565"/>
      <c r="U110" s="1774"/>
      <c r="V110" s="3239" t="s">
        <v>427</v>
      </c>
      <c r="W110" s="3239"/>
      <c r="X110" s="2384" t="s">
        <v>425</v>
      </c>
      <c r="Y110" s="2379"/>
      <c r="Z110" s="2379"/>
      <c r="AA110" s="2379" t="s">
        <v>428</v>
      </c>
      <c r="AB110" s="2379"/>
      <c r="AC110" s="2379"/>
      <c r="AD110" s="2379"/>
      <c r="AE110" s="2379"/>
      <c r="AG110" s="1711"/>
      <c r="AH110" s="1703"/>
      <c r="AI110" s="1703"/>
      <c r="AJ110" s="1069"/>
      <c r="AK110"/>
      <c r="AL110" s="67"/>
      <c r="AM110" s="67"/>
      <c r="AS110" s="137"/>
      <c r="AT110" s="137"/>
    </row>
    <row r="111" spans="1:51" ht="20.100000000000001" customHeight="1" x14ac:dyDescent="0.35">
      <c r="A111"/>
      <c r="B111" s="1709"/>
      <c r="R111" s="1741"/>
      <c r="U111" s="1"/>
      <c r="V111" s="3332" t="s">
        <v>429</v>
      </c>
      <c r="W111" s="3332"/>
      <c r="X111" s="2384" t="str">
        <f>IF(V5="3 Year Fixed","4% of loan balance in yr1, 3% of loan balance in yr2, 2% of loan balance in yr3. No charge thereafter.",IF(V5="5 Year Fixed","5% of loan balance in yr1, 4% of loan balance in yr2, 3% of loan balance in yr3, 2% of loan balance in yr4, 1% of loan balance in yr5. No charge thereafter.",IF(V5="2 Year Fixed","4% of loan balance in yr1, 3% of loan balance in yr2. No charge thereafter.","3% of loan balance in yr1, 2.5% of loan balance in yr2. No charge thereafter.")))</f>
        <v>3% of loan balance in yr1, 2.5% of loan balance in yr2. No charge thereafter.</v>
      </c>
      <c r="Y111" s="2538"/>
      <c r="Z111" s="2539"/>
      <c r="AA111" s="2539"/>
      <c r="AB111" s="2539"/>
      <c r="AC111" s="2539"/>
      <c r="AD111" s="2539"/>
      <c r="AE111" s="2539"/>
      <c r="AG111" s="1711"/>
      <c r="AH111" s="1703"/>
      <c r="AI111" s="1703"/>
      <c r="AJ111" s="1069"/>
      <c r="AK111"/>
      <c r="AL111" s="67"/>
      <c r="AM111" s="67"/>
    </row>
    <row r="112" spans="1:51" ht="7.5" customHeight="1" x14ac:dyDescent="0.35">
      <c r="A112"/>
      <c r="B112" s="1558"/>
      <c r="Q112" s="1"/>
      <c r="R112" s="1"/>
      <c r="S112" s="1"/>
      <c r="T112" s="1"/>
      <c r="U112" s="1"/>
      <c r="X112" s="3330" t="s">
        <v>430</v>
      </c>
      <c r="Y112" s="3330"/>
      <c r="Z112" s="3330"/>
      <c r="AA112" s="3330"/>
      <c r="AB112" s="3330"/>
      <c r="AC112" s="3330"/>
      <c r="AD112" s="3330"/>
      <c r="AE112" s="3330"/>
      <c r="AG112" s="1711"/>
      <c r="AH112" s="1703"/>
      <c r="AI112" s="1703"/>
      <c r="AJ112" s="1069"/>
      <c r="AK112"/>
      <c r="AL112" s="67"/>
      <c r="AM112" s="67"/>
    </row>
    <row r="113" spans="1:49" x14ac:dyDescent="0.35">
      <c r="A113" s="1"/>
      <c r="B113" s="1558"/>
      <c r="C113" s="1746"/>
      <c r="D113" s="1747"/>
      <c r="E113" s="1747"/>
      <c r="F113" s="1857" t="s">
        <v>431</v>
      </c>
      <c r="G113" s="1747"/>
      <c r="H113" s="357"/>
      <c r="I113" s="357"/>
      <c r="J113" s="1"/>
      <c r="K113" s="1"/>
      <c r="L113" s="1"/>
      <c r="M113" s="1"/>
      <c r="N113" s="1"/>
      <c r="O113" s="1"/>
      <c r="P113" s="1"/>
      <c r="Q113" s="1"/>
      <c r="R113" s="1"/>
      <c r="S113" s="1"/>
      <c r="T113" s="1"/>
      <c r="U113" s="1"/>
      <c r="V113" s="2563"/>
      <c r="X113" s="3331"/>
      <c r="Y113" s="3331"/>
      <c r="Z113" s="3331"/>
      <c r="AA113" s="3331"/>
      <c r="AB113" s="3331"/>
      <c r="AC113" s="3331"/>
      <c r="AD113" s="3331"/>
      <c r="AE113" s="3331"/>
      <c r="AG113" s="1711"/>
      <c r="AH113" s="1703"/>
      <c r="AI113" s="1703"/>
      <c r="AJ113" s="1069"/>
      <c r="AK113"/>
      <c r="AL113" s="67"/>
      <c r="AM113" s="67"/>
    </row>
    <row r="114" spans="1:49" ht="15.75" customHeight="1" x14ac:dyDescent="0.35">
      <c r="A114"/>
      <c r="B114" s="1558"/>
      <c r="C114" s="1827" t="s">
        <v>432</v>
      </c>
      <c r="D114" s="1856"/>
      <c r="E114" s="1828"/>
      <c r="F114" s="3343" t="str">
        <f>IF(ISNUMBER(SEARCH("Commercial",V3)),'KB_CRITERIA AND CALCULATION '!AA66,'KB_CRITERIA AND CALCULATION '!H66)</f>
        <v/>
      </c>
      <c r="G114" s="3343"/>
      <c r="H114" s="3343"/>
      <c r="I114" s="3344"/>
      <c r="J114" s="1"/>
      <c r="K114" s="1"/>
      <c r="L114" s="1"/>
      <c r="M114" s="293"/>
      <c r="N114" s="293"/>
      <c r="O114" s="293"/>
      <c r="P114" s="293"/>
      <c r="Q114" s="293"/>
      <c r="R114" s="293"/>
      <c r="S114" s="293"/>
      <c r="T114" s="1"/>
      <c r="U114" s="293"/>
      <c r="V114" s="593"/>
      <c r="X114" s="3331"/>
      <c r="Y114" s="3331"/>
      <c r="Z114" s="3331"/>
      <c r="AA114" s="3331"/>
      <c r="AB114" s="3331"/>
      <c r="AC114" s="3331"/>
      <c r="AD114" s="3331"/>
      <c r="AE114" s="3331"/>
      <c r="AG114" s="1711"/>
      <c r="AH114" s="1558"/>
      <c r="AI114" s="1558"/>
      <c r="AJ114" s="914"/>
      <c r="AK114"/>
      <c r="AL114" s="67"/>
      <c r="AM114" s="67"/>
    </row>
    <row r="115" spans="1:49" ht="16.5" customHeight="1" x14ac:dyDescent="0.35">
      <c r="A115" s="914"/>
      <c r="B115" s="1558"/>
      <c r="C115" s="1827" t="s">
        <v>433</v>
      </c>
      <c r="D115" s="1856"/>
      <c r="E115" s="1828"/>
      <c r="F115" s="3343" t="str">
        <f>IF(ISNUMBER(SEARCH("Commercial",V3)),'KB_CRITERIA AND CALCULATION '!AE66,'KB_CRITERIA AND CALCULATION '!I66)</f>
        <v/>
      </c>
      <c r="G115" s="3343"/>
      <c r="H115" s="3343"/>
      <c r="I115" s="3344"/>
      <c r="T115" s="1"/>
      <c r="V115" s="2563"/>
      <c r="X115" s="3331"/>
      <c r="Y115" s="3331"/>
      <c r="Z115" s="3331"/>
      <c r="AA115" s="3331"/>
      <c r="AB115" s="3331"/>
      <c r="AC115" s="3331"/>
      <c r="AD115" s="3331"/>
      <c r="AE115" s="3331"/>
      <c r="AG115" s="1711"/>
      <c r="AH115" s="1558"/>
      <c r="AI115" s="1558"/>
      <c r="AJ115" s="914"/>
      <c r="AK115"/>
      <c r="AL115" s="67"/>
      <c r="AM115" s="67"/>
    </row>
    <row r="116" spans="1:49" ht="18" customHeight="1" x14ac:dyDescent="0.35">
      <c r="A116" s="914"/>
      <c r="B116" s="914"/>
      <c r="C116" s="1854" t="s">
        <v>434</v>
      </c>
      <c r="D116" s="1311"/>
      <c r="E116" s="1855"/>
      <c r="F116" s="3343" t="str">
        <f>'KB_CRITERIA AND CALCULATION '!J66</f>
        <v/>
      </c>
      <c r="G116" s="3343"/>
      <c r="H116" s="3343"/>
      <c r="I116" s="3344"/>
      <c r="T116"/>
      <c r="U116"/>
      <c r="V116" s="593"/>
      <c r="X116" s="3331"/>
      <c r="Y116" s="3331"/>
      <c r="Z116" s="3331"/>
      <c r="AA116" s="3331"/>
      <c r="AB116" s="3331"/>
      <c r="AC116" s="3331"/>
      <c r="AD116" s="3331"/>
      <c r="AE116" s="3331"/>
      <c r="AG116" s="1706"/>
      <c r="AH116" s="1558"/>
      <c r="AI116" s="1558"/>
      <c r="AJ116" s="914"/>
      <c r="AK116"/>
      <c r="AL116" s="67"/>
      <c r="AM116" s="67"/>
    </row>
    <row r="117" spans="1:49" x14ac:dyDescent="0.35">
      <c r="A117" s="914"/>
      <c r="B117" s="914"/>
      <c r="C117" s="2681"/>
      <c r="D117" s="1311"/>
      <c r="E117" s="2682"/>
      <c r="F117" s="3260"/>
      <c r="G117" s="3260"/>
      <c r="H117" s="3260"/>
      <c r="I117" s="3260"/>
      <c r="T117"/>
      <c r="U117"/>
      <c r="V117" s="1"/>
      <c r="W117"/>
      <c r="X117"/>
      <c r="Y117" s="1876"/>
      <c r="Z117" s="1876"/>
      <c r="AA117" s="1876"/>
      <c r="AB117" s="1876"/>
      <c r="AC117" s="1876"/>
      <c r="AD117" s="1876"/>
      <c r="AE117" s="1876"/>
      <c r="AF117" s="1876"/>
      <c r="AG117" s="1707"/>
      <c r="AH117" s="1707"/>
      <c r="AI117" s="1707"/>
      <c r="AJ117" s="1102"/>
      <c r="AK117" s="1102"/>
      <c r="AL117" s="891"/>
      <c r="AM117" s="891"/>
      <c r="AN117" s="891"/>
      <c r="AO117" s="891"/>
    </row>
    <row r="118" spans="1:49" ht="18" customHeight="1" x14ac:dyDescent="0.35">
      <c r="A118" s="914"/>
      <c r="B118" s="914"/>
      <c r="J118"/>
      <c r="K118"/>
      <c r="L118"/>
      <c r="M118" s="1773"/>
      <c r="N118" s="1773"/>
      <c r="O118" s="1773"/>
      <c r="P118" s="1773"/>
      <c r="T118"/>
      <c r="U118"/>
      <c r="V118" s="1"/>
      <c r="W118"/>
      <c r="X118"/>
      <c r="Y118" s="1786"/>
      <c r="Z118" s="1786"/>
      <c r="AA118" s="1786"/>
      <c r="AB118" s="1786"/>
      <c r="AC118" s="1786"/>
      <c r="AD118" s="1786"/>
      <c r="AE118" s="1786"/>
      <c r="AF118" s="1786"/>
      <c r="AG118" s="898"/>
      <c r="AH118" s="1690"/>
      <c r="AI118" s="1690"/>
      <c r="AJ118" s="1078"/>
      <c r="AK118" s="1078"/>
      <c r="AL118" s="869"/>
      <c r="AM118" s="869"/>
      <c r="AN118" s="869"/>
      <c r="AO118" s="869"/>
    </row>
    <row r="119" spans="1:49" ht="18" customHeight="1" x14ac:dyDescent="0.35">
      <c r="A119" s="914"/>
      <c r="B119" s="914"/>
      <c r="J119" s="914"/>
      <c r="K119" s="914"/>
      <c r="L119" s="914"/>
      <c r="M119" s="914"/>
      <c r="N119" s="914"/>
      <c r="O119" s="914"/>
      <c r="P119" s="914"/>
      <c r="Q119" s="914"/>
      <c r="R119" s="914"/>
      <c r="S119" s="914"/>
      <c r="T119" s="914"/>
      <c r="U119" s="914"/>
      <c r="V119" s="1"/>
      <c r="W119" s="914"/>
      <c r="X119" s="914"/>
      <c r="Y119" s="914"/>
      <c r="Z119" s="914"/>
      <c r="AA119" s="914"/>
      <c r="AB119" s="914"/>
      <c r="AC119" s="914"/>
      <c r="AD119" s="914"/>
      <c r="AE119" s="1103"/>
      <c r="AF119" s="1103"/>
      <c r="AG119" s="898"/>
      <c r="AH119" s="898"/>
      <c r="AI119" s="898"/>
      <c r="AJ119" s="898"/>
      <c r="AK119" s="898"/>
      <c r="AL119" s="898"/>
      <c r="AM119" s="898"/>
      <c r="AN119" s="898"/>
      <c r="AO119" s="898"/>
      <c r="AP119" s="1690"/>
      <c r="AQ119" s="1690"/>
      <c r="AR119" s="1078"/>
      <c r="AS119" s="1078"/>
      <c r="AT119" s="869"/>
      <c r="AU119" s="869"/>
      <c r="AV119" s="869"/>
      <c r="AW119" s="869"/>
    </row>
    <row r="120" spans="1:49" ht="8.25" customHeight="1" x14ac:dyDescent="0.35">
      <c r="A120" s="914"/>
      <c r="B120" s="914"/>
      <c r="C120" s="1813"/>
      <c r="D120" s="1814"/>
      <c r="E120" s="1814"/>
      <c r="F120" s="1815"/>
      <c r="G120" s="1815"/>
      <c r="H120" s="1815"/>
      <c r="I120" s="1815"/>
      <c r="J120" s="914"/>
      <c r="K120" s="914"/>
      <c r="L120" s="914"/>
      <c r="M120" s="914"/>
      <c r="N120" s="914"/>
      <c r="O120" s="914"/>
      <c r="P120" s="914"/>
      <c r="Q120" s="914"/>
      <c r="R120" s="914"/>
      <c r="S120" s="914"/>
      <c r="T120" s="914"/>
      <c r="U120" s="914"/>
      <c r="V120" s="1"/>
      <c r="W120" s="914"/>
      <c r="X120" s="914"/>
      <c r="Y120" s="914"/>
      <c r="Z120" s="914"/>
      <c r="AA120" s="914"/>
      <c r="AB120" s="914"/>
      <c r="AC120" s="914"/>
      <c r="AD120" s="914"/>
      <c r="AE120" s="1103"/>
      <c r="AF120" s="1103"/>
      <c r="AG120" s="898"/>
      <c r="AH120" s="898"/>
      <c r="AI120" s="898"/>
      <c r="AJ120" s="898"/>
      <c r="AK120" s="898"/>
      <c r="AL120" s="898"/>
      <c r="AM120" s="898"/>
      <c r="AN120" s="898"/>
      <c r="AO120" s="898"/>
      <c r="AP120" s="1690"/>
      <c r="AQ120" s="1690"/>
      <c r="AR120" s="1078"/>
      <c r="AS120" s="1078"/>
      <c r="AT120" s="869"/>
      <c r="AU120" s="869"/>
      <c r="AV120" s="869"/>
      <c r="AW120" s="869"/>
    </row>
    <row r="121" spans="1:49" s="541" customFormat="1" ht="22.5" hidden="1" customHeight="1" x14ac:dyDescent="0.45">
      <c r="A121" s="2822" t="s">
        <v>201</v>
      </c>
      <c r="B121" s="2822"/>
      <c r="C121" s="2822"/>
      <c r="D121" s="2822"/>
      <c r="E121" s="2822"/>
      <c r="F121" s="2822"/>
      <c r="G121" s="1104"/>
      <c r="H121" s="1104"/>
      <c r="I121" s="1104"/>
      <c r="J121" s="1104"/>
      <c r="K121" s="1104"/>
      <c r="L121" s="1104"/>
      <c r="M121" s="1104"/>
      <c r="N121" s="1104"/>
      <c r="O121" s="1104"/>
      <c r="P121" s="1104"/>
      <c r="Q121" s="1104"/>
      <c r="R121" s="1104"/>
      <c r="S121" s="1104"/>
      <c r="T121" s="1104"/>
      <c r="U121" s="1104"/>
      <c r="V121" s="1104"/>
      <c r="W121" s="1104"/>
      <c r="X121" s="1104"/>
      <c r="Y121" s="1104"/>
      <c r="Z121" s="1104"/>
      <c r="AA121" s="1104"/>
      <c r="AB121" s="1104"/>
      <c r="AC121" s="1104"/>
      <c r="AD121" s="1104"/>
      <c r="AE121" s="1104"/>
      <c r="AF121" s="1104"/>
      <c r="AG121" s="1104"/>
      <c r="AH121" s="1104"/>
      <c r="AI121" s="1104"/>
      <c r="AJ121" s="1104"/>
      <c r="AK121" s="1104"/>
      <c r="AL121" s="1104"/>
      <c r="AM121" s="1104"/>
      <c r="AN121" s="1104"/>
      <c r="AO121" s="1104"/>
      <c r="AP121" s="1104"/>
      <c r="AQ121" s="1104"/>
      <c r="AR121" s="1104"/>
      <c r="AS121" s="953"/>
    </row>
    <row r="122" spans="1:49" s="541" customFormat="1" ht="22.5" hidden="1" customHeight="1" x14ac:dyDescent="0.45">
      <c r="A122" s="1105"/>
      <c r="D122" s="2823" t="s">
        <v>202</v>
      </c>
      <c r="E122" s="2823"/>
      <c r="F122" s="2823"/>
      <c r="G122" s="2823"/>
      <c r="H122" s="2823"/>
      <c r="I122" s="2823"/>
      <c r="J122" s="2823"/>
      <c r="K122" s="2823"/>
      <c r="L122" s="2823"/>
      <c r="M122" s="2823"/>
      <c r="N122" s="2823"/>
      <c r="O122" s="2823"/>
      <c r="P122" s="2823"/>
      <c r="Q122" s="2823"/>
      <c r="R122" s="2823"/>
      <c r="S122" s="2823"/>
      <c r="T122" s="2823"/>
      <c r="U122" s="2823"/>
      <c r="V122" s="2823"/>
      <c r="W122" s="2823"/>
      <c r="X122" s="2823"/>
      <c r="AF122" s="1106"/>
      <c r="AG122" s="1106"/>
      <c r="AH122" s="1106"/>
      <c r="AI122" s="1106"/>
      <c r="AJ122" s="1106"/>
      <c r="AK122" s="1106"/>
      <c r="AL122" s="1106"/>
      <c r="AM122" s="1106"/>
      <c r="AN122" s="1106"/>
      <c r="AO122" s="1106"/>
      <c r="AP122" s="1106"/>
      <c r="AQ122" s="1106"/>
      <c r="AR122" s="1106"/>
      <c r="AS122" s="953"/>
    </row>
    <row r="123" spans="1:49" s="208" customFormat="1" hidden="1" x14ac:dyDescent="0.25">
      <c r="A123" s="914"/>
      <c r="AF123" s="1108"/>
      <c r="AG123" s="914"/>
      <c r="AO123" s="914"/>
      <c r="AP123" s="914"/>
      <c r="AQ123" s="914"/>
      <c r="AR123" s="914"/>
      <c r="AS123" s="914"/>
    </row>
    <row r="124" spans="1:49" s="208" customFormat="1" ht="21.75" hidden="1" customHeight="1" x14ac:dyDescent="0.25">
      <c r="A124" s="914"/>
      <c r="AF124" s="914"/>
      <c r="AG124" s="914"/>
      <c r="AL124" s="914"/>
      <c r="AM124" s="914"/>
      <c r="AN124" s="914"/>
      <c r="AO124" s="914"/>
      <c r="AP124" s="914"/>
      <c r="AQ124" s="914"/>
      <c r="AR124" s="914"/>
      <c r="AS124" s="914"/>
    </row>
    <row r="125" spans="1:49" s="208" customFormat="1" ht="22.5" hidden="1" customHeight="1" x14ac:dyDescent="0.25">
      <c r="A125" s="914"/>
      <c r="AE125" s="13" t="s">
        <v>203</v>
      </c>
      <c r="AF125" s="2815" t="e">
        <f>Gross_Loan</f>
        <v>#N/A</v>
      </c>
      <c r="AG125" s="2815"/>
      <c r="AH125" s="1311"/>
      <c r="AI125" s="1311"/>
      <c r="AJ125" s="1311"/>
      <c r="AK125" s="1311"/>
      <c r="AL125" s="1324"/>
      <c r="AM125" s="1325"/>
      <c r="AN125"/>
      <c r="AO125"/>
      <c r="AP125"/>
      <c r="AQ125"/>
      <c r="AR125"/>
      <c r="AS125" s="914"/>
    </row>
    <row r="126" spans="1:49" s="208" customFormat="1" ht="15" hidden="1" customHeight="1" x14ac:dyDescent="0.25">
      <c r="A126" s="914"/>
      <c r="AE126" s="18" t="s">
        <v>204</v>
      </c>
      <c r="AF126" s="2814" t="e">
        <f>-'KB_CRITERIA AND CALCULATION '!$AH$90</f>
        <v>#N/A</v>
      </c>
      <c r="AG126" s="2814"/>
      <c r="AL126" s="914"/>
      <c r="AM126" s="1327"/>
      <c r="AN126"/>
      <c r="AO126"/>
      <c r="AP126"/>
      <c r="AQ126"/>
      <c r="AR126"/>
      <c r="AS126" s="914"/>
    </row>
    <row r="127" spans="1:49" s="208" customFormat="1" hidden="1" x14ac:dyDescent="0.25">
      <c r="A127" s="914"/>
      <c r="AE127" s="18" t="s">
        <v>205</v>
      </c>
      <c r="AF127" s="2814" t="e">
        <f>-Deferred_Int_Owed</f>
        <v>#N/A</v>
      </c>
      <c r="AG127" s="2814"/>
      <c r="AL127" s="914"/>
      <c r="AM127" s="1327"/>
      <c r="AN127"/>
      <c r="AO127"/>
      <c r="AP127"/>
      <c r="AQ127"/>
      <c r="AR127"/>
      <c r="AS127" s="914"/>
    </row>
    <row r="128" spans="1:49" s="208" customFormat="1" hidden="1" x14ac:dyDescent="0.25">
      <c r="A128" s="914"/>
      <c r="AE128" s="18" t="s">
        <v>206</v>
      </c>
      <c r="AF128" s="2814" t="e">
        <f>-M148</f>
        <v>#N/A</v>
      </c>
      <c r="AG128" s="2814"/>
      <c r="AL128" s="914"/>
      <c r="AM128" s="1327"/>
      <c r="AN128"/>
      <c r="AO128"/>
      <c r="AP128"/>
      <c r="AQ128"/>
      <c r="AR128"/>
      <c r="AS128" s="914"/>
    </row>
    <row r="129" spans="1:70" s="208" customFormat="1" ht="15" hidden="1" customHeight="1" x14ac:dyDescent="0.25">
      <c r="A129" s="914"/>
      <c r="AE129" s="13" t="s">
        <v>207</v>
      </c>
      <c r="AF129" s="2815" t="e">
        <f>SUM(AF125:AF128)</f>
        <v>#N/A</v>
      </c>
      <c r="AG129" s="2815"/>
      <c r="AL129" s="914"/>
      <c r="AM129" s="1327"/>
      <c r="AN129"/>
      <c r="AO129"/>
      <c r="AP129"/>
      <c r="AQ129"/>
      <c r="AR129"/>
      <c r="AS129" s="914"/>
    </row>
    <row r="130" spans="1:70" s="293" customFormat="1" ht="15" hidden="1" customHeight="1" x14ac:dyDescent="0.35">
      <c r="A130" s="914"/>
      <c r="AE130" s="18" t="s">
        <v>208</v>
      </c>
      <c r="AF130" s="2814" t="e">
        <f>AF125</f>
        <v>#N/A</v>
      </c>
      <c r="AG130" s="2814"/>
      <c r="AL130" s="914"/>
      <c r="AM130" s="1327"/>
      <c r="AN130"/>
      <c r="AO130"/>
      <c r="AP130"/>
      <c r="AQ130"/>
      <c r="AR130"/>
      <c r="AS130"/>
      <c r="AT130" s="67"/>
      <c r="AU130" s="67"/>
      <c r="AV130" s="67"/>
      <c r="AW130" s="67"/>
      <c r="AX130" s="67"/>
      <c r="AY130" s="67"/>
      <c r="AZ130" s="67"/>
      <c r="BA130" s="67"/>
      <c r="BB130" s="67"/>
      <c r="BC130" s="67"/>
      <c r="BD130" s="67"/>
      <c r="BE130" s="67"/>
      <c r="BF130" s="67"/>
      <c r="BG130" s="67"/>
      <c r="BH130" s="67"/>
      <c r="BI130" s="67"/>
      <c r="BJ130" s="67"/>
      <c r="BK130" s="67"/>
      <c r="BL130" s="67"/>
      <c r="BM130" s="67"/>
      <c r="BN130" s="67"/>
      <c r="BO130" s="67"/>
      <c r="BP130" s="67"/>
      <c r="BQ130" s="67"/>
      <c r="BR130" s="67"/>
    </row>
    <row r="131" spans="1:70" s="293" customFormat="1" ht="15" hidden="1" customHeight="1" x14ac:dyDescent="0.35">
      <c r="A131" s="914"/>
      <c r="AF131" s="15"/>
      <c r="AG131" s="1832"/>
      <c r="AH131" s="287"/>
      <c r="AI131" s="1"/>
      <c r="AL131" s="914"/>
      <c r="AM131" s="1327"/>
      <c r="AN131"/>
      <c r="AO131"/>
      <c r="AP131"/>
      <c r="AQ131"/>
      <c r="AR131"/>
      <c r="AS131"/>
      <c r="AT131" s="67"/>
      <c r="AU131" s="67"/>
      <c r="AV131" s="67"/>
      <c r="AW131" s="67"/>
      <c r="AX131" s="67"/>
      <c r="AY131" s="67"/>
      <c r="AZ131" s="67"/>
      <c r="BA131" s="67"/>
      <c r="BB131" s="67"/>
      <c r="BC131" s="67"/>
      <c r="BD131" s="67"/>
      <c r="BE131" s="67"/>
      <c r="BF131" s="67"/>
      <c r="BG131" s="67"/>
      <c r="BH131" s="67"/>
      <c r="BI131" s="67"/>
      <c r="BJ131" s="67"/>
      <c r="BK131" s="67"/>
      <c r="BL131" s="67"/>
      <c r="BM131" s="67"/>
      <c r="BN131" s="67"/>
      <c r="BO131" s="67"/>
      <c r="BP131" s="67"/>
      <c r="BQ131" s="67"/>
      <c r="BR131" s="67"/>
    </row>
    <row r="132" spans="1:70" s="293" customFormat="1" ht="14.25" hidden="1" customHeight="1" x14ac:dyDescent="0.35">
      <c r="A132" s="914"/>
      <c r="AE132" s="1329" t="e">
        <f>R144</f>
        <v>#N/A</v>
      </c>
      <c r="AF132" s="2816" t="str">
        <f>M144</f>
        <v>-</v>
      </c>
      <c r="AG132" s="2816"/>
      <c r="AL132" s="914"/>
      <c r="AM132" s="1327"/>
      <c r="AN132"/>
      <c r="AO132"/>
      <c r="AP132"/>
      <c r="AQ132"/>
      <c r="AR132"/>
      <c r="AS132"/>
      <c r="AT132" s="67"/>
      <c r="AU132" s="67"/>
      <c r="AV132" s="67"/>
      <c r="AW132" s="67"/>
      <c r="AX132" s="67"/>
      <c r="AY132" s="67"/>
      <c r="AZ132" s="67"/>
      <c r="BA132" s="67"/>
      <c r="BB132" s="67"/>
      <c r="BC132" s="67"/>
      <c r="BD132" s="67"/>
      <c r="BE132" s="67"/>
      <c r="BF132" s="67"/>
      <c r="BG132" s="67"/>
      <c r="BH132" s="67"/>
      <c r="BI132" s="67"/>
      <c r="BJ132" s="67"/>
      <c r="BK132" s="67"/>
      <c r="BL132" s="67"/>
      <c r="BM132" s="67"/>
      <c r="BN132" s="67"/>
      <c r="BO132" s="67"/>
      <c r="BP132" s="67"/>
      <c r="BQ132" s="67"/>
      <c r="BR132" s="67"/>
    </row>
    <row r="133" spans="1:70" s="293" customFormat="1" hidden="1" x14ac:dyDescent="0.35">
      <c r="A133" s="914"/>
      <c r="AE133" s="1329" t="e">
        <f>AE127&amp;" @"&amp;TEXT(DeferedIntPercent,"0.00%")&amp;" paid at redemption"</f>
        <v>#N/A</v>
      </c>
      <c r="AF133" s="2809" t="e">
        <f>-AF127</f>
        <v>#N/A</v>
      </c>
      <c r="AG133" s="2809"/>
      <c r="AL133" s="914"/>
      <c r="AM133" s="1327"/>
      <c r="AN133"/>
      <c r="AO133"/>
      <c r="AP133"/>
      <c r="AQ133"/>
      <c r="AR133"/>
      <c r="AS133"/>
      <c r="AT133" s="67"/>
      <c r="AU133" s="67"/>
      <c r="AV133" s="67"/>
      <c r="AW133" s="67"/>
      <c r="AX133" s="67"/>
      <c r="AY133" s="67"/>
      <c r="AZ133" s="67"/>
      <c r="BA133" s="67"/>
      <c r="BB133" s="67"/>
      <c r="BC133" s="67"/>
      <c r="BD133" s="67"/>
      <c r="BE133" s="67"/>
      <c r="BF133" s="67"/>
      <c r="BG133" s="67"/>
      <c r="BH133" s="67"/>
      <c r="BI133" s="67"/>
      <c r="BJ133" s="67"/>
      <c r="BK133" s="67"/>
      <c r="BL133" s="67"/>
      <c r="BM133" s="67"/>
      <c r="BN133" s="67"/>
      <c r="BO133" s="67"/>
      <c r="BP133" s="67"/>
      <c r="BQ133" s="67"/>
      <c r="BR133" s="67"/>
    </row>
    <row r="134" spans="1:70" s="293" customFormat="1" hidden="1" x14ac:dyDescent="0.35">
      <c r="A134" s="914"/>
      <c r="AE134" s="1329" t="e">
        <f>TEXT(RollupMonths,"0")&amp;" "&amp;AE128&amp;" paid at redemption"</f>
        <v>#N/A</v>
      </c>
      <c r="AF134" s="2809" t="e">
        <f>-AF128</f>
        <v>#N/A</v>
      </c>
      <c r="AG134" s="2809"/>
      <c r="AL134" s="914"/>
      <c r="AM134" s="1327"/>
      <c r="AN134"/>
      <c r="AO134"/>
      <c r="AP134"/>
      <c r="AQ134"/>
      <c r="AR134"/>
      <c r="AS134"/>
      <c r="AT134" s="67"/>
      <c r="AU134" s="67"/>
      <c r="AV134" s="67"/>
      <c r="AW134" s="67"/>
      <c r="AX134" s="67"/>
      <c r="AY134" s="67"/>
      <c r="AZ134" s="67"/>
      <c r="BA134" s="67"/>
      <c r="BB134" s="67"/>
      <c r="BC134" s="67"/>
      <c r="BD134" s="67"/>
      <c r="BE134" s="67"/>
      <c r="BF134" s="67"/>
      <c r="BG134" s="67"/>
      <c r="BH134" s="67"/>
      <c r="BI134" s="67"/>
      <c r="BJ134" s="67"/>
      <c r="BK134" s="67"/>
      <c r="BL134" s="67"/>
      <c r="BM134" s="67"/>
      <c r="BN134" s="67"/>
      <c r="BO134" s="67"/>
      <c r="BP134" s="67"/>
      <c r="BQ134" s="67"/>
      <c r="BR134" s="67"/>
    </row>
    <row r="135" spans="1:70" s="293" customFormat="1" hidden="1" x14ac:dyDescent="0.25">
      <c r="A135" s="914"/>
      <c r="AE135" s="1329" t="s">
        <v>209</v>
      </c>
      <c r="AF135" s="2809" t="e">
        <f>M152</f>
        <v>#N/A</v>
      </c>
      <c r="AG135" s="2809"/>
      <c r="AH135" s="1330" t="e">
        <f>"-&gt; "&amp;'BTL Calculator'!Z102</f>
        <v>#N/A</v>
      </c>
      <c r="AJ135" s="914"/>
      <c r="AK135" s="914"/>
      <c r="AL135" s="914"/>
      <c r="AM135" s="1327"/>
      <c r="AN135"/>
      <c r="AO135"/>
      <c r="AP135"/>
      <c r="AQ135"/>
      <c r="AR135"/>
      <c r="AS135" s="1112"/>
      <c r="AT135" s="208"/>
      <c r="AU135" s="208"/>
      <c r="AV135" s="208"/>
      <c r="AW135" s="208"/>
      <c r="AX135" s="208"/>
      <c r="AY135" s="208"/>
      <c r="AZ135" s="208"/>
      <c r="BA135" s="208"/>
      <c r="BB135" s="208"/>
    </row>
    <row r="136" spans="1:70" s="293" customFormat="1" hidden="1" x14ac:dyDescent="0.35">
      <c r="A136" s="914"/>
      <c r="AE136" s="1329" t="s">
        <v>210</v>
      </c>
      <c r="AF136" s="2810" t="e">
        <f>SUM(AF133:AF135)</f>
        <v>#N/A</v>
      </c>
      <c r="AG136" s="2810"/>
      <c r="AH136" s="1142" t="s">
        <v>211</v>
      </c>
      <c r="AI136" s="1332"/>
      <c r="AJ136" s="1334"/>
      <c r="AK136" s="1334"/>
      <c r="AL136" s="1334"/>
      <c r="AM136" s="1335"/>
      <c r="AN136"/>
      <c r="AO136"/>
      <c r="AP136"/>
      <c r="AQ136"/>
      <c r="AR136"/>
      <c r="AS136" s="1112"/>
      <c r="AT136" s="67"/>
      <c r="AU136" s="67"/>
      <c r="AV136" s="67"/>
      <c r="AW136" s="67"/>
      <c r="AX136" s="67"/>
      <c r="AY136" s="67"/>
      <c r="AZ136" s="67"/>
      <c r="BA136" s="67"/>
      <c r="BB136" s="67"/>
      <c r="BC136" s="67"/>
      <c r="BD136" s="67"/>
      <c r="BE136" s="67"/>
      <c r="BF136" s="67"/>
      <c r="BG136" s="67"/>
      <c r="BH136" s="67"/>
      <c r="BI136" s="67"/>
      <c r="BJ136" s="67"/>
      <c r="BK136" s="67"/>
      <c r="BL136" s="67"/>
      <c r="BM136" s="67"/>
      <c r="BN136" s="67"/>
      <c r="BO136" s="67"/>
      <c r="BP136" s="67"/>
      <c r="BQ136" s="67"/>
      <c r="BR136" s="67"/>
    </row>
    <row r="137" spans="1:70" hidden="1" x14ac:dyDescent="0.35">
      <c r="A137" s="914"/>
      <c r="C137" s="67"/>
      <c r="D137" s="2811" t="s">
        <v>212</v>
      </c>
      <c r="E137" s="2811"/>
      <c r="F137" s="2811"/>
      <c r="G137" s="2811"/>
      <c r="H137" s="2811"/>
      <c r="I137" s="2811"/>
      <c r="J137" s="2811"/>
      <c r="K137" s="2811"/>
      <c r="L137" s="2811"/>
      <c r="M137" s="2811"/>
      <c r="N137" s="2811"/>
      <c r="O137" s="2811"/>
      <c r="P137" s="2811"/>
      <c r="Q137" s="2811"/>
      <c r="R137" s="2811"/>
      <c r="S137" s="2811"/>
      <c r="T137" s="2811"/>
      <c r="U137" s="2811"/>
      <c r="V137" s="2811"/>
      <c r="W137" s="2811"/>
      <c r="X137" s="2811"/>
      <c r="AI137"/>
      <c r="AJ137" s="914"/>
      <c r="AK137" s="914"/>
      <c r="AL137" s="914"/>
      <c r="AM137" s="914"/>
      <c r="AN137"/>
      <c r="AO137"/>
      <c r="AP137"/>
      <c r="AQ137"/>
      <c r="AR137"/>
      <c r="AS137"/>
    </row>
    <row r="138" spans="1:70" s="287" customFormat="1" ht="18.75" hidden="1" outlineLevel="1" thickBot="1" x14ac:dyDescent="0.4">
      <c r="A138" s="914"/>
      <c r="B138" s="930"/>
      <c r="C138" s="914"/>
      <c r="D138" s="914"/>
      <c r="E138" s="914"/>
      <c r="F138" s="1"/>
      <c r="G138" s="1"/>
      <c r="H138" s="1"/>
      <c r="I138" s="1"/>
      <c r="J138" s="1"/>
      <c r="K138" s="1"/>
      <c r="L138" s="1"/>
      <c r="M138" s="1"/>
      <c r="N138" s="1"/>
      <c r="O138" s="1"/>
      <c r="P138" s="1"/>
      <c r="Q138"/>
      <c r="R138" s="914"/>
      <c r="S138" s="914"/>
      <c r="T138" s="914"/>
      <c r="U138" s="914"/>
      <c r="V138" s="1112"/>
      <c r="AF138" s="456"/>
      <c r="AO138"/>
      <c r="AP138"/>
      <c r="AQ138"/>
      <c r="AR138"/>
      <c r="AS138"/>
      <c r="AT138" s="67"/>
      <c r="AU138" s="67"/>
    </row>
    <row r="139" spans="1:70" s="287" customFormat="1" ht="21.75" hidden="1" outlineLevel="1" thickBot="1" x14ac:dyDescent="0.4">
      <c r="A139"/>
      <c r="B139" s="930"/>
      <c r="C139" s="914"/>
      <c r="D139" s="1277" t="s">
        <v>213</v>
      </c>
      <c r="E139" s="1278"/>
      <c r="F139" s="1278"/>
      <c r="G139" s="1278"/>
      <c r="H139" s="1278"/>
      <c r="I139" s="1278"/>
      <c r="J139" s="1278"/>
      <c r="K139" s="1278"/>
      <c r="L139" s="1278"/>
      <c r="M139" s="1278"/>
      <c r="N139" s="1278"/>
      <c r="O139" s="1278"/>
      <c r="P139" s="1278"/>
      <c r="Q139" s="1278"/>
      <c r="R139" s="1278"/>
      <c r="S139" s="1278"/>
      <c r="T139" s="1278"/>
      <c r="U139" s="1278"/>
      <c r="V139" s="1278"/>
      <c r="W139" s="1278"/>
      <c r="X139" s="1279"/>
      <c r="Y139"/>
      <c r="Z139"/>
      <c r="AA139"/>
      <c r="AB139"/>
      <c r="AC139"/>
      <c r="AF139" s="456"/>
      <c r="AK139"/>
      <c r="AP139"/>
      <c r="AT139" s="67"/>
      <c r="AU139" s="67"/>
    </row>
    <row r="140" spans="1:70" s="287" customFormat="1" ht="20.25" hidden="1" customHeight="1" outlineLevel="1" x14ac:dyDescent="0.35">
      <c r="A140"/>
      <c r="B140" s="930"/>
      <c r="C140" s="914"/>
      <c r="D140" s="1113"/>
      <c r="E140" s="1114" t="str">
        <f>"Product Selected from the '"&amp;'BTL Calculator'!G60&amp;"' section, tier "&amp;'BTL Calculator'!$G$62</f>
        <v>Product Selected from the 'Basic Loan' section, tier 1) Standard</v>
      </c>
      <c r="F140" s="914"/>
      <c r="G140" s="914"/>
      <c r="H140" s="1114"/>
      <c r="I140" s="914"/>
      <c r="K140" s="914"/>
      <c r="L140" s="914"/>
      <c r="M140" s="914"/>
      <c r="N140" s="914"/>
      <c r="O140" s="914"/>
      <c r="P140" s="914"/>
      <c r="R140" s="914"/>
      <c r="S140" s="914"/>
      <c r="T140" s="914"/>
      <c r="U140" s="914"/>
      <c r="V140" s="914"/>
      <c r="W140"/>
      <c r="X140" s="1115"/>
      <c r="Y140"/>
      <c r="Z140"/>
      <c r="AA140"/>
      <c r="AB140"/>
      <c r="AC140"/>
      <c r="AF140"/>
      <c r="AK140"/>
      <c r="AP140"/>
      <c r="AT140" s="67"/>
      <c r="AU140" s="67"/>
    </row>
    <row r="141" spans="1:70" s="287" customFormat="1" ht="20.25" hidden="1" customHeight="1" outlineLevel="1" x14ac:dyDescent="0.35">
      <c r="A141"/>
      <c r="B141" s="930"/>
      <c r="C141" s="914"/>
      <c r="D141" s="1113"/>
      <c r="E141" s="862"/>
      <c r="F141" s="865"/>
      <c r="G141" s="1116"/>
      <c r="H141" s="862"/>
      <c r="I141" s="865"/>
      <c r="J141" s="862"/>
      <c r="K141" s="865"/>
      <c r="L141" s="1116" t="s">
        <v>214</v>
      </c>
      <c r="M141" s="2812" t="e">
        <f>'KB_CRITERIA AND CALCULATION '!H90</f>
        <v>#N/A</v>
      </c>
      <c r="N141" s="2812"/>
      <c r="O141" s="2812"/>
      <c r="P141" s="2812"/>
      <c r="Q141" s="2812"/>
      <c r="R141" s="1296" t="str">
        <f>IF(H28="Yes","Tracker rate","")</f>
        <v/>
      </c>
      <c r="S141" s="1117"/>
      <c r="T141" s="1117"/>
      <c r="U141" s="1117"/>
      <c r="V141" s="1117"/>
      <c r="W141"/>
      <c r="X141" s="1115"/>
      <c r="Y141"/>
      <c r="Z141"/>
      <c r="AA141"/>
      <c r="AB141"/>
      <c r="AC141"/>
      <c r="AF141" s="865"/>
      <c r="AG141" s="456"/>
      <c r="AH141" s="456"/>
      <c r="AI141" s="208"/>
      <c r="AK141"/>
      <c r="AP141"/>
      <c r="AT141" s="67"/>
      <c r="AU141" s="67"/>
    </row>
    <row r="142" spans="1:70" s="287" customFormat="1" ht="20.25" hidden="1" customHeight="1" outlineLevel="1" x14ac:dyDescent="0.35">
      <c r="A142"/>
      <c r="B142"/>
      <c r="C142"/>
      <c r="D142" s="1118"/>
      <c r="E142" s="1119"/>
      <c r="F142" s="1120"/>
      <c r="G142" s="1121"/>
      <c r="H142" s="1119"/>
      <c r="I142" s="1120"/>
      <c r="J142" s="1119"/>
      <c r="K142" s="1120"/>
      <c r="L142" s="1121" t="s">
        <v>114</v>
      </c>
      <c r="M142" s="2813" t="e">
        <f>'KB_CRITERIA AND CALCULATION '!I90</f>
        <v>#N/A</v>
      </c>
      <c r="N142" s="2813"/>
      <c r="O142" s="2813"/>
      <c r="P142" s="2813"/>
      <c r="Q142" s="2813"/>
      <c r="R142" s="1284" t="e">
        <f>'KB_CRITERIA AND CALCULATION '!AH90</f>
        <v>#N/A</v>
      </c>
      <c r="S142" s="1284"/>
      <c r="T142" s="1284"/>
      <c r="U142" s="1284"/>
      <c r="V142" s="1284"/>
      <c r="W142" s="1284"/>
      <c r="X142" s="1285"/>
      <c r="Y142"/>
      <c r="Z142"/>
      <c r="AA142"/>
      <c r="AB142"/>
      <c r="AC142"/>
      <c r="AD142"/>
      <c r="AE142"/>
      <c r="AF142"/>
      <c r="AK142"/>
      <c r="AP142"/>
      <c r="AT142" s="67"/>
      <c r="AU142" s="67"/>
    </row>
    <row r="143" spans="1:70" s="287" customFormat="1" ht="20.25" hidden="1" customHeight="1" outlineLevel="1" x14ac:dyDescent="0.35">
      <c r="A143"/>
      <c r="B143"/>
      <c r="C143"/>
      <c r="D143" s="1113"/>
      <c r="E143" s="1280"/>
      <c r="F143" s="1281"/>
      <c r="G143" s="1281"/>
      <c r="H143" s="930"/>
      <c r="I143" s="1116"/>
      <c r="J143" s="930"/>
      <c r="K143" s="1116"/>
      <c r="L143" s="1122" t="s">
        <v>215</v>
      </c>
      <c r="M143" s="2804" t="e">
        <f>IF(IF(RoundDown,'KB_CRITERIA AND CALCULATION '!$R$90,'KB_CRITERIA AND CALCULATION '!$Q$90)&lt;0,0,IF(RoundDown,'KB_CRITERIA AND CALCULATION '!$R$90,'KB_CRITERIA AND CALCULATION '!$Q$90))</f>
        <v>#N/A</v>
      </c>
      <c r="N143" s="2804"/>
      <c r="O143" s="2804"/>
      <c r="P143" s="2804"/>
      <c r="Q143" s="2804"/>
      <c r="R143" s="1123" t="e">
        <f>TEXT(Gross_Loan/Property_Value,"0%")&amp;" LTV"</f>
        <v>#N/A</v>
      </c>
      <c r="S143" s="1124"/>
      <c r="T143" s="1124"/>
      <c r="U143" s="1124"/>
      <c r="V143" s="1124"/>
      <c r="W143" s="1124"/>
      <c r="X143" s="1125"/>
      <c r="Y143"/>
      <c r="Z143"/>
      <c r="AA143"/>
      <c r="AB143"/>
      <c r="AC143"/>
      <c r="AD143"/>
      <c r="AE143"/>
      <c r="AF143"/>
      <c r="AK143"/>
      <c r="AP143"/>
      <c r="AT143" s="67"/>
      <c r="AU143" s="67"/>
    </row>
    <row r="144" spans="1:70" s="287" customFormat="1" ht="20.25" hidden="1" customHeight="1" outlineLevel="1" x14ac:dyDescent="0.35">
      <c r="A144"/>
      <c r="B144"/>
      <c r="C144"/>
      <c r="D144" s="1118"/>
      <c r="E144" s="1126"/>
      <c r="F144" s="1121"/>
      <c r="G144" s="1121"/>
      <c r="H144" s="1126"/>
      <c r="I144" s="1121"/>
      <c r="J144" s="1126"/>
      <c r="K144" s="1121"/>
      <c r="L144" s="1121" t="s">
        <v>216</v>
      </c>
      <c r="M144" s="2805" t="str">
        <f>'KB_CRITERIA AND CALCULATION '!S90</f>
        <v>-</v>
      </c>
      <c r="N144" s="2805"/>
      <c r="O144" s="2805"/>
      <c r="P144" s="2805"/>
      <c r="Q144" s="2805"/>
      <c r="R144" s="1127" t="e">
        <f>"MFS required interest: ("&amp;TEXT(M141,"0.00%")&amp;" x "&amp;TEXT(Gross_Loan/1000,"£0,0")&amp;"k)  x  "&amp;TEXT(M150/12,"0")&amp;" yrs"</f>
        <v>#N/A</v>
      </c>
      <c r="S144" s="1128"/>
      <c r="T144" s="1128"/>
      <c r="U144" s="1128"/>
      <c r="V144" s="1128"/>
      <c r="W144" s="1128"/>
      <c r="X144" s="1228" t="e">
        <f>M144/Term</f>
        <v>#VALUE!</v>
      </c>
      <c r="Y144"/>
      <c r="Z144"/>
      <c r="AA144"/>
      <c r="AB144"/>
      <c r="AC144"/>
      <c r="AD144"/>
      <c r="AE144"/>
      <c r="AF144"/>
      <c r="AK144"/>
      <c r="AP144"/>
      <c r="AT144" s="67"/>
      <c r="AU144" s="67"/>
    </row>
    <row r="145" spans="1:47" s="287" customFormat="1" ht="20.25" hidden="1" customHeight="1" outlineLevel="1" x14ac:dyDescent="0.35">
      <c r="A145"/>
      <c r="B145"/>
      <c r="C145"/>
      <c r="D145" s="1118"/>
      <c r="E145" s="1129"/>
      <c r="F145" s="1130"/>
      <c r="G145" s="1131"/>
      <c r="H145" s="1129"/>
      <c r="I145" s="1130"/>
      <c r="J145" s="1129"/>
      <c r="K145" s="1130"/>
      <c r="L145" s="1131" t="s">
        <v>217</v>
      </c>
      <c r="M145" s="2806" t="e">
        <f>IF('KB_CRITERIA AND CALCULATION '!L90&lt;0,0,'KB_CRITERIA AND CALCULATION '!L90)</f>
        <v>#N/A</v>
      </c>
      <c r="N145" s="2806"/>
      <c r="O145" s="2806"/>
      <c r="P145" s="2806"/>
      <c r="Q145" s="2806"/>
      <c r="R145" s="2807" t="e">
        <f>"Rate "&amp;TEXT(M141,"0.00%")&amp;" less "&amp;TEXT('KB_CRITERIA AND CALCULATION '!J90,"0.00%")&amp;" deferred"</f>
        <v>#N/A</v>
      </c>
      <c r="S145" s="2807"/>
      <c r="T145" s="2807"/>
      <c r="U145" s="2807"/>
      <c r="V145" s="1282"/>
      <c r="W145" s="1282"/>
      <c r="X145" s="1283"/>
      <c r="Y145"/>
      <c r="Z145"/>
      <c r="AA145"/>
      <c r="AB145"/>
      <c r="AC145"/>
      <c r="AD145"/>
      <c r="AE145"/>
      <c r="AF145"/>
      <c r="AI145"/>
      <c r="AJ145"/>
      <c r="AK145"/>
      <c r="AP145"/>
      <c r="AT145" s="67"/>
      <c r="AU145" s="67"/>
    </row>
    <row r="146" spans="1:47" s="287" customFormat="1" ht="20.25" hidden="1" customHeight="1" outlineLevel="1" x14ac:dyDescent="0.35">
      <c r="A146"/>
      <c r="B146"/>
      <c r="C146"/>
      <c r="D146" s="1113"/>
      <c r="E146" s="1306"/>
      <c r="F146" s="1307"/>
      <c r="G146" s="1307"/>
      <c r="H146" s="1132"/>
      <c r="I146" s="1133"/>
      <c r="J146" s="1132"/>
      <c r="K146" s="1133"/>
      <c r="L146" s="1134" t="s">
        <v>218</v>
      </c>
      <c r="M146" s="862"/>
      <c r="N146" s="862"/>
      <c r="O146" s="862"/>
      <c r="P146" s="862"/>
      <c r="Q146" s="862"/>
      <c r="R146" s="1135"/>
      <c r="S146" s="1135"/>
      <c r="T146" s="1135"/>
      <c r="U146" s="1135"/>
      <c r="V146" s="1135"/>
      <c r="W146" s="1135"/>
      <c r="X146" s="1115"/>
      <c r="Y146"/>
      <c r="Z146"/>
      <c r="AA146"/>
      <c r="AB146"/>
      <c r="AC146"/>
      <c r="AD146"/>
      <c r="AE146"/>
      <c r="AF146"/>
      <c r="AI146"/>
      <c r="AJ146"/>
      <c r="AK146"/>
      <c r="AP146"/>
      <c r="AT146" s="67"/>
      <c r="AU146" s="67"/>
    </row>
    <row r="147" spans="1:47" s="287" customFormat="1" ht="20.25" hidden="1" customHeight="1" outlineLevel="1" x14ac:dyDescent="0.35">
      <c r="A147"/>
      <c r="B147"/>
      <c r="C147"/>
      <c r="D147" s="1113"/>
      <c r="E147" s="1132"/>
      <c r="F147" s="1136"/>
      <c r="G147" s="1136"/>
      <c r="H147" s="1132"/>
      <c r="I147" s="1136"/>
      <c r="J147" s="1132"/>
      <c r="K147" s="1136"/>
      <c r="L147" s="1137" t="s">
        <v>219</v>
      </c>
      <c r="M147" s="2808" t="e">
        <f>IF('KB_CRITERIA AND CALCULATION '!AD90&lt;0,0,'KB_CRITERIA AND CALCULATION '!AD90)</f>
        <v>#N/A</v>
      </c>
      <c r="N147" s="2808"/>
      <c r="O147" s="2808"/>
      <c r="P147" s="2808"/>
      <c r="Q147" s="2808"/>
      <c r="R147" s="1138" t="e">
        <f>TEXT('KB_CRITERIA AND CALCULATION '!J90,"0.00%")&amp;" deferred  X "&amp;TEXT(Gross_Loan/1000,"£0,0")&amp;"k loan = "&amp;TEXT((M141-M145)*M143,"£0,0")&amp;" pa"</f>
        <v>#N/A</v>
      </c>
      <c r="S147" s="1138"/>
      <c r="T147" s="1138"/>
      <c r="U147" s="1138"/>
      <c r="V147" s="1138"/>
      <c r="W147"/>
      <c r="X147" s="1115"/>
      <c r="Y147"/>
      <c r="Z147"/>
      <c r="AA147"/>
      <c r="AB147"/>
      <c r="AC147"/>
      <c r="AD147"/>
      <c r="AE147"/>
      <c r="AF147"/>
      <c r="AI147"/>
      <c r="AJ147"/>
      <c r="AK147"/>
      <c r="AP147"/>
      <c r="AT147" s="67"/>
      <c r="AU147" s="67"/>
    </row>
    <row r="148" spans="1:47" s="287" customFormat="1" ht="20.25" hidden="1" customHeight="1" outlineLevel="1" x14ac:dyDescent="0.35">
      <c r="A148"/>
      <c r="B148"/>
      <c r="C148"/>
      <c r="D148" s="1113"/>
      <c r="E148" s="865"/>
      <c r="F148" s="1136"/>
      <c r="G148" s="1136"/>
      <c r="H148" s="865"/>
      <c r="I148" s="1136"/>
      <c r="J148" s="865"/>
      <c r="K148" s="1136"/>
      <c r="L148" s="1137" t="s">
        <v>220</v>
      </c>
      <c r="M148" s="2808" t="e">
        <f>'KB_CRITERIA AND CALCULATION '!AE90</f>
        <v>#N/A</v>
      </c>
      <c r="N148" s="2808"/>
      <c r="O148" s="2808"/>
      <c r="P148" s="2808"/>
      <c r="Q148" s="2808"/>
      <c r="R148" s="1138" t="e">
        <f>TEXT('KB_CRITERIA AND CALCULATION '!K90,"0")&amp;"m rolled x "&amp;TEXT(M151,"£0,0")</f>
        <v>#N/A</v>
      </c>
      <c r="S148" s="1138"/>
      <c r="T148" s="1138"/>
      <c r="U148" s="1138"/>
      <c r="V148" s="1138"/>
      <c r="W148" s="862"/>
      <c r="X148" s="1139"/>
      <c r="Y148"/>
      <c r="Z148"/>
      <c r="AA148"/>
      <c r="AB148"/>
      <c r="AC148"/>
      <c r="AD148"/>
      <c r="AE148"/>
      <c r="AF148"/>
      <c r="AI148" s="1"/>
      <c r="AJ148" s="1"/>
      <c r="AK148" s="1"/>
      <c r="AP148" s="1"/>
      <c r="AU148" s="67"/>
    </row>
    <row r="149" spans="1:47" s="287" customFormat="1" ht="20.25" hidden="1" customHeight="1" outlineLevel="1" x14ac:dyDescent="0.35">
      <c r="A149"/>
      <c r="B149"/>
      <c r="C149"/>
      <c r="D149" s="1118"/>
      <c r="E149" s="1120"/>
      <c r="F149" s="1140"/>
      <c r="G149" s="1140"/>
      <c r="H149" s="1120"/>
      <c r="I149" s="1140"/>
      <c r="J149" s="1120"/>
      <c r="K149" s="1140"/>
      <c r="L149" s="1140" t="s">
        <v>221</v>
      </c>
      <c r="M149" s="2796" t="e">
        <f>IF('KB_CRITERIA AND CALCULATION '!AF90&lt;0,0,'KB_CRITERIA AND CALCULATION '!AF90)</f>
        <v>#N/A</v>
      </c>
      <c r="N149" s="2796"/>
      <c r="O149" s="2796"/>
      <c r="P149" s="2796"/>
      <c r="Q149" s="2796"/>
      <c r="R149" s="1141"/>
      <c r="S149" s="1141"/>
      <c r="T149" s="1141"/>
      <c r="U149" s="1141"/>
      <c r="V149" s="1141"/>
      <c r="W149" s="1142"/>
      <c r="X149" s="1143"/>
      <c r="Y149"/>
      <c r="Z149"/>
      <c r="AA149"/>
      <c r="AB149"/>
      <c r="AC149"/>
      <c r="AD149"/>
      <c r="AE149"/>
      <c r="AF149"/>
      <c r="AI149" s="1"/>
      <c r="AJ149" s="1"/>
      <c r="AK149" s="1"/>
      <c r="AP149" s="1"/>
      <c r="AU149" s="67"/>
    </row>
    <row r="150" spans="1:47" s="287" customFormat="1" ht="20.25" hidden="1" customHeight="1" outlineLevel="1" x14ac:dyDescent="0.35">
      <c r="A150"/>
      <c r="B150"/>
      <c r="C150"/>
      <c r="D150" s="1113"/>
      <c r="E150" s="1144"/>
      <c r="F150" s="862"/>
      <c r="G150" s="1116"/>
      <c r="H150" s="1144"/>
      <c r="I150" s="862"/>
      <c r="J150" s="1144"/>
      <c r="K150" s="862"/>
      <c r="L150" s="1116" t="s">
        <v>222</v>
      </c>
      <c r="M150" s="2797" t="e">
        <f>Term-IF('BTL Calculator'!CY11='Product Data'!$AG$9,0,'KB_CRITERIA AND CALCULATION '!K90)</f>
        <v>#N/A</v>
      </c>
      <c r="N150" s="2797"/>
      <c r="O150" s="2797"/>
      <c r="P150" s="2797"/>
      <c r="Q150" s="2797"/>
      <c r="R150" s="1138" t="e">
        <f>TEXT(Term,"0")&amp;"m "&amp;IF(OR('BTL Calculator'!CY11='Product Data'!$AG$9,'KB_CRITERIA AND CALCULATION '!K90=0),IF('BTL Calculator'!CY11='Product Data'!$AG$9,"(Rolled months Spread into the term)",""),"less "&amp;TEXT('KB_CRITERIA AND CALCULATION '!K90,"0")&amp;"m rolled")</f>
        <v>#N/A</v>
      </c>
      <c r="S150" s="1138"/>
      <c r="T150" s="1138"/>
      <c r="U150" s="1138"/>
      <c r="V150" s="1138"/>
      <c r="W150"/>
      <c r="X150" s="1115"/>
      <c r="Y150"/>
      <c r="Z150"/>
      <c r="AA150"/>
      <c r="AB150"/>
      <c r="AC150"/>
      <c r="AD150"/>
      <c r="AE150"/>
      <c r="AJ150" s="1"/>
      <c r="AK150" s="1"/>
      <c r="AP150" s="1"/>
      <c r="AU150" s="67"/>
    </row>
    <row r="151" spans="1:47" s="287" customFormat="1" ht="18" hidden="1" customHeight="1" outlineLevel="1" x14ac:dyDescent="0.35">
      <c r="A151"/>
      <c r="B151"/>
      <c r="C151"/>
      <c r="D151" s="1113"/>
      <c r="E151" s="1144"/>
      <c r="F151" s="1116"/>
      <c r="G151" s="1122"/>
      <c r="H151" s="1144"/>
      <c r="I151" s="1116"/>
      <c r="J151" s="1144"/>
      <c r="K151" s="1116"/>
      <c r="L151" s="1122" t="s">
        <v>223</v>
      </c>
      <c r="M151" s="1145" t="str">
        <f>'KB_CRITERIA AND CALCULATION '!V90</f>
        <v>-</v>
      </c>
      <c r="N151" s="1145"/>
      <c r="O151" s="1145"/>
      <c r="P151" s="1145"/>
      <c r="Q151" s="1145"/>
      <c r="R151" s="1146" t="s">
        <v>224</v>
      </c>
      <c r="S151" s="1146"/>
      <c r="T151" s="1146"/>
      <c r="U151" s="1146"/>
      <c r="V151" s="1146"/>
      <c r="W151"/>
      <c r="X151" s="1115"/>
      <c r="Y151"/>
      <c r="Z151"/>
      <c r="AA151"/>
      <c r="AB151"/>
      <c r="AC151"/>
      <c r="AD151"/>
      <c r="AE151"/>
      <c r="AJ151" s="1"/>
      <c r="AK151" s="1"/>
      <c r="AP151" s="1"/>
      <c r="AU151" s="67"/>
    </row>
    <row r="152" spans="1:47" ht="18" hidden="1" customHeight="1" outlineLevel="1" x14ac:dyDescent="0.35">
      <c r="A152" s="865"/>
      <c r="B152" s="930"/>
      <c r="C152" s="914"/>
      <c r="D152" s="1113"/>
      <c r="E152" s="2798" t="s">
        <v>225</v>
      </c>
      <c r="F152" s="2798"/>
      <c r="G152" s="2798"/>
      <c r="H152" s="2798"/>
      <c r="I152" s="2798"/>
      <c r="J152" s="2798"/>
      <c r="K152" s="2798"/>
      <c r="L152" s="2798"/>
      <c r="M152" s="2800" t="e">
        <f>'KB_CRITERIA AND CALCULATION '!Z90</f>
        <v>#N/A</v>
      </c>
      <c r="N152" s="2800"/>
      <c r="O152" s="2800"/>
      <c r="P152" s="2800"/>
      <c r="Q152" s="2800"/>
      <c r="R152" s="1286" t="e">
        <f>"Used for ICR"&amp;IF(M152&lt;M144,". Reduced interest paid in term. Still owe "&amp;TEXT(M149,"£0,0")&amp;" at redemption ("&amp;TEXT(M144,"£0,0")&amp;" owed - "&amp;TEXT(M152,"£0,0")&amp;"paid)","")</f>
        <v>#N/A</v>
      </c>
      <c r="S152" s="1286"/>
      <c r="T152" s="1286"/>
      <c r="U152" s="1286"/>
      <c r="V152" s="1286"/>
      <c r="W152" s="1286"/>
      <c r="X152" s="1287"/>
      <c r="Y152"/>
      <c r="Z152"/>
      <c r="AA152"/>
      <c r="AB152"/>
      <c r="AC152"/>
      <c r="AD152"/>
      <c r="AE152" s="951"/>
      <c r="AJ152"/>
      <c r="AK152"/>
      <c r="AP152"/>
    </row>
    <row r="153" spans="1:47" ht="21" hidden="1" customHeight="1" outlineLevel="1" x14ac:dyDescent="0.35">
      <c r="A153" s="865"/>
      <c r="B153" s="930"/>
      <c r="C153" s="914"/>
      <c r="D153" s="1118"/>
      <c r="E153" s="2799"/>
      <c r="F153" s="2799"/>
      <c r="G153" s="2799"/>
      <c r="H153" s="2799"/>
      <c r="I153" s="2799"/>
      <c r="J153" s="2799"/>
      <c r="K153" s="2799"/>
      <c r="L153" s="2799"/>
      <c r="M153" s="2801"/>
      <c r="N153" s="2801"/>
      <c r="O153" s="2801"/>
      <c r="P153" s="2801"/>
      <c r="Q153" s="2801"/>
      <c r="R153" s="1288"/>
      <c r="S153" s="1288"/>
      <c r="T153" s="1288"/>
      <c r="U153" s="1288"/>
      <c r="V153" s="1288"/>
      <c r="W153" s="1288"/>
      <c r="X153" s="1289"/>
      <c r="Y153"/>
      <c r="Z153"/>
      <c r="AA153"/>
      <c r="AB153"/>
      <c r="AC153" s="1347"/>
      <c r="AD153"/>
      <c r="AE153" s="914"/>
      <c r="AJ153"/>
      <c r="AK153"/>
      <c r="AP153"/>
    </row>
    <row r="154" spans="1:47" ht="21" hidden="1" customHeight="1" outlineLevel="1" x14ac:dyDescent="0.35">
      <c r="A154" s="865"/>
      <c r="B154" s="1147"/>
      <c r="C154" s="1148"/>
      <c r="D154" s="1113"/>
      <c r="E154" s="865"/>
      <c r="F154" s="862"/>
      <c r="G154" s="1116"/>
      <c r="H154" s="865"/>
      <c r="I154" s="862"/>
      <c r="J154" s="865"/>
      <c r="K154" s="862"/>
      <c r="L154" s="1116" t="s">
        <v>226</v>
      </c>
      <c r="M154" s="2802">
        <f>'KB_CRITERIA AND CALCULATION '!U24</f>
        <v>0</v>
      </c>
      <c r="N154" s="2802"/>
      <c r="O154" s="2802"/>
      <c r="P154" s="2802"/>
      <c r="Q154" s="2802"/>
      <c r="R154" s="1138" t="e">
        <f>TEXT('BTL Calculator'!#REF!,"(£0,0")&amp;IF(Top_Slice_PCM_GBP&gt;0,"+"&amp;TEXT(Top_Slice_PCM_GBP,"£0,0")&amp;" top slice","")&amp;") x Term of "&amp;TEXT(Term,"0")&amp;"m"</f>
        <v>#REF!</v>
      </c>
      <c r="S154" s="1138"/>
      <c r="T154" s="1138"/>
      <c r="U154" s="1138"/>
      <c r="V154" s="1138"/>
      <c r="W154"/>
      <c r="X154" s="1115"/>
      <c r="Y154"/>
      <c r="Z154"/>
      <c r="AA154"/>
      <c r="AB154"/>
      <c r="AC154"/>
      <c r="AD154"/>
      <c r="AP154"/>
    </row>
    <row r="155" spans="1:47" ht="21" hidden="1" customHeight="1" outlineLevel="1" x14ac:dyDescent="0.35">
      <c r="A155" s="865"/>
      <c r="B155" s="914"/>
      <c r="C155" s="914"/>
      <c r="D155" s="1113"/>
      <c r="E155" s="865"/>
      <c r="F155" s="862"/>
      <c r="G155" s="1116"/>
      <c r="H155" s="865"/>
      <c r="I155" s="862"/>
      <c r="J155" s="865"/>
      <c r="K155" s="862"/>
      <c r="L155" s="1116" t="s">
        <v>227</v>
      </c>
      <c r="M155" s="2803" t="str">
        <f>'KB_CRITERIA AND CALCULATION '!$W$90</f>
        <v>-</v>
      </c>
      <c r="N155" s="2803"/>
      <c r="O155" s="2803"/>
      <c r="P155" s="2803"/>
      <c r="Q155" s="2803"/>
      <c r="R155" s="1146" t="e">
        <f>"Gross rent "&amp;TEXT(M154/1000,"£0,0")&amp;"k / Interest over term "&amp;TEXT(M152/1000,"£0,0")&amp;"k @ pay rate"</f>
        <v>#N/A</v>
      </c>
      <c r="S155" s="1146"/>
      <c r="T155" s="1146"/>
      <c r="U155" s="1146"/>
      <c r="V155" s="1146"/>
      <c r="W155"/>
      <c r="X155" s="1115"/>
      <c r="Y155"/>
      <c r="Z155"/>
      <c r="AA155"/>
      <c r="AB155"/>
      <c r="AC155"/>
      <c r="AD155"/>
      <c r="AP155"/>
    </row>
    <row r="156" spans="1:47" ht="25.5" hidden="1" customHeight="1" outlineLevel="1" x14ac:dyDescent="0.35">
      <c r="A156" s="865"/>
      <c r="B156" s="914"/>
      <c r="C156" s="914"/>
      <c r="D156" s="1113"/>
      <c r="E156" s="865"/>
      <c r="F156" s="914"/>
      <c r="G156" s="1116"/>
      <c r="H156" s="865"/>
      <c r="I156" s="914"/>
      <c r="J156" s="865"/>
      <c r="K156" s="914"/>
      <c r="L156" s="1116" t="s">
        <v>200</v>
      </c>
      <c r="M156" s="3241">
        <f>AO88</f>
        <v>0</v>
      </c>
      <c r="N156" s="3241"/>
      <c r="O156" s="3241"/>
      <c r="P156" s="3241"/>
      <c r="Q156" s="3241"/>
      <c r="R156" s="1310" t="e">
        <f>"INVESTOR FUNDS LTV "&amp;TEXT(M156/Property_Value,"00%")</f>
        <v>#DIV/0!</v>
      </c>
      <c r="S156" s="1149"/>
      <c r="T156" s="1149"/>
      <c r="U156" s="1149"/>
      <c r="V156" s="1149"/>
      <c r="W156" s="1150"/>
      <c r="X156" s="1235" t="e">
        <f>" Gross Loan "&amp;TEXT(M143/1000000,"£0.00")&amp;"m less defer interest of "&amp;TEXT(M149,"£0,0")</f>
        <v>#N/A</v>
      </c>
      <c r="Y156"/>
      <c r="Z156"/>
      <c r="AA156"/>
      <c r="AB156"/>
      <c r="AC156"/>
      <c r="AD156"/>
      <c r="AP156"/>
    </row>
    <row r="157" spans="1:47" ht="21" hidden="1" customHeight="1" outlineLevel="1" x14ac:dyDescent="0.35">
      <c r="A157" s="865"/>
      <c r="B157" s="1151"/>
      <c r="C157" s="1151"/>
      <c r="D157" s="1113"/>
      <c r="E157" s="865"/>
      <c r="F157"/>
      <c r="G157" s="1116"/>
      <c r="H157" s="865"/>
      <c r="I157"/>
      <c r="J157" s="865"/>
      <c r="K157"/>
      <c r="L157" s="1116" t="s">
        <v>114</v>
      </c>
      <c r="M157" s="3241">
        <f>AM89</f>
        <v>0</v>
      </c>
      <c r="N157" s="3241"/>
      <c r="O157" s="3241"/>
      <c r="P157" s="3241"/>
      <c r="Q157" s="3241"/>
      <c r="R157"/>
      <c r="S157"/>
      <c r="T157"/>
      <c r="U157"/>
      <c r="V157"/>
      <c r="W157"/>
      <c r="X157" s="1115"/>
      <c r="Y157"/>
      <c r="Z157"/>
      <c r="AA157"/>
      <c r="AB157"/>
      <c r="AC157"/>
      <c r="AD157"/>
      <c r="AE157" s="610"/>
      <c r="AP157"/>
    </row>
    <row r="158" spans="1:47" hidden="1" outlineLevel="1" x14ac:dyDescent="0.35">
      <c r="A158" s="865"/>
      <c r="B158" s="1151"/>
      <c r="C158" s="1151"/>
      <c r="D158" s="1113"/>
      <c r="E158" s="865"/>
      <c r="F158"/>
      <c r="G158" s="1152"/>
      <c r="H158" s="865"/>
      <c r="I158"/>
      <c r="J158" s="865"/>
      <c r="K158"/>
      <c r="L158" s="1152" t="s">
        <v>123</v>
      </c>
      <c r="M158" s="3277">
        <f>M156-M157</f>
        <v>0</v>
      </c>
      <c r="N158" s="3277"/>
      <c r="O158" s="3277"/>
      <c r="P158" s="3277"/>
      <c r="Q158" s="3277"/>
      <c r="R158" s="1146" t="str">
        <f>"Investor Funds "&amp;TEXT(M156,"£0,0")&amp;" less Product Fee "&amp;TEXT(M157,"£0,0")</f>
        <v>Investor Funds £00 less Product Fee £00</v>
      </c>
      <c r="S158" s="1146"/>
      <c r="T158" s="1146"/>
      <c r="U158" s="1146"/>
      <c r="V158" s="1146"/>
      <c r="W158"/>
      <c r="X158" s="1115"/>
      <c r="Y158"/>
      <c r="Z158"/>
      <c r="AA158"/>
      <c r="AB158"/>
      <c r="AC158"/>
      <c r="AD158"/>
      <c r="AP158"/>
    </row>
    <row r="159" spans="1:47" ht="18.75" hidden="1" outlineLevel="1" thickBot="1" x14ac:dyDescent="0.4">
      <c r="A159" s="914"/>
      <c r="B159" s="930"/>
      <c r="C159" s="914"/>
      <c r="D159" s="1153"/>
      <c r="E159" s="1154"/>
      <c r="F159" s="1155"/>
      <c r="G159" s="1155"/>
      <c r="H159" s="1154"/>
      <c r="I159" s="1155"/>
      <c r="J159" s="1154"/>
      <c r="K159" s="1155"/>
      <c r="L159" s="1155"/>
      <c r="M159" s="3342" t="e">
        <f>M158/Property_Value</f>
        <v>#DIV/0!</v>
      </c>
      <c r="N159" s="3342"/>
      <c r="O159" s="3342"/>
      <c r="P159" s="3342"/>
      <c r="Q159" s="3342"/>
      <c r="R159" s="1156"/>
      <c r="S159" s="1156"/>
      <c r="T159" s="1156"/>
      <c r="U159" s="1156"/>
      <c r="V159" s="1156"/>
      <c r="W159" s="1156"/>
      <c r="X159" s="1157"/>
      <c r="Y159"/>
      <c r="Z159"/>
      <c r="AA159"/>
      <c r="AB159"/>
      <c r="AC159"/>
      <c r="AD159"/>
      <c r="AE159"/>
      <c r="AJ159"/>
      <c r="AK159"/>
      <c r="AP159"/>
    </row>
    <row r="160" spans="1:47" hidden="1" collapsed="1" x14ac:dyDescent="0.35">
      <c r="A160" s="914"/>
      <c r="B160" s="914"/>
      <c r="C160" s="914"/>
      <c r="D160" s="930"/>
      <c r="E160" s="930"/>
      <c r="F160" s="930"/>
      <c r="G160" s="914"/>
      <c r="H160" s="914"/>
      <c r="I160" s="1077" t="s">
        <v>228</v>
      </c>
      <c r="J160" s="865"/>
      <c r="K160" s="914"/>
      <c r="L160" s="914"/>
      <c r="M160" s="914"/>
      <c r="N160" s="914"/>
      <c r="O160" s="914"/>
      <c r="P160" s="914"/>
      <c r="Q160" s="914"/>
      <c r="R160" s="914"/>
      <c r="S160"/>
      <c r="T160"/>
      <c r="U160" s="914"/>
      <c r="V160" s="914"/>
      <c r="W160" s="914"/>
      <c r="X160" s="914"/>
      <c r="Y160" s="914"/>
      <c r="Z160" s="914"/>
      <c r="AA160" s="914"/>
      <c r="AB160" s="914"/>
      <c r="AC160" s="914"/>
      <c r="AD160" s="914"/>
      <c r="AE160" s="914"/>
      <c r="AP160"/>
      <c r="AQ160"/>
      <c r="AR160"/>
      <c r="AS160"/>
    </row>
    <row r="161" spans="1:45" hidden="1" x14ac:dyDescent="0.35">
      <c r="A161" s="914"/>
      <c r="B161" s="914"/>
      <c r="C161" s="914"/>
      <c r="D161" s="930"/>
      <c r="E161" s="930"/>
      <c r="F161" s="930"/>
      <c r="G161" s="914"/>
      <c r="H161" s="914"/>
      <c r="I161" s="914"/>
      <c r="J161" s="914"/>
      <c r="K161" s="914"/>
      <c r="L161" s="914"/>
      <c r="M161" s="914"/>
      <c r="N161" s="914"/>
      <c r="O161" s="914"/>
      <c r="P161" s="914"/>
      <c r="Q161" s="914"/>
      <c r="R161" s="914"/>
      <c r="S161" s="914"/>
      <c r="T161" s="914"/>
      <c r="U161" s="914"/>
      <c r="V161" s="914"/>
      <c r="W161" s="914"/>
      <c r="X161" s="914"/>
      <c r="Y161" s="914"/>
      <c r="Z161" s="914"/>
      <c r="AA161" s="914"/>
      <c r="AB161" s="914"/>
      <c r="AC161" s="914"/>
      <c r="AD161" s="914"/>
      <c r="AE161" s="914"/>
      <c r="AF161" s="865"/>
      <c r="AG161" s="865"/>
      <c r="AH161" s="865"/>
      <c r="AI161" s="914"/>
      <c r="AJ161" s="914"/>
      <c r="AK161" s="914"/>
      <c r="AL161" s="914"/>
      <c r="AM161" s="914"/>
      <c r="AN161"/>
      <c r="AO161"/>
      <c r="AP161"/>
      <c r="AQ161"/>
      <c r="AR161"/>
      <c r="AS161"/>
    </row>
    <row r="162" spans="1:45" hidden="1" x14ac:dyDescent="0.35">
      <c r="A162" s="914"/>
      <c r="B162" s="914"/>
      <c r="C162" s="914"/>
      <c r="D162" s="930"/>
      <c r="E162" s="930"/>
      <c r="F162" s="930"/>
      <c r="G162" s="914"/>
      <c r="H162" s="914"/>
      <c r="I162" s="914"/>
      <c r="J162" s="914"/>
      <c r="K162" s="914"/>
      <c r="L162" s="914"/>
      <c r="M162" s="914"/>
      <c r="N162" s="914"/>
      <c r="O162" s="914"/>
      <c r="P162" s="914"/>
      <c r="Q162" s="914"/>
      <c r="R162" s="914"/>
      <c r="S162" s="914"/>
      <c r="T162" s="914"/>
      <c r="U162" s="914"/>
      <c r="V162" s="914"/>
      <c r="W162" s="914"/>
      <c r="X162" s="914"/>
      <c r="Y162" s="914"/>
      <c r="Z162" s="914"/>
      <c r="AA162" s="914"/>
      <c r="AB162" s="914"/>
      <c r="AC162" s="914"/>
      <c r="AD162" s="914"/>
      <c r="AE162" s="914"/>
      <c r="AF162" s="865"/>
      <c r="AG162" s="865"/>
      <c r="AH162" s="865"/>
      <c r="AI162" s="914"/>
      <c r="AJ162" s="914"/>
      <c r="AK162" s="914"/>
      <c r="AL162" s="914"/>
      <c r="AM162" s="914"/>
      <c r="AN162"/>
      <c r="AO162"/>
      <c r="AP162"/>
      <c r="AQ162"/>
      <c r="AR162"/>
      <c r="AS162"/>
    </row>
    <row r="163" spans="1:45" hidden="1" x14ac:dyDescent="0.35">
      <c r="A163" s="914"/>
      <c r="B163" s="914"/>
      <c r="C163" s="914"/>
      <c r="D163" s="930"/>
      <c r="E163" s="930"/>
      <c r="F163" s="930"/>
      <c r="G163" s="914"/>
      <c r="H163" s="914"/>
      <c r="I163" s="914"/>
      <c r="J163" s="914"/>
      <c r="K163" s="914"/>
      <c r="L163" s="914"/>
      <c r="M163" s="914"/>
      <c r="N163" s="914"/>
      <c r="O163" s="914"/>
      <c r="P163" s="914"/>
      <c r="Q163" s="914"/>
      <c r="R163" s="914"/>
      <c r="S163" s="914"/>
      <c r="T163" s="914"/>
      <c r="U163" s="914"/>
      <c r="V163" s="914"/>
      <c r="W163" s="914"/>
      <c r="X163" s="914"/>
      <c r="Y163" s="914"/>
      <c r="Z163" s="914"/>
      <c r="AA163" s="914"/>
      <c r="AB163" s="914"/>
      <c r="AC163" s="914"/>
      <c r="AD163" s="914"/>
      <c r="AE163" s="914"/>
      <c r="AF163" s="865"/>
      <c r="AG163" s="865"/>
      <c r="AH163" s="865"/>
      <c r="AI163" s="914"/>
      <c r="AJ163" s="914"/>
      <c r="AK163" s="914"/>
      <c r="AL163" s="914"/>
      <c r="AM163" s="914"/>
      <c r="AN163"/>
      <c r="AO163"/>
      <c r="AP163"/>
      <c r="AQ163"/>
      <c r="AR163"/>
      <c r="AS163"/>
    </row>
    <row r="164" spans="1:45" ht="28.5" hidden="1" x14ac:dyDescent="0.45">
      <c r="A164" s="914"/>
      <c r="B164" s="1105"/>
      <c r="C164" s="1105"/>
      <c r="D164" s="1105"/>
      <c r="E164" s="1105"/>
      <c r="F164" s="1105"/>
      <c r="G164" s="1106"/>
      <c r="H164" s="1106"/>
      <c r="I164" s="1106"/>
      <c r="J164" s="1106"/>
      <c r="K164" s="1106"/>
      <c r="L164" s="1106"/>
      <c r="M164" s="1106"/>
      <c r="N164" s="1106"/>
      <c r="O164" s="1106"/>
      <c r="P164" s="1106"/>
      <c r="Q164" s="1106"/>
      <c r="R164" s="1106"/>
      <c r="S164" s="1106"/>
      <c r="T164" s="1106"/>
      <c r="U164" s="1106"/>
      <c r="V164" s="1106"/>
      <c r="W164" s="1106"/>
      <c r="X164" s="1106"/>
      <c r="Y164" s="1106"/>
      <c r="Z164" s="1106"/>
      <c r="AA164" s="1106"/>
      <c r="AB164" s="1106"/>
      <c r="AC164" s="1106"/>
      <c r="AD164" s="1106"/>
      <c r="AE164" s="1106"/>
      <c r="AF164" s="865"/>
      <c r="AG164" s="865"/>
      <c r="AH164" s="865"/>
      <c r="AI164" s="914"/>
      <c r="AJ164" s="914"/>
      <c r="AK164" s="914"/>
      <c r="AL164" s="914"/>
      <c r="AM164" s="914"/>
      <c r="AN164"/>
      <c r="AO164"/>
      <c r="AP164"/>
      <c r="AQ164"/>
      <c r="AR164"/>
      <c r="AS164"/>
    </row>
    <row r="165" spans="1:45" ht="19.5" hidden="1" x14ac:dyDescent="0.35">
      <c r="A165" s="914"/>
      <c r="B165" s="914"/>
      <c r="C165"/>
      <c r="D165" s="930"/>
      <c r="E165" s="1107" t="s">
        <v>229</v>
      </c>
      <c r="F165" s="930"/>
      <c r="G165" s="1108"/>
      <c r="H165" s="1108"/>
      <c r="I165" s="1108"/>
      <c r="J165" s="1108"/>
      <c r="K165" s="1108"/>
      <c r="L165" s="1108"/>
      <c r="M165" s="1108"/>
      <c r="N165" s="1108"/>
      <c r="O165" s="1108"/>
      <c r="P165" s="1108"/>
      <c r="Q165" s="1108"/>
      <c r="R165" s="1108"/>
      <c r="S165" s="1108"/>
      <c r="T165" s="1108"/>
      <c r="U165" s="1108"/>
      <c r="V165" s="914"/>
      <c r="W165" s="914"/>
      <c r="X165" s="914"/>
      <c r="Y165" s="914"/>
      <c r="Z165" s="914"/>
      <c r="AA165" s="914"/>
      <c r="AB165" s="914"/>
      <c r="AC165" s="914"/>
      <c r="AD165" s="914"/>
      <c r="AE165" s="1108"/>
      <c r="AF165" s="865"/>
      <c r="AG165" s="865"/>
      <c r="AH165" s="865"/>
      <c r="AI165" s="914"/>
      <c r="AJ165" s="914"/>
      <c r="AK165" s="914"/>
      <c r="AL165" s="914"/>
      <c r="AM165" s="914"/>
      <c r="AN165"/>
      <c r="AO165"/>
      <c r="AP165"/>
      <c r="AQ165"/>
      <c r="AR165"/>
      <c r="AS165"/>
    </row>
    <row r="166" spans="1:45" hidden="1" x14ac:dyDescent="0.35">
      <c r="A166" s="914"/>
      <c r="B166" s="914"/>
      <c r="C166" s="1077"/>
      <c r="D166" s="2781">
        <v>2021</v>
      </c>
      <c r="E166" s="2782"/>
      <c r="F166" s="2783"/>
      <c r="G166" s="2790">
        <v>2022</v>
      </c>
      <c r="H166" s="2791"/>
      <c r="I166" s="2792"/>
      <c r="J166" s="2793">
        <v>2023</v>
      </c>
      <c r="K166" s="2794"/>
      <c r="L166" s="2795"/>
      <c r="M166" s="2781">
        <v>2024</v>
      </c>
      <c r="N166" s="2782"/>
      <c r="O166" s="2782"/>
      <c r="P166" s="2782"/>
      <c r="Q166" s="2783"/>
      <c r="R166" s="2781">
        <v>2025</v>
      </c>
      <c r="S166" s="2782"/>
      <c r="T166" s="2783"/>
      <c r="U166" s="2781" t="s">
        <v>230</v>
      </c>
      <c r="V166" s="2782"/>
      <c r="W166" s="2783"/>
      <c r="X166"/>
      <c r="Y166" s="1109"/>
      <c r="Z166" s="1109"/>
      <c r="AA166" s="914"/>
      <c r="AB166" s="914"/>
      <c r="AC166" s="914"/>
      <c r="AD166" s="914"/>
      <c r="AE166" s="914"/>
      <c r="AF166" s="865"/>
      <c r="AG166" s="865"/>
      <c r="AH166" s="865"/>
      <c r="AI166" s="914"/>
      <c r="AJ166" s="914"/>
      <c r="AK166" s="914"/>
      <c r="AL166" s="914"/>
      <c r="AM166" s="914"/>
      <c r="AN166"/>
      <c r="AO166"/>
      <c r="AP166"/>
      <c r="AQ166"/>
      <c r="AR166"/>
      <c r="AS166"/>
    </row>
    <row r="167" spans="1:45" ht="23.25" hidden="1" customHeight="1" x14ac:dyDescent="0.35">
      <c r="A167" s="914"/>
      <c r="B167" s="2784" t="s">
        <v>231</v>
      </c>
      <c r="C167" s="2785"/>
      <c r="D167" s="2769" t="e">
        <f>HPI!J3</f>
        <v>#N/A</v>
      </c>
      <c r="E167" s="2770"/>
      <c r="F167" s="2771"/>
      <c r="G167" s="2769" t="e">
        <f>HPI!K3</f>
        <v>#N/A</v>
      </c>
      <c r="H167" s="2770"/>
      <c r="I167" s="2771"/>
      <c r="J167" s="2769" t="e">
        <f>HPI!L3</f>
        <v>#N/A</v>
      </c>
      <c r="K167" s="2770"/>
      <c r="L167" s="2771"/>
      <c r="M167" s="2769" t="e">
        <f>HPI!M3</f>
        <v>#N/A</v>
      </c>
      <c r="N167" s="2770"/>
      <c r="O167" s="2770"/>
      <c r="P167" s="2770"/>
      <c r="Q167" s="2771"/>
      <c r="R167" s="2769" t="e">
        <f>HPI!N3</f>
        <v>#N/A</v>
      </c>
      <c r="S167" s="2770"/>
      <c r="T167" s="2771"/>
      <c r="U167" s="2769" t="e">
        <f>HPI!O3</f>
        <v>#N/A</v>
      </c>
      <c r="V167" s="2770"/>
      <c r="W167" s="2771"/>
      <c r="X167" s="1313" t="s">
        <v>232</v>
      </c>
      <c r="Y167" s="1011"/>
      <c r="Z167" s="1314"/>
      <c r="AA167" s="914"/>
      <c r="AB167" s="914"/>
      <c r="AC167" s="914"/>
      <c r="AD167" s="914"/>
      <c r="AE167" s="914"/>
      <c r="AF167" s="865"/>
      <c r="AG167" s="865"/>
      <c r="AH167" s="865"/>
      <c r="AI167" s="914"/>
      <c r="AJ167" s="914"/>
      <c r="AK167" s="914"/>
      <c r="AL167" s="914"/>
      <c r="AM167" s="914"/>
      <c r="AN167"/>
      <c r="AO167"/>
      <c r="AP167"/>
      <c r="AQ167"/>
      <c r="AR167"/>
      <c r="AS167"/>
    </row>
    <row r="168" spans="1:45" hidden="1" x14ac:dyDescent="0.35">
      <c r="A168" s="914"/>
      <c r="B168" s="1011"/>
      <c r="C168" s="1318" t="s">
        <v>233</v>
      </c>
      <c r="D168" s="2766" t="e">
        <f>HPI!J4</f>
        <v>#N/A</v>
      </c>
      <c r="E168" s="2767"/>
      <c r="F168" s="2768"/>
      <c r="G168" s="2766" t="e">
        <f>HPI!K4</f>
        <v>#N/A</v>
      </c>
      <c r="H168" s="2767"/>
      <c r="I168" s="2768"/>
      <c r="J168" s="2766" t="e">
        <f>HPI!L4</f>
        <v>#N/A</v>
      </c>
      <c r="K168" s="2767"/>
      <c r="L168" s="2768"/>
      <c r="M168" s="2766" t="e">
        <f>HPI!M4</f>
        <v>#N/A</v>
      </c>
      <c r="N168" s="2767"/>
      <c r="O168" s="2767"/>
      <c r="P168" s="2767"/>
      <c r="Q168" s="2768"/>
      <c r="R168" s="2766" t="e">
        <f>HPI!N4</f>
        <v>#N/A</v>
      </c>
      <c r="S168" s="2767"/>
      <c r="T168" s="2768"/>
      <c r="U168" s="2766" t="e">
        <f>HPI!O4</f>
        <v>#N/A</v>
      </c>
      <c r="V168" s="2767"/>
      <c r="W168" s="2768"/>
      <c r="X168" s="1313" t="s">
        <v>234</v>
      </c>
      <c r="Y168" s="1011"/>
      <c r="Z168" s="1314"/>
      <c r="AA168" s="914"/>
      <c r="AB168" s="914"/>
      <c r="AC168" s="914"/>
      <c r="AD168" s="914"/>
      <c r="AE168" s="914"/>
      <c r="AF168" s="865"/>
      <c r="AG168" s="865"/>
      <c r="AH168" s="865"/>
      <c r="AI168" s="914"/>
      <c r="AJ168" s="914"/>
      <c r="AK168" s="914"/>
      <c r="AL168" s="914"/>
      <c r="AM168" s="914"/>
      <c r="AN168"/>
      <c r="AO168"/>
      <c r="AP168"/>
      <c r="AQ168"/>
      <c r="AR168"/>
      <c r="AS168"/>
    </row>
    <row r="169" spans="1:45" hidden="1" x14ac:dyDescent="0.35">
      <c r="A169" s="914"/>
      <c r="B169" s="1011"/>
      <c r="C169" s="1319" t="s">
        <v>235</v>
      </c>
      <c r="D169" s="2778" t="e">
        <f>HPI!J5</f>
        <v>#N/A</v>
      </c>
      <c r="E169" s="2779"/>
      <c r="F169" s="2780"/>
      <c r="G169" s="2778" t="e">
        <f>HPI!K5</f>
        <v>#N/A</v>
      </c>
      <c r="H169" s="2779"/>
      <c r="I169" s="2780"/>
      <c r="J169" s="2778" t="e">
        <f>HPI!L5</f>
        <v>#N/A</v>
      </c>
      <c r="K169" s="2779"/>
      <c r="L169" s="2780"/>
      <c r="M169" s="2778" t="e">
        <f>HPI!M5</f>
        <v>#N/A</v>
      </c>
      <c r="N169" s="2779"/>
      <c r="O169" s="2779"/>
      <c r="P169" s="2779"/>
      <c r="Q169" s="2780"/>
      <c r="R169" s="2778" t="e">
        <f>HPI!N5</f>
        <v>#N/A</v>
      </c>
      <c r="S169" s="2779"/>
      <c r="T169" s="2780"/>
      <c r="U169" s="2778" t="e">
        <f>HPI!O5</f>
        <v>#N/A</v>
      </c>
      <c r="V169" s="2779"/>
      <c r="W169" s="2780"/>
      <c r="X169" s="1314" t="s">
        <v>236</v>
      </c>
      <c r="Y169" s="1314"/>
      <c r="Z169" s="1314"/>
      <c r="AA169" s="914"/>
      <c r="AB169" s="914"/>
      <c r="AC169" s="914"/>
      <c r="AD169" s="914"/>
      <c r="AE169" s="914"/>
      <c r="AF169" s="865"/>
      <c r="AG169" s="865"/>
      <c r="AH169" s="865"/>
      <c r="AI169" s="914"/>
      <c r="AJ169" s="914"/>
      <c r="AK169" s="914"/>
      <c r="AL169" s="914"/>
      <c r="AM169" s="914"/>
      <c r="AN169"/>
      <c r="AO169"/>
      <c r="AP169"/>
      <c r="AQ169"/>
      <c r="AR169"/>
      <c r="AS169"/>
    </row>
    <row r="170" spans="1:45" hidden="1" x14ac:dyDescent="0.35">
      <c r="A170" s="914"/>
      <c r="B170" s="1011"/>
      <c r="C170" s="1319" t="s">
        <v>237</v>
      </c>
      <c r="D170" s="2775" t="e">
        <f>HPI!J6</f>
        <v>#N/A</v>
      </c>
      <c r="E170" s="2776"/>
      <c r="F170" s="2777"/>
      <c r="G170" s="2775" t="e">
        <f>HPI!K6</f>
        <v>#N/A</v>
      </c>
      <c r="H170" s="2776"/>
      <c r="I170" s="2777"/>
      <c r="J170" s="2775" t="e">
        <f>HPI!L6</f>
        <v>#N/A</v>
      </c>
      <c r="K170" s="2776"/>
      <c r="L170" s="2777"/>
      <c r="M170" s="2775" t="e">
        <f>HPI!M6</f>
        <v>#N/A</v>
      </c>
      <c r="N170" s="2776"/>
      <c r="O170" s="2776"/>
      <c r="P170" s="2776"/>
      <c r="Q170" s="2777"/>
      <c r="R170" s="2775" t="e">
        <f>HPI!N6</f>
        <v>#N/A</v>
      </c>
      <c r="S170" s="2776"/>
      <c r="T170" s="2777"/>
      <c r="U170" s="2775" t="e">
        <f>HPI!O6</f>
        <v>#N/A</v>
      </c>
      <c r="V170" s="2776"/>
      <c r="W170" s="2777"/>
      <c r="X170" s="1314" t="s">
        <v>238</v>
      </c>
      <c r="Y170" s="1110"/>
      <c r="Z170" s="1110"/>
      <c r="AA170" s="914"/>
      <c r="AB170" s="914"/>
      <c r="AC170" s="914"/>
      <c r="AD170" s="914"/>
      <c r="AE170" s="914"/>
      <c r="AF170" s="865"/>
      <c r="AG170" s="865"/>
      <c r="AH170" s="865"/>
      <c r="AI170" s="914"/>
      <c r="AJ170" s="914"/>
      <c r="AK170" s="914"/>
      <c r="AL170" s="914"/>
      <c r="AM170" s="914"/>
      <c r="AN170"/>
      <c r="AO170"/>
      <c r="AP170"/>
      <c r="AQ170"/>
      <c r="AR170"/>
      <c r="AS170"/>
    </row>
    <row r="171" spans="1:45" hidden="1" x14ac:dyDescent="0.35">
      <c r="A171" s="914"/>
      <c r="B171" s="1011"/>
      <c r="C171" s="1320" t="s">
        <v>239</v>
      </c>
      <c r="D171" s="2772" t="e">
        <f>HPI!J7</f>
        <v>#N/A</v>
      </c>
      <c r="E171" s="2773"/>
      <c r="F171" s="2774"/>
      <c r="G171" s="2772" t="e">
        <f>HPI!K7</f>
        <v>#N/A</v>
      </c>
      <c r="H171" s="2773"/>
      <c r="I171" s="2774"/>
      <c r="J171" s="2772" t="e">
        <f>HPI!L7</f>
        <v>#N/A</v>
      </c>
      <c r="K171" s="2773"/>
      <c r="L171" s="2774"/>
      <c r="M171" s="2772" t="e">
        <f>HPI!M7</f>
        <v>#N/A</v>
      </c>
      <c r="N171" s="2773"/>
      <c r="O171" s="2773"/>
      <c r="P171" s="2773"/>
      <c r="Q171" s="2774"/>
      <c r="R171" s="2772" t="e">
        <f>HPI!N7</f>
        <v>#N/A</v>
      </c>
      <c r="S171" s="2773"/>
      <c r="T171" s="2774"/>
      <c r="U171" s="2772" t="e">
        <f>HPI!O7</f>
        <v>#N/A</v>
      </c>
      <c r="V171" s="2773"/>
      <c r="W171" s="2774"/>
      <c r="X171" s="1314" t="s">
        <v>240</v>
      </c>
      <c r="Y171" s="1315"/>
      <c r="Z171" s="1315"/>
      <c r="AA171" s="914"/>
      <c r="AB171" s="914"/>
      <c r="AC171" s="914"/>
      <c r="AD171" s="914"/>
      <c r="AE171" s="914"/>
      <c r="AF171" s="865"/>
      <c r="AG171" s="865"/>
      <c r="AH171" s="865"/>
      <c r="AI171" s="914"/>
      <c r="AJ171" s="914"/>
      <c r="AK171" s="914"/>
      <c r="AL171" s="914"/>
      <c r="AM171" s="914"/>
      <c r="AN171"/>
      <c r="AO171"/>
      <c r="AP171"/>
      <c r="AQ171"/>
      <c r="AR171"/>
      <c r="AS171"/>
    </row>
    <row r="172" spans="1:45" hidden="1" x14ac:dyDescent="0.35">
      <c r="A172" s="914"/>
      <c r="B172" s="1011"/>
      <c r="C172" s="1321" t="s">
        <v>231</v>
      </c>
      <c r="D172" s="2769" t="e">
        <f>HPI!J8</f>
        <v>#N/A</v>
      </c>
      <c r="E172" s="2770"/>
      <c r="F172" s="2771"/>
      <c r="G172" s="2769" t="e">
        <f>HPI!K8</f>
        <v>#N/A</v>
      </c>
      <c r="H172" s="2770"/>
      <c r="I172" s="2771"/>
      <c r="J172" s="2769" t="e">
        <f>HPI!L8</f>
        <v>#N/A</v>
      </c>
      <c r="K172" s="2770"/>
      <c r="L172" s="2771"/>
      <c r="M172" s="2769" t="e">
        <f>HPI!M8</f>
        <v>#N/A</v>
      </c>
      <c r="N172" s="2770"/>
      <c r="O172" s="2770"/>
      <c r="P172" s="2770"/>
      <c r="Q172" s="2771"/>
      <c r="R172" s="2769" t="e">
        <f>HPI!N8</f>
        <v>#N/A</v>
      </c>
      <c r="S172" s="2770"/>
      <c r="T172" s="2771"/>
      <c r="U172" s="2769" t="e">
        <f>HPI!O8</f>
        <v>#N/A</v>
      </c>
      <c r="V172" s="2770"/>
      <c r="W172" s="2771"/>
      <c r="X172" s="1316" t="s">
        <v>232</v>
      </c>
      <c r="Y172" s="1317"/>
      <c r="Z172" s="1011"/>
      <c r="AA172" s="914"/>
      <c r="AB172" s="914"/>
      <c r="AC172" s="914"/>
      <c r="AD172" s="914"/>
      <c r="AE172" s="914"/>
      <c r="AF172" s="865"/>
      <c r="AG172" s="865"/>
      <c r="AH172" s="865"/>
      <c r="AI172" s="914"/>
      <c r="AJ172" s="914"/>
      <c r="AK172" s="914"/>
      <c r="AL172" s="914"/>
      <c r="AM172" s="914"/>
      <c r="AN172"/>
      <c r="AO172"/>
      <c r="AP172"/>
      <c r="AQ172"/>
      <c r="AR172"/>
      <c r="AS172"/>
    </row>
    <row r="173" spans="1:45" hidden="1" x14ac:dyDescent="0.35">
      <c r="A173" s="914"/>
      <c r="B173" s="1011"/>
      <c r="C173" s="1318" t="s">
        <v>241</v>
      </c>
      <c r="D173" s="2766" t="e">
        <f>HPI!J9</f>
        <v>#N/A</v>
      </c>
      <c r="E173" s="2767"/>
      <c r="F173" s="2768"/>
      <c r="G173" s="2766" t="e">
        <f>HPI!K9</f>
        <v>#N/A</v>
      </c>
      <c r="H173" s="2767"/>
      <c r="I173" s="2768"/>
      <c r="J173" s="2766" t="e">
        <f>HPI!L9</f>
        <v>#N/A</v>
      </c>
      <c r="K173" s="2767"/>
      <c r="L173" s="2768"/>
      <c r="M173" s="2766" t="e">
        <f>HPI!M9</f>
        <v>#N/A</v>
      </c>
      <c r="N173" s="2767"/>
      <c r="O173" s="2767"/>
      <c r="P173" s="2767"/>
      <c r="Q173" s="2768"/>
      <c r="R173" s="2766" t="e">
        <f>HPI!N9</f>
        <v>#N/A</v>
      </c>
      <c r="S173" s="2767"/>
      <c r="T173" s="2768"/>
      <c r="U173" s="2766" t="e">
        <f>HPI!O9</f>
        <v>#N/A</v>
      </c>
      <c r="V173" s="2767"/>
      <c r="W173" s="2768"/>
      <c r="X173" s="1313" t="s">
        <v>242</v>
      </c>
      <c r="Y173" s="1315"/>
      <c r="Z173" s="1070"/>
      <c r="AA173" s="914"/>
      <c r="AB173" s="914"/>
      <c r="AC173" s="914"/>
      <c r="AD173" s="914"/>
      <c r="AE173"/>
      <c r="AF173" s="865"/>
      <c r="AG173" s="865"/>
      <c r="AH173" s="865"/>
      <c r="AI173" s="914"/>
      <c r="AJ173" s="914"/>
      <c r="AK173" s="914"/>
      <c r="AL173" s="914"/>
      <c r="AM173" s="914"/>
      <c r="AN173"/>
      <c r="AO173"/>
      <c r="AP173"/>
      <c r="AQ173"/>
      <c r="AR173"/>
      <c r="AS173"/>
    </row>
    <row r="174" spans="1:45" hidden="1" x14ac:dyDescent="0.35">
      <c r="A174" s="914"/>
      <c r="B174" s="1011"/>
      <c r="C174" s="1319" t="s">
        <v>243</v>
      </c>
      <c r="D174" s="2763" t="str">
        <f>HPI!J10</f>
        <v>-</v>
      </c>
      <c r="E174" s="2764"/>
      <c r="F174" s="2765"/>
      <c r="G174" s="2763" t="e">
        <f>HPI!K10</f>
        <v>#VALUE!</v>
      </c>
      <c r="H174" s="2764"/>
      <c r="I174" s="2765"/>
      <c r="J174" s="2763" t="e">
        <f>HPI!L10</f>
        <v>#VALUE!</v>
      </c>
      <c r="K174" s="2764"/>
      <c r="L174" s="2765"/>
      <c r="M174" s="2763" t="e">
        <f>HPI!M10</f>
        <v>#VALUE!</v>
      </c>
      <c r="N174" s="2764"/>
      <c r="O174" s="2764"/>
      <c r="P174" s="2764"/>
      <c r="Q174" s="2765"/>
      <c r="R174" s="2763" t="e">
        <f>HPI!N10</f>
        <v>#VALUE!</v>
      </c>
      <c r="S174" s="2764"/>
      <c r="T174" s="2765"/>
      <c r="U174" s="2763" t="e">
        <f>HPI!O10</f>
        <v>#VALUE!</v>
      </c>
      <c r="V174" s="2764"/>
      <c r="W174" s="2765"/>
      <c r="X174" s="1314" t="s">
        <v>243</v>
      </c>
      <c r="Y174" s="1315"/>
      <c r="Z174" s="1314"/>
      <c r="AA174" s="914"/>
      <c r="AB174" s="914"/>
      <c r="AC174" s="914"/>
      <c r="AD174" s="914"/>
      <c r="AE174"/>
      <c r="AF174" s="865"/>
      <c r="AG174" s="865"/>
      <c r="AH174" s="865"/>
      <c r="AI174" s="914"/>
      <c r="AJ174" s="914"/>
      <c r="AK174" s="914"/>
      <c r="AL174" s="914"/>
      <c r="AM174" s="914"/>
      <c r="AN174"/>
      <c r="AO174"/>
      <c r="AP174"/>
      <c r="AQ174"/>
      <c r="AR174"/>
      <c r="AS174"/>
    </row>
    <row r="175" spans="1:45" hidden="1" x14ac:dyDescent="0.35">
      <c r="A175" s="914"/>
      <c r="B175" s="914"/>
      <c r="C175" s="914"/>
      <c r="D175" s="930"/>
      <c r="E175" s="1111" t="s">
        <v>244</v>
      </c>
      <c r="F175" s="930"/>
      <c r="G175" s="914"/>
      <c r="H175" s="914"/>
      <c r="I175" s="914"/>
      <c r="J175" s="914"/>
      <c r="K175" s="914"/>
      <c r="L175" s="914"/>
      <c r="M175" s="914"/>
      <c r="N175" s="914"/>
      <c r="O175" s="914"/>
      <c r="P175" s="914"/>
      <c r="Q175" s="914"/>
      <c r="R175" s="914"/>
      <c r="S175" s="914"/>
      <c r="T175" s="914"/>
      <c r="U175" s="914"/>
      <c r="V175" s="914"/>
      <c r="W175" s="914"/>
      <c r="X175" s="1011"/>
      <c r="Y175" s="1011"/>
      <c r="Z175" s="1011"/>
      <c r="AA175" s="914"/>
      <c r="AB175" s="914"/>
      <c r="AC175" s="914"/>
      <c r="AD175" s="914"/>
      <c r="AE175" s="914"/>
      <c r="AF175" s="865"/>
      <c r="AG175" s="865"/>
      <c r="AH175" s="865"/>
      <c r="AI175" s="914"/>
      <c r="AJ175" s="914"/>
      <c r="AK175" s="914"/>
      <c r="AL175" s="914"/>
      <c r="AM175" s="914"/>
      <c r="AN175"/>
      <c r="AO175"/>
      <c r="AP175"/>
      <c r="AQ175"/>
      <c r="AR175"/>
      <c r="AS175"/>
    </row>
    <row r="177" spans="3:40" x14ac:dyDescent="0.35"/>
    <row r="178" spans="3:40" x14ac:dyDescent="0.35"/>
    <row r="179" spans="3:40" x14ac:dyDescent="0.35"/>
    <row r="180" spans="3:40" ht="32.25" thickBot="1" x14ac:dyDescent="0.4">
      <c r="C180" s="2620" t="s">
        <v>3801</v>
      </c>
      <c r="F180" s="3253" t="e">
        <f>(IF(V8="Annual",'KB_CRITERIA AND CALCULATION '!U22,IF(V8="Weekly",'KB_CRITERIA AND CALCULATION '!U22,V9))*12)/(F89*F86)</f>
        <v>#N/A</v>
      </c>
      <c r="G180" s="3254"/>
      <c r="H180" s="1"/>
      <c r="I180" s="3253" t="e">
        <f>(IF(V8="Annual",'KB_CRITERIA AND CALCULATION '!U22,IF(V8="Weekly",'KB_CRITERIA AND CALCULATION '!U22,V9))*12)/(I89*I86)</f>
        <v>#N/A</v>
      </c>
      <c r="J180" s="3254"/>
      <c r="K180" s="1"/>
      <c r="L180" s="3253" t="e">
        <f>(IF(V8="Annual",'KB_CRITERIA AND CALCULATION '!U22,IF(V8="Weekly",'KB_CRITERIA AND CALCULATION '!U22,V9))*12)/(L89*L86)</f>
        <v>#N/A</v>
      </c>
      <c r="M180" s="3254"/>
      <c r="N180" s="2653"/>
      <c r="O180" s="3253" t="e">
        <f>(IF(V8="Annual",'KB_CRITERIA AND CALCULATION '!U22,IF(V8="Weekly",'KB_CRITERIA AND CALCULATION '!U22,V9))*12)/(O89*O86)</f>
        <v>#N/A</v>
      </c>
      <c r="P180" s="3254"/>
    </row>
    <row r="181" spans="3:40" x14ac:dyDescent="0.35"/>
    <row r="182" spans="3:40" x14ac:dyDescent="0.35"/>
    <row r="183" spans="3:40" x14ac:dyDescent="0.35"/>
    <row r="184" spans="3:40" x14ac:dyDescent="0.35"/>
    <row r="185" spans="3:40" x14ac:dyDescent="0.35"/>
    <row r="186" spans="3:40" x14ac:dyDescent="0.35">
      <c r="AG186" s="2972"/>
      <c r="AH186" s="2972"/>
      <c r="AI186" s="2972"/>
      <c r="AJ186" s="2972"/>
      <c r="AK186" s="2972"/>
      <c r="AN186" s="208"/>
    </row>
    <row r="187" spans="3:40" x14ac:dyDescent="0.35">
      <c r="AG187" s="2973"/>
      <c r="AH187" s="2973"/>
      <c r="AI187" s="2973"/>
      <c r="AJ187" s="2973"/>
      <c r="AK187" s="2973"/>
      <c r="AN187" s="208"/>
    </row>
    <row r="188" spans="3:40" x14ac:dyDescent="0.35">
      <c r="AG188" s="2978" t="s">
        <v>106</v>
      </c>
      <c r="AH188" s="2979"/>
      <c r="AI188" s="2979"/>
      <c r="AJ188" s="2979"/>
      <c r="AK188" s="2980"/>
      <c r="AN188" s="208"/>
    </row>
    <row r="189" spans="3:40" x14ac:dyDescent="0.35">
      <c r="AG189" s="2981"/>
      <c r="AH189" s="2982"/>
      <c r="AI189" s="2982"/>
      <c r="AJ189" s="2982"/>
      <c r="AK189" s="2983"/>
      <c r="AN189" s="208"/>
    </row>
    <row r="190" spans="3:40" x14ac:dyDescent="0.35">
      <c r="AG190" s="908" t="s">
        <v>110</v>
      </c>
      <c r="AH190" s="909" t="str">
        <f>Z88</f>
        <v xml:space="preserve"> range with 4% Fee</v>
      </c>
      <c r="AI190" s="910"/>
      <c r="AJ190" s="911" t="s">
        <v>111</v>
      </c>
      <c r="AK190" s="912" t="e">
        <f>M143</f>
        <v>#N/A</v>
      </c>
      <c r="AN190" s="208"/>
    </row>
    <row r="191" spans="3:40" x14ac:dyDescent="0.35">
      <c r="AG191" s="913"/>
      <c r="AH191" s="914"/>
      <c r="AI191" s="915"/>
      <c r="AJ191" s="916"/>
      <c r="AK191" s="917"/>
      <c r="AN191" s="208"/>
    </row>
    <row r="192" spans="3:40" ht="25.5" x14ac:dyDescent="0.35">
      <c r="AG192" s="918" t="s">
        <v>113</v>
      </c>
      <c r="AH192" s="2968" t="e">
        <f>TEXT(M141,"#.##%")&amp;IF(H28="Yes"," - Tracker","")</f>
        <v>#N/A</v>
      </c>
      <c r="AI192" s="2969"/>
      <c r="AJ192" s="919" t="s">
        <v>114</v>
      </c>
      <c r="AK192" s="920" t="e">
        <f>TEXT(M142,"0.00%")&amp;" ("&amp;TEXT(Product_Fee_GBP,"£#0,0")&amp;")"</f>
        <v>#N/A</v>
      </c>
      <c r="AN192" s="208"/>
    </row>
    <row r="193" spans="33:40" x14ac:dyDescent="0.35">
      <c r="AG193" s="918"/>
      <c r="AH193"/>
      <c r="AI193" s="921"/>
      <c r="AJ193" s="2984" t="s">
        <v>115</v>
      </c>
      <c r="AK193" s="2985">
        <f>IFERROR(IF(RollupMonths=0,"None",TEXT(RollupMonths,"#")&amp;"m ("&amp;TEXT('BTL Calculator'!$M$148,"£#,#")&amp;")"),0)</f>
        <v>0</v>
      </c>
      <c r="AN193" s="208"/>
    </row>
    <row r="194" spans="33:40" x14ac:dyDescent="0.35">
      <c r="AG194" s="918" t="s">
        <v>116</v>
      </c>
      <c r="AH194" s="2968" t="e">
        <f>Pay_Rate</f>
        <v>#N/A</v>
      </c>
      <c r="AI194" s="2969"/>
      <c r="AJ194" s="2984"/>
      <c r="AK194" s="2985"/>
      <c r="AN194" s="208"/>
    </row>
    <row r="195" spans="33:40" x14ac:dyDescent="0.35">
      <c r="AG195" s="918"/>
      <c r="AH195" s="2987" t="e">
        <f>TEXT('KB_CRITERIA AND CALCULATION '!J90,"0.00%")&amp;" deferred"</f>
        <v>#N/A</v>
      </c>
      <c r="AI195" s="2988"/>
      <c r="AJ195" s="2984" t="s">
        <v>117</v>
      </c>
      <c r="AK195" s="2985" t="e">
        <f>IF(DeferedIntPercent=0%,"None",TEXT(DeferedIntPercent,"0.#0%")&amp;" ("&amp;TEXT('BTL Calculator'!$M$147,"£#,#0")&amp;")")</f>
        <v>#N/A</v>
      </c>
      <c r="AN195" s="208"/>
    </row>
    <row r="196" spans="33:40" x14ac:dyDescent="0.35">
      <c r="AG196" s="922"/>
      <c r="AH196" s="2987"/>
      <c r="AI196" s="2988"/>
      <c r="AJ196" s="2984"/>
      <c r="AK196" s="2985"/>
      <c r="AN196" s="208"/>
    </row>
    <row r="197" spans="33:40" x14ac:dyDescent="0.35">
      <c r="AG197" s="913" t="s">
        <v>122</v>
      </c>
      <c r="AH197" s="914" t="str">
        <f>Term&amp;"m"</f>
        <v>24m</v>
      </c>
      <c r="AI197" s="915"/>
      <c r="AJ197" s="923" t="s">
        <v>123</v>
      </c>
      <c r="AK197" s="924" t="str">
        <f>IFERROR(Z104,0)</f>
        <v>Not Applicable</v>
      </c>
      <c r="AN197" s="208"/>
    </row>
    <row r="198" spans="33:40" x14ac:dyDescent="0.35">
      <c r="AG198" s="2935" t="s">
        <v>124</v>
      </c>
      <c r="AH198" s="2936" t="str">
        <f>Z101</f>
        <v>-8.59% + MVR (currently 8.59%)</v>
      </c>
      <c r="AI198" s="2937"/>
      <c r="AJ198" s="916"/>
      <c r="AK198" s="878"/>
      <c r="AN198" s="208"/>
    </row>
    <row r="199" spans="33:40" x14ac:dyDescent="0.35">
      <c r="AG199" s="2935"/>
      <c r="AH199" s="2936"/>
      <c r="AI199" s="2937"/>
      <c r="AJ199" s="18" t="s">
        <v>125</v>
      </c>
      <c r="AK199" s="925">
        <f>IFERROR(TEXT('KB_CRITERIA AND CALCULATION '!AN90,"#%")&amp;" / "&amp;TEXT('KB_CRITERIA AND CALCULATION '!AM90,"#%"),0)</f>
        <v>0</v>
      </c>
      <c r="AN199" s="208"/>
    </row>
    <row r="200" spans="33:40" x14ac:dyDescent="0.35">
      <c r="AG200" s="926" t="s">
        <v>126</v>
      </c>
      <c r="AH200" s="2941" t="str">
        <f>Monthly_DD</f>
        <v>-</v>
      </c>
      <c r="AI200" s="2942"/>
      <c r="AJ200" s="927" t="str">
        <f>G60</f>
        <v>Basic Loan</v>
      </c>
      <c r="AK200" s="928"/>
      <c r="AN200" s="208"/>
    </row>
    <row r="201" spans="33:40" x14ac:dyDescent="0.35">
      <c r="AG201" s="208"/>
      <c r="AH201" s="208"/>
      <c r="AI201" s="440"/>
      <c r="AJ201" s="440"/>
      <c r="AK201" s="440"/>
      <c r="AN201" s="208"/>
    </row>
    <row r="202" spans="33:40" x14ac:dyDescent="0.35"/>
  </sheetData>
  <sheetProtection selectLockedCells="1" pivotTables="0"/>
  <protectedRanges>
    <protectedRange sqref="H27:K28 CY8:CY9" name="Range1"/>
  </protectedRanges>
  <dataConsolidate/>
  <mergeCells count="429">
    <mergeCell ref="V2:W2"/>
    <mergeCell ref="Q2:U2"/>
    <mergeCell ref="O75:P75"/>
    <mergeCell ref="O80:P80"/>
    <mergeCell ref="O85:P85"/>
    <mergeCell ref="O95:P95"/>
    <mergeCell ref="O96:P96"/>
    <mergeCell ref="O97:P97"/>
    <mergeCell ref="C71:Y71"/>
    <mergeCell ref="R77:T78"/>
    <mergeCell ref="T80:T81"/>
    <mergeCell ref="F80:G80"/>
    <mergeCell ref="I80:J80"/>
    <mergeCell ref="X5:AB5"/>
    <mergeCell ref="AA28:AF28"/>
    <mergeCell ref="AA29:AF29"/>
    <mergeCell ref="AA30:AF30"/>
    <mergeCell ref="AA31:AF31"/>
    <mergeCell ref="AA32:AF32"/>
    <mergeCell ref="AA33:AF33"/>
    <mergeCell ref="X14:Z23"/>
    <mergeCell ref="AA39:AF39"/>
    <mergeCell ref="H35:K35"/>
    <mergeCell ref="V3:W3"/>
    <mergeCell ref="A1:G1"/>
    <mergeCell ref="B45:G46"/>
    <mergeCell ref="H45:I46"/>
    <mergeCell ref="J45:M46"/>
    <mergeCell ref="H40:K40"/>
    <mergeCell ref="Q39:R39"/>
    <mergeCell ref="C69:J69"/>
    <mergeCell ref="I62:K62"/>
    <mergeCell ref="G61:K61"/>
    <mergeCell ref="G62:H62"/>
    <mergeCell ref="G66:H68"/>
    <mergeCell ref="H23:K23"/>
    <mergeCell ref="Q5:U5"/>
    <mergeCell ref="H21:K21"/>
    <mergeCell ref="Q28:R28"/>
    <mergeCell ref="H8:K9"/>
    <mergeCell ref="L23:M23"/>
    <mergeCell ref="H20:K20"/>
    <mergeCell ref="H24:K24"/>
    <mergeCell ref="H18:K18"/>
    <mergeCell ref="H19:K19"/>
    <mergeCell ref="H22:K22"/>
    <mergeCell ref="H28:K28"/>
    <mergeCell ref="Q3:U3"/>
    <mergeCell ref="V5:W5"/>
    <mergeCell ref="V23:W23"/>
    <mergeCell ref="V22:W22"/>
    <mergeCell ref="V21:W21"/>
    <mergeCell ref="V20:W20"/>
    <mergeCell ref="V19:W19"/>
    <mergeCell ref="V18:W18"/>
    <mergeCell ref="V17:W17"/>
    <mergeCell ref="V16:W16"/>
    <mergeCell ref="V15:W15"/>
    <mergeCell ref="V14:W14"/>
    <mergeCell ref="V13:W13"/>
    <mergeCell ref="V12:W12"/>
    <mergeCell ref="V11:W11"/>
    <mergeCell ref="V10:W10"/>
    <mergeCell ref="V9:W9"/>
    <mergeCell ref="V8:W8"/>
    <mergeCell ref="V7:W7"/>
    <mergeCell ref="BJ34:BK34"/>
    <mergeCell ref="BB26:BD26"/>
    <mergeCell ref="Q27:R27"/>
    <mergeCell ref="DA11:DB11"/>
    <mergeCell ref="H32:K32"/>
    <mergeCell ref="BE30:BG31"/>
    <mergeCell ref="BE32:BG32"/>
    <mergeCell ref="BH32:BI32"/>
    <mergeCell ref="Q29:R29"/>
    <mergeCell ref="BJ33:BK33"/>
    <mergeCell ref="Q30:R30"/>
    <mergeCell ref="Q31:R31"/>
    <mergeCell ref="Q32:R32"/>
    <mergeCell ref="Q33:R33"/>
    <mergeCell ref="BJ19:BK20"/>
    <mergeCell ref="BB19:BD20"/>
    <mergeCell ref="BE19:BG20"/>
    <mergeCell ref="BH19:BI20"/>
    <mergeCell ref="BJ26:BK26"/>
    <mergeCell ref="BB21:BD21"/>
    <mergeCell ref="BH30:BI31"/>
    <mergeCell ref="H31:K31"/>
    <mergeCell ref="BB12:BD12"/>
    <mergeCell ref="H30:K30"/>
    <mergeCell ref="BH11:BI11"/>
    <mergeCell ref="BJ23:BK23"/>
    <mergeCell ref="AY21:AZ26"/>
    <mergeCell ref="BB30:BD31"/>
    <mergeCell ref="BE21:BG21"/>
    <mergeCell ref="BH21:BI21"/>
    <mergeCell ref="BE22:BG22"/>
    <mergeCell ref="BH22:BI22"/>
    <mergeCell ref="BH33:BI33"/>
    <mergeCell ref="BJ30:BK31"/>
    <mergeCell ref="BE26:BG26"/>
    <mergeCell ref="BH26:BI26"/>
    <mergeCell ref="BJ21:BK21"/>
    <mergeCell ref="BB22:BD22"/>
    <mergeCell ref="BJ32:BK32"/>
    <mergeCell ref="BE12:BG12"/>
    <mergeCell ref="BH12:BI12"/>
    <mergeCell ref="BB32:BD32"/>
    <mergeCell ref="BB45:BG45"/>
    <mergeCell ref="AA42:AF42"/>
    <mergeCell ref="AA43:AF43"/>
    <mergeCell ref="Q40:R40"/>
    <mergeCell ref="AA41:AF41"/>
    <mergeCell ref="Q44:T44"/>
    <mergeCell ref="AA40:AF40"/>
    <mergeCell ref="BJ9:BK10"/>
    <mergeCell ref="AY11:AZ14"/>
    <mergeCell ref="BB13:BD13"/>
    <mergeCell ref="BE13:BG13"/>
    <mergeCell ref="BH13:BI13"/>
    <mergeCell ref="BJ13:BK13"/>
    <mergeCell ref="BB14:BD14"/>
    <mergeCell ref="BE14:BG14"/>
    <mergeCell ref="BH14:BI14"/>
    <mergeCell ref="BJ14:BK14"/>
    <mergeCell ref="BB9:BD10"/>
    <mergeCell ref="BE9:BG10"/>
    <mergeCell ref="BH9:BI10"/>
    <mergeCell ref="BB11:BD11"/>
    <mergeCell ref="BE11:BG11"/>
    <mergeCell ref="BJ11:BK11"/>
    <mergeCell ref="BJ12:BK12"/>
    <mergeCell ref="BE35:BG35"/>
    <mergeCell ref="BB33:BD33"/>
    <mergeCell ref="BB34:BD34"/>
    <mergeCell ref="BE34:BG34"/>
    <mergeCell ref="BB35:BD35"/>
    <mergeCell ref="BH35:BI35"/>
    <mergeCell ref="AY32:AZ35"/>
    <mergeCell ref="BE33:BG33"/>
    <mergeCell ref="BH34:BI34"/>
    <mergeCell ref="BJ35:BK35"/>
    <mergeCell ref="BJ22:BK22"/>
    <mergeCell ref="BB23:BD23"/>
    <mergeCell ref="BE23:BG23"/>
    <mergeCell ref="BH23:BI23"/>
    <mergeCell ref="H33:K33"/>
    <mergeCell ref="AB48:AC48"/>
    <mergeCell ref="Z67:AH70"/>
    <mergeCell ref="Y58:AG58"/>
    <mergeCell ref="AG52:AK52"/>
    <mergeCell ref="Y60:AG62"/>
    <mergeCell ref="L34:M35"/>
    <mergeCell ref="Q60:W60"/>
    <mergeCell ref="AA36:AF36"/>
    <mergeCell ref="AA34:AF34"/>
    <mergeCell ref="AA35:AF35"/>
    <mergeCell ref="Q37:R37"/>
    <mergeCell ref="AA37:AF37"/>
    <mergeCell ref="Q38:R38"/>
    <mergeCell ref="AA38:AF38"/>
    <mergeCell ref="Q46:T46"/>
    <mergeCell ref="A54:AO54"/>
    <mergeCell ref="C57:AG57"/>
    <mergeCell ref="Q45:T45"/>
    <mergeCell ref="D81:E81"/>
    <mergeCell ref="C82:G82"/>
    <mergeCell ref="R84:S84"/>
    <mergeCell ref="F116:I116"/>
    <mergeCell ref="F83:G83"/>
    <mergeCell ref="I83:J83"/>
    <mergeCell ref="L83:M83"/>
    <mergeCell ref="L84:M84"/>
    <mergeCell ref="F97:G97"/>
    <mergeCell ref="R96:S96"/>
    <mergeCell ref="R97:S97"/>
    <mergeCell ref="I82:M82"/>
    <mergeCell ref="F114:I114"/>
    <mergeCell ref="AN60:AO70"/>
    <mergeCell ref="H34:K34"/>
    <mergeCell ref="AI71:AM71"/>
    <mergeCell ref="X88:Y88"/>
    <mergeCell ref="X101:Y101"/>
    <mergeCell ref="X87:Y87"/>
    <mergeCell ref="V94:W94"/>
    <mergeCell ref="V95:W95"/>
    <mergeCell ref="V96:W96"/>
    <mergeCell ref="X99:Y99"/>
    <mergeCell ref="X91:Y91"/>
    <mergeCell ref="AK76:AO80"/>
    <mergeCell ref="AD87:AE87"/>
    <mergeCell ref="AD88:AE88"/>
    <mergeCell ref="AD91:AE91"/>
    <mergeCell ref="AD99:AE99"/>
    <mergeCell ref="AD100:AE100"/>
    <mergeCell ref="AD101:AE101"/>
    <mergeCell ref="H37:K37"/>
    <mergeCell ref="H38:K38"/>
    <mergeCell ref="AB50:AC50"/>
    <mergeCell ref="AB51:AC51"/>
    <mergeCell ref="L80:M80"/>
    <mergeCell ref="G60:K60"/>
    <mergeCell ref="AG186:AK187"/>
    <mergeCell ref="AQ81:AS83"/>
    <mergeCell ref="X104:Y104"/>
    <mergeCell ref="AB87:AC87"/>
    <mergeCell ref="Z88:AA88"/>
    <mergeCell ref="Z99:AA99"/>
    <mergeCell ref="AB104:AC104"/>
    <mergeCell ref="AH104:AI105"/>
    <mergeCell ref="V102:W102"/>
    <mergeCell ref="V103:W103"/>
    <mergeCell ref="V104:W104"/>
    <mergeCell ref="X102:Y102"/>
    <mergeCell ref="X103:Y103"/>
    <mergeCell ref="V98:W98"/>
    <mergeCell ref="Z103:AA103"/>
    <mergeCell ref="AB103:AC103"/>
    <mergeCell ref="V97:W97"/>
    <mergeCell ref="AB100:AC100"/>
    <mergeCell ref="AB91:AC91"/>
    <mergeCell ref="AL81:AO83"/>
    <mergeCell ref="V92:W92"/>
    <mergeCell ref="AD102:AE102"/>
    <mergeCell ref="AD103:AE103"/>
    <mergeCell ref="AD104:AE104"/>
    <mergeCell ref="CY11:CZ11"/>
    <mergeCell ref="AH200:AI200"/>
    <mergeCell ref="F79:G79"/>
    <mergeCell ref="I79:J79"/>
    <mergeCell ref="M141:Q141"/>
    <mergeCell ref="AF129:AG129"/>
    <mergeCell ref="AF128:AG128"/>
    <mergeCell ref="AI81:AK83"/>
    <mergeCell ref="AF126:AG126"/>
    <mergeCell ref="AF127:AG127"/>
    <mergeCell ref="L97:M97"/>
    <mergeCell ref="Z101:AA101"/>
    <mergeCell ref="AF125:AG125"/>
    <mergeCell ref="AF133:AG133"/>
    <mergeCell ref="AF134:AG134"/>
    <mergeCell ref="AF132:AG132"/>
    <mergeCell ref="Z87:AA87"/>
    <mergeCell ref="Z102:AA102"/>
    <mergeCell ref="X83:Y83"/>
    <mergeCell ref="Z91:AA91"/>
    <mergeCell ref="Z100:AA100"/>
    <mergeCell ref="AJ195:AJ196"/>
    <mergeCell ref="AH194:AI194"/>
    <mergeCell ref="M166:Q166"/>
    <mergeCell ref="AK193:AK194"/>
    <mergeCell ref="J174:L174"/>
    <mergeCell ref="J173:L173"/>
    <mergeCell ref="G172:I172"/>
    <mergeCell ref="G173:I173"/>
    <mergeCell ref="AB101:AC101"/>
    <mergeCell ref="M147:Q147"/>
    <mergeCell ref="AB102:AC102"/>
    <mergeCell ref="M169:Q169"/>
    <mergeCell ref="U166:W166"/>
    <mergeCell ref="M159:Q159"/>
    <mergeCell ref="M145:Q145"/>
    <mergeCell ref="M144:Q144"/>
    <mergeCell ref="V109:W109"/>
    <mergeCell ref="U174:W174"/>
    <mergeCell ref="R170:T170"/>
    <mergeCell ref="R168:T168"/>
    <mergeCell ref="F115:I115"/>
    <mergeCell ref="M171:Q171"/>
    <mergeCell ref="U170:W170"/>
    <mergeCell ref="M170:Q170"/>
    <mergeCell ref="R167:T167"/>
    <mergeCell ref="J168:L168"/>
    <mergeCell ref="Z104:AA104"/>
    <mergeCell ref="AH198:AI199"/>
    <mergeCell ref="V111:W111"/>
    <mergeCell ref="L95:M95"/>
    <mergeCell ref="AG198:AG199"/>
    <mergeCell ref="I84:J84"/>
    <mergeCell ref="AG188:AK189"/>
    <mergeCell ref="AK195:AK196"/>
    <mergeCell ref="M174:Q174"/>
    <mergeCell ref="G174:I174"/>
    <mergeCell ref="U173:W173"/>
    <mergeCell ref="R173:T173"/>
    <mergeCell ref="U172:W172"/>
    <mergeCell ref="U171:W171"/>
    <mergeCell ref="AH192:AI192"/>
    <mergeCell ref="AH195:AI196"/>
    <mergeCell ref="M172:Q172"/>
    <mergeCell ref="V87:W87"/>
    <mergeCell ref="V108:W108"/>
    <mergeCell ref="X106:AC107"/>
    <mergeCell ref="V106:W107"/>
    <mergeCell ref="J166:L166"/>
    <mergeCell ref="I85:J85"/>
    <mergeCell ref="AF135:AG135"/>
    <mergeCell ref="AJ193:AJ194"/>
    <mergeCell ref="DA10:DB10"/>
    <mergeCell ref="DA8:DB8"/>
    <mergeCell ref="AB26:AC26"/>
    <mergeCell ref="H39:K39"/>
    <mergeCell ref="D168:F168"/>
    <mergeCell ref="D166:F166"/>
    <mergeCell ref="CY8:CZ8"/>
    <mergeCell ref="H7:K7"/>
    <mergeCell ref="H10:K11"/>
    <mergeCell ref="H15:K15"/>
    <mergeCell ref="H14:K14"/>
    <mergeCell ref="H12:K12"/>
    <mergeCell ref="H13:K13"/>
    <mergeCell ref="H29:K29"/>
    <mergeCell ref="H17:K17"/>
    <mergeCell ref="U167:W167"/>
    <mergeCell ref="H27:K27"/>
    <mergeCell ref="DA9:DB9"/>
    <mergeCell ref="H26:K26"/>
    <mergeCell ref="I67:K67"/>
    <mergeCell ref="AB99:AC99"/>
    <mergeCell ref="V110:W110"/>
    <mergeCell ref="F84:G84"/>
    <mergeCell ref="X112:AE116"/>
    <mergeCell ref="CY9:CZ9"/>
    <mergeCell ref="F85:G85"/>
    <mergeCell ref="C66:F68"/>
    <mergeCell ref="C70:Y70"/>
    <mergeCell ref="D169:F169"/>
    <mergeCell ref="D170:F170"/>
    <mergeCell ref="G166:I166"/>
    <mergeCell ref="G168:I168"/>
    <mergeCell ref="C84:D84"/>
    <mergeCell ref="L85:M85"/>
    <mergeCell ref="F96:G96"/>
    <mergeCell ref="D167:F167"/>
    <mergeCell ref="O83:P83"/>
    <mergeCell ref="B167:C167"/>
    <mergeCell ref="J167:L167"/>
    <mergeCell ref="C74:E76"/>
    <mergeCell ref="F74:M74"/>
    <mergeCell ref="L75:M75"/>
    <mergeCell ref="M66:Q68"/>
    <mergeCell ref="S66:U68"/>
    <mergeCell ref="U80:U81"/>
    <mergeCell ref="R75:U75"/>
    <mergeCell ref="AK7:AK13"/>
    <mergeCell ref="CY10:CZ10"/>
    <mergeCell ref="H16:K16"/>
    <mergeCell ref="M173:Q173"/>
    <mergeCell ref="M168:Q168"/>
    <mergeCell ref="M154:Q154"/>
    <mergeCell ref="M152:Q153"/>
    <mergeCell ref="G171:I171"/>
    <mergeCell ref="Q34:R34"/>
    <mergeCell ref="Q35:R35"/>
    <mergeCell ref="Q36:R36"/>
    <mergeCell ref="H36:K36"/>
    <mergeCell ref="Q41:R41"/>
    <mergeCell ref="Q42:R42"/>
    <mergeCell ref="Q43:R43"/>
    <mergeCell ref="H64:S64"/>
    <mergeCell ref="O84:P84"/>
    <mergeCell ref="L36:M36"/>
    <mergeCell ref="R85:S85"/>
    <mergeCell ref="I97:J97"/>
    <mergeCell ref="J170:L170"/>
    <mergeCell ref="R169:T169"/>
    <mergeCell ref="D137:X137"/>
    <mergeCell ref="M158:Q158"/>
    <mergeCell ref="U169:W169"/>
    <mergeCell ref="U168:W168"/>
    <mergeCell ref="A121:F121"/>
    <mergeCell ref="D172:F172"/>
    <mergeCell ref="D173:F173"/>
    <mergeCell ref="D171:F171"/>
    <mergeCell ref="E152:L153"/>
    <mergeCell ref="M150:Q150"/>
    <mergeCell ref="G169:I169"/>
    <mergeCell ref="G170:I170"/>
    <mergeCell ref="G167:I167"/>
    <mergeCell ref="M156:Q156"/>
    <mergeCell ref="M155:Q155"/>
    <mergeCell ref="O180:P180"/>
    <mergeCell ref="O79:P79"/>
    <mergeCell ref="AF130:AG130"/>
    <mergeCell ref="AF136:AG136"/>
    <mergeCell ref="D122:X122"/>
    <mergeCell ref="J171:L171"/>
    <mergeCell ref="J172:L172"/>
    <mergeCell ref="I96:J96"/>
    <mergeCell ref="L96:M96"/>
    <mergeCell ref="R174:T174"/>
    <mergeCell ref="AB88:AC88"/>
    <mergeCell ref="R95:S95"/>
    <mergeCell ref="D174:F174"/>
    <mergeCell ref="R171:T171"/>
    <mergeCell ref="R172:T172"/>
    <mergeCell ref="F95:G95"/>
    <mergeCell ref="I95:J95"/>
    <mergeCell ref="J169:L169"/>
    <mergeCell ref="F180:G180"/>
    <mergeCell ref="I180:J180"/>
    <mergeCell ref="L180:M180"/>
    <mergeCell ref="M143:Q143"/>
    <mergeCell ref="M142:Q142"/>
    <mergeCell ref="F117:I117"/>
    <mergeCell ref="L15:P15"/>
    <mergeCell ref="V101:W101"/>
    <mergeCell ref="V88:W88"/>
    <mergeCell ref="V89:W89"/>
    <mergeCell ref="R145:U145"/>
    <mergeCell ref="M157:Q157"/>
    <mergeCell ref="M167:Q167"/>
    <mergeCell ref="R166:T166"/>
    <mergeCell ref="M149:Q149"/>
    <mergeCell ref="M148:Q148"/>
    <mergeCell ref="V91:W91"/>
    <mergeCell ref="W47:AA47"/>
    <mergeCell ref="M69:Y69"/>
    <mergeCell ref="X85:AC85"/>
    <mergeCell ref="V99:W99"/>
    <mergeCell ref="F76:M76"/>
    <mergeCell ref="L79:M79"/>
    <mergeCell ref="F75:G75"/>
    <mergeCell ref="R80:S80"/>
    <mergeCell ref="I75:J75"/>
    <mergeCell ref="V90:W90"/>
    <mergeCell ref="X100:Y100"/>
    <mergeCell ref="V100:W100"/>
    <mergeCell ref="T85:U85"/>
  </mergeCells>
  <phoneticPr fontId="15" type="noConversion"/>
  <conditionalFormatting sqref="C114:C117 C120">
    <cfRule type="expression" dxfId="226" priority="305">
      <formula>Tier4_Eligible=FALSE</formula>
    </cfRule>
  </conditionalFormatting>
  <conditionalFormatting sqref="C82:I82">
    <cfRule type="expression" dxfId="225" priority="196">
      <formula>$I$82&lt;&gt;""</formula>
    </cfRule>
    <cfRule type="expression" dxfId="224" priority="197">
      <formula>$C$82&lt;&gt;""</formula>
    </cfRule>
  </conditionalFormatting>
  <conditionalFormatting sqref="F62">
    <cfRule type="expression" dxfId="223" priority="67">
      <formula>$G$61="No"</formula>
    </cfRule>
  </conditionalFormatting>
  <conditionalFormatting sqref="F79:G79">
    <cfRule type="expression" dxfId="222" priority="228">
      <formula>IF($F$80&gt;(Monthly_Rent*20%),TRUE,FALSE)</formula>
    </cfRule>
  </conditionalFormatting>
  <conditionalFormatting sqref="G62">
    <cfRule type="expression" dxfId="221" priority="8903">
      <formula>$G$61=No</formula>
    </cfRule>
  </conditionalFormatting>
  <conditionalFormatting sqref="H64 T64:Y64 C65:Y65 Z67">
    <cfRule type="expression" dxfId="220" priority="337">
      <formula>IF(Show_Custom_Panel=TRUE,FALSE,TRUE)</formula>
    </cfRule>
  </conditionalFormatting>
  <conditionalFormatting sqref="H64">
    <cfRule type="expression" dxfId="219" priority="408">
      <formula>IF(Months_Rolled=0,TRUE,FALSE)</formula>
    </cfRule>
  </conditionalFormatting>
  <conditionalFormatting sqref="H13:K14">
    <cfRule type="expression" dxfId="218" priority="202">
      <formula>$G$13=""</formula>
    </cfRule>
  </conditionalFormatting>
  <conditionalFormatting sqref="H31:K31">
    <cfRule type="expression" dxfId="217" priority="178">
      <formula>$G$31=""</formula>
    </cfRule>
  </conditionalFormatting>
  <conditionalFormatting sqref="H32:K32">
    <cfRule type="expression" dxfId="216" priority="177">
      <formula>$G$32=""</formula>
    </cfRule>
  </conditionalFormatting>
  <conditionalFormatting sqref="I79:J79">
    <cfRule type="expression" dxfId="215" priority="227">
      <formula>IF($I$80&gt;(Monthly_Rent*20%),TRUE,FALSE)</formula>
    </cfRule>
  </conditionalFormatting>
  <conditionalFormatting sqref="I62:K62">
    <cfRule type="expression" dxfId="214" priority="8904">
      <formula>$G$61="No"</formula>
    </cfRule>
  </conditionalFormatting>
  <conditionalFormatting sqref="I82:P82">
    <cfRule type="expression" dxfId="213" priority="96">
      <formula>$I$82="FALSE"</formula>
    </cfRule>
  </conditionalFormatting>
  <conditionalFormatting sqref="L23">
    <cfRule type="expression" dxfId="212" priority="8911">
      <formula>$H$18="Yes"</formula>
    </cfRule>
  </conditionalFormatting>
  <conditionalFormatting sqref="L27:L29">
    <cfRule type="expression" dxfId="211" priority="307">
      <formula>IF($L$27="", FALSE,TRUE)</formula>
    </cfRule>
  </conditionalFormatting>
  <conditionalFormatting sqref="L62">
    <cfRule type="cellIs" dxfId="210" priority="345" operator="notEqual">
      <formula>""</formula>
    </cfRule>
  </conditionalFormatting>
  <conditionalFormatting sqref="L79:M79">
    <cfRule type="expression" dxfId="209" priority="226">
      <formula>IF($L$80&gt;(Monthly_Rent*20%),TRUE,FALSE)</formula>
    </cfRule>
  </conditionalFormatting>
  <conditionalFormatting sqref="S27:AA27 Q27:Q43">
    <cfRule type="expression" dxfId="208" priority="140">
      <formula>$AF$5="Commercial"</formula>
    </cfRule>
    <cfRule type="expression" dxfId="207" priority="141">
      <formula>$AF$5="Semi-Commercial"</formula>
    </cfRule>
  </conditionalFormatting>
  <conditionalFormatting sqref="Q25:R26">
    <cfRule type="expression" dxfId="206" priority="142">
      <formula>$AF$5="Commercial"</formula>
    </cfRule>
    <cfRule type="expression" dxfId="205" priority="143">
      <formula>$AF$5="Semi-Commercial"</formula>
    </cfRule>
  </conditionalFormatting>
  <conditionalFormatting sqref="Q44:U44">
    <cfRule type="expression" dxfId="204" priority="115">
      <formula>$X$3="Semi-Commercial"</formula>
    </cfRule>
    <cfRule type="expression" dxfId="203" priority="116">
      <formula>$X$3="Commercial"</formula>
    </cfRule>
  </conditionalFormatting>
  <conditionalFormatting sqref="Q44:V47 W47 AB44:AB47">
    <cfRule type="expression" dxfId="202" priority="112">
      <formula>$V$3="Semi-Commercial"</formula>
    </cfRule>
    <cfRule type="expression" dxfId="201" priority="113">
      <formula>$V$3="Commercial"</formula>
    </cfRule>
    <cfRule type="expression" dxfId="200" priority="114">
      <formula>$AC$1=1</formula>
    </cfRule>
  </conditionalFormatting>
  <conditionalFormatting sqref="Q37:AM39">
    <cfRule type="expression" dxfId="199" priority="62">
      <formula>$Z$3&lt;&gt;1</formula>
    </cfRule>
  </conditionalFormatting>
  <conditionalFormatting sqref="R96">
    <cfRule type="cellIs" dxfId="198" priority="79" operator="equal">
      <formula>1.3</formula>
    </cfRule>
    <cfRule type="cellIs" dxfId="197" priority="81" operator="greaterThan">
      <formula>1.5</formula>
    </cfRule>
    <cfRule type="cellIs" dxfId="196" priority="82" operator="between">
      <formula>1.3</formula>
      <formula>1.5</formula>
    </cfRule>
  </conditionalFormatting>
  <conditionalFormatting sqref="S28:Z36">
    <cfRule type="expression" dxfId="195" priority="165">
      <formula>$AF$5="Commercial"</formula>
    </cfRule>
    <cfRule type="expression" dxfId="194" priority="166">
      <formula>$AF$5="Semi-Commercial"</formula>
    </cfRule>
  </conditionalFormatting>
  <conditionalFormatting sqref="S37:Z39">
    <cfRule type="expression" dxfId="193" priority="65">
      <formula>$AF$5="Commercial"</formula>
    </cfRule>
    <cfRule type="expression" dxfId="192" priority="66">
      <formula>$AF$5="Semi-Commercial"</formula>
    </cfRule>
  </conditionalFormatting>
  <conditionalFormatting sqref="T28">
    <cfRule type="top10" dxfId="191" priority="167" rank="1"/>
    <cfRule type="expression" dxfId="190" priority="168">
      <formula>$AF$5="Commercial"</formula>
    </cfRule>
    <cfRule type="expression" dxfId="189" priority="169">
      <formula>$AF$5="Semi-Commercial"</formula>
    </cfRule>
  </conditionalFormatting>
  <conditionalFormatting sqref="T29:T43">
    <cfRule type="expression" dxfId="188" priority="171">
      <formula>$AF$5="Commercial"</formula>
    </cfRule>
    <cfRule type="expression" dxfId="187" priority="172">
      <formula>$AF$5="Semi-Commercial"</formula>
    </cfRule>
  </conditionalFormatting>
  <conditionalFormatting sqref="T85:U85">
    <cfRule type="expression" dxfId="186" priority="78">
      <formula>$R$86=0</formula>
    </cfRule>
  </conditionalFormatting>
  <conditionalFormatting sqref="U44">
    <cfRule type="expression" dxfId="185" priority="119">
      <formula>$U$44="No "</formula>
    </cfRule>
    <cfRule type="expression" dxfId="184" priority="120">
      <formula>$U$44="Yes "</formula>
    </cfRule>
  </conditionalFormatting>
  <conditionalFormatting sqref="U10:V10 U12:V12">
    <cfRule type="expression" dxfId="183" priority="272" stopIfTrue="1">
      <formula>IF($V$8="Monthly", TRUE, FALSE)</formula>
    </cfRule>
  </conditionalFormatting>
  <conditionalFormatting sqref="U23:W23">
    <cfRule type="expression" dxfId="182" priority="75">
      <formula>$V$3="Residential BTL"</formula>
    </cfRule>
  </conditionalFormatting>
  <conditionalFormatting sqref="V11">
    <cfRule type="expression" dxfId="181" priority="58">
      <formula>$V$3 = "Retention "</formula>
    </cfRule>
    <cfRule type="expression" dxfId="180" priority="198">
      <formula>$V$3="Residential BTL"</formula>
    </cfRule>
  </conditionalFormatting>
  <conditionalFormatting sqref="V46">
    <cfRule type="expression" dxfId="179" priority="121">
      <formula>$X$3="Semi-Commercial"</formula>
    </cfRule>
    <cfRule type="expression" dxfId="178" priority="122">
      <formula>$X$3="Commercial"</formula>
    </cfRule>
  </conditionalFormatting>
  <conditionalFormatting sqref="W28:Z31 W34 W37 W40 W43 Y28:Y43">
    <cfRule type="expression" dxfId="177" priority="160">
      <formula>$AF$5="Semi-Commercial"</formula>
    </cfRule>
  </conditionalFormatting>
  <conditionalFormatting sqref="X5 R77">
    <cfRule type="expression" dxfId="176" priority="8900">
      <formula>$Q$77&gt;0</formula>
    </cfRule>
  </conditionalFormatting>
  <conditionalFormatting sqref="Y60">
    <cfRule type="cellIs" dxfId="175" priority="6985" operator="notEqual">
      <formula>""</formula>
    </cfRule>
  </conditionalFormatting>
  <conditionalFormatting sqref="AA28:AA43">
    <cfRule type="cellIs" dxfId="174" priority="89" operator="equal">
      <formula>"Max Gross Loan achieved on this product, for higher loan size refer to Fusion."</formula>
    </cfRule>
    <cfRule type="expression" dxfId="173" priority="154">
      <formula>$AF$5="Commercial"</formula>
    </cfRule>
    <cfRule type="expression" dxfId="172" priority="155">
      <formula>$AF$5="Semi-Commercial"</formula>
    </cfRule>
  </conditionalFormatting>
  <conditionalFormatting sqref="AG47:AK47">
    <cfRule type="top10" dxfId="171" priority="8828" rank="1"/>
  </conditionalFormatting>
  <conditionalFormatting sqref="AG28:AM39">
    <cfRule type="expression" dxfId="170" priority="63">
      <formula>$AF$5="Commercial"</formula>
    </cfRule>
    <cfRule type="expression" dxfId="169" priority="64">
      <formula>$AF$5="Semi-Commercial"</formula>
    </cfRule>
  </conditionalFormatting>
  <conditionalFormatting sqref="AH17 Y118:AG118 AG119:AO120">
    <cfRule type="expression" dxfId="168" priority="331">
      <formula>IF($Y$118="",TRUE,FALSE)</formula>
    </cfRule>
  </conditionalFormatting>
  <conditionalFormatting sqref="AI71:AM71">
    <cfRule type="expression" dxfId="167" priority="340">
      <formula>IF($AI$71="",FALSE,TRUE)</formula>
    </cfRule>
  </conditionalFormatting>
  <conditionalFormatting sqref="AN60">
    <cfRule type="cellIs" dxfId="166" priority="343" operator="notEqual">
      <formula>""</formula>
    </cfRule>
  </conditionalFormatting>
  <conditionalFormatting sqref="AZ9:BK10 AY11 AA24:AC24 AY21 CY10 AH16:AK22 W25:AC25 AZ30:BK31 AY32 R46:V47 AG47:AK47">
    <cfRule type="expression" dxfId="165" priority="249">
      <formula>$AP$1="BDM"</formula>
    </cfRule>
  </conditionalFormatting>
  <conditionalFormatting sqref="AZ19:BK20">
    <cfRule type="expression" dxfId="164" priority="256">
      <formula>$AP$1="BDM"</formula>
    </cfRule>
  </conditionalFormatting>
  <conditionalFormatting sqref="BA11:BK14">
    <cfRule type="expression" dxfId="163" priority="213">
      <formula>$AP$1="BDM"</formula>
    </cfRule>
  </conditionalFormatting>
  <conditionalFormatting sqref="BA21:BK26">
    <cfRule type="expression" dxfId="162" priority="220">
      <formula>$AP$1="BDM"</formula>
    </cfRule>
  </conditionalFormatting>
  <conditionalFormatting sqref="BA32:BK35">
    <cfRule type="expression" dxfId="161" priority="330">
      <formula>$AP$1="BDM"</formula>
    </cfRule>
  </conditionalFormatting>
  <conditionalFormatting sqref="BB45:BG45">
    <cfRule type="expression" dxfId="160" priority="8613">
      <formula>IF(H39&gt;0.01,TRUE,FALSE)</formula>
    </cfRule>
  </conditionalFormatting>
  <conditionalFormatting sqref="BB12:BJ12">
    <cfRule type="expression" dxfId="159" priority="216">
      <formula>Tier2_Eligible=FALSE</formula>
    </cfRule>
  </conditionalFormatting>
  <conditionalFormatting sqref="BB13:BJ14">
    <cfRule type="expression" dxfId="158" priority="217">
      <formula>Tier3_Eligible=FALSE</formula>
    </cfRule>
  </conditionalFormatting>
  <conditionalFormatting sqref="BB14:BJ14">
    <cfRule type="expression" dxfId="157" priority="218">
      <formula>Tier4_Eligible=FALSE</formula>
    </cfRule>
  </conditionalFormatting>
  <conditionalFormatting sqref="BB22:BJ22">
    <cfRule type="expression" dxfId="156" priority="223">
      <formula>Tier2_Eligible=FALSE</formula>
    </cfRule>
  </conditionalFormatting>
  <conditionalFormatting sqref="BB23:BJ26">
    <cfRule type="expression" dxfId="155" priority="224">
      <formula>Tier3_Eligible=FALSE</formula>
    </cfRule>
  </conditionalFormatting>
  <conditionalFormatting sqref="BB26:BJ26">
    <cfRule type="expression" dxfId="154" priority="225">
      <formula>Tier4_Eligible=FALSE</formula>
    </cfRule>
  </conditionalFormatting>
  <conditionalFormatting sqref="BB33:BJ33">
    <cfRule type="expression" dxfId="153" priority="4546">
      <formula>Tier2_Eligible=FALSE</formula>
    </cfRule>
  </conditionalFormatting>
  <conditionalFormatting sqref="BB34:BJ35">
    <cfRule type="expression" dxfId="152" priority="5524">
      <formula>Tier3_Eligible=FALSE</formula>
    </cfRule>
  </conditionalFormatting>
  <conditionalFormatting sqref="BB11:BK11">
    <cfRule type="cellIs" dxfId="151" priority="212" operator="lessThanOrEqual">
      <formula>0</formula>
    </cfRule>
    <cfRule type="expression" dxfId="150" priority="215">
      <formula>Tier1_Eligible=FALSE</formula>
    </cfRule>
  </conditionalFormatting>
  <conditionalFormatting sqref="BB11:BK14">
    <cfRule type="top10" dxfId="149" priority="214" rank="1"/>
  </conditionalFormatting>
  <conditionalFormatting sqref="BB21:BK21">
    <cfRule type="cellIs" dxfId="148" priority="219" operator="lessThanOrEqual">
      <formula>0</formula>
    </cfRule>
    <cfRule type="expression" dxfId="147" priority="222">
      <formula>Tier1_Eligible=FALSE</formula>
    </cfRule>
  </conditionalFormatting>
  <conditionalFormatting sqref="BB21:BK26">
    <cfRule type="top10" dxfId="146" priority="221" rank="1"/>
  </conditionalFormatting>
  <conditionalFormatting sqref="BB32:BK32">
    <cfRule type="cellIs" dxfId="145" priority="318" operator="lessThanOrEqual">
      <formula>0</formula>
    </cfRule>
    <cfRule type="expression" dxfId="144" priority="3750">
      <formula>Tier1_Eligible=FALSE</formula>
    </cfRule>
  </conditionalFormatting>
  <conditionalFormatting sqref="BB32:BK35">
    <cfRule type="top10" dxfId="143" priority="8907" rank="1"/>
  </conditionalFormatting>
  <conditionalFormatting sqref="CG1:CO10">
    <cfRule type="expression" dxfId="142" priority="8897">
      <formula>$V$3="Commercial"</formula>
    </cfRule>
    <cfRule type="expression" dxfId="141" priority="8898">
      <formula>$V$3="Semi-Commercial"</formula>
    </cfRule>
  </conditionalFormatting>
  <conditionalFormatting sqref="CV15">
    <cfRule type="expression" dxfId="140" priority="8642">
      <formula>IF(AND($H$39&lt;&gt;"",$H$40&lt;&gt;""),TRUE,FALSE)</formula>
    </cfRule>
  </conditionalFormatting>
  <conditionalFormatting sqref="CY10 BB35:BJ35 AG47:AK47">
    <cfRule type="expression" dxfId="139" priority="5657">
      <formula>Tier4_Eligible=FALSE</formula>
    </cfRule>
  </conditionalFormatting>
  <conditionalFormatting sqref="X3">
    <cfRule type="expression" dxfId="138" priority="59">
      <formula>$V$3&lt;&gt;"Retention "</formula>
    </cfRule>
  </conditionalFormatting>
  <conditionalFormatting sqref="C83">
    <cfRule type="expression" dxfId="137" priority="56">
      <formula>$Q$60=1</formula>
    </cfRule>
  </conditionalFormatting>
  <conditionalFormatting sqref="F83:G83">
    <cfRule type="expression" dxfId="136" priority="55">
      <formula>$Q$60=1</formula>
    </cfRule>
  </conditionalFormatting>
  <conditionalFormatting sqref="I83:J83">
    <cfRule type="expression" dxfId="135" priority="54">
      <formula>$Q$60=1</formula>
    </cfRule>
  </conditionalFormatting>
  <conditionalFormatting sqref="C81:P81">
    <cfRule type="expression" dxfId="134" priority="52">
      <formula>$V$2="Core"</formula>
    </cfRule>
  </conditionalFormatting>
  <conditionalFormatting sqref="O180:P180">
    <cfRule type="expression" dxfId="133" priority="50">
      <formula>AND($V$3&lt;&gt;"Residential BTL", $V$3&lt;&gt;"Retention ")</formula>
    </cfRule>
  </conditionalFormatting>
  <conditionalFormatting sqref="AD85:AE111 AD117:AE117">
    <cfRule type="expression" dxfId="132" priority="47">
      <formula>AND($V$3&lt;&gt;"Residential BTL", $V$3&lt;&gt;"Retention ")</formula>
    </cfRule>
  </conditionalFormatting>
  <conditionalFormatting sqref="O80:P82 O84 O105:P110 O85:P103">
    <cfRule type="expression" dxfId="131" priority="46">
      <formula>AND($V$3&lt;&gt;"Residential BTL", $V$3&lt;&gt;"Retention ")</formula>
    </cfRule>
  </conditionalFormatting>
  <conditionalFormatting sqref="Q40:AM43">
    <cfRule type="expression" dxfId="130" priority="13">
      <formula>$AA$3&lt;&gt;1</formula>
    </cfRule>
    <cfRule type="expression" dxfId="129" priority="14">
      <formula>$Z$3&lt;&gt;1</formula>
    </cfRule>
  </conditionalFormatting>
  <conditionalFormatting sqref="S40:Z43">
    <cfRule type="expression" dxfId="128" priority="17">
      <formula>$AF$5="Commercial"</formula>
    </cfRule>
    <cfRule type="expression" dxfId="127" priority="18">
      <formula>$AF$5="Semi-Commercial"</formula>
    </cfRule>
  </conditionalFormatting>
  <conditionalFormatting sqref="AG40:AM43">
    <cfRule type="expression" dxfId="126" priority="15">
      <formula>$AF$5="Commercial"</formula>
    </cfRule>
    <cfRule type="expression" dxfId="125" priority="16">
      <formula>$AF$5="Semi-Commercial"</formula>
    </cfRule>
  </conditionalFormatting>
  <conditionalFormatting sqref="Q28:AM43">
    <cfRule type="expression" dxfId="124" priority="12">
      <formula>$AA$2&lt;&gt;1</formula>
    </cfRule>
  </conditionalFormatting>
  <conditionalFormatting sqref="C74:Q76">
    <cfRule type="expression" dxfId="123" priority="11">
      <formula>$AA$2&lt;&gt;1</formula>
    </cfRule>
  </conditionalFormatting>
  <conditionalFormatting sqref="O104:P104">
    <cfRule type="expression" dxfId="122" priority="10">
      <formula>AND($V$3&lt;&gt;"Residential BTL", $V$3&lt;&gt;"Retention ")</formula>
    </cfRule>
  </conditionalFormatting>
  <conditionalFormatting sqref="O74:Q76">
    <cfRule type="expression" dxfId="121" priority="9">
      <formula>$AA$3&lt;&gt;1</formula>
    </cfRule>
  </conditionalFormatting>
  <conditionalFormatting sqref="Q26:AM27">
    <cfRule type="expression" dxfId="120" priority="8">
      <formula>$AA$2&lt;&gt;1</formula>
    </cfRule>
  </conditionalFormatting>
  <conditionalFormatting sqref="L83:M83">
    <cfRule type="expression" dxfId="119" priority="7">
      <formula>$Q$60=1</formula>
    </cfRule>
  </conditionalFormatting>
  <conditionalFormatting sqref="O83:P83">
    <cfRule type="expression" dxfId="118" priority="6">
      <formula>$Q$60=1</formula>
    </cfRule>
  </conditionalFormatting>
  <conditionalFormatting sqref="O79:P79">
    <cfRule type="expression" dxfId="117" priority="5">
      <formula>IF($O$80&gt;(Monthly_Rent*20%),TRUE,FALSE)</formula>
    </cfRule>
  </conditionalFormatting>
  <conditionalFormatting sqref="C113:I116">
    <cfRule type="expression" dxfId="116" priority="4">
      <formula>$AA$2&lt;&gt;1</formula>
    </cfRule>
  </conditionalFormatting>
  <conditionalFormatting sqref="C116:I116">
    <cfRule type="expression" dxfId="115" priority="3">
      <formula>(ISNUMBER(SEARCH("Commercial",$V$3)))</formula>
    </cfRule>
  </conditionalFormatting>
  <conditionalFormatting sqref="L15">
    <cfRule type="containsText" dxfId="114" priority="2" operator="containsText" text="Error">
      <formula>NOT(ISERROR(SEARCH("Error",L15)))</formula>
    </cfRule>
  </conditionalFormatting>
  <conditionalFormatting sqref="V12:W12">
    <cfRule type="expression" dxfId="113" priority="1">
      <formula>IF(ISNUMBER(SEARCH("Commercial",V3)),FALSE,TRUE)</formula>
    </cfRule>
  </conditionalFormatting>
  <dataValidations count="18">
    <dataValidation showInputMessage="1" showErrorMessage="1" sqref="AT109 V105:V106 V9 AE119:AF120 V11" xr:uid="{44F5504E-9789-4A3D-999B-BBD163E3C174}"/>
    <dataValidation errorStyle="information" allowBlank="1" showInputMessage="1" showErrorMessage="1" error="Only 24 or 36 months" sqref="L27 H26 L26:P26 H28:K28" xr:uid="{86B1A2BB-0A0B-4B38-95AC-2C084CB99C57}"/>
    <dataValidation allowBlank="1" showInputMessage="1" sqref="H29" xr:uid="{F43B6425-E838-49F1-A278-244B244F9AF6}"/>
    <dataValidation type="decimal" errorStyle="warning" allowBlank="1" showInputMessage="1" showErrorMessage="1" errorTitle="Deferred interest range" error="Please enter a number between 0% and 3%" sqref="I67:K67" xr:uid="{228532BB-F9F9-4B04-B388-CEFCD1142C73}">
      <formula1>0</formula1>
      <formula2>0.03</formula2>
    </dataValidation>
    <dataValidation type="list" allowBlank="1" showInputMessage="1" sqref="CY10" xr:uid="{4593F6ED-1A21-471F-8877-FA624E6D3180}">
      <formula1>"Rolled, Deferred"</formula1>
    </dataValidation>
    <dataValidation type="list" errorStyle="information" allowBlank="1" showInputMessage="1" showErrorMessage="1" error="Only 24 or 36 months" sqref="H27:K27" xr:uid="{DB2E93EF-713A-444C-8E47-6457C01AAE86}">
      <formula1>"New Customer,Pipeline Customer"</formula1>
    </dataValidation>
    <dataValidation type="list" allowBlank="1" showInputMessage="1" showErrorMessage="1" sqref="CY8" xr:uid="{EB6996CA-52C4-44C8-9C36-C5E6CCD39E53}">
      <formula1>"Default (Yes),No"</formula1>
    </dataValidation>
    <dataValidation type="list" allowBlank="1" showInputMessage="1" showErrorMessage="1" sqref="CY9" xr:uid="{04997AEE-0119-44FE-9FC5-1AF97D4CAD63}">
      <formula1>"Default (Pay Rate),Full Rate"</formula1>
    </dataValidation>
    <dataValidation type="list" allowBlank="1" showInputMessage="1" showErrorMessage="1" sqref="V22" xr:uid="{DDFF5A21-7E79-4052-BB4E-F589907C97E6}">
      <formula1>"Yes,No"</formula1>
    </dataValidation>
    <dataValidation type="whole" showInputMessage="1" showErrorMessage="1" errorTitle="Min and Max Roll" error="Minimum Roll is 6 Months and Max Roll is 12 Months" sqref="R81" xr:uid="{69268710-62C4-434C-8A93-A14FFAFD2081}">
      <formula1>6</formula1>
      <formula2>12</formula2>
    </dataValidation>
    <dataValidation type="decimal" allowBlank="1" showInputMessage="1" showErrorMessage="1" errorTitle="Max Defer" error="Max Defer rate is 2%." sqref="S81" xr:uid="{A72C8E89-29C7-4F56-8498-212A868165D4}">
      <formula1>0</formula1>
      <formula2>0.02</formula2>
    </dataValidation>
    <dataValidation type="list" allowBlank="1" showInputMessage="1" showErrorMessage="1" sqref="U46" xr:uid="{36AFF4CE-F5A3-4FC8-90D7-8E3A1F128CF2}">
      <formula1>$AZ$1:$BB$1</formula1>
    </dataValidation>
    <dataValidation type="list" allowBlank="1" showInputMessage="1" showErrorMessage="1" sqref="H16:K16 H45" xr:uid="{F72CFDCC-F40F-4724-B47A-653245B46C4B}">
      <formula1>"Yes, No"</formula1>
    </dataValidation>
    <dataValidation type="list" allowBlank="1" showInputMessage="1" showErrorMessage="1" sqref="X3" xr:uid="{C3EFAD36-E914-4FC3-AE7F-FDEDF2A362CE}">
      <formula1>"65%, 75%"</formula1>
    </dataValidation>
    <dataValidation type="list" allowBlank="1" showInputMessage="1" showErrorMessage="1" sqref="V3:W3" xr:uid="{DEABB65E-9955-4438-B3BF-7CBED4A31EA2}">
      <formula1>INDIRECT(IF($V$2="Core","CoreTypes_All",$V$2 &amp; "Types"))</formula1>
    </dataValidation>
    <dataValidation type="list" allowBlank="1" showInputMessage="1" showErrorMessage="1" sqref="G60:K60" xr:uid="{49A47AEF-A394-42EE-AE49-A1F681853D3F}">
      <formula1>IF($V$2="Core",CoreListAdj,SpecialistList)</formula1>
    </dataValidation>
    <dataValidation type="list" allowBlank="1" showInputMessage="1" showErrorMessage="1" sqref="V2:W2" xr:uid="{79C887A6-0D95-449F-BFE6-CCE4A434611B}">
      <formula1>CoreSpecialist</formula1>
    </dataValidation>
    <dataValidation type="list" allowBlank="1" showInputMessage="1" showErrorMessage="1" sqref="V16:W16" xr:uid="{D681CC45-7625-40BF-8215-C7955CA2B52F}">
      <formula1>YesNo</formula1>
    </dataValidation>
  </dataValidations>
  <pageMargins left="0.19685039370078741" right="0.19685039370078741" top="0.19685039370078741" bottom="0.19685039370078741" header="0.19685039370078741" footer="0.19685039370078741"/>
  <pageSetup paperSize="8" scale="74" fitToHeight="0" orientation="landscape" r:id="rId1"/>
  <ignoredErrors>
    <ignoredError sqref="W28:W33 S37:AM42 AE95:AE96 X97:AE98 X95:AD96 X102:AC104 AD102:AE103" evalError="1"/>
    <ignoredError sqref="X90:AE93 X89:AA89 AC89:AE89" formula="1"/>
    <ignoredError sqref="X94:AD94 AE94 AB89" evalError="1"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4265" r:id="rId4" name="Button 169">
              <controlPr defaultSize="0" print="0" autoFill="0" autoPict="0" macro="[0]!UsePrintPreview">
                <anchor moveWithCells="1" sizeWithCells="1">
                  <from>
                    <xdr:col>29</xdr:col>
                    <xdr:colOff>1247775</xdr:colOff>
                    <xdr:row>77</xdr:row>
                    <xdr:rowOff>285750</xdr:rowOff>
                  </from>
                  <to>
                    <xdr:col>33</xdr:col>
                    <xdr:colOff>9525</xdr:colOff>
                    <xdr:row>78</xdr:row>
                    <xdr:rowOff>495300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8910" id="{CEA2CA9E-79F6-4194-9391-25FFA94D601F}">
            <xm:f>$H$19='Product Data'!$AG$10</xm:f>
            <x14:dxf>
              <font>
                <color theme="0"/>
              </font>
              <fill>
                <patternFill>
                  <bgColor theme="0"/>
                </patternFill>
              </fill>
            </x14:dxf>
          </x14:cfRule>
          <xm:sqref>B18:D21 M20:P20 L20:L21 G20:H23 B22:G22</xm:sqref>
        </x14:conditionalFormatting>
        <x14:conditionalFormatting xmlns:xm="http://schemas.microsoft.com/office/excel/2006/main">
          <x14:cfRule type="expression" priority="60" id="{9618F617-1523-4E86-A429-3886EDC6B913}">
            <xm:f>$H$15='Product Data'!$AG$10</xm:f>
            <x14:dxf>
              <font>
                <color theme="0"/>
              </font>
              <fill>
                <patternFill>
                  <bgColor theme="0"/>
                </patternFill>
              </fill>
            </x14:dxf>
          </x14:cfRule>
          <xm:sqref>G16:H17</xm:sqref>
        </x14:conditionalFormatting>
        <x14:conditionalFormatting xmlns:xm="http://schemas.microsoft.com/office/excel/2006/main">
          <x14:cfRule type="expression" priority="8719" id="{DF730EFF-D630-4647-9E78-8D834CEB920E}">
            <xm:f>IF($H$28="Tracker",IF(('KB_CRITERIA AND CALCULATION '!$AV$90="Y")*($R$67&gt;'Product Data'!$P$20),TRUE,FALSE),FALSE)</xm:f>
            <x14:dxf>
              <font>
                <b/>
                <i val="0"/>
                <color theme="0"/>
              </font>
              <fill>
                <patternFill>
                  <bgColor rgb="FFFF0000"/>
                </patternFill>
              </fill>
            </x14:dxf>
          </x14:cfRule>
          <xm:sqref>AN60:AO70</xm:sqref>
        </x14:conditionalFormatting>
      </x14:conditionalFormattings>
    </ext>
    <ext xmlns:x14="http://schemas.microsoft.com/office/spreadsheetml/2009/9/main" uri="{CCE6A557-97BC-4b89-ADB6-D9C93CAAB3DF}">
      <x14:dataValidations xmlns:xm="http://schemas.microsoft.com/office/excel/2006/main" count="21">
        <x14:dataValidation type="list" allowBlank="1" showInputMessage="1" showErrorMessage="1" xr:uid="{253EB860-67B5-4DDA-A2FF-014AE2D2A201}">
          <x14:formula1>
            <xm:f>'Product Data'!$AG$9:$AG$10</xm:f>
          </x14:formula1>
          <xm:sqref>CY11 V23 H13:K13</xm:sqref>
        </x14:dataValidation>
        <x14:dataValidation type="list" allowBlank="1" showInputMessage="1" showErrorMessage="1" xr:uid="{099709A5-4A90-47C4-86DF-43265A7F14A7}">
          <x14:formula1>
            <xm:f>'Product Data'!$X$9:$X$12</xm:f>
          </x14:formula1>
          <xm:sqref>AX1:AX2 V9 V11</xm:sqref>
        </x14:dataValidation>
        <x14:dataValidation type="list" allowBlank="1" showInputMessage="1" showErrorMessage="1" xr:uid="{0C03803F-40F2-42CA-AC29-4D4808DDFF37}">
          <x14:formula1>
            <xm:f>'Product Data'!$AC$9:$AC$11</xm:f>
          </x14:formula1>
          <xm:sqref>V8:V9 V11</xm:sqref>
        </x14:dataValidation>
        <x14:dataValidation type="list" showInputMessage="1" showErrorMessage="1" xr:uid="{6C981476-0867-41E4-AF27-B2277DF7DFF5}">
          <x14:formula1>
            <xm:f>'Product Data'!#REF!</xm:f>
          </x14:formula1>
          <xm:sqref>AX1:AX2</xm:sqref>
        </x14:dataValidation>
        <x14:dataValidation type="list" allowBlank="1" showInputMessage="1" showErrorMessage="1" xr:uid="{4B4BC589-ED0C-4151-8D3C-07B4258E437E}">
          <x14:formula1>
            <xm:f>'Product Data'!$AD$9:$AD$13</xm:f>
          </x14:formula1>
          <xm:sqref>H35:K35</xm:sqref>
        </x14:dataValidation>
        <x14:dataValidation type="list" allowBlank="1" showInputMessage="1" showErrorMessage="1" xr:uid="{774C3765-52C4-40C2-9FE0-62126115C7E1}">
          <x14:formula1>
            <xm:f>'Product Data'!$AB$9:$AB$19</xm:f>
          </x14:formula1>
          <xm:sqref>V15</xm:sqref>
        </x14:dataValidation>
        <x14:dataValidation type="list" allowBlank="1" showInputMessage="1" showErrorMessage="1" xr:uid="{435CB495-D573-4889-852E-1AC84CC6C743}">
          <x14:formula1>
            <xm:f>IF('Product Data'!$AX$9="",'Product Data'!$AX$5:$AX$8,'Product Data'!$AX$5:$AX$9)</xm:f>
          </x14:formula1>
          <xm:sqref>AL81:AO83</xm:sqref>
        </x14:dataValidation>
        <x14:dataValidation type="list" allowBlank="1" showInputMessage="1" showErrorMessage="1" xr:uid="{FD7AE32C-6BCD-48DB-AAC8-0FA380371749}">
          <x14:formula1>
            <xm:f>Funders!$A$3:$A$7</xm:f>
          </x14:formula1>
          <xm:sqref>AI20:AI22</xm:sqref>
        </x14:dataValidation>
        <x14:dataValidation type="list" allowBlank="1" showInputMessage="1" showErrorMessage="1" xr:uid="{B6F8A9CC-BE8E-4919-A6CE-F8B05DA93D49}">
          <x14:formula1>
            <xm:f>'Product Data'!$T$9:$T$16</xm:f>
          </x14:formula1>
          <xm:sqref>AX1:AX2</xm:sqref>
        </x14:dataValidation>
        <x14:dataValidation type="list" allowBlank="1" showInputMessage="1" showErrorMessage="1" xr:uid="{22B595E0-D3A0-45C0-91D0-714A34D0A4EE}">
          <x14:formula1>
            <xm:f>'Product Data'!$N$16:$N$17</xm:f>
          </x14:formula1>
          <xm:sqref>H24</xm:sqref>
        </x14:dataValidation>
        <x14:dataValidation type="list" allowBlank="1" showInputMessage="1" showErrorMessage="1" xr:uid="{ECBE9730-FB5C-48A9-AD91-9A884990971B}">
          <x14:formula1>
            <xm:f>IF('Product Data'!$S$11="", 'Product Data'!$S$9:$S$10, 'Product Data'!$S$9:$S$11)</xm:f>
          </x14:formula1>
          <xm:sqref>V17:W17</xm:sqref>
        </x14:dataValidation>
        <x14:dataValidation type="list" allowBlank="1" showInputMessage="1" showErrorMessage="1" xr:uid="{5FD93719-B47A-4A28-990D-C52AAEAD67FA}">
          <x14:formula1>
            <xm:f>'Product Data'!$N$3:$N$4</xm:f>
          </x14:formula1>
          <xm:sqref>G61</xm:sqref>
        </x14:dataValidation>
        <x14:dataValidation type="list" showInputMessage="1" showErrorMessage="1" xr:uid="{C5320673-916D-4C3C-9916-CA263D30DF37}">
          <x14:formula1>
            <xm:f>'Product Data'!$CA$1:$CA$4</xm:f>
          </x14:formula1>
          <xm:sqref>V5:W5</xm:sqref>
        </x14:dataValidation>
        <x14:dataValidation type="list" allowBlank="1" showInputMessage="1" xr:uid="{4AA2A6C4-73C9-406D-A05F-3DDF21E69DFC}">
          <x14:formula1>
            <xm:f>'Product Data'!$BW$8:$BW$10</xm:f>
          </x14:formula1>
          <xm:sqref>I62:K62</xm:sqref>
        </x14:dataValidation>
        <x14:dataValidation type="list" allowBlank="1" showInputMessage="1" showErrorMessage="1" xr:uid="{25B67C25-185D-4609-A939-E49C33C1192A}">
          <x14:formula1>
            <xm:f>IF('Product Data'!$T$11="",'Product Data'!$T$9:$T$10,'Product Data'!$T$9:$T$11)</xm:f>
          </x14:formula1>
          <xm:sqref>V18:W18</xm:sqref>
        </x14:dataValidation>
        <x14:dataValidation type="list" allowBlank="1" showInputMessage="1" showErrorMessage="1" xr:uid="{1DFECD6D-34C1-4164-B3A2-A833A3F03EFF}">
          <x14:formula1>
            <xm:f>'Product Data'!$AG$21:$AG$22</xm:f>
          </x14:formula1>
          <xm:sqref>H15:K15 H19:K19 V21:W21 H12:K12 H17:K17</xm:sqref>
        </x14:dataValidation>
        <x14:dataValidation type="list" allowBlank="1" showInputMessage="1" showErrorMessage="1" xr:uid="{F5011564-1C46-461C-8C16-1F46400FBB53}">
          <x14:formula1>
            <xm:f>IF('Product Data'!$AG$9="", 'Product Data'!$AG$10, 'Product Data'!$AG$9:$AG$10)</xm:f>
          </x14:formula1>
          <xm:sqref>H18:K18 V19:W20</xm:sqref>
        </x14:dataValidation>
        <x14:dataValidation type="list" allowBlank="1" showInputMessage="1" showErrorMessage="1" xr:uid="{CA13758F-7CEA-439C-AD8F-BFDE81B2C65A}">
          <x14:formula1>
            <xm:f>IF('Product Data'!$U$11="",'Product Data'!$U$9:$U$10,'Product Data'!$U$9:$U$11)</xm:f>
          </x14:formula1>
          <xm:sqref>H20:K20</xm:sqref>
        </x14:dataValidation>
        <x14:dataValidation type="list" allowBlank="1" showInputMessage="1" showErrorMessage="1" xr:uid="{3052C00F-70AE-41FE-A3DB-31D6E7CDA1E3}">
          <x14:formula1>
            <xm:f>IF('Product Data'!$V$11="",'Product Data'!$V$9:$V$10,'Product Data'!$V$9:$V$11)</xm:f>
          </x14:formula1>
          <xm:sqref>H21:K21</xm:sqref>
        </x14:dataValidation>
        <x14:dataValidation type="list" allowBlank="1" showInputMessage="1" showErrorMessage="1" xr:uid="{438F8522-1882-4D5C-865A-663D8337EEAE}">
          <x14:formula1>
            <xm:f>IF('Product Data'!$W$11="",'Product Data'!$W$9:$W$10,'Product Data'!$W$9:$W$11)</xm:f>
          </x14:formula1>
          <xm:sqref>H22:K22</xm:sqref>
        </x14:dataValidation>
        <x14:dataValidation type="list" allowBlank="1" showInputMessage="1" showErrorMessage="1" xr:uid="{A551E5D3-E4A1-41E4-AC2F-59D98DFD506B}">
          <x14:formula1>
            <xm:f>IF('Product Data'!$X$11="",'Product Data'!$X$9,'Product Data'!$X$10:$X$11)</xm:f>
          </x14:formula1>
          <xm:sqref>H23:K23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77E8-FD9A-4CC3-9405-D9005F93EBEB}">
  <sheetPr codeName="Sheet8">
    <tabColor rgb="FFFF0000"/>
  </sheetPr>
  <dimension ref="A1:W224"/>
  <sheetViews>
    <sheetView topLeftCell="E1" zoomScale="80" zoomScaleNormal="80" workbookViewId="0">
      <selection activeCell="V34" sqref="V34"/>
    </sheetView>
  </sheetViews>
  <sheetFormatPr defaultRowHeight="15" x14ac:dyDescent="0.25"/>
  <cols>
    <col min="1" max="1" width="20" style="1" customWidth="1"/>
    <col min="2" max="2" width="23" style="1558" customWidth="1"/>
    <col min="3" max="4" width="17" style="1558" customWidth="1"/>
    <col min="5" max="5" width="4.28515625" style="1" customWidth="1"/>
    <col min="6" max="6" width="23" style="1558" customWidth="1"/>
    <col min="7" max="8" width="17" style="1558" customWidth="1"/>
    <col min="9" max="9" width="4.28515625" style="1" customWidth="1"/>
    <col min="10" max="10" width="23" style="1558" customWidth="1"/>
    <col min="11" max="12" width="17" style="1558" customWidth="1"/>
    <col min="13" max="13" width="2.85546875" style="1" customWidth="1"/>
    <col min="14" max="14" width="23" style="1558" customWidth="1"/>
    <col min="15" max="16" width="17" style="1558" customWidth="1"/>
    <col min="17" max="17" width="3.28515625" style="1" customWidth="1"/>
    <col min="18" max="20" width="22.85546875" style="1" customWidth="1"/>
    <col min="21" max="22" width="28.85546875" style="1" customWidth="1"/>
    <col min="23" max="23" width="12.85546875" style="1" bestFit="1" customWidth="1"/>
    <col min="24" max="16384" width="9.140625" style="1"/>
  </cols>
  <sheetData>
    <row r="1" spans="1:23" ht="77.25" customHeight="1" thickBot="1" x14ac:dyDescent="0.3">
      <c r="G1" s="1943" t="s">
        <v>436</v>
      </c>
      <c r="J1" s="1942"/>
      <c r="K1" s="1942"/>
      <c r="L1" s="1941" t="s">
        <v>437</v>
      </c>
      <c r="N1" s="1942"/>
      <c r="O1" s="1942"/>
      <c r="P1" s="1941"/>
    </row>
    <row r="2" spans="1:23" ht="35.25" customHeight="1" thickBot="1" x14ac:dyDescent="0.3">
      <c r="B2" s="3521" t="s">
        <v>438</v>
      </c>
      <c r="C2" s="3522"/>
      <c r="D2" s="3523"/>
      <c r="F2" s="3524" t="s">
        <v>439</v>
      </c>
      <c r="G2" s="3525"/>
      <c r="H2" s="3526"/>
      <c r="J2" s="3527" t="s">
        <v>440</v>
      </c>
      <c r="K2" s="3528"/>
      <c r="L2" s="3529"/>
      <c r="N2" s="3536" t="s">
        <v>3818</v>
      </c>
      <c r="O2" s="3537"/>
      <c r="P2" s="3538"/>
    </row>
    <row r="3" spans="1:23" ht="32.25" customHeight="1" x14ac:dyDescent="0.25">
      <c r="B3" s="3530" t="e">
        <f>IF(T10&gt;0,R15&amp;IF(T7&lt;T10,"
"&amp;R16,""),R14)</f>
        <v>#N/A</v>
      </c>
      <c r="C3" s="3531"/>
      <c r="D3" s="3532"/>
      <c r="F3" s="3530" t="e">
        <f>IF(T11&gt;0,R19&amp;IF(T7&lt;T11,"
"&amp;R20,""),R18)</f>
        <v>#N/A</v>
      </c>
      <c r="G3" s="3531"/>
      <c r="H3" s="3532"/>
      <c r="J3" s="3530" t="e">
        <f>IF(T12&gt;0,R23&amp;IF(T7&lt;T12,"
"&amp;R24,""),R22)</f>
        <v>#N/A</v>
      </c>
      <c r="K3" s="3531"/>
      <c r="L3" s="3532"/>
      <c r="N3" s="3530" t="e">
        <f>IF(T13&gt;0,R26&amp;IF(T4&lt;T13,"
"&amp;R27,""),R25)</f>
        <v>#N/A</v>
      </c>
      <c r="O3" s="3531"/>
      <c r="P3" s="3532"/>
      <c r="R3" s="898" t="s">
        <v>441</v>
      </c>
    </row>
    <row r="4" spans="1:23" ht="32.25" customHeight="1" thickBot="1" x14ac:dyDescent="0.3">
      <c r="B4" s="3533"/>
      <c r="C4" s="3534"/>
      <c r="D4" s="3535"/>
      <c r="F4" s="3533"/>
      <c r="G4" s="3534"/>
      <c r="H4" s="3535"/>
      <c r="J4" s="3533"/>
      <c r="K4" s="3534"/>
      <c r="L4" s="3535"/>
      <c r="N4" s="3533"/>
      <c r="O4" s="3534"/>
      <c r="P4" s="3535"/>
      <c r="R4" s="1927" t="s">
        <v>442</v>
      </c>
      <c r="S4" s="1933">
        <v>0.2</v>
      </c>
      <c r="T4" s="1929">
        <f>'BTL Calculator'!V9*S7</f>
        <v>0</v>
      </c>
      <c r="U4" s="1926">
        <f>T5-'BTL Calculator'!O80</f>
        <v>0</v>
      </c>
      <c r="V4" s="1926"/>
    </row>
    <row r="5" spans="1:23" ht="18.75" thickBot="1" x14ac:dyDescent="0.3">
      <c r="R5" s="1927" t="s">
        <v>442</v>
      </c>
      <c r="S5" s="1933">
        <v>0.2</v>
      </c>
      <c r="T5" s="1929">
        <f>'BTL Calculator'!V9*S7</f>
        <v>0</v>
      </c>
      <c r="U5" s="1926">
        <f>T5-'BTL Calculator'!F80</f>
        <v>0</v>
      </c>
      <c r="V5" s="1926"/>
    </row>
    <row r="6" spans="1:23" ht="18.75" thickBot="1" x14ac:dyDescent="0.3">
      <c r="B6" s="1944" t="s">
        <v>443</v>
      </c>
      <c r="C6" s="1947" t="str">
        <f>IF(B24&gt;-1,B24&amp;"m Rolled","")</f>
        <v>0m Rolled</v>
      </c>
      <c r="D6" s="1945">
        <f>IF(C6="","",_xlfn.MINIFS(C24:C224,D24:D224,"&gt;="&amp;D8))</f>
        <v>4.9439619065339002E-17</v>
      </c>
      <c r="F6" s="1944" t="s">
        <v>443</v>
      </c>
      <c r="G6" s="1947" t="str">
        <f>IF(F24&gt;-1,F24&amp;"m Rolled","")</f>
        <v>0m Rolled</v>
      </c>
      <c r="H6" s="1945">
        <f>IF(G6="","",_xlfn.MINIFS(G24:G224,H24:H224,"&gt;="&amp;H8))</f>
        <v>4.9439619065339002E-17</v>
      </c>
      <c r="J6" s="1944" t="s">
        <v>443</v>
      </c>
      <c r="K6" s="1947" t="str">
        <f>IF(J24&gt;-1,J24&amp;"m Rolled","")</f>
        <v>0m Rolled</v>
      </c>
      <c r="L6" s="1945">
        <f>IF(K6="","",_xlfn.MINIFS(K24:K224,L24:L224,"&gt;="&amp;L8))</f>
        <v>4.9439619065339002E-17</v>
      </c>
      <c r="N6" s="1944" t="s">
        <v>443</v>
      </c>
      <c r="O6" s="1947" t="str">
        <f>IF(N24&gt;-1,N24&amp;"m Rolled","")</f>
        <v>0m Rolled</v>
      </c>
      <c r="P6" s="1945">
        <f>IF(O6="","",_xlfn.MINIFS(O24:O224,P24:P224,"&gt;="&amp;P8))</f>
        <v>4.9439619065339002E-17</v>
      </c>
      <c r="R6" s="1927" t="s">
        <v>442</v>
      </c>
      <c r="S6" s="1933">
        <v>0.2</v>
      </c>
      <c r="T6" s="1929">
        <f>'BTL Calculator'!V9*S7</f>
        <v>0</v>
      </c>
      <c r="U6" s="1926">
        <f>T6-'BTL Calculator'!I80</f>
        <v>0</v>
      </c>
      <c r="V6" s="1926"/>
    </row>
    <row r="7" spans="1:23" ht="18" x14ac:dyDescent="0.25">
      <c r="C7" s="1"/>
      <c r="D7" s="1"/>
      <c r="G7" s="1"/>
      <c r="H7" s="1"/>
      <c r="K7" s="1"/>
      <c r="L7" s="1"/>
      <c r="O7" s="1"/>
      <c r="P7" s="1"/>
      <c r="R7" s="1927" t="s">
        <v>442</v>
      </c>
      <c r="S7" s="1933">
        <v>0.2</v>
      </c>
      <c r="T7" s="1929">
        <f>'BTL Calculator'!V9*S7</f>
        <v>0</v>
      </c>
      <c r="U7" s="1926">
        <f>T7-'BTL Calculator'!L80</f>
        <v>0</v>
      </c>
      <c r="V7" s="1926"/>
    </row>
    <row r="8" spans="1:23" x14ac:dyDescent="0.25">
      <c r="A8" s="2338" t="str">
        <f>Product_Selected</f>
        <v>1) Standard</v>
      </c>
      <c r="B8" s="1928" t="e">
        <f>VLOOKUP(A8,R31:U34,4,0)</f>
        <v>#N/A</v>
      </c>
      <c r="C8" s="1928">
        <v>1.2500000000000001E-2</v>
      </c>
      <c r="D8" s="1929" t="e">
        <f>Property_Value*VLOOKUP(A8,R31:W34,6,0)</f>
        <v>#N/A</v>
      </c>
      <c r="F8" s="1928" t="e">
        <f>VLOOKUP(A8,R31:T34,3,0)</f>
        <v>#N/A</v>
      </c>
      <c r="G8" s="1928">
        <v>1.2500000000000001E-2</v>
      </c>
      <c r="H8" s="1929" t="e">
        <f>Property_Value*VLOOKUP(A8,R31:W34,6,0)</f>
        <v>#N/A</v>
      </c>
      <c r="J8" s="1928" t="e">
        <f>VLOOKUP(A8,R31:S34,2,0)</f>
        <v>#N/A</v>
      </c>
      <c r="K8" s="1928">
        <v>1.2500000000000001E-2</v>
      </c>
      <c r="L8" s="1929" t="e">
        <f>Property_Value*VLOOKUP(A8,R31:W33,6,0)</f>
        <v>#N/A</v>
      </c>
      <c r="N8" s="1928" t="e">
        <f>VLOOKUP(A8,R31:V34,5,0)</f>
        <v>#N/A</v>
      </c>
      <c r="O8" s="1928">
        <v>1.2500000000000001E-2</v>
      </c>
      <c r="P8" s="1929" t="e">
        <f>Property_Value*VLOOKUP(A8,R31:W34,6,0)</f>
        <v>#N/A</v>
      </c>
      <c r="R8" s="1558"/>
      <c r="S8" s="1558"/>
      <c r="T8" s="1936"/>
      <c r="U8" s="3540" t="s">
        <v>444</v>
      </c>
      <c r="V8" s="2636"/>
    </row>
    <row r="9" spans="1:23" ht="15.75" thickBot="1" x14ac:dyDescent="0.3">
      <c r="B9" s="2249" t="e">
        <f>D8-(D8*D6/12)*60-((B8-D6)/12*B24*D8)-(D8*U30)</f>
        <v>#N/A</v>
      </c>
      <c r="C9" s="1929">
        <f>IF('BTL Calculator'!V5="3 Year Fixed",'KB_CRITERIA AND CALCULATION '!AO90/36,IF('BTL Calculator'!V5="5 Year Fixed",'KB_CRITERIA AND CALCULATION '!AO90/60,'KB_CRITERIA AND CALCULATION '!AO90/24))</f>
        <v>0</v>
      </c>
      <c r="D9" s="1558">
        <f>'BTL Calculator'!$V$9</f>
        <v>0</v>
      </c>
      <c r="F9" s="2249" t="e">
        <f>H8-(H8*H6/12)*60-((F8-H6)/12*F24*H8)-(H8*T30)</f>
        <v>#N/A</v>
      </c>
      <c r="G9" s="1929">
        <f>IF('BTL Calculator'!V5="3 Year Fixed",'KB_CRITERIA AND CALCULATION '!AO90/36,IF('BTL Calculator'!V5="5 Year Fixed",'KB_CRITERIA AND CALCULATION '!AO90/60,'KB_CRITERIA AND CALCULATION '!AO90/24))</f>
        <v>0</v>
      </c>
      <c r="H9" s="1558">
        <f>'BTL Calculator'!$V$9</f>
        <v>0</v>
      </c>
      <c r="J9" s="2249" t="e">
        <f>L8-(L8*L6/12)*60-((J8-L6)/12*J24*L8)-(L8*S30)</f>
        <v>#N/A</v>
      </c>
      <c r="K9" s="1929">
        <f>IF('BTL Calculator'!V5="3 Year Fixed",'KB_CRITERIA AND CALCULATION '!AO90/36,IF('BTL Calculator'!V5="5 Year Fixed",'KB_CRITERIA AND CALCULATION '!AO90/60,'KB_CRITERIA AND CALCULATION '!AO90/24))</f>
        <v>0</v>
      </c>
      <c r="L9" s="1558">
        <f>'BTL Calculator'!$V$9</f>
        <v>0</v>
      </c>
      <c r="N9" s="2249" t="e">
        <f>P8-(P8*P6/12)*60-((N8-P6)/12*N24*P8)-(P8*V30)</f>
        <v>#N/A</v>
      </c>
      <c r="O9" s="1929">
        <f>IF('BTL Calculator'!V5="3 Year Fixed",'KB_CRITERIA AND CALCULATION '!AO90/36,IF('BTL Calculator'!V5="5 Year Fixed",'KB_CRITERIA AND CALCULATION '!AO90/60,'KB_CRITERIA AND CALCULATION '!AO90/24))</f>
        <v>0</v>
      </c>
      <c r="P9" s="1558">
        <f>'BTL Calculator'!$V$9</f>
        <v>0</v>
      </c>
      <c r="R9" s="3542"/>
      <c r="S9" s="3542"/>
      <c r="T9" s="3542"/>
      <c r="U9" s="3541"/>
      <c r="V9" s="2636"/>
    </row>
    <row r="10" spans="1:23" ht="15.75" thickBot="1" x14ac:dyDescent="0.3">
      <c r="B10" s="2249" t="e">
        <f>IF(T7&lt;T10,U10,B9)</f>
        <v>#N/A</v>
      </c>
      <c r="C10" s="1936"/>
      <c r="F10" s="2249" t="e">
        <f>IF(T7&lt;T11,U11,F9)</f>
        <v>#N/A</v>
      </c>
      <c r="J10" s="2249" t="e">
        <f>IF(T7&lt;T12,U12,J9)</f>
        <v>#N/A</v>
      </c>
      <c r="N10" s="2249" t="e">
        <f>IF(T4&lt;T13,U13,N9)</f>
        <v>#N/A</v>
      </c>
      <c r="R10" s="3543" t="s">
        <v>445</v>
      </c>
      <c r="S10" s="3544"/>
      <c r="T10" s="1938" t="e">
        <f>((D8-C21)*(((($B$8-'KB Model Suggestions Fixed  5yr'!$C$8)/12)*(60-'KB Model Suggestions Fixed  5yr'!$B$21)*'Product Data'!$P$23)))/60</f>
        <v>#N/A</v>
      </c>
      <c r="U10" s="1929" t="e">
        <f>(($C$9+U5)*60)/((($B$8-'KB Model Suggestions Fixed  5yr'!$C$8)/12)*(60-'KB Model Suggestions Fixed  5yr'!$B$21)*'Product Data'!$P$23)</f>
        <v>#N/A</v>
      </c>
      <c r="V10" s="1929"/>
      <c r="W10" s="1934" t="e">
        <f>((D8-(($D$9*60)/((($B$8-'KB Model Suggestions Fixed  5yr'!$C$8)/12)*(60-'KB Model Suggestions Fixed  5yr'!$B$21)*'Product Data'!$P$23)))*(((($B$8-'KB Model Suggestions Fixed  5yr'!$C$8)/12)*(60-'KB Model Suggestions Fixed  5yr'!$B$21)*'Product Data'!$P$23)))/60</f>
        <v>#N/A</v>
      </c>
    </row>
    <row r="11" spans="1:23" ht="15.75" thickBot="1" x14ac:dyDescent="0.3">
      <c r="B11" s="1937" t="s">
        <v>446</v>
      </c>
      <c r="C11" s="1937" t="s">
        <v>293</v>
      </c>
      <c r="D11" s="1937" t="s">
        <v>447</v>
      </c>
      <c r="F11" s="1937" t="s">
        <v>446</v>
      </c>
      <c r="G11" s="1937" t="s">
        <v>293</v>
      </c>
      <c r="H11" s="1937" t="s">
        <v>447</v>
      </c>
      <c r="J11" s="1937" t="s">
        <v>446</v>
      </c>
      <c r="K11" s="1937" t="s">
        <v>293</v>
      </c>
      <c r="L11" s="1937" t="s">
        <v>447</v>
      </c>
      <c r="N11" s="1937" t="s">
        <v>446</v>
      </c>
      <c r="O11" s="1937" t="s">
        <v>293</v>
      </c>
      <c r="P11" s="1937" t="s">
        <v>447</v>
      </c>
      <c r="R11" s="3545" t="s">
        <v>448</v>
      </c>
      <c r="S11" s="3546"/>
      <c r="T11" s="1939" t="e">
        <f>((H8-G21)*(((($F$8-'KB Model Suggestions Fixed  5yr'!$G$8)/12)*(60-'KB Model Suggestions Fixed  5yr'!$F$21)*'Product Data'!$P$23)))/60</f>
        <v>#N/A</v>
      </c>
      <c r="U11" s="1929" t="e">
        <f>(($G$9+U6)*60)/((($F$8-'KB Model Suggestions Fixed  5yr'!$G$8)/12)*(60-'KB Model Suggestions Fixed  5yr'!F21)*'Product Data'!$P$23)</f>
        <v>#N/A</v>
      </c>
      <c r="V11" s="1929"/>
      <c r="W11" s="1934" t="e">
        <f>((H8-(($H$9*60)/((($F$8-'KB Model Suggestions Fixed  5yr'!$G$8)/12)*(60-'KB Model Suggestions Fixed  5yr'!F21)*'Product Data'!$P$23)))*(((($F$8-'KB Model Suggestions Fixed  5yr'!$G$8)/12)*(60-'KB Model Suggestions Fixed  5yr'!$F$21)*'Product Data'!$P$23)))/60</f>
        <v>#N/A</v>
      </c>
    </row>
    <row r="12" spans="1:23" ht="15.75" thickBot="1" x14ac:dyDescent="0.3">
      <c r="B12" s="1927">
        <v>0</v>
      </c>
      <c r="C12" s="1929" t="e">
        <f>($C$9*60)/((($B$8-$C$8)/12)*(60-B12)*'Product Data'!$P$23)</f>
        <v>#N/A</v>
      </c>
      <c r="D12" s="1930" t="e">
        <f t="shared" ref="D12:D21" si="0">$D$8/C12</f>
        <v>#N/A</v>
      </c>
      <c r="F12" s="1927">
        <v>0</v>
      </c>
      <c r="G12" s="1929" t="e">
        <f>($G$9*60)/((($F$8-$G$8)/12)*(60-F12)*'Product Data'!$P$23)</f>
        <v>#N/A</v>
      </c>
      <c r="H12" s="1930" t="e">
        <f t="shared" ref="H12:H21" si="1">$D$8/G12</f>
        <v>#N/A</v>
      </c>
      <c r="J12" s="1927">
        <v>0</v>
      </c>
      <c r="K12" s="1929" t="e">
        <f>($K$9*60)/((($J$8-$K$8)/12)*(60-J12)*'Product Data'!$P$23)</f>
        <v>#N/A</v>
      </c>
      <c r="L12" s="1930" t="e">
        <f t="shared" ref="L12:L21" si="2">$D$8/K12</f>
        <v>#N/A</v>
      </c>
      <c r="N12" s="1927">
        <v>0</v>
      </c>
      <c r="O12" s="1929" t="e">
        <f>($O$9*60)/((($N$8-$O$8)/12)*(60-N12)*'Product Data'!$P$23)</f>
        <v>#N/A</v>
      </c>
      <c r="P12" s="1930" t="e">
        <f t="shared" ref="P12:P21" si="3">$D$8/O12</f>
        <v>#N/A</v>
      </c>
      <c r="R12" s="3547" t="s">
        <v>449</v>
      </c>
      <c r="S12" s="3548"/>
      <c r="T12" s="1940" t="e">
        <f>((L8-K21)*(((($J$8-'KB Model Suggestions Fixed  5yr'!$K$8)/12)*(60-'KB Model Suggestions Fixed  5yr'!$J$21)*'Product Data'!$P$23)))/60</f>
        <v>#N/A</v>
      </c>
      <c r="U12" s="1929" t="e">
        <f>(($K$9+U7)*60)/((($J$8-'KB Model Suggestions Fixed  5yr'!$K$8)/12)*(60-'KB Model Suggestions Fixed  5yr'!J21)*'Product Data'!$P$23)</f>
        <v>#N/A</v>
      </c>
      <c r="V12" s="1929"/>
      <c r="W12" s="1934" t="e">
        <f>((L8-(($L$9*60)/((($J$8-'KB Model Suggestions Fixed  5yr'!$K$8)/12)*(60-'KB Model Suggestions Fixed  5yr'!J21)*'Product Data'!$P$23)))*(((($J$8-'KB Model Suggestions Fixed  5yr'!$K$8)/12)*(60-'KB Model Suggestions Fixed  5yr'!$J$21)*'Product Data'!$P$23)))/60</f>
        <v>#N/A</v>
      </c>
    </row>
    <row r="13" spans="1:23" ht="15.75" thickBot="1" x14ac:dyDescent="0.3">
      <c r="B13" s="1927">
        <v>1</v>
      </c>
      <c r="C13" s="1929" t="e">
        <f>($C$9*60)/((($B$8-$C$8)/12)*(60-B13)*'Product Data'!$P$23)</f>
        <v>#N/A</v>
      </c>
      <c r="D13" s="1930" t="e">
        <f t="shared" si="0"/>
        <v>#N/A</v>
      </c>
      <c r="F13" s="1927">
        <v>1</v>
      </c>
      <c r="G13" s="1929" t="e">
        <f>($G$9*60)/((($F$8-$G$8)/12)*(60-F13)*'Product Data'!$P$23)</f>
        <v>#N/A</v>
      </c>
      <c r="H13" s="1930" t="e">
        <f t="shared" si="1"/>
        <v>#N/A</v>
      </c>
      <c r="J13" s="1927">
        <v>1</v>
      </c>
      <c r="K13" s="1929" t="e">
        <f>($K$9*60)/((($J$8-$K$8)/12)*(60-J13)*'Product Data'!$P$23)</f>
        <v>#N/A</v>
      </c>
      <c r="L13" s="1930" t="e">
        <f t="shared" si="2"/>
        <v>#N/A</v>
      </c>
      <c r="N13" s="1927">
        <v>1</v>
      </c>
      <c r="O13" s="1929" t="e">
        <f>($O$9*60)/((($N$8-$O$8)/12)*(60-N13)*'Product Data'!$P$23)</f>
        <v>#N/A</v>
      </c>
      <c r="P13" s="1930" t="e">
        <f t="shared" si="3"/>
        <v>#N/A</v>
      </c>
      <c r="R13" s="3539" t="s">
        <v>3819</v>
      </c>
      <c r="S13" s="3539"/>
      <c r="T13" s="2684" t="e">
        <f>((P8-O21)*(((($N$8-'KB Model Suggestions Fixed  5yr'!$O$8)/12)*(60-'KB Model Suggestions Fixed  5yr'!$N$21)*'Product Data'!$P$23)))/60</f>
        <v>#N/A</v>
      </c>
      <c r="U13" s="1929" t="e">
        <f>(($O$9+U4)*60)/((($N$8-'KB Model Suggestions Fixed  5yr'!$O$8)/12)*(60-'KB Model Suggestions Fixed  5yr'!N21)*'Product Data'!$P$23)</f>
        <v>#N/A</v>
      </c>
      <c r="V13" s="1929"/>
      <c r="W13" s="1934" t="e">
        <f>((P8-(($P$9*60)/((($N$8-'KB Model Suggestions Fixed  5yr'!$O$8)/12)*(60-'KB Model Suggestions Fixed  5yr'!N21)*'Product Data'!$P$23)))*(((($N$8-'KB Model Suggestions Fixed  5yr'!$O$8)/12)*(60-'KB Model Suggestions Fixed  5yr'!$N$21)*'Product Data'!$P$23)))/60</f>
        <v>#N/A</v>
      </c>
    </row>
    <row r="14" spans="1:23" x14ac:dyDescent="0.25">
      <c r="B14" s="1927">
        <v>2</v>
      </c>
      <c r="C14" s="1929" t="e">
        <f>($C$9*60)/((($B$8-$C$8)/12)*(60-B14)*'Product Data'!$P$23)</f>
        <v>#N/A</v>
      </c>
      <c r="D14" s="1930" t="e">
        <f t="shared" si="0"/>
        <v>#N/A</v>
      </c>
      <c r="F14" s="1927">
        <v>2</v>
      </c>
      <c r="G14" s="1929" t="e">
        <f>($G$9*60)/((($F$8-$G$8)/12)*(60-F14)*'Product Data'!$P$23)</f>
        <v>#N/A</v>
      </c>
      <c r="H14" s="1930" t="e">
        <f t="shared" si="1"/>
        <v>#N/A</v>
      </c>
      <c r="J14" s="1927">
        <v>2</v>
      </c>
      <c r="K14" s="1929" t="e">
        <f>($K$9*60)/((($J$8-$K$8)/12)*(60-J14)*'Product Data'!$P$23)</f>
        <v>#N/A</v>
      </c>
      <c r="L14" s="1930" t="e">
        <f t="shared" si="2"/>
        <v>#N/A</v>
      </c>
      <c r="N14" s="1927">
        <v>2</v>
      </c>
      <c r="O14" s="1929" t="e">
        <f>($O$9*60)/((($N$8-$O$8)/12)*(60-N14)*'Product Data'!$P$23)</f>
        <v>#N/A</v>
      </c>
      <c r="P14" s="1930" t="e">
        <f t="shared" si="3"/>
        <v>#N/A</v>
      </c>
      <c r="R14" s="1" t="str">
        <f>"Max LTV possible with no Top Slice "&amp; C6 &amp; IF(B24&gt;-1,IF(D6&gt;-1," &amp; ","")&amp;TEXT(D6,"0.00%")&amp;" Deferred","")</f>
        <v>Max LTV possible with no Top Slice 0m Rolled &amp; 0.00% Deferred</v>
      </c>
      <c r="T14" s="1926"/>
    </row>
    <row r="15" spans="1:23" x14ac:dyDescent="0.25">
      <c r="B15" s="1927">
        <v>3</v>
      </c>
      <c r="C15" s="1929" t="e">
        <f>($C$9*60)/((($B$8-$C$8)/12)*(60-B15)*'Product Data'!$P$23)</f>
        <v>#N/A</v>
      </c>
      <c r="D15" s="1930" t="e">
        <f t="shared" si="0"/>
        <v>#N/A</v>
      </c>
      <c r="F15" s="1927">
        <v>3</v>
      </c>
      <c r="G15" s="1929" t="e">
        <f>($G$9*60)/((($F$8-$G$8)/12)*(60-F15)*'Product Data'!$P$23)</f>
        <v>#N/A</v>
      </c>
      <c r="H15" s="1930" t="e">
        <f t="shared" si="1"/>
        <v>#N/A</v>
      </c>
      <c r="J15" s="1927">
        <v>3</v>
      </c>
      <c r="K15" s="1929" t="e">
        <f>($K$9*60)/((($J$8-$K$8)/12)*(60-J15)*'Product Data'!$P$23)</f>
        <v>#N/A</v>
      </c>
      <c r="L15" s="1930" t="e">
        <f t="shared" si="2"/>
        <v>#N/A</v>
      </c>
      <c r="N15" s="1927">
        <v>3</v>
      </c>
      <c r="O15" s="1929" t="e">
        <f>($O$9*60)/((($N$8-$O$8)/12)*(60-N15)*'Product Data'!$P$23)</f>
        <v>#N/A</v>
      </c>
      <c r="P15" s="1930" t="e">
        <f t="shared" si="3"/>
        <v>#N/A</v>
      </c>
      <c r="R15" s="1" t="e">
        <f>"For Max LTV Gross loan, need Top Slice of "&amp;TEXT(W10,"£0,00")&amp;"pcm (+ max Roll/Defer). "</f>
        <v>#N/A</v>
      </c>
    </row>
    <row r="16" spans="1:23" x14ac:dyDescent="0.25">
      <c r="B16" s="1927">
        <v>4</v>
      </c>
      <c r="C16" s="1929" t="e">
        <f>($C$9*60)/((($B$8-$C$8)/12)*(60-B16)*'Product Data'!$P$23)</f>
        <v>#N/A</v>
      </c>
      <c r="D16" s="1930" t="e">
        <f t="shared" si="0"/>
        <v>#N/A</v>
      </c>
      <c r="F16" s="1927">
        <v>4</v>
      </c>
      <c r="G16" s="1929" t="e">
        <f>($G$9*60)/((($F$8-$G$8)/12)*(60-F16)*'Product Data'!$P$23)</f>
        <v>#N/A</v>
      </c>
      <c r="H16" s="1930" t="e">
        <f t="shared" si="1"/>
        <v>#N/A</v>
      </c>
      <c r="J16" s="1927">
        <v>4</v>
      </c>
      <c r="K16" s="1929" t="e">
        <f>($K$9*60)/((($J$8-$K$8)/12)*(60-J16)*'Product Data'!$P$23)</f>
        <v>#N/A</v>
      </c>
      <c r="L16" s="1930" t="e">
        <f t="shared" si="2"/>
        <v>#N/A</v>
      </c>
      <c r="N16" s="1927">
        <v>4</v>
      </c>
      <c r="O16" s="1929" t="e">
        <f>($O$9*60)/((($N$8-$O$8)/12)*(60-N16)*'Product Data'!$P$23)</f>
        <v>#N/A</v>
      </c>
      <c r="P16" s="1930" t="e">
        <f t="shared" si="3"/>
        <v>#N/A</v>
      </c>
      <c r="R16" s="1" t="e">
        <f>" However, Top slice capped @ "&amp;TEXT(T7,"£0,0")&amp;" pcm, giving Max Gross Loan of "&amp;TEXT(U10,"£###,###")</f>
        <v>#N/A</v>
      </c>
    </row>
    <row r="17" spans="2:23" x14ac:dyDescent="0.25">
      <c r="B17" s="1927">
        <v>5</v>
      </c>
      <c r="C17" s="1929" t="e">
        <f>($C$9*60)/((($B$8-$C$8)/12)*(60-B17)*'Product Data'!$P$23)</f>
        <v>#N/A</v>
      </c>
      <c r="D17" s="1930" t="e">
        <f t="shared" si="0"/>
        <v>#N/A</v>
      </c>
      <c r="F17" s="1927">
        <v>5</v>
      </c>
      <c r="G17" s="1929" t="e">
        <f>($G$9*60)/((($F$8-$G$8)/12)*(60-F17)*'Product Data'!$P$23)</f>
        <v>#N/A</v>
      </c>
      <c r="H17" s="1930" t="e">
        <f t="shared" si="1"/>
        <v>#N/A</v>
      </c>
      <c r="J17" s="1927">
        <v>5</v>
      </c>
      <c r="K17" s="1929" t="e">
        <f>($K$9*60)/((($J$8-$K$8)/12)*(60-J17)*'Product Data'!$P$23)</f>
        <v>#N/A</v>
      </c>
      <c r="L17" s="1930" t="e">
        <f t="shared" si="2"/>
        <v>#N/A</v>
      </c>
      <c r="N17" s="1927">
        <v>5</v>
      </c>
      <c r="O17" s="1929" t="e">
        <f>($O$9*60)/((($N$8-$O$8)/12)*(60-N17)*'Product Data'!$P$23)</f>
        <v>#N/A</v>
      </c>
      <c r="P17" s="1930" t="e">
        <f t="shared" si="3"/>
        <v>#N/A</v>
      </c>
    </row>
    <row r="18" spans="2:23" x14ac:dyDescent="0.25">
      <c r="B18" s="1927">
        <v>6</v>
      </c>
      <c r="C18" s="1929" t="e">
        <f>($C$9*60)/((($B$8-$C$8)/12)*(60-B18)*'Product Data'!$P$23)</f>
        <v>#N/A</v>
      </c>
      <c r="D18" s="1930" t="e">
        <f t="shared" si="0"/>
        <v>#N/A</v>
      </c>
      <c r="F18" s="1927">
        <v>6</v>
      </c>
      <c r="G18" s="1929" t="e">
        <f>($G$9*60)/((($F$8-$G$8)/12)*(60-F18)*'Product Data'!$P$23)</f>
        <v>#N/A</v>
      </c>
      <c r="H18" s="1930" t="e">
        <f t="shared" si="1"/>
        <v>#N/A</v>
      </c>
      <c r="J18" s="1927">
        <v>6</v>
      </c>
      <c r="K18" s="1929" t="e">
        <f>($K$9*60)/((($J$8-$K$8)/12)*(60-J18)*'Product Data'!$P$23)</f>
        <v>#N/A</v>
      </c>
      <c r="L18" s="1930" t="e">
        <f t="shared" si="2"/>
        <v>#N/A</v>
      </c>
      <c r="N18" s="1927">
        <v>6</v>
      </c>
      <c r="O18" s="1929" t="e">
        <f>($O$9*60)/((($N$8-$O$8)/12)*(60-N18)*'Product Data'!$P$23)</f>
        <v>#N/A</v>
      </c>
      <c r="P18" s="1930" t="e">
        <f t="shared" si="3"/>
        <v>#N/A</v>
      </c>
      <c r="R18" s="1" t="str">
        <f>"Max LTV possible with no Top Slice "&amp; G6 &amp; IF(F24&gt;-1,IF(H6&gt;-1," &amp; ","")&amp;TEXT(H6,"0.00%")&amp;" Deferred","")</f>
        <v>Max LTV possible with no Top Slice 0m Rolled &amp; 0.00% Deferred</v>
      </c>
    </row>
    <row r="19" spans="2:23" x14ac:dyDescent="0.25">
      <c r="B19" s="1927">
        <v>7</v>
      </c>
      <c r="C19" s="1929" t="e">
        <f>($C$9*60)/((($B$8-$C$8)/12)*(60-B19)*'Product Data'!$P$23)</f>
        <v>#N/A</v>
      </c>
      <c r="D19" s="1930" t="e">
        <f t="shared" si="0"/>
        <v>#N/A</v>
      </c>
      <c r="F19" s="1927">
        <v>7</v>
      </c>
      <c r="G19" s="1929" t="e">
        <f>($G$9*60)/((($F$8-$G$8)/12)*(60-F19)*'Product Data'!$P$23)</f>
        <v>#N/A</v>
      </c>
      <c r="H19" s="1930" t="e">
        <f t="shared" si="1"/>
        <v>#N/A</v>
      </c>
      <c r="J19" s="1927">
        <v>7</v>
      </c>
      <c r="K19" s="1929" t="e">
        <f>($K$9*60)/((($J$8-$K$8)/12)*(60-J19)*'Product Data'!$P$23)</f>
        <v>#N/A</v>
      </c>
      <c r="L19" s="1930" t="e">
        <f t="shared" si="2"/>
        <v>#N/A</v>
      </c>
      <c r="N19" s="1927">
        <v>7</v>
      </c>
      <c r="O19" s="1929" t="e">
        <f>($O$9*60)/((($N$8-$O$8)/12)*(60-N19)*'Product Data'!$P$23)</f>
        <v>#N/A</v>
      </c>
      <c r="P19" s="1930" t="e">
        <f t="shared" si="3"/>
        <v>#N/A</v>
      </c>
      <c r="R19" s="1" t="e">
        <f>"For Max LTV Gross loan, need Top Slice of "&amp;TEXT(W11,"£0,00")&amp;"pcm (+ max Roll/Defer). "</f>
        <v>#N/A</v>
      </c>
    </row>
    <row r="20" spans="2:23" x14ac:dyDescent="0.25">
      <c r="B20" s="1927">
        <v>8</v>
      </c>
      <c r="C20" s="1929" t="e">
        <f>($C$9*60)/((($B$8-$C$8)/12)*(60-B20)*'Product Data'!$P$23)</f>
        <v>#N/A</v>
      </c>
      <c r="D20" s="1930" t="e">
        <f t="shared" si="0"/>
        <v>#N/A</v>
      </c>
      <c r="F20" s="1927">
        <v>8</v>
      </c>
      <c r="G20" s="1929" t="e">
        <f>($G$9*60)/((($F$8-$G$8)/12)*(60-F20)*'Product Data'!$P$23)</f>
        <v>#N/A</v>
      </c>
      <c r="H20" s="1930" t="e">
        <f t="shared" si="1"/>
        <v>#N/A</v>
      </c>
      <c r="J20" s="1927">
        <v>8</v>
      </c>
      <c r="K20" s="1929" t="e">
        <f>($K$9*60)/((($J$8-$K$8)/12)*(60-J20)*'Product Data'!$P$23)</f>
        <v>#N/A</v>
      </c>
      <c r="L20" s="1930" t="e">
        <f t="shared" si="2"/>
        <v>#N/A</v>
      </c>
      <c r="N20" s="1927">
        <v>8</v>
      </c>
      <c r="O20" s="1929" t="e">
        <f>($O$9*60)/((($N$8-$O$8)/12)*(60-N20)*'Product Data'!$P$23)</f>
        <v>#N/A</v>
      </c>
      <c r="P20" s="1930" t="e">
        <f t="shared" si="3"/>
        <v>#N/A</v>
      </c>
      <c r="R20" s="1" t="e">
        <f>" However, Top slice capped @ "&amp;TEXT(T7,"£0,0")&amp;" pcm, giving Max Gross Loan of "&amp;TEXT(U11,"£###,###")</f>
        <v>#N/A</v>
      </c>
    </row>
    <row r="21" spans="2:23" x14ac:dyDescent="0.25">
      <c r="B21" s="1927">
        <v>9</v>
      </c>
      <c r="C21" s="1929" t="e">
        <f>($C$9*60)/((($B$8-$C$8)/12)*(60-B21)*'Product Data'!$P$23)</f>
        <v>#N/A</v>
      </c>
      <c r="D21" s="1930" t="e">
        <f t="shared" si="0"/>
        <v>#N/A</v>
      </c>
      <c r="F21" s="1927">
        <v>9</v>
      </c>
      <c r="G21" s="1929" t="e">
        <f>($G$9*60)/((($F$8-$G$8)/12)*(60-F21)*'Product Data'!$P$23)</f>
        <v>#N/A</v>
      </c>
      <c r="H21" s="1930" t="e">
        <f t="shared" si="1"/>
        <v>#N/A</v>
      </c>
      <c r="J21" s="1927">
        <v>9</v>
      </c>
      <c r="K21" s="1929" t="e">
        <f>($K$9*60)/((($J$8-$K$8)/12)*(60-J21)*'Product Data'!$P$23)</f>
        <v>#N/A</v>
      </c>
      <c r="L21" s="1930" t="e">
        <f t="shared" si="2"/>
        <v>#N/A</v>
      </c>
      <c r="N21" s="1927">
        <v>9</v>
      </c>
      <c r="O21" s="1929" t="e">
        <f>($O$9*60)/((($N$8-$O$8)/12)*(60-N21)*'Product Data'!$P$23)</f>
        <v>#N/A</v>
      </c>
      <c r="P21" s="1930" t="e">
        <f t="shared" si="3"/>
        <v>#N/A</v>
      </c>
    </row>
    <row r="22" spans="2:23" x14ac:dyDescent="0.25">
      <c r="R22" s="1" t="str">
        <f>"Max LTV possible with no Top Slice "&amp; K6 &amp; IF(J24&gt;-1,IF(L6&gt;-1," &amp; ","")&amp;TEXT(L6,"0.00%")&amp;" Deferred","")</f>
        <v>Max LTV possible with no Top Slice 0m Rolled &amp; 0.00% Deferred</v>
      </c>
    </row>
    <row r="23" spans="2:23" x14ac:dyDescent="0.25">
      <c r="B23" s="1937" t="s">
        <v>450</v>
      </c>
      <c r="C23" s="1937" t="s">
        <v>451</v>
      </c>
      <c r="D23" s="1937" t="s">
        <v>452</v>
      </c>
      <c r="F23" s="1937" t="s">
        <v>450</v>
      </c>
      <c r="G23" s="1937" t="s">
        <v>451</v>
      </c>
      <c r="H23" s="1937" t="s">
        <v>452</v>
      </c>
      <c r="J23" s="1937" t="s">
        <v>450</v>
      </c>
      <c r="K23" s="1937" t="s">
        <v>451</v>
      </c>
      <c r="L23" s="1937" t="s">
        <v>452</v>
      </c>
      <c r="N23" s="1937" t="s">
        <v>450</v>
      </c>
      <c r="O23" s="1937" t="s">
        <v>451</v>
      </c>
      <c r="P23" s="1937" t="s">
        <v>452</v>
      </c>
      <c r="R23" s="1" t="e">
        <f>"For Max LTV Gross loan, need Top Slice of "&amp;TEXT(W12,"£0,00")&amp;"pcm (+ max Roll/Defer). "</f>
        <v>#N/A</v>
      </c>
    </row>
    <row r="24" spans="2:23" x14ac:dyDescent="0.25">
      <c r="B24" s="1927">
        <f>_xlfn.MINIFS(B12:B21,D12:D21,"&lt;="&amp;100%)</f>
        <v>0</v>
      </c>
      <c r="C24" s="2392">
        <v>7.4999999999999997E-3</v>
      </c>
      <c r="D24" s="1929" t="e">
        <f>($C$9*60)/((($B$8-$C24)/12)*(60-B24)*'Product Data'!$P$23)</f>
        <v>#N/A</v>
      </c>
      <c r="F24" s="1927">
        <f>_xlfn.MINIFS(F12:F21,H12:H21,"&lt;="&amp;100%)</f>
        <v>0</v>
      </c>
      <c r="G24" s="2392">
        <v>7.4999999999999997E-3</v>
      </c>
      <c r="H24" s="1929" t="e">
        <f>($G$9*60)/((($F$8-$G24)/12)*(60-F24)*'Product Data'!$P$23)</f>
        <v>#N/A</v>
      </c>
      <c r="J24" s="1927">
        <f>_xlfn.MINIFS(J12:J21,L12:L21,"&lt;="&amp;100%)</f>
        <v>0</v>
      </c>
      <c r="K24" s="2392">
        <v>7.4999999999999997E-3</v>
      </c>
      <c r="L24" s="1929" t="e">
        <f>($K$9*60)/((($J$8-$K24)/12)*(60-J24)*'Product Data'!$P$23)</f>
        <v>#N/A</v>
      </c>
      <c r="N24" s="1927">
        <f>_xlfn.MINIFS(N12:N21,P12:P21,"&lt;="&amp;100%)</f>
        <v>0</v>
      </c>
      <c r="O24" s="2392">
        <v>7.4999999999999997E-3</v>
      </c>
      <c r="P24" s="1929" t="e">
        <f>($O$9*60)/((($N$8-$O24)/12)*(60-N24)*'Product Data'!$P$23)</f>
        <v>#N/A</v>
      </c>
      <c r="R24" s="1" t="e">
        <f>" However, Top slice capped @ "&amp;TEXT(T7,"£0,0")&amp;" pcm, giving Max Gross Loan of "&amp;TEXT(U12,"£###,###")</f>
        <v>#N/A</v>
      </c>
    </row>
    <row r="25" spans="2:23" x14ac:dyDescent="0.25">
      <c r="B25" s="1927">
        <f>B24</f>
        <v>0</v>
      </c>
      <c r="C25" s="1928">
        <v>7.4000000000000003E-3</v>
      </c>
      <c r="D25" s="1929" t="e">
        <f>($C$9*60)/((($B$8-$C25)/12)*(60-B25)*'Product Data'!$P$23)</f>
        <v>#N/A</v>
      </c>
      <c r="F25" s="1927">
        <f>F24</f>
        <v>0</v>
      </c>
      <c r="G25" s="1928">
        <v>7.4000000000000003E-3</v>
      </c>
      <c r="H25" s="1929" t="e">
        <f>($G$9*60)/((($F$8-$G25)/12)*(60-F25)*'Product Data'!$P$23)</f>
        <v>#N/A</v>
      </c>
      <c r="J25" s="1927">
        <f>J24</f>
        <v>0</v>
      </c>
      <c r="K25" s="1928">
        <v>7.4000000000000003E-3</v>
      </c>
      <c r="L25" s="1929" t="e">
        <f>($K$9*60)/((($J$8-$K25)/12)*(60-J25)*'Product Data'!$P$23)</f>
        <v>#N/A</v>
      </c>
      <c r="N25" s="1927">
        <f>N24</f>
        <v>0</v>
      </c>
      <c r="O25" s="1928">
        <v>7.4000000000000003E-3</v>
      </c>
      <c r="P25" s="1929" t="e">
        <f>($O$9*60)/((($N$8-$O25)/12)*(60-N25)*'Product Data'!$P$23)</f>
        <v>#N/A</v>
      </c>
      <c r="R25" s="1" t="str">
        <f>"Max LTV possible with no Top Slice "&amp; O6 &amp; IF(N24&gt;-1,IF(P6&gt;-1," &amp; ","")&amp;TEXT(P6,"0.00%")&amp;" Deferred","")</f>
        <v>Max LTV possible with no Top Slice 0m Rolled &amp; 0.00% Deferred</v>
      </c>
    </row>
    <row r="26" spans="2:23" x14ac:dyDescent="0.25">
      <c r="B26" s="1927">
        <f t="shared" ref="B26:B89" si="4">B25</f>
        <v>0</v>
      </c>
      <c r="C26" s="1928">
        <v>7.3000000000000001E-3</v>
      </c>
      <c r="D26" s="1929" t="e">
        <f>($C$9*60)/((($B$8-$C26)/12)*(60-B26)*'Product Data'!$P$23)</f>
        <v>#N/A</v>
      </c>
      <c r="F26" s="1927">
        <f t="shared" ref="F26:F89" si="5">F25</f>
        <v>0</v>
      </c>
      <c r="G26" s="1928">
        <v>7.3000000000000001E-3</v>
      </c>
      <c r="H26" s="1929" t="e">
        <f>($G$9*60)/((($F$8-$G26)/12)*(60-F26)*'Product Data'!$P$23)</f>
        <v>#N/A</v>
      </c>
      <c r="J26" s="1927">
        <f t="shared" ref="J26:J89" si="6">J25</f>
        <v>0</v>
      </c>
      <c r="K26" s="1928">
        <v>7.3000000000000001E-3</v>
      </c>
      <c r="L26" s="1929" t="e">
        <f>($K$9*60)/((($J$8-$K26)/12)*(60-J26)*'Product Data'!$P$23)</f>
        <v>#N/A</v>
      </c>
      <c r="N26" s="1927">
        <f t="shared" ref="N26:N89" si="7">N25</f>
        <v>0</v>
      </c>
      <c r="O26" s="1928">
        <v>7.3000000000000001E-3</v>
      </c>
      <c r="P26" s="1929" t="e">
        <f>($O$9*60)/((($N$8-$O26)/12)*(60-N26)*'Product Data'!$P$23)</f>
        <v>#N/A</v>
      </c>
      <c r="R26" s="1" t="e">
        <f>"For Max LTV Gross loan, need Top Slice of "&amp;TEXT(W13,"£0,00")&amp;"pcm (+ max Roll/Defer). "</f>
        <v>#N/A</v>
      </c>
    </row>
    <row r="27" spans="2:23" x14ac:dyDescent="0.25">
      <c r="B27" s="1927">
        <f t="shared" si="4"/>
        <v>0</v>
      </c>
      <c r="C27" s="2392">
        <v>7.1999999999999998E-3</v>
      </c>
      <c r="D27" s="1929" t="e">
        <f>($C$9*60)/((($B$8-$C27)/12)*(60-B27)*'Product Data'!$P$23)</f>
        <v>#N/A</v>
      </c>
      <c r="F27" s="1927">
        <f t="shared" si="5"/>
        <v>0</v>
      </c>
      <c r="G27" s="2392">
        <v>7.1999999999999998E-3</v>
      </c>
      <c r="H27" s="1929" t="e">
        <f>($G$9*60)/((($F$8-$G27)/12)*(60-F27)*'Product Data'!$P$23)</f>
        <v>#N/A</v>
      </c>
      <c r="J27" s="1927">
        <f t="shared" si="6"/>
        <v>0</v>
      </c>
      <c r="K27" s="2392">
        <v>7.1999999999999998E-3</v>
      </c>
      <c r="L27" s="1929" t="e">
        <f>($K$9*60)/((($J$8-$K27)/12)*(60-J27)*'Product Data'!$P$23)</f>
        <v>#N/A</v>
      </c>
      <c r="N27" s="1927">
        <f t="shared" si="7"/>
        <v>0</v>
      </c>
      <c r="O27" s="2392">
        <v>7.1999999999999998E-3</v>
      </c>
      <c r="P27" s="1929" t="e">
        <f>($O$9*60)/((($N$8-$O27)/12)*(60-N27)*'Product Data'!$P$23)</f>
        <v>#N/A</v>
      </c>
      <c r="R27" s="1" t="e">
        <f>" However, Top slice capped @ "&amp;TEXT(T4,"£0,0")&amp;" pcm, giving Max Gross Loan of "&amp;TEXT(U13,"£###,###")</f>
        <v>#N/A</v>
      </c>
    </row>
    <row r="28" spans="2:23" x14ac:dyDescent="0.25">
      <c r="B28" s="1927">
        <f t="shared" si="4"/>
        <v>0</v>
      </c>
      <c r="C28" s="1928">
        <v>7.1000000000000004E-3</v>
      </c>
      <c r="D28" s="1929" t="e">
        <f>($C$9*60)/((($B$8-$C28)/12)*(60-B28)*'Product Data'!$P$23)</f>
        <v>#N/A</v>
      </c>
      <c r="F28" s="1927">
        <f t="shared" si="5"/>
        <v>0</v>
      </c>
      <c r="G28" s="1928">
        <v>7.1000000000000004E-3</v>
      </c>
      <c r="H28" s="1929" t="e">
        <f>($G$9*60)/((($F$8-$G28)/12)*(60-F28)*'Product Data'!$P$23)</f>
        <v>#N/A</v>
      </c>
      <c r="J28" s="1927">
        <f t="shared" si="6"/>
        <v>0</v>
      </c>
      <c r="K28" s="1928">
        <v>7.1000000000000004E-3</v>
      </c>
      <c r="L28" s="1929" t="e">
        <f>($K$9*60)/((($J$8-$K28)/12)*(60-J28)*'Product Data'!$P$23)</f>
        <v>#N/A</v>
      </c>
      <c r="N28" s="1927">
        <f t="shared" si="7"/>
        <v>0</v>
      </c>
      <c r="O28" s="1928">
        <v>7.1000000000000004E-3</v>
      </c>
      <c r="P28" s="1929" t="e">
        <f>($O$9*60)/((($N$8-$O28)/12)*(60-N28)*'Product Data'!$P$23)</f>
        <v>#N/A</v>
      </c>
    </row>
    <row r="29" spans="2:23" x14ac:dyDescent="0.25">
      <c r="B29" s="1927">
        <f t="shared" si="4"/>
        <v>0</v>
      </c>
      <c r="C29" s="1928">
        <v>7.0000000000000001E-3</v>
      </c>
      <c r="D29" s="1929" t="e">
        <f>($C$9*60)/((($B$8-$C29)/12)*(60-B29)*'Product Data'!$P$23)</f>
        <v>#N/A</v>
      </c>
      <c r="F29" s="1927">
        <f t="shared" si="5"/>
        <v>0</v>
      </c>
      <c r="G29" s="1928">
        <v>7.0000000000000001E-3</v>
      </c>
      <c r="H29" s="1929" t="e">
        <f>($G$9*60)/((($F$8-$G29)/12)*(60-F29)*'Product Data'!$P$23)</f>
        <v>#N/A</v>
      </c>
      <c r="J29" s="1927">
        <f t="shared" si="6"/>
        <v>0</v>
      </c>
      <c r="K29" s="1928">
        <v>7.0000000000000001E-3</v>
      </c>
      <c r="L29" s="1929" t="e">
        <f>($K$9*60)/((($J$8-$K29)/12)*(60-J29)*'Product Data'!$P$23)</f>
        <v>#N/A</v>
      </c>
      <c r="N29" s="1927">
        <f t="shared" si="7"/>
        <v>0</v>
      </c>
      <c r="O29" s="1928">
        <v>7.0000000000000001E-3</v>
      </c>
      <c r="P29" s="1929" t="e">
        <f>($O$9*60)/((($N$8-$O29)/12)*(60-N29)*'Product Data'!$P$23)</f>
        <v>#N/A</v>
      </c>
      <c r="R29" s="1927" t="s">
        <v>453</v>
      </c>
      <c r="S29" s="1927" t="s">
        <v>454</v>
      </c>
      <c r="T29" s="2335"/>
      <c r="U29" s="2335"/>
      <c r="V29" s="2286"/>
    </row>
    <row r="30" spans="2:23" x14ac:dyDescent="0.25">
      <c r="B30" s="1927">
        <f t="shared" si="4"/>
        <v>0</v>
      </c>
      <c r="C30" s="2392">
        <v>6.8999999999999999E-3</v>
      </c>
      <c r="D30" s="1929" t="e">
        <f>($C$9*60)/((($B$8-$C30)/12)*(60-B30)*'Product Data'!$P$23)</f>
        <v>#N/A</v>
      </c>
      <c r="F30" s="1927">
        <f t="shared" si="5"/>
        <v>0</v>
      </c>
      <c r="G30" s="2392">
        <v>6.8999999999999999E-3</v>
      </c>
      <c r="H30" s="1929" t="e">
        <f>($G$9*60)/((($F$8-$G30)/12)*(60-F30)*'Product Data'!$P$23)</f>
        <v>#N/A</v>
      </c>
      <c r="J30" s="1927">
        <f t="shared" si="6"/>
        <v>0</v>
      </c>
      <c r="K30" s="2392">
        <v>6.8999999999999999E-3</v>
      </c>
      <c r="L30" s="1929" t="e">
        <f>($K$9*60)/((($J$8-$K30)/12)*(60-J30)*'Product Data'!$P$23)</f>
        <v>#N/A</v>
      </c>
      <c r="N30" s="1927">
        <f t="shared" si="7"/>
        <v>0</v>
      </c>
      <c r="O30" s="2392">
        <v>6.8999999999999999E-3</v>
      </c>
      <c r="P30" s="1929" t="e">
        <f>($O$9*60)/((($N$8-$O30)/12)*(60-N30)*'Product Data'!$P$23)</f>
        <v>#N/A</v>
      </c>
      <c r="R30" s="1927"/>
      <c r="S30" s="1928">
        <f>+IF('BTL Calculator'!V3="Retention ",0.015,0.02)</f>
        <v>0.02</v>
      </c>
      <c r="T30" s="1928">
        <f>+IF('BTL Calculator'!V3="Retention ",0.035,0.04)</f>
        <v>0.04</v>
      </c>
      <c r="U30" s="1928">
        <f>+IF('BTL Calculator'!V3="Retention ",0.055,0.06)</f>
        <v>0.06</v>
      </c>
      <c r="V30" s="1928">
        <v>0.03</v>
      </c>
      <c r="W30" s="1927" t="s">
        <v>455</v>
      </c>
    </row>
    <row r="31" spans="2:23" x14ac:dyDescent="0.25">
      <c r="B31" s="1927">
        <f t="shared" si="4"/>
        <v>0</v>
      </c>
      <c r="C31" s="1928">
        <v>6.7999999999999996E-3</v>
      </c>
      <c r="D31" s="1929" t="e">
        <f>($C$9*60)/((($B$8-$C31)/12)*(60-B31)*'Product Data'!$P$23)</f>
        <v>#N/A</v>
      </c>
      <c r="F31" s="1927">
        <f t="shared" si="5"/>
        <v>0</v>
      </c>
      <c r="G31" s="1928">
        <v>6.7999999999999996E-3</v>
      </c>
      <c r="H31" s="1929" t="e">
        <f>($G$9*60)/((($F$8-$G31)/12)*(60-F31)*'Product Data'!$P$23)</f>
        <v>#N/A</v>
      </c>
      <c r="J31" s="1927">
        <f t="shared" si="6"/>
        <v>0</v>
      </c>
      <c r="K31" s="1928">
        <v>6.7999999999999996E-3</v>
      </c>
      <c r="L31" s="1929" t="e">
        <f>($K$9*60)/((($J$8-$K31)/12)*(60-J31)*'Product Data'!$P$23)</f>
        <v>#N/A</v>
      </c>
      <c r="N31" s="1927">
        <f t="shared" si="7"/>
        <v>0</v>
      </c>
      <c r="O31" s="1928">
        <v>6.7999999999999996E-3</v>
      </c>
      <c r="P31" s="1929" t="e">
        <f>($O$9*60)/((($N$8-$O31)/12)*(60-N31)*'Product Data'!$P$23)</f>
        <v>#N/A</v>
      </c>
      <c r="R31" s="1927" t="s">
        <v>432</v>
      </c>
      <c r="S31" s="1928">
        <f>IF(AND('BTL Calculator'!V3="Retention ",'BTL Calculator'!X3=0.75),'Product Data'!C190,
IF(AND('BTL Calculator'!V3="Retention ",'BTL Calculator'!X3=0.65),'Product Data'!C212,
'Product Data'!C164))</f>
        <v>7.4900000000000008E-2</v>
      </c>
      <c r="T31" s="2337">
        <f>IF(AND('BTL Calculator'!V3="Retention ",'BTL Calculator'!X3=0.75),'Product Data'!C195,
IF(AND('BTL Calculator'!V3="Retention ",'BTL Calculator'!X3=0.65),'Product Data'!C217,
'Product Data'!C170))</f>
        <v>7.0900000000000005E-2</v>
      </c>
      <c r="U31" s="2337">
        <f>IF(AND('BTL Calculator'!V3 = "Retention ",'BTL Calculator'!X3=0.75),'Product Data'!C200,
IF(AND('BTL Calculator'!V3 = "Retention ",'BTL Calculator'!X3=0.65),'Product Data'!C222,
'Product Data'!C176))</f>
        <v>6.6900000000000001E-2</v>
      </c>
      <c r="V31" s="2337">
        <f>IF(AND('BTL Calculator'!V3 = "Retention ",'BTL Calculator'!X3=0.75),'Product Data'!C205,
IF(AND('BTL Calculator'!V3 = "Retention ",'BTL Calculator'!X3=0.65),'Product Data'!C227,
'Product Data'!C182))</f>
        <v>7.2900000000000006E-2</v>
      </c>
      <c r="W31" s="1932">
        <f>+IF(AND('BTL Calculator'!V3 = "Retention ",'BTL Calculator'!X3=0.75),0.75,
IF(AND('BTL Calculator'!V3 = "Retention ",'BTL Calculator'!X3=0.65),0.65,0.75))</f>
        <v>0.75</v>
      </c>
    </row>
    <row r="32" spans="2:23" x14ac:dyDescent="0.25">
      <c r="B32" s="1927">
        <f t="shared" si="4"/>
        <v>0</v>
      </c>
      <c r="C32" s="1928">
        <v>6.7000000000000002E-3</v>
      </c>
      <c r="D32" s="1929" t="e">
        <f>($C$9*60)/((($B$8-$C32)/12)*(60-B32)*'Product Data'!$P$23)</f>
        <v>#N/A</v>
      </c>
      <c r="F32" s="1927">
        <f t="shared" si="5"/>
        <v>0</v>
      </c>
      <c r="G32" s="1928">
        <v>6.7000000000000002E-3</v>
      </c>
      <c r="H32" s="1929" t="e">
        <f>($G$9*60)/((($F$8-$G32)/12)*(60-F32)*'Product Data'!$P$23)</f>
        <v>#N/A</v>
      </c>
      <c r="J32" s="1927">
        <f t="shared" si="6"/>
        <v>0</v>
      </c>
      <c r="K32" s="1928">
        <v>6.7000000000000002E-3</v>
      </c>
      <c r="L32" s="1929" t="e">
        <f>($K$9*60)/((($J$8-$K32)/12)*(60-J32)*'Product Data'!$P$23)</f>
        <v>#N/A</v>
      </c>
      <c r="N32" s="1927">
        <f t="shared" si="7"/>
        <v>0</v>
      </c>
      <c r="O32" s="1928">
        <v>6.7000000000000002E-3</v>
      </c>
      <c r="P32" s="1929" t="e">
        <f>($O$9*60)/((($N$8-$O32)/12)*(60-N32)*'Product Data'!$P$23)</f>
        <v>#N/A</v>
      </c>
      <c r="R32" s="1927" t="s">
        <v>433</v>
      </c>
      <c r="S32" s="1928">
        <f>IF(AND('BTL Calculator'!V3 = "Retention ",'BTL Calculator'!X3=0.75),'Product Data'!C191,
IF(AND('BTL Calculator'!V3="Retention ",'BTL Calculator'!X3=0.65),'Product Data'!C213,
'Product Data'!C165))</f>
        <v>7.9899999999999999E-2</v>
      </c>
      <c r="T32" s="2337">
        <f>IF(AND('BTL Calculator'!V3 = "Retention ",'BTL Calculator'!X3=0.75),'Product Data'!C196,
IF(AND('BTL Calculator'!V3="Retention ",'BTL Calculator'!X3=0.65),'Product Data'!C218,
'Product Data'!C171))</f>
        <v>7.5899999999999995E-2</v>
      </c>
      <c r="U32" s="2337">
        <f>IF(AND('BTL Calculator'!V3="Retention ",'BTL Calculator'!X3=0.75),'Product Data'!C201,
IF(AND('BTL Calculator'!V3="Retention ",'BTL Calculator'!X3=0.65),'Product Data'!C223,
'Product Data'!C177))</f>
        <v>7.1900000000000006E-2</v>
      </c>
      <c r="V32" s="2337">
        <f>IF(AND('BTL Calculator'!V3="Retention ",'BTL Calculator'!X3=0.75),'Product Data'!C206,
IF(AND('BTL Calculator'!V3="Retention ",'BTL Calculator'!X3=0.65),'Product Data'!C228,
'Product Data'!C183))</f>
        <v>7.7899999999999997E-2</v>
      </c>
      <c r="W32" s="1932">
        <f>+IF(AND('BTL Calculator'!V3 = "Retention ",'BTL Calculator'!X3=0.75),0.75,
IF(AND('BTL Calculator'!V3 = "Retention ",'BTL Calculator'!X3=0.65),0.65,0.75))</f>
        <v>0.75</v>
      </c>
    </row>
    <row r="33" spans="2:23" x14ac:dyDescent="0.25">
      <c r="B33" s="1927">
        <f t="shared" si="4"/>
        <v>0</v>
      </c>
      <c r="C33" s="2392">
        <v>6.6000000000000104E-3</v>
      </c>
      <c r="D33" s="1929" t="e">
        <f>($C$9*60)/((($B$8-$C33)/12)*(60-B33)*'Product Data'!$P$23)</f>
        <v>#N/A</v>
      </c>
      <c r="F33" s="1927">
        <f t="shared" si="5"/>
        <v>0</v>
      </c>
      <c r="G33" s="2392">
        <v>6.6000000000000104E-3</v>
      </c>
      <c r="H33" s="1929" t="e">
        <f>($G$9*60)/((($F$8-$G33)/12)*(60-F33)*'Product Data'!$P$23)</f>
        <v>#N/A</v>
      </c>
      <c r="J33" s="1927">
        <f t="shared" si="6"/>
        <v>0</v>
      </c>
      <c r="K33" s="2392">
        <v>6.6000000000000104E-3</v>
      </c>
      <c r="L33" s="1929" t="e">
        <f>($K$9*60)/((($J$8-$K33)/12)*(60-J33)*'Product Data'!$P$23)</f>
        <v>#N/A</v>
      </c>
      <c r="N33" s="1927">
        <f t="shared" si="7"/>
        <v>0</v>
      </c>
      <c r="O33" s="2392">
        <v>6.6000000000000104E-3</v>
      </c>
      <c r="P33" s="1929" t="e">
        <f>($O$9*60)/((($N$8-$O33)/12)*(60-N33)*'Product Data'!$P$23)</f>
        <v>#N/A</v>
      </c>
      <c r="R33" s="1927" t="s">
        <v>434</v>
      </c>
      <c r="S33" s="1928">
        <f>IF(AND('BTL Calculator'!V3 = "Retention ",'BTL Calculator'!X3=0.75),'Product Data'!C192,
IF(AND('BTL Calculator'!V3="Retention ",'BTL Calculator'!X3=0.65),'Product Data'!C214,
'Product Data'!C166))</f>
        <v>8.4900000000000003E-2</v>
      </c>
      <c r="T33" s="2337">
        <f>IF(AND('BTL Calculator'!V3 = "Retention ",'BTL Calculator'!X3=0.75),'Product Data'!C197,
IF(AND('BTL Calculator'!V3="Retention ",'BTL Calculator'!X3=0.65),'Product Data'!C219,
'Product Data'!C172))</f>
        <v>8.09E-2</v>
      </c>
      <c r="U33" s="2337">
        <f>IF(AND('BTL Calculator'!V3="Retention ",'BTL Calculator'!X3=0.75),'Product Data'!C202,
IF(AND('BTL Calculator'!V3="Retention ",'BTL Calculator'!X3=0.65),'Product Data'!C224,
'Product Data'!C178))</f>
        <v>7.690000000000001E-2</v>
      </c>
      <c r="V33" s="2337">
        <f>IF(AND('BTL Calculator'!V3="Retention ",'BTL Calculator'!X3=0.75),'Product Data'!C207,
IF(AND('BTL Calculator'!V3="Retention ",'BTL Calculator'!X3=0.65),'Product Data'!C229,
'Product Data'!C184))</f>
        <v>8.2899999999999988E-2</v>
      </c>
      <c r="W33" s="1932">
        <f>+IF(AND('BTL Calculator'!V3 = "Retention ",'BTL Calculator'!X3=0.75),0.75,
IF(AND('BTL Calculator'!V3 = "Retention ",'BTL Calculator'!X3=0.65),0.65,0.75))</f>
        <v>0.75</v>
      </c>
    </row>
    <row r="34" spans="2:23" x14ac:dyDescent="0.25">
      <c r="B34" s="1927">
        <f t="shared" si="4"/>
        <v>0</v>
      </c>
      <c r="C34" s="1928">
        <v>6.5000000000000101E-3</v>
      </c>
      <c r="D34" s="1929" t="e">
        <f>($C$9*60)/((($B$8-$C34)/12)*(60-B34)*'Product Data'!$P$23)</f>
        <v>#N/A</v>
      </c>
      <c r="F34" s="1927">
        <f t="shared" si="5"/>
        <v>0</v>
      </c>
      <c r="G34" s="1928">
        <v>6.5000000000000101E-3</v>
      </c>
      <c r="H34" s="1929" t="e">
        <f>($G$9*60)/((($F$8-$G34)/12)*(60-F34)*'Product Data'!$P$23)</f>
        <v>#N/A</v>
      </c>
      <c r="J34" s="1927">
        <f t="shared" si="6"/>
        <v>0</v>
      </c>
      <c r="K34" s="1928">
        <v>6.5000000000000101E-3</v>
      </c>
      <c r="L34" s="1929" t="e">
        <f>($K$9*60)/((($J$8-$K34)/12)*(60-J34)*'Product Data'!$P$23)</f>
        <v>#N/A</v>
      </c>
      <c r="N34" s="1927">
        <f t="shared" si="7"/>
        <v>0</v>
      </c>
      <c r="O34" s="1928">
        <v>6.5000000000000101E-3</v>
      </c>
      <c r="P34" s="1929" t="e">
        <f>($O$9*60)/((($N$8-$O34)/12)*(60-N34)*'Product Data'!$P$23)</f>
        <v>#N/A</v>
      </c>
      <c r="R34" s="1927"/>
      <c r="S34" s="1928"/>
      <c r="T34" s="2337"/>
      <c r="U34" s="2337"/>
      <c r="V34" s="2337"/>
      <c r="W34" s="1932"/>
    </row>
    <row r="35" spans="2:23" x14ac:dyDescent="0.25">
      <c r="B35" s="1927">
        <f t="shared" si="4"/>
        <v>0</v>
      </c>
      <c r="C35" s="1928">
        <v>6.4000000000000098E-3</v>
      </c>
      <c r="D35" s="1929" t="e">
        <f>($C$9*60)/((($B$8-$C35)/12)*(60-B35)*'Product Data'!$P$23)</f>
        <v>#N/A</v>
      </c>
      <c r="F35" s="1927">
        <f t="shared" si="5"/>
        <v>0</v>
      </c>
      <c r="G35" s="1928">
        <v>6.4000000000000098E-3</v>
      </c>
      <c r="H35" s="1929" t="e">
        <f>($G$9*60)/((($F$8-$G35)/12)*(60-F35)*'Product Data'!$P$23)</f>
        <v>#N/A</v>
      </c>
      <c r="J35" s="1927">
        <f t="shared" si="6"/>
        <v>0</v>
      </c>
      <c r="K35" s="1928">
        <v>6.4000000000000098E-3</v>
      </c>
      <c r="L35" s="1929" t="e">
        <f>($K$9*60)/((($J$8-$K35)/12)*(60-J35)*'Product Data'!$P$23)</f>
        <v>#N/A</v>
      </c>
      <c r="N35" s="1927">
        <f t="shared" si="7"/>
        <v>0</v>
      </c>
      <c r="O35" s="1928">
        <v>6.4000000000000098E-3</v>
      </c>
      <c r="P35" s="1929" t="e">
        <f>($O$9*60)/((($N$8-$O35)/12)*(60-N35)*'Product Data'!$P$23)</f>
        <v>#N/A</v>
      </c>
    </row>
    <row r="36" spans="2:23" x14ac:dyDescent="0.25">
      <c r="B36" s="1927">
        <f t="shared" si="4"/>
        <v>0</v>
      </c>
      <c r="C36" s="2392">
        <v>6.3000000000000096E-3</v>
      </c>
      <c r="D36" s="1929" t="e">
        <f>($C$9*60)/((($B$8-$C36)/12)*(60-B36)*'Product Data'!$P$23)</f>
        <v>#N/A</v>
      </c>
      <c r="F36" s="1927">
        <f t="shared" si="5"/>
        <v>0</v>
      </c>
      <c r="G36" s="2392">
        <v>6.3000000000000096E-3</v>
      </c>
      <c r="H36" s="1929" t="e">
        <f>($G$9*60)/((($F$8-$G36)/12)*(60-F36)*'Product Data'!$P$23)</f>
        <v>#N/A</v>
      </c>
      <c r="J36" s="1927">
        <f t="shared" si="6"/>
        <v>0</v>
      </c>
      <c r="K36" s="2392">
        <v>6.3000000000000096E-3</v>
      </c>
      <c r="L36" s="1929" t="e">
        <f>($K$9*60)/((($J$8-$K36)/12)*(60-J36)*'Product Data'!$P$23)</f>
        <v>#N/A</v>
      </c>
      <c r="N36" s="1927">
        <f t="shared" si="7"/>
        <v>0</v>
      </c>
      <c r="O36" s="2392">
        <v>6.3000000000000096E-3</v>
      </c>
      <c r="P36" s="1929" t="e">
        <f>($O$9*60)/((($N$8-$O36)/12)*(60-N36)*'Product Data'!$P$23)</f>
        <v>#N/A</v>
      </c>
    </row>
    <row r="37" spans="2:23" x14ac:dyDescent="0.25">
      <c r="B37" s="1927">
        <f t="shared" si="4"/>
        <v>0</v>
      </c>
      <c r="C37" s="1928">
        <v>6.2000000000000102E-3</v>
      </c>
      <c r="D37" s="1929" t="e">
        <f>($C$9*60)/((($B$8-$C37)/12)*(60-B37)*'Product Data'!$P$23)</f>
        <v>#N/A</v>
      </c>
      <c r="F37" s="1927">
        <f t="shared" si="5"/>
        <v>0</v>
      </c>
      <c r="G37" s="1928">
        <v>6.2000000000000102E-3</v>
      </c>
      <c r="H37" s="1929" t="e">
        <f>($G$9*60)/((($F$8-$G37)/12)*(60-F37)*'Product Data'!$P$23)</f>
        <v>#N/A</v>
      </c>
      <c r="J37" s="1927">
        <f t="shared" si="6"/>
        <v>0</v>
      </c>
      <c r="K37" s="1928">
        <v>6.2000000000000102E-3</v>
      </c>
      <c r="L37" s="1929" t="e">
        <f>($K$9*60)/((($J$8-$K37)/12)*(60-J37)*'Product Data'!$P$23)</f>
        <v>#N/A</v>
      </c>
      <c r="N37" s="1927">
        <f t="shared" si="7"/>
        <v>0</v>
      </c>
      <c r="O37" s="1928">
        <v>6.2000000000000102E-3</v>
      </c>
      <c r="P37" s="1929" t="e">
        <f>($O$9*60)/((($N$8-$O37)/12)*(60-N37)*'Product Data'!$P$23)</f>
        <v>#N/A</v>
      </c>
    </row>
    <row r="38" spans="2:23" x14ac:dyDescent="0.25">
      <c r="B38" s="1927">
        <f t="shared" si="4"/>
        <v>0</v>
      </c>
      <c r="C38" s="1928">
        <v>6.1000000000000099E-3</v>
      </c>
      <c r="D38" s="1929" t="e">
        <f>($C$9*60)/((($B$8-$C38)/12)*(60-B38)*'Product Data'!$P$23)</f>
        <v>#N/A</v>
      </c>
      <c r="F38" s="1927">
        <f t="shared" si="5"/>
        <v>0</v>
      </c>
      <c r="G38" s="1928">
        <v>6.1000000000000099E-3</v>
      </c>
      <c r="H38" s="1929" t="e">
        <f>($G$9*60)/((($F$8-$G38)/12)*(60-F38)*'Product Data'!$P$23)</f>
        <v>#N/A</v>
      </c>
      <c r="J38" s="1927">
        <f t="shared" si="6"/>
        <v>0</v>
      </c>
      <c r="K38" s="1928">
        <v>6.1000000000000099E-3</v>
      </c>
      <c r="L38" s="1929" t="e">
        <f>($K$9*60)/((($J$8-$K38)/12)*(60-J38)*'Product Data'!$P$23)</f>
        <v>#N/A</v>
      </c>
      <c r="N38" s="1927">
        <f t="shared" si="7"/>
        <v>0</v>
      </c>
      <c r="O38" s="1928">
        <v>6.1000000000000099E-3</v>
      </c>
      <c r="P38" s="1929" t="e">
        <f>($O$9*60)/((($N$8-$O38)/12)*(60-N38)*'Product Data'!$P$23)</f>
        <v>#N/A</v>
      </c>
    </row>
    <row r="39" spans="2:23" x14ac:dyDescent="0.25">
      <c r="B39" s="1927">
        <f t="shared" si="4"/>
        <v>0</v>
      </c>
      <c r="C39" s="2392">
        <v>6.0000000000000097E-3</v>
      </c>
      <c r="D39" s="1929" t="e">
        <f>($C$9*60)/((($B$8-$C39)/12)*(60-B39)*'Product Data'!$P$23)</f>
        <v>#N/A</v>
      </c>
      <c r="F39" s="1927">
        <f t="shared" si="5"/>
        <v>0</v>
      </c>
      <c r="G39" s="2392">
        <v>6.0000000000000097E-3</v>
      </c>
      <c r="H39" s="1929" t="e">
        <f>($G$9*60)/((($F$8-$G39)/12)*(60-F39)*'Product Data'!$P$23)</f>
        <v>#N/A</v>
      </c>
      <c r="J39" s="1927">
        <f t="shared" si="6"/>
        <v>0</v>
      </c>
      <c r="K39" s="2392">
        <v>6.0000000000000097E-3</v>
      </c>
      <c r="L39" s="1929" t="e">
        <f>($K$9*60)/((($J$8-$K39)/12)*(60-J39)*'Product Data'!$P$23)</f>
        <v>#N/A</v>
      </c>
      <c r="N39" s="1927">
        <f t="shared" si="7"/>
        <v>0</v>
      </c>
      <c r="O39" s="2392">
        <v>6.0000000000000097E-3</v>
      </c>
      <c r="P39" s="1929" t="e">
        <f>($O$9*60)/((($N$8-$O39)/12)*(60-N39)*'Product Data'!$P$23)</f>
        <v>#N/A</v>
      </c>
    </row>
    <row r="40" spans="2:23" x14ac:dyDescent="0.25">
      <c r="B40" s="1927">
        <f t="shared" si="4"/>
        <v>0</v>
      </c>
      <c r="C40" s="1928">
        <v>5.9000000000000103E-3</v>
      </c>
      <c r="D40" s="1929" t="e">
        <f>($C$9*60)/((($B$8-$C40)/12)*(60-B40)*'Product Data'!$P$23)</f>
        <v>#N/A</v>
      </c>
      <c r="F40" s="1927">
        <f t="shared" si="5"/>
        <v>0</v>
      </c>
      <c r="G40" s="1928">
        <v>5.9000000000000103E-3</v>
      </c>
      <c r="H40" s="1929" t="e">
        <f>($G$9*60)/((($F$8-$G40)/12)*(60-F40)*'Product Data'!$P$23)</f>
        <v>#N/A</v>
      </c>
      <c r="J40" s="1927">
        <f t="shared" si="6"/>
        <v>0</v>
      </c>
      <c r="K40" s="1928">
        <v>5.9000000000000103E-3</v>
      </c>
      <c r="L40" s="1929" t="e">
        <f>($K$9*60)/((($J$8-$K40)/12)*(60-J40)*'Product Data'!$P$23)</f>
        <v>#N/A</v>
      </c>
      <c r="N40" s="1927">
        <f t="shared" si="7"/>
        <v>0</v>
      </c>
      <c r="O40" s="1928">
        <v>5.9000000000000103E-3</v>
      </c>
      <c r="P40" s="1929" t="e">
        <f>($O$9*60)/((($N$8-$O40)/12)*(60-N40)*'Product Data'!$P$23)</f>
        <v>#N/A</v>
      </c>
    </row>
    <row r="41" spans="2:23" x14ac:dyDescent="0.25">
      <c r="B41" s="1927">
        <f t="shared" si="4"/>
        <v>0</v>
      </c>
      <c r="C41" s="1928">
        <v>5.80000000000001E-3</v>
      </c>
      <c r="D41" s="1929" t="e">
        <f>($C$9*60)/((($B$8-$C41)/12)*(60-B41)*'Product Data'!$P$23)</f>
        <v>#N/A</v>
      </c>
      <c r="F41" s="1927">
        <f t="shared" si="5"/>
        <v>0</v>
      </c>
      <c r="G41" s="1928">
        <v>5.80000000000001E-3</v>
      </c>
      <c r="H41" s="1929" t="e">
        <f>($G$9*60)/((($F$8-$G41)/12)*(60-F41)*'Product Data'!$P$23)</f>
        <v>#N/A</v>
      </c>
      <c r="J41" s="1927">
        <f t="shared" si="6"/>
        <v>0</v>
      </c>
      <c r="K41" s="1928">
        <v>5.80000000000001E-3</v>
      </c>
      <c r="L41" s="1929" t="e">
        <f>($K$9*60)/((($J$8-$K41)/12)*(60-J41)*'Product Data'!$P$23)</f>
        <v>#N/A</v>
      </c>
      <c r="N41" s="1927">
        <f t="shared" si="7"/>
        <v>0</v>
      </c>
      <c r="O41" s="1928">
        <v>5.80000000000001E-3</v>
      </c>
      <c r="P41" s="1929" t="e">
        <f>($O$9*60)/((($N$8-$O41)/12)*(60-N41)*'Product Data'!$P$23)</f>
        <v>#N/A</v>
      </c>
    </row>
    <row r="42" spans="2:23" x14ac:dyDescent="0.25">
      <c r="B42" s="1927">
        <f t="shared" si="4"/>
        <v>0</v>
      </c>
      <c r="C42" s="2392">
        <v>5.7000000000000097E-3</v>
      </c>
      <c r="D42" s="1929" t="e">
        <f>($C$9*60)/((($B$8-$C42)/12)*(60-B42)*'Product Data'!$P$23)</f>
        <v>#N/A</v>
      </c>
      <c r="F42" s="1927">
        <f t="shared" si="5"/>
        <v>0</v>
      </c>
      <c r="G42" s="2392">
        <v>5.7000000000000097E-3</v>
      </c>
      <c r="H42" s="1929" t="e">
        <f>($G$9*60)/((($F$8-$G42)/12)*(60-F42)*'Product Data'!$P$23)</f>
        <v>#N/A</v>
      </c>
      <c r="J42" s="1927">
        <f t="shared" si="6"/>
        <v>0</v>
      </c>
      <c r="K42" s="2392">
        <v>5.7000000000000097E-3</v>
      </c>
      <c r="L42" s="1929" t="e">
        <f>($K$9*60)/((($J$8-$K42)/12)*(60-J42)*'Product Data'!$P$23)</f>
        <v>#N/A</v>
      </c>
      <c r="N42" s="1927">
        <f t="shared" si="7"/>
        <v>0</v>
      </c>
      <c r="O42" s="2392">
        <v>5.7000000000000097E-3</v>
      </c>
      <c r="P42" s="1929" t="e">
        <f>($O$9*60)/((($N$8-$O42)/12)*(60-N42)*'Product Data'!$P$23)</f>
        <v>#N/A</v>
      </c>
    </row>
    <row r="43" spans="2:23" x14ac:dyDescent="0.25">
      <c r="B43" s="1927">
        <f t="shared" si="4"/>
        <v>0</v>
      </c>
      <c r="C43" s="1928">
        <v>5.6000000000000104E-3</v>
      </c>
      <c r="D43" s="1929" t="e">
        <f>($C$9*60)/((($B$8-$C43)/12)*(60-B43)*'Product Data'!$P$23)</f>
        <v>#N/A</v>
      </c>
      <c r="F43" s="1927">
        <f t="shared" si="5"/>
        <v>0</v>
      </c>
      <c r="G43" s="1928">
        <v>5.6000000000000104E-3</v>
      </c>
      <c r="H43" s="1929" t="e">
        <f>($G$9*60)/((($F$8-$G43)/12)*(60-F43)*'Product Data'!$P$23)</f>
        <v>#N/A</v>
      </c>
      <c r="J43" s="1927">
        <f t="shared" si="6"/>
        <v>0</v>
      </c>
      <c r="K43" s="1928">
        <v>5.6000000000000104E-3</v>
      </c>
      <c r="L43" s="1929" t="e">
        <f>($K$9*60)/((($J$8-$K43)/12)*(60-J43)*'Product Data'!$P$23)</f>
        <v>#N/A</v>
      </c>
      <c r="N43" s="1927">
        <f t="shared" si="7"/>
        <v>0</v>
      </c>
      <c r="O43" s="1928">
        <v>5.6000000000000104E-3</v>
      </c>
      <c r="P43" s="1929" t="e">
        <f>($O$9*60)/((($N$8-$O43)/12)*(60-N43)*'Product Data'!$P$23)</f>
        <v>#N/A</v>
      </c>
    </row>
    <row r="44" spans="2:23" x14ac:dyDescent="0.25">
      <c r="B44" s="1927">
        <f t="shared" si="4"/>
        <v>0</v>
      </c>
      <c r="C44" s="1928">
        <v>5.5000000000000101E-3</v>
      </c>
      <c r="D44" s="1929" t="e">
        <f>($C$9*60)/((($B$8-$C44)/12)*(60-B44)*'Product Data'!$P$23)</f>
        <v>#N/A</v>
      </c>
      <c r="F44" s="1927">
        <f t="shared" si="5"/>
        <v>0</v>
      </c>
      <c r="G44" s="1928">
        <v>5.5000000000000101E-3</v>
      </c>
      <c r="H44" s="1929" t="e">
        <f>($G$9*60)/((($F$8-$G44)/12)*(60-F44)*'Product Data'!$P$23)</f>
        <v>#N/A</v>
      </c>
      <c r="J44" s="1927">
        <f t="shared" si="6"/>
        <v>0</v>
      </c>
      <c r="K44" s="1928">
        <v>5.5000000000000101E-3</v>
      </c>
      <c r="L44" s="1929" t="e">
        <f>($K$9*60)/((($J$8-$K44)/12)*(60-J44)*'Product Data'!$P$23)</f>
        <v>#N/A</v>
      </c>
      <c r="N44" s="1927">
        <f t="shared" si="7"/>
        <v>0</v>
      </c>
      <c r="O44" s="1928">
        <v>5.5000000000000101E-3</v>
      </c>
      <c r="P44" s="1929" t="e">
        <f>($O$9*60)/((($N$8-$O44)/12)*(60-N44)*'Product Data'!$P$23)</f>
        <v>#N/A</v>
      </c>
    </row>
    <row r="45" spans="2:23" x14ac:dyDescent="0.25">
      <c r="B45" s="1927">
        <f t="shared" si="4"/>
        <v>0</v>
      </c>
      <c r="C45" s="2392">
        <v>5.4000000000000098E-3</v>
      </c>
      <c r="D45" s="1929" t="e">
        <f>($C$9*60)/((($B$8-$C45)/12)*(60-B45)*'Product Data'!$P$23)</f>
        <v>#N/A</v>
      </c>
      <c r="F45" s="1927">
        <f t="shared" si="5"/>
        <v>0</v>
      </c>
      <c r="G45" s="2392">
        <v>5.4000000000000098E-3</v>
      </c>
      <c r="H45" s="1929" t="e">
        <f>($G$9*60)/((($F$8-$G45)/12)*(60-F45)*'Product Data'!$P$23)</f>
        <v>#N/A</v>
      </c>
      <c r="J45" s="1927">
        <f t="shared" si="6"/>
        <v>0</v>
      </c>
      <c r="K45" s="2392">
        <v>5.4000000000000098E-3</v>
      </c>
      <c r="L45" s="1929" t="e">
        <f>($K$9*60)/((($J$8-$K45)/12)*(60-J45)*'Product Data'!$P$23)</f>
        <v>#N/A</v>
      </c>
      <c r="N45" s="1927">
        <f t="shared" si="7"/>
        <v>0</v>
      </c>
      <c r="O45" s="2392">
        <v>5.4000000000000098E-3</v>
      </c>
      <c r="P45" s="1929" t="e">
        <f>($O$9*60)/((($N$8-$O45)/12)*(60-N45)*'Product Data'!$P$23)</f>
        <v>#N/A</v>
      </c>
    </row>
    <row r="46" spans="2:23" x14ac:dyDescent="0.25">
      <c r="B46" s="1927">
        <f t="shared" si="4"/>
        <v>0</v>
      </c>
      <c r="C46" s="1928">
        <v>5.3000000000000104E-3</v>
      </c>
      <c r="D46" s="1929" t="e">
        <f>($C$9*60)/((($B$8-$C46)/12)*(60-B46)*'Product Data'!$P$23)</f>
        <v>#N/A</v>
      </c>
      <c r="F46" s="1927">
        <f t="shared" si="5"/>
        <v>0</v>
      </c>
      <c r="G46" s="1928">
        <v>5.3000000000000104E-3</v>
      </c>
      <c r="H46" s="1929" t="e">
        <f>($G$9*60)/((($F$8-$G46)/12)*(60-F46)*'Product Data'!$P$23)</f>
        <v>#N/A</v>
      </c>
      <c r="J46" s="1927">
        <f t="shared" si="6"/>
        <v>0</v>
      </c>
      <c r="K46" s="1928">
        <v>5.3000000000000104E-3</v>
      </c>
      <c r="L46" s="1929" t="e">
        <f>($K$9*60)/((($J$8-$K46)/12)*(60-J46)*'Product Data'!$P$23)</f>
        <v>#N/A</v>
      </c>
      <c r="N46" s="1927">
        <f t="shared" si="7"/>
        <v>0</v>
      </c>
      <c r="O46" s="1928">
        <v>5.3000000000000104E-3</v>
      </c>
      <c r="P46" s="1929" t="e">
        <f>($O$9*60)/((($N$8-$O46)/12)*(60-N46)*'Product Data'!$P$23)</f>
        <v>#N/A</v>
      </c>
    </row>
    <row r="47" spans="2:23" x14ac:dyDescent="0.25">
      <c r="B47" s="1927">
        <f t="shared" si="4"/>
        <v>0</v>
      </c>
      <c r="C47" s="1928">
        <v>5.2000000000000102E-3</v>
      </c>
      <c r="D47" s="1929" t="e">
        <f>($C$9*60)/((($B$8-$C47)/12)*(60-B47)*'Product Data'!$P$23)</f>
        <v>#N/A</v>
      </c>
      <c r="F47" s="1927">
        <f t="shared" si="5"/>
        <v>0</v>
      </c>
      <c r="G47" s="1928">
        <v>5.2000000000000102E-3</v>
      </c>
      <c r="H47" s="1929" t="e">
        <f>($G$9*60)/((($F$8-$G47)/12)*(60-F47)*'Product Data'!$P$23)</f>
        <v>#N/A</v>
      </c>
      <c r="J47" s="1927">
        <f t="shared" si="6"/>
        <v>0</v>
      </c>
      <c r="K47" s="1928">
        <v>5.2000000000000102E-3</v>
      </c>
      <c r="L47" s="1929" t="e">
        <f>($K$9*60)/((($J$8-$K47)/12)*(60-J47)*'Product Data'!$P$23)</f>
        <v>#N/A</v>
      </c>
      <c r="N47" s="1927">
        <f t="shared" si="7"/>
        <v>0</v>
      </c>
      <c r="O47" s="1928">
        <v>5.2000000000000102E-3</v>
      </c>
      <c r="P47" s="1929" t="e">
        <f>($O$9*60)/((($N$8-$O47)/12)*(60-N47)*'Product Data'!$P$23)</f>
        <v>#N/A</v>
      </c>
    </row>
    <row r="48" spans="2:23" x14ac:dyDescent="0.25">
      <c r="B48" s="1927">
        <f t="shared" si="4"/>
        <v>0</v>
      </c>
      <c r="C48" s="2392">
        <v>5.1000000000000099E-3</v>
      </c>
      <c r="D48" s="1929" t="e">
        <f>($C$9*60)/((($B$8-$C48)/12)*(60-B48)*'Product Data'!$P$23)</f>
        <v>#N/A</v>
      </c>
      <c r="F48" s="1927">
        <f t="shared" si="5"/>
        <v>0</v>
      </c>
      <c r="G48" s="2392">
        <v>5.1000000000000099E-3</v>
      </c>
      <c r="H48" s="1929" t="e">
        <f>($G$9*60)/((($F$8-$G48)/12)*(60-F48)*'Product Data'!$P$23)</f>
        <v>#N/A</v>
      </c>
      <c r="J48" s="1927">
        <f t="shared" si="6"/>
        <v>0</v>
      </c>
      <c r="K48" s="2392">
        <v>5.1000000000000099E-3</v>
      </c>
      <c r="L48" s="1929" t="e">
        <f>($K$9*60)/((($J$8-$K48)/12)*(60-J48)*'Product Data'!$P$23)</f>
        <v>#N/A</v>
      </c>
      <c r="N48" s="1927">
        <f t="shared" si="7"/>
        <v>0</v>
      </c>
      <c r="O48" s="2392">
        <v>5.1000000000000099E-3</v>
      </c>
      <c r="P48" s="1929" t="e">
        <f>($O$9*60)/((($N$8-$O48)/12)*(60-N48)*'Product Data'!$P$23)</f>
        <v>#N/A</v>
      </c>
    </row>
    <row r="49" spans="2:16" x14ac:dyDescent="0.25">
      <c r="B49" s="1927">
        <f t="shared" si="4"/>
        <v>0</v>
      </c>
      <c r="C49" s="1928">
        <v>5.0000000000000201E-3</v>
      </c>
      <c r="D49" s="1929" t="e">
        <f>($C$9*60)/((($B$8-$C49)/12)*(60-B49)*'Product Data'!$P$23)</f>
        <v>#N/A</v>
      </c>
      <c r="F49" s="1927">
        <f t="shared" si="5"/>
        <v>0</v>
      </c>
      <c r="G49" s="1928">
        <v>5.0000000000000201E-3</v>
      </c>
      <c r="H49" s="1929" t="e">
        <f>($G$9*60)/((($F$8-$G49)/12)*(60-F49)*'Product Data'!$P$23)</f>
        <v>#N/A</v>
      </c>
      <c r="J49" s="1927">
        <f t="shared" si="6"/>
        <v>0</v>
      </c>
      <c r="K49" s="1928">
        <v>5.0000000000000201E-3</v>
      </c>
      <c r="L49" s="1929" t="e">
        <f>($K$9*60)/((($J$8-$K49)/12)*(60-J49)*'Product Data'!$P$23)</f>
        <v>#N/A</v>
      </c>
      <c r="N49" s="1927">
        <f t="shared" si="7"/>
        <v>0</v>
      </c>
      <c r="O49" s="1928">
        <v>5.0000000000000201E-3</v>
      </c>
      <c r="P49" s="1929" t="e">
        <f>($O$9*60)/((($N$8-$O49)/12)*(60-N49)*'Product Data'!$P$23)</f>
        <v>#N/A</v>
      </c>
    </row>
    <row r="50" spans="2:16" x14ac:dyDescent="0.25">
      <c r="B50" s="1927">
        <f t="shared" si="4"/>
        <v>0</v>
      </c>
      <c r="C50" s="1928">
        <v>4.9000000000000198E-3</v>
      </c>
      <c r="D50" s="1929" t="e">
        <f>($C$9*60)/((($B$8-$C50)/12)*(60-B50)*'Product Data'!$P$23)</f>
        <v>#N/A</v>
      </c>
      <c r="F50" s="1927">
        <f t="shared" si="5"/>
        <v>0</v>
      </c>
      <c r="G50" s="1928">
        <v>4.9000000000000198E-3</v>
      </c>
      <c r="H50" s="1929" t="e">
        <f>($G$9*60)/((($F$8-$G50)/12)*(60-F50)*'Product Data'!$P$23)</f>
        <v>#N/A</v>
      </c>
      <c r="J50" s="1927">
        <f t="shared" si="6"/>
        <v>0</v>
      </c>
      <c r="K50" s="1928">
        <v>4.9000000000000198E-3</v>
      </c>
      <c r="L50" s="1929" t="e">
        <f>($K$9*60)/((($J$8-$K50)/12)*(60-J50)*'Product Data'!$P$23)</f>
        <v>#N/A</v>
      </c>
      <c r="N50" s="1927">
        <f t="shared" si="7"/>
        <v>0</v>
      </c>
      <c r="O50" s="1928">
        <v>4.9000000000000198E-3</v>
      </c>
      <c r="P50" s="1929" t="e">
        <f>($O$9*60)/((($N$8-$O50)/12)*(60-N50)*'Product Data'!$P$23)</f>
        <v>#N/A</v>
      </c>
    </row>
    <row r="51" spans="2:16" x14ac:dyDescent="0.25">
      <c r="B51" s="1927">
        <f t="shared" si="4"/>
        <v>0</v>
      </c>
      <c r="C51" s="2392">
        <v>4.8000000000000204E-3</v>
      </c>
      <c r="D51" s="1929" t="e">
        <f>($C$9*60)/((($B$8-$C51)/12)*(60-B51)*'Product Data'!$P$23)</f>
        <v>#N/A</v>
      </c>
      <c r="F51" s="1927">
        <f t="shared" si="5"/>
        <v>0</v>
      </c>
      <c r="G51" s="2392">
        <v>4.8000000000000204E-3</v>
      </c>
      <c r="H51" s="1929" t="e">
        <f>($G$9*60)/((($F$8-$G51)/12)*(60-F51)*'Product Data'!$P$23)</f>
        <v>#N/A</v>
      </c>
      <c r="J51" s="1927">
        <f t="shared" si="6"/>
        <v>0</v>
      </c>
      <c r="K51" s="2392">
        <v>4.8000000000000204E-3</v>
      </c>
      <c r="L51" s="1929" t="e">
        <f>($K$9*60)/((($J$8-$K51)/12)*(60-J51)*'Product Data'!$P$23)</f>
        <v>#N/A</v>
      </c>
      <c r="N51" s="1927">
        <f t="shared" si="7"/>
        <v>0</v>
      </c>
      <c r="O51" s="2392">
        <v>4.8000000000000204E-3</v>
      </c>
      <c r="P51" s="1929" t="e">
        <f>($O$9*60)/((($N$8-$O51)/12)*(60-N51)*'Product Data'!$P$23)</f>
        <v>#N/A</v>
      </c>
    </row>
    <row r="52" spans="2:16" x14ac:dyDescent="0.25">
      <c r="B52" s="1927">
        <f t="shared" si="4"/>
        <v>0</v>
      </c>
      <c r="C52" s="1928">
        <v>4.7000000000000201E-3</v>
      </c>
      <c r="D52" s="1929" t="e">
        <f>($C$9*60)/((($B$8-$C52)/12)*(60-B52)*'Product Data'!$P$23)</f>
        <v>#N/A</v>
      </c>
      <c r="F52" s="1927">
        <f t="shared" si="5"/>
        <v>0</v>
      </c>
      <c r="G52" s="1928">
        <v>4.7000000000000201E-3</v>
      </c>
      <c r="H52" s="1929" t="e">
        <f>($G$9*60)/((($F$8-$G52)/12)*(60-F52)*'Product Data'!$P$23)</f>
        <v>#N/A</v>
      </c>
      <c r="J52" s="1927">
        <f t="shared" si="6"/>
        <v>0</v>
      </c>
      <c r="K52" s="1928">
        <v>4.7000000000000201E-3</v>
      </c>
      <c r="L52" s="1929" t="e">
        <f>($K$9*60)/((($J$8-$K52)/12)*(60-J52)*'Product Data'!$P$23)</f>
        <v>#N/A</v>
      </c>
      <c r="N52" s="1927">
        <f t="shared" si="7"/>
        <v>0</v>
      </c>
      <c r="O52" s="1928">
        <v>4.7000000000000201E-3</v>
      </c>
      <c r="P52" s="1929" t="e">
        <f>($O$9*60)/((($N$8-$O52)/12)*(60-N52)*'Product Data'!$P$23)</f>
        <v>#N/A</v>
      </c>
    </row>
    <row r="53" spans="2:16" x14ac:dyDescent="0.25">
      <c r="B53" s="1927">
        <f t="shared" si="4"/>
        <v>0</v>
      </c>
      <c r="C53" s="1928">
        <v>4.6000000000000199E-3</v>
      </c>
      <c r="D53" s="1929" t="e">
        <f>($C$9*60)/((($B$8-$C53)/12)*(60-B53)*'Product Data'!$P$23)</f>
        <v>#N/A</v>
      </c>
      <c r="F53" s="1927">
        <f t="shared" si="5"/>
        <v>0</v>
      </c>
      <c r="G53" s="1928">
        <v>4.6000000000000199E-3</v>
      </c>
      <c r="H53" s="1929" t="e">
        <f>($G$9*60)/((($F$8-$G53)/12)*(60-F53)*'Product Data'!$P$23)</f>
        <v>#N/A</v>
      </c>
      <c r="J53" s="1927">
        <f t="shared" si="6"/>
        <v>0</v>
      </c>
      <c r="K53" s="1928">
        <v>4.6000000000000199E-3</v>
      </c>
      <c r="L53" s="1929" t="e">
        <f>($K$9*60)/((($J$8-$K53)/12)*(60-J53)*'Product Data'!$P$23)</f>
        <v>#N/A</v>
      </c>
      <c r="N53" s="1927">
        <f t="shared" si="7"/>
        <v>0</v>
      </c>
      <c r="O53" s="1928">
        <v>4.6000000000000199E-3</v>
      </c>
      <c r="P53" s="1929" t="e">
        <f>($O$9*60)/((($N$8-$O53)/12)*(60-N53)*'Product Data'!$P$23)</f>
        <v>#N/A</v>
      </c>
    </row>
    <row r="54" spans="2:16" x14ac:dyDescent="0.25">
      <c r="B54" s="1927">
        <f t="shared" si="4"/>
        <v>0</v>
      </c>
      <c r="C54" s="2392">
        <v>4.5000000000000196E-3</v>
      </c>
      <c r="D54" s="1929" t="e">
        <f>($C$9*60)/((($B$8-$C54)/12)*(60-B54)*'Product Data'!$P$23)</f>
        <v>#N/A</v>
      </c>
      <c r="F54" s="1927">
        <f t="shared" si="5"/>
        <v>0</v>
      </c>
      <c r="G54" s="2392">
        <v>4.5000000000000196E-3</v>
      </c>
      <c r="H54" s="1929" t="e">
        <f>($G$9*60)/((($F$8-$G54)/12)*(60-F54)*'Product Data'!$P$23)</f>
        <v>#N/A</v>
      </c>
      <c r="J54" s="1927">
        <f t="shared" si="6"/>
        <v>0</v>
      </c>
      <c r="K54" s="2392">
        <v>4.5000000000000196E-3</v>
      </c>
      <c r="L54" s="1929" t="e">
        <f>($K$9*60)/((($J$8-$K54)/12)*(60-J54)*'Product Data'!$P$23)</f>
        <v>#N/A</v>
      </c>
      <c r="N54" s="1927">
        <f t="shared" si="7"/>
        <v>0</v>
      </c>
      <c r="O54" s="2392">
        <v>4.5000000000000196E-3</v>
      </c>
      <c r="P54" s="1929" t="e">
        <f>($O$9*60)/((($N$8-$O54)/12)*(60-N54)*'Product Data'!$P$23)</f>
        <v>#N/A</v>
      </c>
    </row>
    <row r="55" spans="2:16" x14ac:dyDescent="0.25">
      <c r="B55" s="1927">
        <f t="shared" si="4"/>
        <v>0</v>
      </c>
      <c r="C55" s="1928">
        <v>4.4000000000000202E-3</v>
      </c>
      <c r="D55" s="1929" t="e">
        <f>($C$9*60)/((($B$8-$C55)/12)*(60-B55)*'Product Data'!$P$23)</f>
        <v>#N/A</v>
      </c>
      <c r="F55" s="1927">
        <f t="shared" si="5"/>
        <v>0</v>
      </c>
      <c r="G55" s="1928">
        <v>4.4000000000000202E-3</v>
      </c>
      <c r="H55" s="1929" t="e">
        <f>($G$9*60)/((($F$8-$G55)/12)*(60-F55)*'Product Data'!$P$23)</f>
        <v>#N/A</v>
      </c>
      <c r="J55" s="1927">
        <f t="shared" si="6"/>
        <v>0</v>
      </c>
      <c r="K55" s="1928">
        <v>4.4000000000000202E-3</v>
      </c>
      <c r="L55" s="1929" t="e">
        <f>($K$9*60)/((($J$8-$K55)/12)*(60-J55)*'Product Data'!$P$23)</f>
        <v>#N/A</v>
      </c>
      <c r="N55" s="1927">
        <f t="shared" si="7"/>
        <v>0</v>
      </c>
      <c r="O55" s="1928">
        <v>4.4000000000000202E-3</v>
      </c>
      <c r="P55" s="1929" t="e">
        <f>($O$9*60)/((($N$8-$O55)/12)*(60-N55)*'Product Data'!$P$23)</f>
        <v>#N/A</v>
      </c>
    </row>
    <row r="56" spans="2:16" x14ac:dyDescent="0.25">
      <c r="B56" s="1927">
        <f t="shared" si="4"/>
        <v>0</v>
      </c>
      <c r="C56" s="1928">
        <v>4.30000000000002E-3</v>
      </c>
      <c r="D56" s="1929" t="e">
        <f>($C$9*60)/((($B$8-$C56)/12)*(60-B56)*'Product Data'!$P$23)</f>
        <v>#N/A</v>
      </c>
      <c r="F56" s="1927">
        <f t="shared" si="5"/>
        <v>0</v>
      </c>
      <c r="G56" s="1928">
        <v>4.30000000000002E-3</v>
      </c>
      <c r="H56" s="1929" t="e">
        <f>($G$9*60)/((($F$8-$G56)/12)*(60-F56)*'Product Data'!$P$23)</f>
        <v>#N/A</v>
      </c>
      <c r="J56" s="1927">
        <f t="shared" si="6"/>
        <v>0</v>
      </c>
      <c r="K56" s="1928">
        <v>4.30000000000002E-3</v>
      </c>
      <c r="L56" s="1929" t="e">
        <f>($K$9*60)/((($J$8-$K56)/12)*(60-J56)*'Product Data'!$P$23)</f>
        <v>#N/A</v>
      </c>
      <c r="N56" s="1927">
        <f t="shared" si="7"/>
        <v>0</v>
      </c>
      <c r="O56" s="1928">
        <v>4.30000000000002E-3</v>
      </c>
      <c r="P56" s="1929" t="e">
        <f>($O$9*60)/((($N$8-$O56)/12)*(60-N56)*'Product Data'!$P$23)</f>
        <v>#N/A</v>
      </c>
    </row>
    <row r="57" spans="2:16" x14ac:dyDescent="0.25">
      <c r="B57" s="1927">
        <f t="shared" si="4"/>
        <v>0</v>
      </c>
      <c r="C57" s="2392">
        <v>4.2000000000000197E-3</v>
      </c>
      <c r="D57" s="1929" t="e">
        <f>($C$9*60)/((($B$8-$C57)/12)*(60-B57)*'Product Data'!$P$23)</f>
        <v>#N/A</v>
      </c>
      <c r="F57" s="1927">
        <f t="shared" si="5"/>
        <v>0</v>
      </c>
      <c r="G57" s="2392">
        <v>4.2000000000000197E-3</v>
      </c>
      <c r="H57" s="1929" t="e">
        <f>($G$9*60)/((($F$8-$G57)/12)*(60-F57)*'Product Data'!$P$23)</f>
        <v>#N/A</v>
      </c>
      <c r="J57" s="1927">
        <f t="shared" si="6"/>
        <v>0</v>
      </c>
      <c r="K57" s="2392">
        <v>4.2000000000000197E-3</v>
      </c>
      <c r="L57" s="1929" t="e">
        <f>($K$9*60)/((($J$8-$K57)/12)*(60-J57)*'Product Data'!$P$23)</f>
        <v>#N/A</v>
      </c>
      <c r="N57" s="1927">
        <f t="shared" si="7"/>
        <v>0</v>
      </c>
      <c r="O57" s="2392">
        <v>4.2000000000000197E-3</v>
      </c>
      <c r="P57" s="1929" t="e">
        <f>($O$9*60)/((($N$8-$O57)/12)*(60-N57)*'Product Data'!$P$23)</f>
        <v>#N/A</v>
      </c>
    </row>
    <row r="58" spans="2:16" x14ac:dyDescent="0.25">
      <c r="B58" s="1927">
        <f t="shared" si="4"/>
        <v>0</v>
      </c>
      <c r="C58" s="1928">
        <v>4.1000000000000203E-3</v>
      </c>
      <c r="D58" s="1929" t="e">
        <f>($C$9*60)/((($B$8-$C58)/12)*(60-B58)*'Product Data'!$P$23)</f>
        <v>#N/A</v>
      </c>
      <c r="F58" s="1927">
        <f t="shared" si="5"/>
        <v>0</v>
      </c>
      <c r="G58" s="1928">
        <v>4.1000000000000203E-3</v>
      </c>
      <c r="H58" s="1929" t="e">
        <f>($G$9*60)/((($F$8-$G58)/12)*(60-F58)*'Product Data'!$P$23)</f>
        <v>#N/A</v>
      </c>
      <c r="J58" s="1927">
        <f t="shared" si="6"/>
        <v>0</v>
      </c>
      <c r="K58" s="1928">
        <v>4.1000000000000203E-3</v>
      </c>
      <c r="L58" s="1929" t="e">
        <f>($K$9*60)/((($J$8-$K58)/12)*(60-J58)*'Product Data'!$P$23)</f>
        <v>#N/A</v>
      </c>
      <c r="N58" s="1927">
        <f t="shared" si="7"/>
        <v>0</v>
      </c>
      <c r="O58" s="1928">
        <v>4.1000000000000203E-3</v>
      </c>
      <c r="P58" s="1929" t="e">
        <f>($O$9*60)/((($N$8-$O58)/12)*(60-N58)*'Product Data'!$P$23)</f>
        <v>#N/A</v>
      </c>
    </row>
    <row r="59" spans="2:16" x14ac:dyDescent="0.25">
      <c r="B59" s="1927">
        <f t="shared" si="4"/>
        <v>0</v>
      </c>
      <c r="C59" s="1928">
        <v>4.00000000000002E-3</v>
      </c>
      <c r="D59" s="1929" t="e">
        <f>($C$9*60)/((($B$8-$C59)/12)*(60-B59)*'Product Data'!$P$23)</f>
        <v>#N/A</v>
      </c>
      <c r="F59" s="1927">
        <f t="shared" si="5"/>
        <v>0</v>
      </c>
      <c r="G59" s="1928">
        <v>4.00000000000002E-3</v>
      </c>
      <c r="H59" s="1929" t="e">
        <f>($G$9*60)/((($F$8-$G59)/12)*(60-F59)*'Product Data'!$P$23)</f>
        <v>#N/A</v>
      </c>
      <c r="J59" s="1927">
        <f t="shared" si="6"/>
        <v>0</v>
      </c>
      <c r="K59" s="1928">
        <v>4.00000000000002E-3</v>
      </c>
      <c r="L59" s="1929" t="e">
        <f>($K$9*60)/((($J$8-$K59)/12)*(60-J59)*'Product Data'!$P$23)</f>
        <v>#N/A</v>
      </c>
      <c r="N59" s="1927">
        <f t="shared" si="7"/>
        <v>0</v>
      </c>
      <c r="O59" s="1928">
        <v>4.00000000000002E-3</v>
      </c>
      <c r="P59" s="1929" t="e">
        <f>($O$9*60)/((($N$8-$O59)/12)*(60-N59)*'Product Data'!$P$23)</f>
        <v>#N/A</v>
      </c>
    </row>
    <row r="60" spans="2:16" x14ac:dyDescent="0.25">
      <c r="B60" s="1927">
        <f t="shared" si="4"/>
        <v>0</v>
      </c>
      <c r="C60" s="2392">
        <v>3.9000000000000202E-3</v>
      </c>
      <c r="D60" s="1929" t="e">
        <f>($C$9*60)/((($B$8-$C60)/12)*(60-B60)*'Product Data'!$P$23)</f>
        <v>#N/A</v>
      </c>
      <c r="F60" s="1927">
        <f t="shared" si="5"/>
        <v>0</v>
      </c>
      <c r="G60" s="2392">
        <v>3.9000000000000202E-3</v>
      </c>
      <c r="H60" s="1929" t="e">
        <f>($G$9*60)/((($F$8-$G60)/12)*(60-F60)*'Product Data'!$P$23)</f>
        <v>#N/A</v>
      </c>
      <c r="J60" s="1927">
        <f t="shared" si="6"/>
        <v>0</v>
      </c>
      <c r="K60" s="2392">
        <v>3.9000000000000202E-3</v>
      </c>
      <c r="L60" s="1929" t="e">
        <f>($K$9*60)/((($J$8-$K60)/12)*(60-J60)*'Product Data'!$P$23)</f>
        <v>#N/A</v>
      </c>
      <c r="N60" s="1927">
        <f t="shared" si="7"/>
        <v>0</v>
      </c>
      <c r="O60" s="2392">
        <v>3.9000000000000202E-3</v>
      </c>
      <c r="P60" s="1929" t="e">
        <f>($O$9*60)/((($N$8-$O60)/12)*(60-N60)*'Product Data'!$P$23)</f>
        <v>#N/A</v>
      </c>
    </row>
    <row r="61" spans="2:16" x14ac:dyDescent="0.25">
      <c r="B61" s="1927">
        <f t="shared" si="4"/>
        <v>0</v>
      </c>
      <c r="C61" s="1928">
        <v>3.8000000000000199E-3</v>
      </c>
      <c r="D61" s="1929" t="e">
        <f>($C$9*60)/((($B$8-$C61)/12)*(60-B61)*'Product Data'!$P$23)</f>
        <v>#N/A</v>
      </c>
      <c r="F61" s="1927">
        <f t="shared" si="5"/>
        <v>0</v>
      </c>
      <c r="G61" s="1928">
        <v>3.8000000000000199E-3</v>
      </c>
      <c r="H61" s="1929" t="e">
        <f>($G$9*60)/((($F$8-$G61)/12)*(60-F61)*'Product Data'!$P$23)</f>
        <v>#N/A</v>
      </c>
      <c r="J61" s="1927">
        <f t="shared" si="6"/>
        <v>0</v>
      </c>
      <c r="K61" s="1928">
        <v>3.8000000000000199E-3</v>
      </c>
      <c r="L61" s="1929" t="e">
        <f>($K$9*60)/((($J$8-$K61)/12)*(60-J61)*'Product Data'!$P$23)</f>
        <v>#N/A</v>
      </c>
      <c r="N61" s="1927">
        <f t="shared" si="7"/>
        <v>0</v>
      </c>
      <c r="O61" s="1928">
        <v>3.8000000000000199E-3</v>
      </c>
      <c r="P61" s="1929" t="e">
        <f>($O$9*60)/((($N$8-$O61)/12)*(60-N61)*'Product Data'!$P$23)</f>
        <v>#N/A</v>
      </c>
    </row>
    <row r="62" spans="2:16" x14ac:dyDescent="0.25">
      <c r="B62" s="1927">
        <f t="shared" si="4"/>
        <v>0</v>
      </c>
      <c r="C62" s="1928">
        <v>3.7000000000000201E-3</v>
      </c>
      <c r="D62" s="1929" t="e">
        <f>($C$9*60)/((($B$8-$C62)/12)*(60-B62)*'Product Data'!$P$23)</f>
        <v>#N/A</v>
      </c>
      <c r="F62" s="1927">
        <f t="shared" si="5"/>
        <v>0</v>
      </c>
      <c r="G62" s="1928">
        <v>3.7000000000000201E-3</v>
      </c>
      <c r="H62" s="1929" t="e">
        <f>($G$9*60)/((($F$8-$G62)/12)*(60-F62)*'Product Data'!$P$23)</f>
        <v>#N/A</v>
      </c>
      <c r="J62" s="1927">
        <f t="shared" si="6"/>
        <v>0</v>
      </c>
      <c r="K62" s="1928">
        <v>3.7000000000000201E-3</v>
      </c>
      <c r="L62" s="1929" t="e">
        <f>($K$9*60)/((($J$8-$K62)/12)*(60-J62)*'Product Data'!$P$23)</f>
        <v>#N/A</v>
      </c>
      <c r="N62" s="1927">
        <f t="shared" si="7"/>
        <v>0</v>
      </c>
      <c r="O62" s="1928">
        <v>3.7000000000000201E-3</v>
      </c>
      <c r="P62" s="1929" t="e">
        <f>($O$9*60)/((($N$8-$O62)/12)*(60-N62)*'Product Data'!$P$23)</f>
        <v>#N/A</v>
      </c>
    </row>
    <row r="63" spans="2:16" x14ac:dyDescent="0.25">
      <c r="B63" s="1927">
        <f t="shared" si="4"/>
        <v>0</v>
      </c>
      <c r="C63" s="2392">
        <v>3.6000000000000199E-3</v>
      </c>
      <c r="D63" s="1929" t="e">
        <f>($C$9*60)/((($B$8-$C63)/12)*(60-B63)*'Product Data'!$P$23)</f>
        <v>#N/A</v>
      </c>
      <c r="F63" s="1927">
        <f t="shared" si="5"/>
        <v>0</v>
      </c>
      <c r="G63" s="2392">
        <v>3.6000000000000199E-3</v>
      </c>
      <c r="H63" s="1929" t="e">
        <f>($G$9*60)/((($F$8-$G63)/12)*(60-F63)*'Product Data'!$P$23)</f>
        <v>#N/A</v>
      </c>
      <c r="J63" s="1927">
        <f t="shared" si="6"/>
        <v>0</v>
      </c>
      <c r="K63" s="2392">
        <v>3.6000000000000199E-3</v>
      </c>
      <c r="L63" s="1929" t="e">
        <f>($K$9*60)/((($J$8-$K63)/12)*(60-J63)*'Product Data'!$P$23)</f>
        <v>#N/A</v>
      </c>
      <c r="N63" s="1927">
        <f t="shared" si="7"/>
        <v>0</v>
      </c>
      <c r="O63" s="2392">
        <v>3.6000000000000199E-3</v>
      </c>
      <c r="P63" s="1929" t="e">
        <f>($O$9*60)/((($N$8-$O63)/12)*(60-N63)*'Product Data'!$P$23)</f>
        <v>#N/A</v>
      </c>
    </row>
    <row r="64" spans="2:16" x14ac:dyDescent="0.25">
      <c r="B64" s="1927">
        <f t="shared" si="4"/>
        <v>0</v>
      </c>
      <c r="C64" s="1928">
        <v>3.50000000000002E-3</v>
      </c>
      <c r="D64" s="1929" t="e">
        <f>($C$9*60)/((($B$8-$C64)/12)*(60-B64)*'Product Data'!$P$23)</f>
        <v>#N/A</v>
      </c>
      <c r="F64" s="1927">
        <f t="shared" si="5"/>
        <v>0</v>
      </c>
      <c r="G64" s="1928">
        <v>3.50000000000002E-3</v>
      </c>
      <c r="H64" s="1929" t="e">
        <f>($G$9*60)/((($F$8-$G64)/12)*(60-F64)*'Product Data'!$P$23)</f>
        <v>#N/A</v>
      </c>
      <c r="J64" s="1927">
        <f t="shared" si="6"/>
        <v>0</v>
      </c>
      <c r="K64" s="1928">
        <v>3.50000000000002E-3</v>
      </c>
      <c r="L64" s="1929" t="e">
        <f>($K$9*60)/((($J$8-$K64)/12)*(60-J64)*'Product Data'!$P$23)</f>
        <v>#N/A</v>
      </c>
      <c r="N64" s="1927">
        <f t="shared" si="7"/>
        <v>0</v>
      </c>
      <c r="O64" s="1928">
        <v>3.50000000000002E-3</v>
      </c>
      <c r="P64" s="1929" t="e">
        <f>($O$9*60)/((($N$8-$O64)/12)*(60-N64)*'Product Data'!$P$23)</f>
        <v>#N/A</v>
      </c>
    </row>
    <row r="65" spans="2:16" x14ac:dyDescent="0.25">
      <c r="B65" s="1927">
        <f t="shared" si="4"/>
        <v>0</v>
      </c>
      <c r="C65" s="1928">
        <v>3.4000000000000202E-3</v>
      </c>
      <c r="D65" s="1929" t="e">
        <f>($C$9*60)/((($B$8-$C65)/12)*(60-B65)*'Product Data'!$P$23)</f>
        <v>#N/A</v>
      </c>
      <c r="F65" s="1927">
        <f t="shared" si="5"/>
        <v>0</v>
      </c>
      <c r="G65" s="1928">
        <v>3.4000000000000202E-3</v>
      </c>
      <c r="H65" s="1929" t="e">
        <f>($G$9*60)/((($F$8-$G65)/12)*(60-F65)*'Product Data'!$P$23)</f>
        <v>#N/A</v>
      </c>
      <c r="J65" s="1927">
        <f t="shared" si="6"/>
        <v>0</v>
      </c>
      <c r="K65" s="1928">
        <v>3.4000000000000202E-3</v>
      </c>
      <c r="L65" s="1929" t="e">
        <f>($K$9*60)/((($J$8-$K65)/12)*(60-J65)*'Product Data'!$P$23)</f>
        <v>#N/A</v>
      </c>
      <c r="N65" s="1927">
        <f t="shared" si="7"/>
        <v>0</v>
      </c>
      <c r="O65" s="1928">
        <v>3.4000000000000202E-3</v>
      </c>
      <c r="P65" s="1929" t="e">
        <f>($O$9*60)/((($N$8-$O65)/12)*(60-N65)*'Product Data'!$P$23)</f>
        <v>#N/A</v>
      </c>
    </row>
    <row r="66" spans="2:16" x14ac:dyDescent="0.25">
      <c r="B66" s="1927">
        <f t="shared" si="4"/>
        <v>0</v>
      </c>
      <c r="C66" s="2392">
        <v>3.3000000000000299E-3</v>
      </c>
      <c r="D66" s="1929" t="e">
        <f>($C$9*60)/((($B$8-$C66)/12)*(60-B66)*'Product Data'!$P$23)</f>
        <v>#N/A</v>
      </c>
      <c r="F66" s="1927">
        <f t="shared" si="5"/>
        <v>0</v>
      </c>
      <c r="G66" s="2392">
        <v>3.3000000000000299E-3</v>
      </c>
      <c r="H66" s="1929" t="e">
        <f>($G$9*60)/((($F$8-$G66)/12)*(60-F66)*'Product Data'!$P$23)</f>
        <v>#N/A</v>
      </c>
      <c r="J66" s="1927">
        <f t="shared" si="6"/>
        <v>0</v>
      </c>
      <c r="K66" s="2392">
        <v>3.3000000000000299E-3</v>
      </c>
      <c r="L66" s="1929" t="e">
        <f>($K$9*60)/((($J$8-$K66)/12)*(60-J66)*'Product Data'!$P$23)</f>
        <v>#N/A</v>
      </c>
      <c r="N66" s="1927">
        <f t="shared" si="7"/>
        <v>0</v>
      </c>
      <c r="O66" s="2392">
        <v>3.3000000000000299E-3</v>
      </c>
      <c r="P66" s="1929" t="e">
        <f>($O$9*60)/((($N$8-$O66)/12)*(60-N66)*'Product Data'!$P$23)</f>
        <v>#N/A</v>
      </c>
    </row>
    <row r="67" spans="2:16" x14ac:dyDescent="0.25">
      <c r="B67" s="1927">
        <f t="shared" si="4"/>
        <v>0</v>
      </c>
      <c r="C67" s="1928">
        <v>3.2000000000000301E-3</v>
      </c>
      <c r="D67" s="1929" t="e">
        <f>($C$9*60)/((($B$8-$C67)/12)*(60-B67)*'Product Data'!$P$23)</f>
        <v>#N/A</v>
      </c>
      <c r="F67" s="1927">
        <f t="shared" si="5"/>
        <v>0</v>
      </c>
      <c r="G67" s="1928">
        <v>3.2000000000000301E-3</v>
      </c>
      <c r="H67" s="1929" t="e">
        <f>($G$9*60)/((($F$8-$G67)/12)*(60-F67)*'Product Data'!$P$23)</f>
        <v>#N/A</v>
      </c>
      <c r="J67" s="1927">
        <f t="shared" si="6"/>
        <v>0</v>
      </c>
      <c r="K67" s="1928">
        <v>3.2000000000000301E-3</v>
      </c>
      <c r="L67" s="1929" t="e">
        <f>($K$9*60)/((($J$8-$K67)/12)*(60-J67)*'Product Data'!$P$23)</f>
        <v>#N/A</v>
      </c>
      <c r="N67" s="1927">
        <f t="shared" si="7"/>
        <v>0</v>
      </c>
      <c r="O67" s="1928">
        <v>3.2000000000000301E-3</v>
      </c>
      <c r="P67" s="1929" t="e">
        <f>($O$9*60)/((($N$8-$O67)/12)*(60-N67)*'Product Data'!$P$23)</f>
        <v>#N/A</v>
      </c>
    </row>
    <row r="68" spans="2:16" x14ac:dyDescent="0.25">
      <c r="B68" s="1927">
        <f t="shared" si="4"/>
        <v>0</v>
      </c>
      <c r="C68" s="1928">
        <v>3.1000000000000298E-3</v>
      </c>
      <c r="D68" s="1929" t="e">
        <f>($C$9*60)/((($B$8-$C68)/12)*(60-B68)*'Product Data'!$P$23)</f>
        <v>#N/A</v>
      </c>
      <c r="F68" s="1927">
        <f t="shared" si="5"/>
        <v>0</v>
      </c>
      <c r="G68" s="1928">
        <v>3.1000000000000298E-3</v>
      </c>
      <c r="H68" s="1929" t="e">
        <f>($G$9*60)/((($F$8-$G68)/12)*(60-F68)*'Product Data'!$P$23)</f>
        <v>#N/A</v>
      </c>
      <c r="J68" s="1927">
        <f t="shared" si="6"/>
        <v>0</v>
      </c>
      <c r="K68" s="1928">
        <v>3.1000000000000298E-3</v>
      </c>
      <c r="L68" s="1929" t="e">
        <f>($K$9*60)/((($J$8-$K68)/12)*(60-J68)*'Product Data'!$P$23)</f>
        <v>#N/A</v>
      </c>
      <c r="N68" s="1927">
        <f t="shared" si="7"/>
        <v>0</v>
      </c>
      <c r="O68" s="1928">
        <v>3.1000000000000298E-3</v>
      </c>
      <c r="P68" s="1929" t="e">
        <f>($O$9*60)/((($N$8-$O68)/12)*(60-N68)*'Product Data'!$P$23)</f>
        <v>#N/A</v>
      </c>
    </row>
    <row r="69" spans="2:16" x14ac:dyDescent="0.25">
      <c r="B69" s="1927">
        <f t="shared" si="4"/>
        <v>0</v>
      </c>
      <c r="C69" s="2392">
        <v>3.00000000000003E-3</v>
      </c>
      <c r="D69" s="1929" t="e">
        <f>($C$9*60)/((($B$8-$C69)/12)*(60-B69)*'Product Data'!$P$23)</f>
        <v>#N/A</v>
      </c>
      <c r="F69" s="1927">
        <f t="shared" si="5"/>
        <v>0</v>
      </c>
      <c r="G69" s="2392">
        <v>3.00000000000003E-3</v>
      </c>
      <c r="H69" s="1929" t="e">
        <f>($G$9*60)/((($F$8-$G69)/12)*(60-F69)*'Product Data'!$P$23)</f>
        <v>#N/A</v>
      </c>
      <c r="J69" s="1927">
        <f t="shared" si="6"/>
        <v>0</v>
      </c>
      <c r="K69" s="2392">
        <v>3.00000000000003E-3</v>
      </c>
      <c r="L69" s="1929" t="e">
        <f>($K$9*60)/((($J$8-$K69)/12)*(60-J69)*'Product Data'!$P$23)</f>
        <v>#N/A</v>
      </c>
      <c r="N69" s="1927">
        <f t="shared" si="7"/>
        <v>0</v>
      </c>
      <c r="O69" s="2392">
        <v>3.00000000000003E-3</v>
      </c>
      <c r="P69" s="1929" t="e">
        <f>($O$9*60)/((($N$8-$O69)/12)*(60-N69)*'Product Data'!$P$23)</f>
        <v>#N/A</v>
      </c>
    </row>
    <row r="70" spans="2:16" x14ac:dyDescent="0.25">
      <c r="B70" s="1927">
        <f t="shared" si="4"/>
        <v>0</v>
      </c>
      <c r="C70" s="1928">
        <v>2.9000000000000302E-3</v>
      </c>
      <c r="D70" s="1929" t="e">
        <f>($C$9*60)/((($B$8-$C70)/12)*(60-B70)*'Product Data'!$P$23)</f>
        <v>#N/A</v>
      </c>
      <c r="F70" s="1927">
        <f t="shared" si="5"/>
        <v>0</v>
      </c>
      <c r="G70" s="1928">
        <v>2.9000000000000302E-3</v>
      </c>
      <c r="H70" s="1929" t="e">
        <f>($G$9*60)/((($F$8-$G70)/12)*(60-F70)*'Product Data'!$P$23)</f>
        <v>#N/A</v>
      </c>
      <c r="J70" s="1927">
        <f t="shared" si="6"/>
        <v>0</v>
      </c>
      <c r="K70" s="1928">
        <v>2.9000000000000302E-3</v>
      </c>
      <c r="L70" s="1929" t="e">
        <f>($K$9*60)/((($J$8-$K70)/12)*(60-J70)*'Product Data'!$P$23)</f>
        <v>#N/A</v>
      </c>
      <c r="N70" s="1927">
        <f t="shared" si="7"/>
        <v>0</v>
      </c>
      <c r="O70" s="1928">
        <v>2.9000000000000302E-3</v>
      </c>
      <c r="P70" s="1929" t="e">
        <f>($O$9*60)/((($N$8-$O70)/12)*(60-N70)*'Product Data'!$P$23)</f>
        <v>#N/A</v>
      </c>
    </row>
    <row r="71" spans="2:16" x14ac:dyDescent="0.25">
      <c r="B71" s="1927">
        <f t="shared" si="4"/>
        <v>0</v>
      </c>
      <c r="C71" s="1928">
        <v>2.8000000000000299E-3</v>
      </c>
      <c r="D71" s="1929" t="e">
        <f>($C$9*60)/((($B$8-$C71)/12)*(60-B71)*'Product Data'!$P$23)</f>
        <v>#N/A</v>
      </c>
      <c r="F71" s="1927">
        <f t="shared" si="5"/>
        <v>0</v>
      </c>
      <c r="G71" s="1928">
        <v>2.8000000000000299E-3</v>
      </c>
      <c r="H71" s="1929" t="e">
        <f>($G$9*60)/((($F$8-$G71)/12)*(60-F71)*'Product Data'!$P$23)</f>
        <v>#N/A</v>
      </c>
      <c r="J71" s="1927">
        <f t="shared" si="6"/>
        <v>0</v>
      </c>
      <c r="K71" s="1928">
        <v>2.8000000000000299E-3</v>
      </c>
      <c r="L71" s="1929" t="e">
        <f>($K$9*60)/((($J$8-$K71)/12)*(60-J71)*'Product Data'!$P$23)</f>
        <v>#N/A</v>
      </c>
      <c r="N71" s="1927">
        <f t="shared" si="7"/>
        <v>0</v>
      </c>
      <c r="O71" s="1928">
        <v>2.8000000000000299E-3</v>
      </c>
      <c r="P71" s="1929" t="e">
        <f>($O$9*60)/((($N$8-$O71)/12)*(60-N71)*'Product Data'!$P$23)</f>
        <v>#N/A</v>
      </c>
    </row>
    <row r="72" spans="2:16" x14ac:dyDescent="0.25">
      <c r="B72" s="1927">
        <f t="shared" si="4"/>
        <v>0</v>
      </c>
      <c r="C72" s="2392">
        <v>2.7000000000000301E-3</v>
      </c>
      <c r="D72" s="1929" t="e">
        <f>($C$9*60)/((($B$8-$C72)/12)*(60-B72)*'Product Data'!$P$23)</f>
        <v>#N/A</v>
      </c>
      <c r="F72" s="1927">
        <f t="shared" si="5"/>
        <v>0</v>
      </c>
      <c r="G72" s="2392">
        <v>2.7000000000000301E-3</v>
      </c>
      <c r="H72" s="1929" t="e">
        <f>($G$9*60)/((($F$8-$G72)/12)*(60-F72)*'Product Data'!$P$23)</f>
        <v>#N/A</v>
      </c>
      <c r="J72" s="1927">
        <f t="shared" si="6"/>
        <v>0</v>
      </c>
      <c r="K72" s="2392">
        <v>2.7000000000000301E-3</v>
      </c>
      <c r="L72" s="1929" t="e">
        <f>($K$9*60)/((($J$8-$K72)/12)*(60-J72)*'Product Data'!$P$23)</f>
        <v>#N/A</v>
      </c>
      <c r="N72" s="1927">
        <f t="shared" si="7"/>
        <v>0</v>
      </c>
      <c r="O72" s="2392">
        <v>2.7000000000000301E-3</v>
      </c>
      <c r="P72" s="1929" t="e">
        <f>($O$9*60)/((($N$8-$O72)/12)*(60-N72)*'Product Data'!$P$23)</f>
        <v>#N/A</v>
      </c>
    </row>
    <row r="73" spans="2:16" x14ac:dyDescent="0.25">
      <c r="B73" s="1927">
        <f t="shared" si="4"/>
        <v>0</v>
      </c>
      <c r="C73" s="1928">
        <v>2.6000000000000298E-3</v>
      </c>
      <c r="D73" s="1929" t="e">
        <f>($C$9*60)/((($B$8-$C73)/12)*(60-B73)*'Product Data'!$P$23)</f>
        <v>#N/A</v>
      </c>
      <c r="F73" s="1927">
        <f t="shared" si="5"/>
        <v>0</v>
      </c>
      <c r="G73" s="1928">
        <v>2.6000000000000298E-3</v>
      </c>
      <c r="H73" s="1929" t="e">
        <f>($G$9*60)/((($F$8-$G73)/12)*(60-F73)*'Product Data'!$P$23)</f>
        <v>#N/A</v>
      </c>
      <c r="J73" s="1927">
        <f t="shared" si="6"/>
        <v>0</v>
      </c>
      <c r="K73" s="1928">
        <v>2.6000000000000298E-3</v>
      </c>
      <c r="L73" s="1929" t="e">
        <f>($K$9*60)/((($J$8-$K73)/12)*(60-J73)*'Product Data'!$P$23)</f>
        <v>#N/A</v>
      </c>
      <c r="N73" s="1927">
        <f t="shared" si="7"/>
        <v>0</v>
      </c>
      <c r="O73" s="1928">
        <v>2.6000000000000298E-3</v>
      </c>
      <c r="P73" s="1929" t="e">
        <f>($O$9*60)/((($N$8-$O73)/12)*(60-N73)*'Product Data'!$P$23)</f>
        <v>#N/A</v>
      </c>
    </row>
    <row r="74" spans="2:16" x14ac:dyDescent="0.25">
      <c r="B74" s="1927">
        <f t="shared" si="4"/>
        <v>0</v>
      </c>
      <c r="C74" s="1928">
        <v>2.50000000000003E-3</v>
      </c>
      <c r="D74" s="1929" t="e">
        <f>($C$9*60)/((($B$8-$C74)/12)*(60-B74)*'Product Data'!$P$23)</f>
        <v>#N/A</v>
      </c>
      <c r="F74" s="1927">
        <f t="shared" si="5"/>
        <v>0</v>
      </c>
      <c r="G74" s="1928">
        <v>2.50000000000003E-3</v>
      </c>
      <c r="H74" s="1929" t="e">
        <f>($G$9*60)/((($F$8-$G74)/12)*(60-F74)*'Product Data'!$P$23)</f>
        <v>#N/A</v>
      </c>
      <c r="J74" s="1927">
        <f t="shared" si="6"/>
        <v>0</v>
      </c>
      <c r="K74" s="1928">
        <v>2.50000000000003E-3</v>
      </c>
      <c r="L74" s="1929" t="e">
        <f>($K$9*60)/((($J$8-$K74)/12)*(60-J74)*'Product Data'!$P$23)</f>
        <v>#N/A</v>
      </c>
      <c r="N74" s="1927">
        <f t="shared" si="7"/>
        <v>0</v>
      </c>
      <c r="O74" s="1928">
        <v>2.50000000000003E-3</v>
      </c>
      <c r="P74" s="1929" t="e">
        <f>($O$9*60)/((($N$8-$O74)/12)*(60-N74)*'Product Data'!$P$23)</f>
        <v>#N/A</v>
      </c>
    </row>
    <row r="75" spans="2:16" x14ac:dyDescent="0.25">
      <c r="B75" s="1927">
        <f t="shared" si="4"/>
        <v>0</v>
      </c>
      <c r="C75" s="2392">
        <v>2.4000000000000301E-3</v>
      </c>
      <c r="D75" s="1929" t="e">
        <f>($C$9*60)/((($B$8-$C75)/12)*(60-B75)*'Product Data'!$P$23)</f>
        <v>#N/A</v>
      </c>
      <c r="F75" s="1927">
        <f t="shared" si="5"/>
        <v>0</v>
      </c>
      <c r="G75" s="2392">
        <v>2.4000000000000301E-3</v>
      </c>
      <c r="H75" s="1929" t="e">
        <f>($G$9*60)/((($F$8-$G75)/12)*(60-F75)*'Product Data'!$P$23)</f>
        <v>#N/A</v>
      </c>
      <c r="J75" s="1927">
        <f t="shared" si="6"/>
        <v>0</v>
      </c>
      <c r="K75" s="2392">
        <v>2.4000000000000301E-3</v>
      </c>
      <c r="L75" s="1929" t="e">
        <f>($K$9*60)/((($J$8-$K75)/12)*(60-J75)*'Product Data'!$P$23)</f>
        <v>#N/A</v>
      </c>
      <c r="N75" s="1927">
        <f t="shared" si="7"/>
        <v>0</v>
      </c>
      <c r="O75" s="2392">
        <v>2.4000000000000301E-3</v>
      </c>
      <c r="P75" s="1929" t="e">
        <f>($O$9*60)/((($N$8-$O75)/12)*(60-N75)*'Product Data'!$P$23)</f>
        <v>#N/A</v>
      </c>
    </row>
    <row r="76" spans="2:16" x14ac:dyDescent="0.25">
      <c r="B76" s="1927">
        <f t="shared" si="4"/>
        <v>0</v>
      </c>
      <c r="C76" s="1928">
        <v>2.3000000000000299E-3</v>
      </c>
      <c r="D76" s="1929" t="e">
        <f>($C$9*60)/((($B$8-$C76)/12)*(60-B76)*'Product Data'!$P$23)</f>
        <v>#N/A</v>
      </c>
      <c r="F76" s="1927">
        <f t="shared" si="5"/>
        <v>0</v>
      </c>
      <c r="G76" s="1928">
        <v>2.3000000000000299E-3</v>
      </c>
      <c r="H76" s="1929" t="e">
        <f>($G$9*60)/((($F$8-$G76)/12)*(60-F76)*'Product Data'!$P$23)</f>
        <v>#N/A</v>
      </c>
      <c r="J76" s="1927">
        <f t="shared" si="6"/>
        <v>0</v>
      </c>
      <c r="K76" s="1928">
        <v>2.3000000000000299E-3</v>
      </c>
      <c r="L76" s="1929" t="e">
        <f>($K$9*60)/((($J$8-$K76)/12)*(60-J76)*'Product Data'!$P$23)</f>
        <v>#N/A</v>
      </c>
      <c r="N76" s="1927">
        <f t="shared" si="7"/>
        <v>0</v>
      </c>
      <c r="O76" s="1928">
        <v>2.3000000000000299E-3</v>
      </c>
      <c r="P76" s="1929" t="e">
        <f>($O$9*60)/((($N$8-$O76)/12)*(60-N76)*'Product Data'!$P$23)</f>
        <v>#N/A</v>
      </c>
    </row>
    <row r="77" spans="2:16" x14ac:dyDescent="0.25">
      <c r="B77" s="1927">
        <f t="shared" si="4"/>
        <v>0</v>
      </c>
      <c r="C77" s="1928">
        <v>2.2000000000000301E-3</v>
      </c>
      <c r="D77" s="1929" t="e">
        <f>($C$9*60)/((($B$8-$C77)/12)*(60-B77)*'Product Data'!$P$23)</f>
        <v>#N/A</v>
      </c>
      <c r="F77" s="1927">
        <f t="shared" si="5"/>
        <v>0</v>
      </c>
      <c r="G77" s="1928">
        <v>2.2000000000000301E-3</v>
      </c>
      <c r="H77" s="1929" t="e">
        <f>($G$9*60)/((($F$8-$G77)/12)*(60-F77)*'Product Data'!$P$23)</f>
        <v>#N/A</v>
      </c>
      <c r="J77" s="1927">
        <f t="shared" si="6"/>
        <v>0</v>
      </c>
      <c r="K77" s="1928">
        <v>2.2000000000000301E-3</v>
      </c>
      <c r="L77" s="1929" t="e">
        <f>($K$9*60)/((($J$8-$K77)/12)*(60-J77)*'Product Data'!$P$23)</f>
        <v>#N/A</v>
      </c>
      <c r="N77" s="1927">
        <f t="shared" si="7"/>
        <v>0</v>
      </c>
      <c r="O77" s="1928">
        <v>2.2000000000000301E-3</v>
      </c>
      <c r="P77" s="1929" t="e">
        <f>($O$9*60)/((($N$8-$O77)/12)*(60-N77)*'Product Data'!$P$23)</f>
        <v>#N/A</v>
      </c>
    </row>
    <row r="78" spans="2:16" x14ac:dyDescent="0.25">
      <c r="B78" s="1927">
        <f t="shared" si="4"/>
        <v>0</v>
      </c>
      <c r="C78" s="2392">
        <v>2.1000000000000298E-3</v>
      </c>
      <c r="D78" s="1929" t="e">
        <f>($C$9*60)/((($B$8-$C78)/12)*(60-B78)*'Product Data'!$P$23)</f>
        <v>#N/A</v>
      </c>
      <c r="F78" s="1927">
        <f t="shared" si="5"/>
        <v>0</v>
      </c>
      <c r="G78" s="2392">
        <v>2.1000000000000298E-3</v>
      </c>
      <c r="H78" s="1929" t="e">
        <f>($G$9*60)/((($F$8-$G78)/12)*(60-F78)*'Product Data'!$P$23)</f>
        <v>#N/A</v>
      </c>
      <c r="J78" s="1927">
        <f t="shared" si="6"/>
        <v>0</v>
      </c>
      <c r="K78" s="2392">
        <v>2.1000000000000298E-3</v>
      </c>
      <c r="L78" s="1929" t="e">
        <f>($K$9*60)/((($J$8-$K78)/12)*(60-J78)*'Product Data'!$P$23)</f>
        <v>#N/A</v>
      </c>
      <c r="N78" s="1927">
        <f t="shared" si="7"/>
        <v>0</v>
      </c>
      <c r="O78" s="2392">
        <v>2.1000000000000298E-3</v>
      </c>
      <c r="P78" s="1929" t="e">
        <f>($O$9*60)/((($N$8-$O78)/12)*(60-N78)*'Product Data'!$P$23)</f>
        <v>#N/A</v>
      </c>
    </row>
    <row r="79" spans="2:16" x14ac:dyDescent="0.25">
      <c r="B79" s="1927">
        <f t="shared" si="4"/>
        <v>0</v>
      </c>
      <c r="C79" s="1928">
        <v>2.00000000000003E-3</v>
      </c>
      <c r="D79" s="1929" t="e">
        <f>($C$9*60)/((($B$8-$C79)/12)*(60-B79)*'Product Data'!$P$23)</f>
        <v>#N/A</v>
      </c>
      <c r="F79" s="1927">
        <f t="shared" si="5"/>
        <v>0</v>
      </c>
      <c r="G79" s="1928">
        <v>2.00000000000003E-3</v>
      </c>
      <c r="H79" s="1929" t="e">
        <f>($G$9*60)/((($F$8-$G79)/12)*(60-F79)*'Product Data'!$P$23)</f>
        <v>#N/A</v>
      </c>
      <c r="J79" s="1927">
        <f t="shared" si="6"/>
        <v>0</v>
      </c>
      <c r="K79" s="1928">
        <v>2.00000000000003E-3</v>
      </c>
      <c r="L79" s="1929" t="e">
        <f>($K$9*60)/((($J$8-$K79)/12)*(60-J79)*'Product Data'!$P$23)</f>
        <v>#N/A</v>
      </c>
      <c r="N79" s="1927">
        <f t="shared" si="7"/>
        <v>0</v>
      </c>
      <c r="O79" s="1928">
        <v>2.00000000000003E-3</v>
      </c>
      <c r="P79" s="1929" t="e">
        <f>($O$9*60)/((($N$8-$O79)/12)*(60-N79)*'Product Data'!$P$23)</f>
        <v>#N/A</v>
      </c>
    </row>
    <row r="80" spans="2:16" x14ac:dyDescent="0.25">
      <c r="B80" s="1927">
        <f t="shared" si="4"/>
        <v>0</v>
      </c>
      <c r="C80" s="1928">
        <v>1.9000000000000299E-3</v>
      </c>
      <c r="D80" s="1929" t="e">
        <f>($C$9*60)/((($B$8-$C80)/12)*(60-B80)*'Product Data'!$P$23)</f>
        <v>#N/A</v>
      </c>
      <c r="F80" s="1927">
        <f t="shared" si="5"/>
        <v>0</v>
      </c>
      <c r="G80" s="1928">
        <v>1.9000000000000299E-3</v>
      </c>
      <c r="H80" s="1929" t="e">
        <f>($G$9*60)/((($F$8-$G80)/12)*(60-F80)*'Product Data'!$P$23)</f>
        <v>#N/A</v>
      </c>
      <c r="J80" s="1927">
        <f t="shared" si="6"/>
        <v>0</v>
      </c>
      <c r="K80" s="1928">
        <v>1.9000000000000299E-3</v>
      </c>
      <c r="L80" s="1929" t="e">
        <f>($K$9*60)/((($J$8-$K80)/12)*(60-J80)*'Product Data'!$P$23)</f>
        <v>#N/A</v>
      </c>
      <c r="N80" s="1927">
        <f t="shared" si="7"/>
        <v>0</v>
      </c>
      <c r="O80" s="1928">
        <v>1.9000000000000299E-3</v>
      </c>
      <c r="P80" s="1929" t="e">
        <f>($O$9*60)/((($N$8-$O80)/12)*(60-N80)*'Product Data'!$P$23)</f>
        <v>#N/A</v>
      </c>
    </row>
    <row r="81" spans="2:16" x14ac:dyDescent="0.25">
      <c r="B81" s="1927">
        <f t="shared" si="4"/>
        <v>0</v>
      </c>
      <c r="C81" s="2392">
        <v>1.8000000000000301E-3</v>
      </c>
      <c r="D81" s="1929" t="e">
        <f>($C$9*60)/((($B$8-$C81)/12)*(60-B81)*'Product Data'!$P$23)</f>
        <v>#N/A</v>
      </c>
      <c r="F81" s="1927">
        <f t="shared" si="5"/>
        <v>0</v>
      </c>
      <c r="G81" s="2392">
        <v>1.8000000000000301E-3</v>
      </c>
      <c r="H81" s="1929" t="e">
        <f>($G$9*60)/((($F$8-$G81)/12)*(60-F81)*'Product Data'!$P$23)</f>
        <v>#N/A</v>
      </c>
      <c r="J81" s="1927">
        <f t="shared" si="6"/>
        <v>0</v>
      </c>
      <c r="K81" s="2392">
        <v>1.8000000000000301E-3</v>
      </c>
      <c r="L81" s="1929" t="e">
        <f>($K$9*60)/((($J$8-$K81)/12)*(60-J81)*'Product Data'!$P$23)</f>
        <v>#N/A</v>
      </c>
      <c r="N81" s="1927">
        <f t="shared" si="7"/>
        <v>0</v>
      </c>
      <c r="O81" s="2392">
        <v>1.8000000000000301E-3</v>
      </c>
      <c r="P81" s="1929" t="e">
        <f>($O$9*60)/((($N$8-$O81)/12)*(60-N81)*'Product Data'!$P$23)</f>
        <v>#N/A</v>
      </c>
    </row>
    <row r="82" spans="2:16" x14ac:dyDescent="0.25">
      <c r="B82" s="1927">
        <f t="shared" si="4"/>
        <v>0</v>
      </c>
      <c r="C82" s="1928">
        <v>1.70000000000004E-3</v>
      </c>
      <c r="D82" s="1929" t="e">
        <f>($C$9*60)/((($B$8-$C82)/12)*(60-B82)*'Product Data'!$P$23)</f>
        <v>#N/A</v>
      </c>
      <c r="F82" s="1927">
        <f t="shared" si="5"/>
        <v>0</v>
      </c>
      <c r="G82" s="1928">
        <v>1.70000000000004E-3</v>
      </c>
      <c r="H82" s="1929" t="e">
        <f>($G$9*60)/((($F$8-$G82)/12)*(60-F82)*'Product Data'!$P$23)</f>
        <v>#N/A</v>
      </c>
      <c r="J82" s="1927">
        <f t="shared" si="6"/>
        <v>0</v>
      </c>
      <c r="K82" s="1928">
        <v>1.70000000000004E-3</v>
      </c>
      <c r="L82" s="1929" t="e">
        <f>($K$9*60)/((($J$8-$K82)/12)*(60-J82)*'Product Data'!$P$23)</f>
        <v>#N/A</v>
      </c>
      <c r="N82" s="1927">
        <f t="shared" si="7"/>
        <v>0</v>
      </c>
      <c r="O82" s="1928">
        <v>1.70000000000004E-3</v>
      </c>
      <c r="P82" s="1929" t="e">
        <f>($O$9*60)/((($N$8-$O82)/12)*(60-N82)*'Product Data'!$P$23)</f>
        <v>#N/A</v>
      </c>
    </row>
    <row r="83" spans="2:16" x14ac:dyDescent="0.25">
      <c r="B83" s="1927">
        <f t="shared" si="4"/>
        <v>0</v>
      </c>
      <c r="C83" s="1928">
        <v>1.60000000000004E-3</v>
      </c>
      <c r="D83" s="1929" t="e">
        <f>($C$9*60)/((($B$8-$C83)/12)*(60-B83)*'Product Data'!$P$23)</f>
        <v>#N/A</v>
      </c>
      <c r="F83" s="1927">
        <f t="shared" si="5"/>
        <v>0</v>
      </c>
      <c r="G83" s="1928">
        <v>1.60000000000004E-3</v>
      </c>
      <c r="H83" s="1929" t="e">
        <f>($G$9*60)/((($F$8-$G83)/12)*(60-F83)*'Product Data'!$P$23)</f>
        <v>#N/A</v>
      </c>
      <c r="J83" s="1927">
        <f t="shared" si="6"/>
        <v>0</v>
      </c>
      <c r="K83" s="1928">
        <v>1.60000000000004E-3</v>
      </c>
      <c r="L83" s="1929" t="e">
        <f>($K$9*60)/((($J$8-$K83)/12)*(60-J83)*'Product Data'!$P$23)</f>
        <v>#N/A</v>
      </c>
      <c r="N83" s="1927">
        <f t="shared" si="7"/>
        <v>0</v>
      </c>
      <c r="O83" s="1928">
        <v>1.60000000000004E-3</v>
      </c>
      <c r="P83" s="1929" t="e">
        <f>($O$9*60)/((($N$8-$O83)/12)*(60-N83)*'Product Data'!$P$23)</f>
        <v>#N/A</v>
      </c>
    </row>
    <row r="84" spans="2:16" x14ac:dyDescent="0.25">
      <c r="B84" s="1927">
        <f t="shared" si="4"/>
        <v>0</v>
      </c>
      <c r="C84" s="2392">
        <v>1.5000000000000399E-3</v>
      </c>
      <c r="D84" s="1929" t="e">
        <f>($C$9*60)/((($B$8-$C84)/12)*(60-B84)*'Product Data'!$P$23)</f>
        <v>#N/A</v>
      </c>
      <c r="F84" s="1927">
        <f t="shared" si="5"/>
        <v>0</v>
      </c>
      <c r="G84" s="2392">
        <v>1.5000000000000399E-3</v>
      </c>
      <c r="H84" s="1929" t="e">
        <f>($G$9*60)/((($F$8-$G84)/12)*(60-F84)*'Product Data'!$P$23)</f>
        <v>#N/A</v>
      </c>
      <c r="J84" s="1927">
        <f t="shared" si="6"/>
        <v>0</v>
      </c>
      <c r="K84" s="2392">
        <v>1.5000000000000399E-3</v>
      </c>
      <c r="L84" s="1929" t="e">
        <f>($K$9*60)/((($J$8-$K84)/12)*(60-J84)*'Product Data'!$P$23)</f>
        <v>#N/A</v>
      </c>
      <c r="N84" s="1927">
        <f t="shared" si="7"/>
        <v>0</v>
      </c>
      <c r="O84" s="2392">
        <v>1.5000000000000399E-3</v>
      </c>
      <c r="P84" s="1929" t="e">
        <f>($O$9*60)/((($N$8-$O84)/12)*(60-N84)*'Product Data'!$P$23)</f>
        <v>#N/A</v>
      </c>
    </row>
    <row r="85" spans="2:16" x14ac:dyDescent="0.25">
      <c r="B85" s="1927">
        <f t="shared" si="4"/>
        <v>0</v>
      </c>
      <c r="C85" s="1928">
        <v>1.4000000000000401E-3</v>
      </c>
      <c r="D85" s="1929" t="e">
        <f>($C$9*60)/((($B$8-$C85)/12)*(60-B85)*'Product Data'!$P$23)</f>
        <v>#N/A</v>
      </c>
      <c r="F85" s="1927">
        <f t="shared" si="5"/>
        <v>0</v>
      </c>
      <c r="G85" s="1928">
        <v>1.4000000000000401E-3</v>
      </c>
      <c r="H85" s="1929" t="e">
        <f>($G$9*60)/((($F$8-$G85)/12)*(60-F85)*'Product Data'!$P$23)</f>
        <v>#N/A</v>
      </c>
      <c r="J85" s="1927">
        <f t="shared" si="6"/>
        <v>0</v>
      </c>
      <c r="K85" s="1928">
        <v>1.4000000000000401E-3</v>
      </c>
      <c r="L85" s="1929" t="e">
        <f>($K$9*60)/((($J$8-$K85)/12)*(60-J85)*'Product Data'!$P$23)</f>
        <v>#N/A</v>
      </c>
      <c r="N85" s="1927">
        <f t="shared" si="7"/>
        <v>0</v>
      </c>
      <c r="O85" s="1928">
        <v>1.4000000000000401E-3</v>
      </c>
      <c r="P85" s="1929" t="e">
        <f>($O$9*60)/((($N$8-$O85)/12)*(60-N85)*'Product Data'!$P$23)</f>
        <v>#N/A</v>
      </c>
    </row>
    <row r="86" spans="2:16" x14ac:dyDescent="0.25">
      <c r="B86" s="1927">
        <f t="shared" si="4"/>
        <v>0</v>
      </c>
      <c r="C86" s="1928">
        <v>1.3000000000000401E-3</v>
      </c>
      <c r="D86" s="1929" t="e">
        <f>($C$9*60)/((($B$8-$C86)/12)*(60-B86)*'Product Data'!$P$23)</f>
        <v>#N/A</v>
      </c>
      <c r="F86" s="1927">
        <f t="shared" si="5"/>
        <v>0</v>
      </c>
      <c r="G86" s="1928">
        <v>1.3000000000000401E-3</v>
      </c>
      <c r="H86" s="1929" t="e">
        <f>($G$9*60)/((($F$8-$G86)/12)*(60-F86)*'Product Data'!$P$23)</f>
        <v>#N/A</v>
      </c>
      <c r="J86" s="1927">
        <f t="shared" si="6"/>
        <v>0</v>
      </c>
      <c r="K86" s="1928">
        <v>1.3000000000000401E-3</v>
      </c>
      <c r="L86" s="1929" t="e">
        <f>($K$9*60)/((($J$8-$K86)/12)*(60-J86)*'Product Data'!$P$23)</f>
        <v>#N/A</v>
      </c>
      <c r="N86" s="1927">
        <f t="shared" si="7"/>
        <v>0</v>
      </c>
      <c r="O86" s="1928">
        <v>1.3000000000000401E-3</v>
      </c>
      <c r="P86" s="1929" t="e">
        <f>($O$9*60)/((($N$8-$O86)/12)*(60-N86)*'Product Data'!$P$23)</f>
        <v>#N/A</v>
      </c>
    </row>
    <row r="87" spans="2:16" x14ac:dyDescent="0.25">
      <c r="B87" s="1927">
        <f t="shared" si="4"/>
        <v>0</v>
      </c>
      <c r="C87" s="2392">
        <v>1.20000000000004E-3</v>
      </c>
      <c r="D87" s="1929" t="e">
        <f>($C$9*60)/((($B$8-$C87)/12)*(60-B87)*'Product Data'!$P$23)</f>
        <v>#N/A</v>
      </c>
      <c r="F87" s="1927">
        <f t="shared" si="5"/>
        <v>0</v>
      </c>
      <c r="G87" s="2392">
        <v>1.20000000000004E-3</v>
      </c>
      <c r="H87" s="1929" t="e">
        <f>($G$9*60)/((($F$8-$G87)/12)*(60-F87)*'Product Data'!$P$23)</f>
        <v>#N/A</v>
      </c>
      <c r="J87" s="1927">
        <f t="shared" si="6"/>
        <v>0</v>
      </c>
      <c r="K87" s="2392">
        <v>1.20000000000004E-3</v>
      </c>
      <c r="L87" s="1929" t="e">
        <f>($K$9*60)/((($J$8-$K87)/12)*(60-J87)*'Product Data'!$P$23)</f>
        <v>#N/A</v>
      </c>
      <c r="N87" s="1927">
        <f t="shared" si="7"/>
        <v>0</v>
      </c>
      <c r="O87" s="2392">
        <v>1.20000000000004E-3</v>
      </c>
      <c r="P87" s="1929" t="e">
        <f>($O$9*60)/((($N$8-$O87)/12)*(60-N87)*'Product Data'!$P$23)</f>
        <v>#N/A</v>
      </c>
    </row>
    <row r="88" spans="2:16" x14ac:dyDescent="0.25">
      <c r="B88" s="1927">
        <f t="shared" si="4"/>
        <v>0</v>
      </c>
      <c r="C88" s="1928">
        <v>1.10000000000004E-3</v>
      </c>
      <c r="D88" s="1929" t="e">
        <f>($C$9*60)/((($B$8-$C88)/12)*(60-B88)*'Product Data'!$P$23)</f>
        <v>#N/A</v>
      </c>
      <c r="F88" s="1927">
        <f t="shared" si="5"/>
        <v>0</v>
      </c>
      <c r="G88" s="1928">
        <v>1.10000000000004E-3</v>
      </c>
      <c r="H88" s="1929" t="e">
        <f>($G$9*60)/((($F$8-$G88)/12)*(60-F88)*'Product Data'!$P$23)</f>
        <v>#N/A</v>
      </c>
      <c r="J88" s="1927">
        <f t="shared" si="6"/>
        <v>0</v>
      </c>
      <c r="K88" s="1928">
        <v>1.10000000000004E-3</v>
      </c>
      <c r="L88" s="1929" t="e">
        <f>($K$9*60)/((($J$8-$K88)/12)*(60-J88)*'Product Data'!$P$23)</f>
        <v>#N/A</v>
      </c>
      <c r="N88" s="1927">
        <f t="shared" si="7"/>
        <v>0</v>
      </c>
      <c r="O88" s="1928">
        <v>1.10000000000004E-3</v>
      </c>
      <c r="P88" s="1929" t="e">
        <f>($O$9*60)/((($N$8-$O88)/12)*(60-N88)*'Product Data'!$P$23)</f>
        <v>#N/A</v>
      </c>
    </row>
    <row r="89" spans="2:16" x14ac:dyDescent="0.25">
      <c r="B89" s="1927">
        <f t="shared" si="4"/>
        <v>0</v>
      </c>
      <c r="C89" s="1928">
        <v>1.0000000000000399E-3</v>
      </c>
      <c r="D89" s="1929" t="e">
        <f>($C$9*60)/((($B$8-$C89)/12)*(60-B89)*'Product Data'!$P$23)</f>
        <v>#N/A</v>
      </c>
      <c r="F89" s="1927">
        <f t="shared" si="5"/>
        <v>0</v>
      </c>
      <c r="G89" s="1928">
        <v>1.0000000000000399E-3</v>
      </c>
      <c r="H89" s="1929" t="e">
        <f>($G$9*60)/((($F$8-$G89)/12)*(60-F89)*'Product Data'!$P$23)</f>
        <v>#N/A</v>
      </c>
      <c r="J89" s="1927">
        <f t="shared" si="6"/>
        <v>0</v>
      </c>
      <c r="K89" s="1928">
        <v>1.0000000000000399E-3</v>
      </c>
      <c r="L89" s="1929" t="e">
        <f>($K$9*60)/((($J$8-$K89)/12)*(60-J89)*'Product Data'!$P$23)</f>
        <v>#N/A</v>
      </c>
      <c r="N89" s="1927">
        <f t="shared" si="7"/>
        <v>0</v>
      </c>
      <c r="O89" s="1928">
        <v>1.0000000000000399E-3</v>
      </c>
      <c r="P89" s="1929" t="e">
        <f>($O$9*60)/((($N$8-$O89)/12)*(60-N89)*'Product Data'!$P$23)</f>
        <v>#N/A</v>
      </c>
    </row>
    <row r="90" spans="2:16" x14ac:dyDescent="0.25">
      <c r="B90" s="1927">
        <f t="shared" ref="B90:B99" si="8">B89</f>
        <v>0</v>
      </c>
      <c r="C90" s="2392">
        <v>9.0000000000003998E-4</v>
      </c>
      <c r="D90" s="1929" t="e">
        <f>($C$9*60)/((($B$8-$C90)/12)*(60-B90)*'Product Data'!$P$23)</f>
        <v>#N/A</v>
      </c>
      <c r="F90" s="1927">
        <f t="shared" ref="F90:F149" si="9">F89</f>
        <v>0</v>
      </c>
      <c r="G90" s="2392">
        <v>9.0000000000003998E-4</v>
      </c>
      <c r="H90" s="1929" t="e">
        <f>($G$9*60)/((($F$8-$G90)/12)*(60-F90)*'Product Data'!$P$23)</f>
        <v>#N/A</v>
      </c>
      <c r="J90" s="1927">
        <f t="shared" ref="J90:J149" si="10">J89</f>
        <v>0</v>
      </c>
      <c r="K90" s="2392">
        <v>9.0000000000003998E-4</v>
      </c>
      <c r="L90" s="1929" t="e">
        <f>($K$9*60)/((($J$8-$K90)/12)*(60-J90)*'Product Data'!$P$23)</f>
        <v>#N/A</v>
      </c>
      <c r="N90" s="1927">
        <f t="shared" ref="N90:N149" si="11">N89</f>
        <v>0</v>
      </c>
      <c r="O90" s="2392">
        <v>9.0000000000003998E-4</v>
      </c>
      <c r="P90" s="1929" t="e">
        <f>($O$9*60)/((($N$8-$O90)/12)*(60-N90)*'Product Data'!$P$23)</f>
        <v>#N/A</v>
      </c>
    </row>
    <row r="91" spans="2:16" x14ac:dyDescent="0.25">
      <c r="B91" s="1927">
        <f t="shared" si="8"/>
        <v>0</v>
      </c>
      <c r="C91" s="1928">
        <v>8.0000000000003896E-4</v>
      </c>
      <c r="D91" s="1929" t="e">
        <f>($C$9*60)/((($B$8-$C91)/12)*(60-B91)*'Product Data'!$P$23)</f>
        <v>#N/A</v>
      </c>
      <c r="F91" s="1927">
        <f t="shared" si="9"/>
        <v>0</v>
      </c>
      <c r="G91" s="1928">
        <v>8.0000000000003896E-4</v>
      </c>
      <c r="H91" s="1929" t="e">
        <f>($G$9*60)/((($F$8-$G91)/12)*(60-F91)*'Product Data'!$P$23)</f>
        <v>#N/A</v>
      </c>
      <c r="J91" s="1927">
        <f t="shared" si="10"/>
        <v>0</v>
      </c>
      <c r="K91" s="1928">
        <v>8.0000000000003896E-4</v>
      </c>
      <c r="L91" s="1929" t="e">
        <f>($K$9*60)/((($J$8-$K91)/12)*(60-J91)*'Product Data'!$P$23)</f>
        <v>#N/A</v>
      </c>
      <c r="N91" s="1927">
        <f t="shared" si="11"/>
        <v>0</v>
      </c>
      <c r="O91" s="1928">
        <v>8.0000000000003896E-4</v>
      </c>
      <c r="P91" s="1929" t="e">
        <f>($O$9*60)/((($N$8-$O91)/12)*(60-N91)*'Product Data'!$P$23)</f>
        <v>#N/A</v>
      </c>
    </row>
    <row r="92" spans="2:16" x14ac:dyDescent="0.25">
      <c r="B92" s="1927">
        <f t="shared" si="8"/>
        <v>0</v>
      </c>
      <c r="C92" s="1928">
        <v>7.0000000000004E-4</v>
      </c>
      <c r="D92" s="1929" t="e">
        <f>($C$9*60)/((($B$8-$C92)/12)*(60-B92)*'Product Data'!$P$23)</f>
        <v>#N/A</v>
      </c>
      <c r="F92" s="1927">
        <f t="shared" si="9"/>
        <v>0</v>
      </c>
      <c r="G92" s="1928">
        <v>7.0000000000004E-4</v>
      </c>
      <c r="H92" s="1929" t="e">
        <f>($G$9*60)/((($F$8-$G92)/12)*(60-F92)*'Product Data'!$P$23)</f>
        <v>#N/A</v>
      </c>
      <c r="J92" s="1927">
        <f t="shared" si="10"/>
        <v>0</v>
      </c>
      <c r="K92" s="1928">
        <v>7.0000000000004E-4</v>
      </c>
      <c r="L92" s="1929" t="e">
        <f>($K$9*60)/((($J$8-$K92)/12)*(60-J92)*'Product Data'!$P$23)</f>
        <v>#N/A</v>
      </c>
      <c r="N92" s="1927">
        <f t="shared" si="11"/>
        <v>0</v>
      </c>
      <c r="O92" s="1928">
        <v>7.0000000000004E-4</v>
      </c>
      <c r="P92" s="1929" t="e">
        <f>($O$9*60)/((($N$8-$O92)/12)*(60-N92)*'Product Data'!$P$23)</f>
        <v>#N/A</v>
      </c>
    </row>
    <row r="93" spans="2:16" x14ac:dyDescent="0.25">
      <c r="B93" s="1927">
        <f t="shared" si="8"/>
        <v>0</v>
      </c>
      <c r="C93" s="2392">
        <v>6.0000000000003995E-4</v>
      </c>
      <c r="D93" s="1929" t="e">
        <f>($C$9*60)/((($B$8-$C93)/12)*(60-B93)*'Product Data'!$P$23)</f>
        <v>#N/A</v>
      </c>
      <c r="F93" s="1927">
        <f t="shared" si="9"/>
        <v>0</v>
      </c>
      <c r="G93" s="2392">
        <v>6.0000000000003995E-4</v>
      </c>
      <c r="H93" s="1929" t="e">
        <f>($G$9*60)/((($F$8-$G93)/12)*(60-F93)*'Product Data'!$P$23)</f>
        <v>#N/A</v>
      </c>
      <c r="J93" s="1927">
        <f t="shared" si="10"/>
        <v>0</v>
      </c>
      <c r="K93" s="2392">
        <v>6.0000000000003995E-4</v>
      </c>
      <c r="L93" s="1929" t="e">
        <f>($K$9*60)/((($J$8-$K93)/12)*(60-J93)*'Product Data'!$P$23)</f>
        <v>#N/A</v>
      </c>
      <c r="N93" s="1927">
        <f t="shared" si="11"/>
        <v>0</v>
      </c>
      <c r="O93" s="2392">
        <v>6.0000000000003995E-4</v>
      </c>
      <c r="P93" s="1929" t="e">
        <f>($O$9*60)/((($N$8-$O93)/12)*(60-N93)*'Product Data'!$P$23)</f>
        <v>#N/A</v>
      </c>
    </row>
    <row r="94" spans="2:16" x14ac:dyDescent="0.25">
      <c r="B94" s="1927">
        <f t="shared" si="8"/>
        <v>0</v>
      </c>
      <c r="C94" s="1928">
        <v>5.0000000000003904E-4</v>
      </c>
      <c r="D94" s="1929" t="e">
        <f>($C$9*60)/((($B$8-$C94)/12)*(60-B94)*'Product Data'!$P$23)</f>
        <v>#N/A</v>
      </c>
      <c r="F94" s="1927">
        <f t="shared" si="9"/>
        <v>0</v>
      </c>
      <c r="G94" s="1928">
        <v>5.0000000000003904E-4</v>
      </c>
      <c r="H94" s="1929" t="e">
        <f>($G$9*60)/((($F$8-$G94)/12)*(60-F94)*'Product Data'!$P$23)</f>
        <v>#N/A</v>
      </c>
      <c r="J94" s="1927">
        <f t="shared" si="10"/>
        <v>0</v>
      </c>
      <c r="K94" s="1928">
        <v>5.0000000000003904E-4</v>
      </c>
      <c r="L94" s="1929" t="e">
        <f>($K$9*60)/((($J$8-$K94)/12)*(60-J94)*'Product Data'!$P$23)</f>
        <v>#N/A</v>
      </c>
      <c r="N94" s="1927">
        <f t="shared" si="11"/>
        <v>0</v>
      </c>
      <c r="O94" s="1928">
        <v>5.0000000000003904E-4</v>
      </c>
      <c r="P94" s="1929" t="e">
        <f>($O$9*60)/((($N$8-$O94)/12)*(60-N94)*'Product Data'!$P$23)</f>
        <v>#N/A</v>
      </c>
    </row>
    <row r="95" spans="2:16" x14ac:dyDescent="0.25">
      <c r="B95" s="1927">
        <f t="shared" si="8"/>
        <v>0</v>
      </c>
      <c r="C95" s="1928">
        <v>4.0000000000004003E-4</v>
      </c>
      <c r="D95" s="1929" t="e">
        <f>($C$9*60)/((($B$8-$C95)/12)*(60-B95)*'Product Data'!$P$23)</f>
        <v>#N/A</v>
      </c>
      <c r="F95" s="1927">
        <f t="shared" si="9"/>
        <v>0</v>
      </c>
      <c r="G95" s="1928">
        <v>4.0000000000004003E-4</v>
      </c>
      <c r="H95" s="1929" t="e">
        <f>($G$9*60)/((($F$8-$G95)/12)*(60-F95)*'Product Data'!$P$23)</f>
        <v>#N/A</v>
      </c>
      <c r="J95" s="1927">
        <f t="shared" si="10"/>
        <v>0</v>
      </c>
      <c r="K95" s="1928">
        <v>4.0000000000004003E-4</v>
      </c>
      <c r="L95" s="1929" t="e">
        <f>($K$9*60)/((($J$8-$K95)/12)*(60-J95)*'Product Data'!$P$23)</f>
        <v>#N/A</v>
      </c>
      <c r="N95" s="1927">
        <f t="shared" si="11"/>
        <v>0</v>
      </c>
      <c r="O95" s="1928">
        <v>4.0000000000004003E-4</v>
      </c>
      <c r="P95" s="1929" t="e">
        <f>($O$9*60)/((($N$8-$O95)/12)*(60-N95)*'Product Data'!$P$23)</f>
        <v>#N/A</v>
      </c>
    </row>
    <row r="96" spans="2:16" x14ac:dyDescent="0.25">
      <c r="B96" s="1927">
        <f t="shared" si="8"/>
        <v>0</v>
      </c>
      <c r="C96" s="2392">
        <v>3.0000000000003998E-4</v>
      </c>
      <c r="D96" s="1929" t="e">
        <f>($C$9*60)/((($B$8-$C96)/12)*(60-B96)*'Product Data'!$P$23)</f>
        <v>#N/A</v>
      </c>
      <c r="F96" s="1927">
        <f t="shared" si="9"/>
        <v>0</v>
      </c>
      <c r="G96" s="2392">
        <v>3.0000000000003998E-4</v>
      </c>
      <c r="H96" s="1929" t="e">
        <f>($G$9*60)/((($F$8-$G96)/12)*(60-F96)*'Product Data'!$P$23)</f>
        <v>#N/A</v>
      </c>
      <c r="J96" s="1927">
        <f t="shared" si="10"/>
        <v>0</v>
      </c>
      <c r="K96" s="2392">
        <v>3.0000000000003998E-4</v>
      </c>
      <c r="L96" s="1929" t="e">
        <f>($K$9*60)/((($J$8-$K96)/12)*(60-J96)*'Product Data'!$P$23)</f>
        <v>#N/A</v>
      </c>
      <c r="N96" s="1927">
        <f t="shared" si="11"/>
        <v>0</v>
      </c>
      <c r="O96" s="2392">
        <v>3.0000000000003998E-4</v>
      </c>
      <c r="P96" s="1929" t="e">
        <f>($O$9*60)/((($N$8-$O96)/12)*(60-N96)*'Product Data'!$P$23)</f>
        <v>#N/A</v>
      </c>
    </row>
    <row r="97" spans="2:16" x14ac:dyDescent="0.25">
      <c r="B97" s="1927">
        <f t="shared" si="8"/>
        <v>0</v>
      </c>
      <c r="C97" s="1928">
        <v>2.0000000000003999E-4</v>
      </c>
      <c r="D97" s="1929" t="e">
        <f>($C$9*60)/((($B$8-$C97)/12)*(60-B97)*'Product Data'!$P$23)</f>
        <v>#N/A</v>
      </c>
      <c r="F97" s="1927">
        <f t="shared" si="9"/>
        <v>0</v>
      </c>
      <c r="G97" s="1928">
        <v>2.0000000000003999E-4</v>
      </c>
      <c r="H97" s="1929" t="e">
        <f>($G$9*60)/((($F$8-$G97)/12)*(60-F97)*'Product Data'!$P$23)</f>
        <v>#N/A</v>
      </c>
      <c r="J97" s="1927">
        <f t="shared" si="10"/>
        <v>0</v>
      </c>
      <c r="K97" s="1928">
        <v>2.0000000000003999E-4</v>
      </c>
      <c r="L97" s="1929" t="e">
        <f>($K$9*60)/((($J$8-$K97)/12)*(60-J97)*'Product Data'!$P$23)</f>
        <v>#N/A</v>
      </c>
      <c r="N97" s="1927">
        <f t="shared" si="11"/>
        <v>0</v>
      </c>
      <c r="O97" s="1928">
        <v>2.0000000000003999E-4</v>
      </c>
      <c r="P97" s="1929" t="e">
        <f>($O$9*60)/((($N$8-$O97)/12)*(60-N97)*'Product Data'!$P$23)</f>
        <v>#N/A</v>
      </c>
    </row>
    <row r="98" spans="2:16" x14ac:dyDescent="0.25">
      <c r="B98" s="1927">
        <f t="shared" si="8"/>
        <v>0</v>
      </c>
      <c r="C98" s="1928">
        <v>1.00000000000039E-4</v>
      </c>
      <c r="D98" s="1929" t="e">
        <f>($C$9*60)/((($B$8-$C98)/12)*(60-B98)*'Product Data'!$P$23)</f>
        <v>#N/A</v>
      </c>
      <c r="F98" s="1927">
        <f t="shared" si="9"/>
        <v>0</v>
      </c>
      <c r="G98" s="1928">
        <v>1.00000000000039E-4</v>
      </c>
      <c r="H98" s="1929" t="e">
        <f>($G$9*60)/((($F$8-$G98)/12)*(60-F98)*'Product Data'!$P$23)</f>
        <v>#N/A</v>
      </c>
      <c r="J98" s="1927">
        <f t="shared" si="10"/>
        <v>0</v>
      </c>
      <c r="K98" s="1928">
        <v>1.00000000000039E-4</v>
      </c>
      <c r="L98" s="1929" t="e">
        <f>($K$9*60)/((($J$8-$K98)/12)*(60-J98)*'Product Data'!$P$23)</f>
        <v>#N/A</v>
      </c>
      <c r="N98" s="1927">
        <f t="shared" si="11"/>
        <v>0</v>
      </c>
      <c r="O98" s="1928">
        <v>1.00000000000039E-4</v>
      </c>
      <c r="P98" s="1929" t="e">
        <f>($O$9*60)/((($N$8-$O98)/12)*(60-N98)*'Product Data'!$P$23)</f>
        <v>#N/A</v>
      </c>
    </row>
    <row r="99" spans="2:16" x14ac:dyDescent="0.25">
      <c r="B99" s="1927">
        <f t="shared" si="8"/>
        <v>0</v>
      </c>
      <c r="C99" s="2392">
        <v>4.9439619065339002E-17</v>
      </c>
      <c r="D99" s="1929" t="e">
        <f>($C$9*60)/((($B$8-$C99)/12)*(60-B99)*'Product Data'!$P$23)</f>
        <v>#N/A</v>
      </c>
      <c r="F99" s="1927">
        <f t="shared" si="9"/>
        <v>0</v>
      </c>
      <c r="G99" s="2392">
        <v>4.9439619065339002E-17</v>
      </c>
      <c r="H99" s="1929" t="e">
        <f>($G$9*60)/((($F$8-$G99)/12)*(60-F99)*'Product Data'!$P$23)</f>
        <v>#N/A</v>
      </c>
      <c r="J99" s="1927">
        <f t="shared" si="10"/>
        <v>0</v>
      </c>
      <c r="K99" s="2392">
        <v>4.9439619065339002E-17</v>
      </c>
      <c r="L99" s="1929" t="e">
        <f>($K$9*60)/((($J$8-$K99)/12)*(60-J99)*'Product Data'!$P$23)</f>
        <v>#N/A</v>
      </c>
      <c r="N99" s="1927">
        <f t="shared" si="11"/>
        <v>0</v>
      </c>
      <c r="O99" s="2392">
        <v>4.9439619065339002E-17</v>
      </c>
      <c r="P99" s="1929" t="e">
        <f>($O$9*60)/((($N$8-$O99)/12)*(60-N99)*'Product Data'!$P$23)</f>
        <v>#N/A</v>
      </c>
    </row>
    <row r="100" spans="2:16" x14ac:dyDescent="0.25">
      <c r="B100" s="1927"/>
      <c r="C100" s="1928"/>
      <c r="D100" s="1929"/>
      <c r="F100" s="1927">
        <f t="shared" si="9"/>
        <v>0</v>
      </c>
      <c r="G100" s="1928"/>
      <c r="H100" s="1929" t="e">
        <f>($G$9*60)/((($F$8-$G100)/12)*(60-F100)*'Product Data'!$P$23)</f>
        <v>#N/A</v>
      </c>
      <c r="J100" s="1927">
        <f t="shared" si="10"/>
        <v>0</v>
      </c>
      <c r="K100" s="1928"/>
      <c r="L100" s="1929" t="e">
        <f>($K$9*60)/((($J$8-$K100)/12)*(60-J100)*'Product Data'!$P$23)</f>
        <v>#N/A</v>
      </c>
      <c r="N100" s="1927">
        <f t="shared" si="11"/>
        <v>0</v>
      </c>
      <c r="O100" s="1928"/>
      <c r="P100" s="1929" t="e">
        <f>($O$9*60)/((($N$8-$O100)/12)*(60-N100)*'Product Data'!$P$23)</f>
        <v>#N/A</v>
      </c>
    </row>
    <row r="101" spans="2:16" x14ac:dyDescent="0.25">
      <c r="B101" s="1927"/>
      <c r="C101" s="1928"/>
      <c r="D101" s="1929"/>
      <c r="F101" s="1927">
        <f t="shared" si="9"/>
        <v>0</v>
      </c>
      <c r="G101" s="1928"/>
      <c r="H101" s="1929" t="e">
        <f>($G$9*60)/((($F$8-$G101)/12)*(60-F101)*'Product Data'!$P$23)</f>
        <v>#N/A</v>
      </c>
      <c r="J101" s="1927">
        <f t="shared" si="10"/>
        <v>0</v>
      </c>
      <c r="K101" s="1928"/>
      <c r="L101" s="1929" t="e">
        <f>($K$9*60)/((($J$8-$K101)/12)*(60-J101)*'Product Data'!$P$23)</f>
        <v>#N/A</v>
      </c>
      <c r="N101" s="1927">
        <f t="shared" si="11"/>
        <v>0</v>
      </c>
      <c r="O101" s="1928"/>
      <c r="P101" s="1929" t="e">
        <f>($O$9*60)/((($N$8-$O101)/12)*(60-N101)*'Product Data'!$P$23)</f>
        <v>#N/A</v>
      </c>
    </row>
    <row r="102" spans="2:16" x14ac:dyDescent="0.25">
      <c r="B102" s="1927"/>
      <c r="C102" s="1928"/>
      <c r="D102" s="1929"/>
      <c r="F102" s="1927">
        <f t="shared" si="9"/>
        <v>0</v>
      </c>
      <c r="G102" s="1928"/>
      <c r="H102" s="1929" t="e">
        <f>($G$9*60)/((($F$8-$G102)/12)*(60-F102)*'Product Data'!$P$23)</f>
        <v>#N/A</v>
      </c>
      <c r="J102" s="1927">
        <f t="shared" si="10"/>
        <v>0</v>
      </c>
      <c r="K102" s="1928"/>
      <c r="L102" s="1929" t="e">
        <f>($K$9*60)/((($J$8-$K102)/12)*(60-J102)*'Product Data'!$P$23)</f>
        <v>#N/A</v>
      </c>
      <c r="N102" s="1927">
        <f t="shared" si="11"/>
        <v>0</v>
      </c>
      <c r="O102" s="1928"/>
      <c r="P102" s="1929" t="e">
        <f>($O$9*60)/((($N$8-$O102)/12)*(60-N102)*'Product Data'!$P$23)</f>
        <v>#N/A</v>
      </c>
    </row>
    <row r="103" spans="2:16" x14ac:dyDescent="0.25">
      <c r="B103" s="1927"/>
      <c r="C103" s="1928"/>
      <c r="D103" s="1929"/>
      <c r="F103" s="1927">
        <f t="shared" si="9"/>
        <v>0</v>
      </c>
      <c r="G103" s="1928"/>
      <c r="H103" s="1929" t="e">
        <f>($G$9*60)/((($F$8-$G103)/12)*(60-F103)*'Product Data'!$P$23)</f>
        <v>#N/A</v>
      </c>
      <c r="J103" s="1927">
        <f t="shared" si="10"/>
        <v>0</v>
      </c>
      <c r="K103" s="1928"/>
      <c r="L103" s="1929" t="e">
        <f>($K$9*60)/((($J$8-$K103)/12)*(60-J103)*'Product Data'!$P$23)</f>
        <v>#N/A</v>
      </c>
      <c r="N103" s="1927">
        <f t="shared" si="11"/>
        <v>0</v>
      </c>
      <c r="O103" s="1928"/>
      <c r="P103" s="1929" t="e">
        <f>($O$9*60)/((($N$8-$O103)/12)*(60-N103)*'Product Data'!$P$23)</f>
        <v>#N/A</v>
      </c>
    </row>
    <row r="104" spans="2:16" x14ac:dyDescent="0.25">
      <c r="B104" s="1927"/>
      <c r="C104" s="1928"/>
      <c r="D104" s="1929"/>
      <c r="F104" s="1927">
        <f t="shared" si="9"/>
        <v>0</v>
      </c>
      <c r="G104" s="1928"/>
      <c r="H104" s="1929" t="e">
        <f>($G$9*60)/((($F$8-$G104)/12)*(60-F104)*'Product Data'!$P$23)</f>
        <v>#N/A</v>
      </c>
      <c r="J104" s="1927">
        <f t="shared" si="10"/>
        <v>0</v>
      </c>
      <c r="K104" s="1928"/>
      <c r="L104" s="1929" t="e">
        <f>($K$9*60)/((($J$8-$K104)/12)*(60-J104)*'Product Data'!$P$23)</f>
        <v>#N/A</v>
      </c>
      <c r="N104" s="1927">
        <f t="shared" si="11"/>
        <v>0</v>
      </c>
      <c r="O104" s="1928"/>
      <c r="P104" s="1929" t="e">
        <f>($O$9*60)/((($N$8-$O104)/12)*(60-N104)*'Product Data'!$P$23)</f>
        <v>#N/A</v>
      </c>
    </row>
    <row r="105" spans="2:16" x14ac:dyDescent="0.25">
      <c r="B105" s="1927"/>
      <c r="C105" s="1928"/>
      <c r="D105" s="1929"/>
      <c r="F105" s="1927">
        <f t="shared" si="9"/>
        <v>0</v>
      </c>
      <c r="G105" s="1928"/>
      <c r="H105" s="1929" t="e">
        <f>($G$9*60)/((($F$8-$G105)/12)*(60-F105)*'Product Data'!$P$23)</f>
        <v>#N/A</v>
      </c>
      <c r="J105" s="1927">
        <f t="shared" si="10"/>
        <v>0</v>
      </c>
      <c r="K105" s="1928"/>
      <c r="L105" s="1929" t="e">
        <f>($K$9*60)/((($J$8-$K105)/12)*(60-J105)*'Product Data'!$P$23)</f>
        <v>#N/A</v>
      </c>
      <c r="N105" s="1927">
        <f t="shared" si="11"/>
        <v>0</v>
      </c>
      <c r="O105" s="1928"/>
      <c r="P105" s="1929" t="e">
        <f>($O$9*60)/((($N$8-$O105)/12)*(60-N105)*'Product Data'!$P$23)</f>
        <v>#N/A</v>
      </c>
    </row>
    <row r="106" spans="2:16" x14ac:dyDescent="0.25">
      <c r="B106" s="1927"/>
      <c r="C106" s="1928"/>
      <c r="D106" s="1929"/>
      <c r="F106" s="1927">
        <f t="shared" si="9"/>
        <v>0</v>
      </c>
      <c r="G106" s="1928"/>
      <c r="H106" s="1929" t="e">
        <f>($G$9*60)/((($F$8-$G106)/12)*(60-F106)*'Product Data'!$P$23)</f>
        <v>#N/A</v>
      </c>
      <c r="J106" s="1927">
        <f t="shared" si="10"/>
        <v>0</v>
      </c>
      <c r="K106" s="1928"/>
      <c r="L106" s="1929" t="e">
        <f>($K$9*60)/((($J$8-$K106)/12)*(60-J106)*'Product Data'!$P$23)</f>
        <v>#N/A</v>
      </c>
      <c r="N106" s="1927">
        <f t="shared" si="11"/>
        <v>0</v>
      </c>
      <c r="O106" s="1928"/>
      <c r="P106" s="1929" t="e">
        <f>($O$9*60)/((($N$8-$O106)/12)*(60-N106)*'Product Data'!$P$23)</f>
        <v>#N/A</v>
      </c>
    </row>
    <row r="107" spans="2:16" x14ac:dyDescent="0.25">
      <c r="B107" s="1927"/>
      <c r="C107" s="1928"/>
      <c r="D107" s="1929"/>
      <c r="F107" s="1927">
        <f t="shared" si="9"/>
        <v>0</v>
      </c>
      <c r="G107" s="1928"/>
      <c r="H107" s="1929" t="e">
        <f>($G$9*60)/((($F$8-$G107)/12)*(60-F107)*'Product Data'!$P$23)</f>
        <v>#N/A</v>
      </c>
      <c r="J107" s="1927">
        <f t="shared" si="10"/>
        <v>0</v>
      </c>
      <c r="K107" s="1928"/>
      <c r="L107" s="1929" t="e">
        <f>($K$9*60)/((($J$8-$K107)/12)*(60-J107)*'Product Data'!$P$23)</f>
        <v>#N/A</v>
      </c>
      <c r="N107" s="1927">
        <f t="shared" si="11"/>
        <v>0</v>
      </c>
      <c r="O107" s="1928"/>
      <c r="P107" s="1929" t="e">
        <f>($O$9*60)/((($N$8-$O107)/12)*(60-N107)*'Product Data'!$P$23)</f>
        <v>#N/A</v>
      </c>
    </row>
    <row r="108" spans="2:16" x14ac:dyDescent="0.25">
      <c r="B108" s="1927"/>
      <c r="C108" s="1928"/>
      <c r="D108" s="1929"/>
      <c r="F108" s="1927">
        <f t="shared" si="9"/>
        <v>0</v>
      </c>
      <c r="G108" s="1928"/>
      <c r="H108" s="1929" t="e">
        <f>($G$9*60)/((($F$8-$G108)/12)*(60-F108)*'Product Data'!$P$23)</f>
        <v>#N/A</v>
      </c>
      <c r="J108" s="1927">
        <f t="shared" si="10"/>
        <v>0</v>
      </c>
      <c r="K108" s="1928"/>
      <c r="L108" s="1929" t="e">
        <f>($K$9*60)/((($J$8-$K108)/12)*(60-J108)*'Product Data'!$P$23)</f>
        <v>#N/A</v>
      </c>
      <c r="N108" s="1927">
        <f t="shared" si="11"/>
        <v>0</v>
      </c>
      <c r="O108" s="1928"/>
      <c r="P108" s="1929" t="e">
        <f>($O$9*60)/((($N$8-$O108)/12)*(60-N108)*'Product Data'!$P$23)</f>
        <v>#N/A</v>
      </c>
    </row>
    <row r="109" spans="2:16" x14ac:dyDescent="0.25">
      <c r="B109" s="1927"/>
      <c r="C109" s="1928"/>
      <c r="D109" s="1929"/>
      <c r="F109" s="1927">
        <f t="shared" si="9"/>
        <v>0</v>
      </c>
      <c r="G109" s="1928"/>
      <c r="H109" s="1929" t="e">
        <f>($G$9*60)/((($F$8-$G109)/12)*(60-F109)*'Product Data'!$P$23)</f>
        <v>#N/A</v>
      </c>
      <c r="J109" s="1927">
        <f t="shared" si="10"/>
        <v>0</v>
      </c>
      <c r="K109" s="1928"/>
      <c r="L109" s="1929" t="e">
        <f>($K$9*60)/((($J$8-$K109)/12)*(60-J109)*'Product Data'!$P$23)</f>
        <v>#N/A</v>
      </c>
      <c r="N109" s="1927">
        <f t="shared" si="11"/>
        <v>0</v>
      </c>
      <c r="O109" s="1928"/>
      <c r="P109" s="1929" t="e">
        <f>($O$9*60)/((($N$8-$O109)/12)*(60-N109)*'Product Data'!$P$23)</f>
        <v>#N/A</v>
      </c>
    </row>
    <row r="110" spans="2:16" x14ac:dyDescent="0.25">
      <c r="B110" s="1927"/>
      <c r="C110" s="1928"/>
      <c r="D110" s="1929"/>
      <c r="F110" s="1927">
        <f t="shared" si="9"/>
        <v>0</v>
      </c>
      <c r="G110" s="1928"/>
      <c r="H110" s="1929" t="e">
        <f>($G$9*60)/((($F$8-$G110)/12)*(60-F110)*'Product Data'!$P$23)</f>
        <v>#N/A</v>
      </c>
      <c r="J110" s="1927">
        <f t="shared" si="10"/>
        <v>0</v>
      </c>
      <c r="K110" s="1928"/>
      <c r="L110" s="1929" t="e">
        <f>($K$9*60)/((($J$8-$K110)/12)*(60-J110)*'Product Data'!$P$23)</f>
        <v>#N/A</v>
      </c>
      <c r="N110" s="1927">
        <f t="shared" si="11"/>
        <v>0</v>
      </c>
      <c r="O110" s="1928"/>
      <c r="P110" s="1929" t="e">
        <f>($O$9*60)/((($N$8-$O110)/12)*(60-N110)*'Product Data'!$P$23)</f>
        <v>#N/A</v>
      </c>
    </row>
    <row r="111" spans="2:16" x14ac:dyDescent="0.25">
      <c r="B111" s="1927"/>
      <c r="C111" s="1928"/>
      <c r="D111" s="1929"/>
      <c r="F111" s="1927">
        <f t="shared" si="9"/>
        <v>0</v>
      </c>
      <c r="G111" s="1928"/>
      <c r="H111" s="1929" t="e">
        <f>($G$9*60)/((($F$8-$G111)/12)*(60-F111)*'Product Data'!$P$23)</f>
        <v>#N/A</v>
      </c>
      <c r="J111" s="1927">
        <f t="shared" si="10"/>
        <v>0</v>
      </c>
      <c r="K111" s="1928"/>
      <c r="L111" s="1929" t="e">
        <f>($K$9*60)/((($J$8-$K111)/12)*(60-J111)*'Product Data'!$P$23)</f>
        <v>#N/A</v>
      </c>
      <c r="N111" s="1927">
        <f t="shared" si="11"/>
        <v>0</v>
      </c>
      <c r="O111" s="1928"/>
      <c r="P111" s="1929" t="e">
        <f>($O$9*60)/((($N$8-$O111)/12)*(60-N111)*'Product Data'!$P$23)</f>
        <v>#N/A</v>
      </c>
    </row>
    <row r="112" spans="2:16" x14ac:dyDescent="0.25">
      <c r="B112" s="1927"/>
      <c r="C112" s="1928"/>
      <c r="D112" s="1929"/>
      <c r="F112" s="1927">
        <f t="shared" si="9"/>
        <v>0</v>
      </c>
      <c r="G112" s="1928"/>
      <c r="H112" s="1929" t="e">
        <f>($G$9*60)/((($F$8-$G112)/12)*(60-F112)*'Product Data'!$P$23)</f>
        <v>#N/A</v>
      </c>
      <c r="J112" s="1927">
        <f t="shared" si="10"/>
        <v>0</v>
      </c>
      <c r="K112" s="1928"/>
      <c r="L112" s="1929" t="e">
        <f>($K$9*60)/((($J$8-$K112)/12)*(60-J112)*'Product Data'!$P$23)</f>
        <v>#N/A</v>
      </c>
      <c r="N112" s="1927">
        <f t="shared" si="11"/>
        <v>0</v>
      </c>
      <c r="O112" s="1928"/>
      <c r="P112" s="1929" t="e">
        <f>($O$9*60)/((($N$8-$O112)/12)*(60-N112)*'Product Data'!$P$23)</f>
        <v>#N/A</v>
      </c>
    </row>
    <row r="113" spans="2:16" x14ac:dyDescent="0.25">
      <c r="B113" s="1927"/>
      <c r="C113" s="1928"/>
      <c r="D113" s="1929"/>
      <c r="F113" s="1927">
        <f t="shared" si="9"/>
        <v>0</v>
      </c>
      <c r="G113" s="1928"/>
      <c r="H113" s="1929" t="e">
        <f>($G$9*60)/((($F$8-$G113)/12)*(60-F113)*'Product Data'!$P$23)</f>
        <v>#N/A</v>
      </c>
      <c r="J113" s="1927">
        <f t="shared" si="10"/>
        <v>0</v>
      </c>
      <c r="K113" s="1928"/>
      <c r="L113" s="1929" t="e">
        <f>($K$9*60)/((($J$8-$K113)/12)*(60-J113)*'Product Data'!$P$23)</f>
        <v>#N/A</v>
      </c>
      <c r="N113" s="1927">
        <f t="shared" si="11"/>
        <v>0</v>
      </c>
      <c r="O113" s="1928"/>
      <c r="P113" s="1929" t="e">
        <f>($O$9*60)/((($N$8-$O113)/12)*(60-N113)*'Product Data'!$P$23)</f>
        <v>#N/A</v>
      </c>
    </row>
    <row r="114" spans="2:16" x14ac:dyDescent="0.25">
      <c r="B114" s="1927"/>
      <c r="C114" s="1928"/>
      <c r="D114" s="1929"/>
      <c r="F114" s="1927">
        <f t="shared" si="9"/>
        <v>0</v>
      </c>
      <c r="G114" s="1928"/>
      <c r="H114" s="1929" t="e">
        <f>($G$9*60)/((($F$8-$G114)/12)*(60-F114)*'Product Data'!$P$23)</f>
        <v>#N/A</v>
      </c>
      <c r="J114" s="1927">
        <f t="shared" si="10"/>
        <v>0</v>
      </c>
      <c r="K114" s="1928"/>
      <c r="L114" s="1929" t="e">
        <f>($K$9*60)/((($J$8-$K114)/12)*(60-J114)*'Product Data'!$P$23)</f>
        <v>#N/A</v>
      </c>
      <c r="N114" s="1927">
        <f t="shared" si="11"/>
        <v>0</v>
      </c>
      <c r="O114" s="1928"/>
      <c r="P114" s="1929" t="e">
        <f>($O$9*60)/((($N$8-$O114)/12)*(60-N114)*'Product Data'!$P$23)</f>
        <v>#N/A</v>
      </c>
    </row>
    <row r="115" spans="2:16" x14ac:dyDescent="0.25">
      <c r="B115" s="1927"/>
      <c r="C115" s="1928"/>
      <c r="D115" s="1929"/>
      <c r="F115" s="1927">
        <f t="shared" si="9"/>
        <v>0</v>
      </c>
      <c r="G115" s="1928"/>
      <c r="H115" s="1929" t="e">
        <f>($G$9*60)/((($F$8-$G115)/12)*(60-F115)*'Product Data'!$P$23)</f>
        <v>#N/A</v>
      </c>
      <c r="J115" s="1927">
        <f t="shared" si="10"/>
        <v>0</v>
      </c>
      <c r="K115" s="1928"/>
      <c r="L115" s="1929" t="e">
        <f>($K$9*60)/((($J$8-$K115)/12)*(60-J115)*'Product Data'!$P$23)</f>
        <v>#N/A</v>
      </c>
      <c r="N115" s="1927">
        <f t="shared" si="11"/>
        <v>0</v>
      </c>
      <c r="O115" s="1928"/>
      <c r="P115" s="1929" t="e">
        <f>($O$9*60)/((($N$8-$O115)/12)*(60-N115)*'Product Data'!$P$23)</f>
        <v>#N/A</v>
      </c>
    </row>
    <row r="116" spans="2:16" x14ac:dyDescent="0.25">
      <c r="B116" s="1927"/>
      <c r="C116" s="1928"/>
      <c r="D116" s="1929"/>
      <c r="F116" s="1927">
        <f t="shared" si="9"/>
        <v>0</v>
      </c>
      <c r="G116" s="1928"/>
      <c r="H116" s="1929" t="e">
        <f>($G$9*60)/((($F$8-$G116)/12)*(60-F116)*'Product Data'!$P$23)</f>
        <v>#N/A</v>
      </c>
      <c r="J116" s="1927">
        <f t="shared" si="10"/>
        <v>0</v>
      </c>
      <c r="K116" s="1928"/>
      <c r="L116" s="1929" t="e">
        <f>($K$9*60)/((($J$8-$K116)/12)*(60-J116)*'Product Data'!$P$23)</f>
        <v>#N/A</v>
      </c>
      <c r="N116" s="1927">
        <f t="shared" si="11"/>
        <v>0</v>
      </c>
      <c r="O116" s="1928"/>
      <c r="P116" s="1929" t="e">
        <f>($O$9*60)/((($N$8-$O116)/12)*(60-N116)*'Product Data'!$P$23)</f>
        <v>#N/A</v>
      </c>
    </row>
    <row r="117" spans="2:16" x14ac:dyDescent="0.25">
      <c r="B117" s="1927"/>
      <c r="C117" s="1928"/>
      <c r="D117" s="1929"/>
      <c r="F117" s="1927">
        <f t="shared" si="9"/>
        <v>0</v>
      </c>
      <c r="G117" s="1928"/>
      <c r="H117" s="1929" t="e">
        <f>($G$9*60)/((($F$8-$G117)/12)*(60-F117)*'Product Data'!$P$23)</f>
        <v>#N/A</v>
      </c>
      <c r="J117" s="1927">
        <f t="shared" si="10"/>
        <v>0</v>
      </c>
      <c r="K117" s="1928"/>
      <c r="L117" s="1929" t="e">
        <f>($K$9*60)/((($J$8-$K117)/12)*(60-J117)*'Product Data'!$P$23)</f>
        <v>#N/A</v>
      </c>
      <c r="N117" s="1927">
        <f t="shared" si="11"/>
        <v>0</v>
      </c>
      <c r="O117" s="1928"/>
      <c r="P117" s="1929" t="e">
        <f>($O$9*60)/((($N$8-$O117)/12)*(60-N117)*'Product Data'!$P$23)</f>
        <v>#N/A</v>
      </c>
    </row>
    <row r="118" spans="2:16" x14ac:dyDescent="0.25">
      <c r="B118" s="1927"/>
      <c r="C118" s="1928"/>
      <c r="D118" s="1929"/>
      <c r="F118" s="1927">
        <f t="shared" si="9"/>
        <v>0</v>
      </c>
      <c r="G118" s="1928"/>
      <c r="H118" s="1929" t="e">
        <f>($G$9*60)/((($F$8-$G118)/12)*(60-F118)*'Product Data'!$P$23)</f>
        <v>#N/A</v>
      </c>
      <c r="J118" s="1927">
        <f t="shared" si="10"/>
        <v>0</v>
      </c>
      <c r="K118" s="1928"/>
      <c r="L118" s="1929" t="e">
        <f>($K$9*60)/((($J$8-$K118)/12)*(60-J118)*'Product Data'!$P$23)</f>
        <v>#N/A</v>
      </c>
      <c r="N118" s="1927">
        <f t="shared" si="11"/>
        <v>0</v>
      </c>
      <c r="O118" s="1928"/>
      <c r="P118" s="1929" t="e">
        <f>($O$9*60)/((($N$8-$O118)/12)*(60-N118)*'Product Data'!$P$23)</f>
        <v>#N/A</v>
      </c>
    </row>
    <row r="119" spans="2:16" x14ac:dyDescent="0.25">
      <c r="B119" s="1927"/>
      <c r="C119" s="1928"/>
      <c r="D119" s="1929"/>
      <c r="F119" s="1927">
        <f t="shared" si="9"/>
        <v>0</v>
      </c>
      <c r="G119" s="1928"/>
      <c r="H119" s="1929" t="e">
        <f>($G$9*60)/((($F$8-$G119)/12)*(60-F119)*'Product Data'!$P$23)</f>
        <v>#N/A</v>
      </c>
      <c r="J119" s="1927">
        <f t="shared" si="10"/>
        <v>0</v>
      </c>
      <c r="K119" s="1928"/>
      <c r="L119" s="1929" t="e">
        <f>($K$9*60)/((($J$8-$K119)/12)*(60-J119)*'Product Data'!$P$23)</f>
        <v>#N/A</v>
      </c>
      <c r="N119" s="1927">
        <f t="shared" si="11"/>
        <v>0</v>
      </c>
      <c r="O119" s="1928"/>
      <c r="P119" s="1929" t="e">
        <f>($O$9*60)/((($N$8-$O119)/12)*(60-N119)*'Product Data'!$P$23)</f>
        <v>#N/A</v>
      </c>
    </row>
    <row r="120" spans="2:16" x14ac:dyDescent="0.25">
      <c r="B120" s="1927"/>
      <c r="C120" s="1928"/>
      <c r="D120" s="1929"/>
      <c r="F120" s="1927">
        <f t="shared" si="9"/>
        <v>0</v>
      </c>
      <c r="G120" s="1928"/>
      <c r="H120" s="1929" t="e">
        <f>($G$9*60)/((($F$8-$G120)/12)*(60-F120)*'Product Data'!$P$23)</f>
        <v>#N/A</v>
      </c>
      <c r="J120" s="1927">
        <f t="shared" si="10"/>
        <v>0</v>
      </c>
      <c r="K120" s="1928"/>
      <c r="L120" s="1929" t="e">
        <f>($K$9*60)/((($J$8-$K120)/12)*(60-J120)*'Product Data'!$P$23)</f>
        <v>#N/A</v>
      </c>
      <c r="N120" s="1927">
        <f t="shared" si="11"/>
        <v>0</v>
      </c>
      <c r="O120" s="1928"/>
      <c r="P120" s="1929" t="e">
        <f>($O$9*60)/((($N$8-$O120)/12)*(60-N120)*'Product Data'!$P$23)</f>
        <v>#N/A</v>
      </c>
    </row>
    <row r="121" spans="2:16" x14ac:dyDescent="0.25">
      <c r="B121" s="1927"/>
      <c r="C121" s="1928"/>
      <c r="D121" s="1929"/>
      <c r="F121" s="1927">
        <f t="shared" si="9"/>
        <v>0</v>
      </c>
      <c r="G121" s="1928"/>
      <c r="H121" s="1929" t="e">
        <f>($G$9*60)/((($F$8-$G121)/12)*(60-F121)*'Product Data'!$P$23)</f>
        <v>#N/A</v>
      </c>
      <c r="J121" s="1927">
        <f t="shared" si="10"/>
        <v>0</v>
      </c>
      <c r="K121" s="1928"/>
      <c r="L121" s="1929" t="e">
        <f>($K$9*60)/((($J$8-$K121)/12)*(60-J121)*'Product Data'!$P$23)</f>
        <v>#N/A</v>
      </c>
      <c r="N121" s="1927">
        <f t="shared" si="11"/>
        <v>0</v>
      </c>
      <c r="O121" s="1928"/>
      <c r="P121" s="1929" t="e">
        <f>($O$9*60)/((($N$8-$O121)/12)*(60-N121)*'Product Data'!$P$23)</f>
        <v>#N/A</v>
      </c>
    </row>
    <row r="122" spans="2:16" x14ac:dyDescent="0.25">
      <c r="B122" s="1927"/>
      <c r="C122" s="1928"/>
      <c r="D122" s="1929"/>
      <c r="F122" s="1927">
        <f t="shared" si="9"/>
        <v>0</v>
      </c>
      <c r="G122" s="1928"/>
      <c r="H122" s="1929" t="e">
        <f>($G$9*60)/((($F$8-$G122)/12)*(60-F122)*'Product Data'!$P$23)</f>
        <v>#N/A</v>
      </c>
      <c r="J122" s="1927">
        <f t="shared" si="10"/>
        <v>0</v>
      </c>
      <c r="K122" s="1928"/>
      <c r="L122" s="1929" t="e">
        <f>($K$9*60)/((($J$8-$K122)/12)*(60-J122)*'Product Data'!$P$23)</f>
        <v>#N/A</v>
      </c>
      <c r="N122" s="1927">
        <f t="shared" si="11"/>
        <v>0</v>
      </c>
      <c r="O122" s="1928"/>
      <c r="P122" s="1929" t="e">
        <f>($O$9*60)/((($N$8-$O122)/12)*(60-N122)*'Product Data'!$P$23)</f>
        <v>#N/A</v>
      </c>
    </row>
    <row r="123" spans="2:16" x14ac:dyDescent="0.25">
      <c r="B123" s="1927"/>
      <c r="C123" s="1928"/>
      <c r="D123" s="1929"/>
      <c r="F123" s="1927">
        <f t="shared" si="9"/>
        <v>0</v>
      </c>
      <c r="G123" s="1928"/>
      <c r="H123" s="1929" t="e">
        <f>($G$9*60)/((($F$8-$G123)/12)*(60-F123)*'Product Data'!$P$23)</f>
        <v>#N/A</v>
      </c>
      <c r="J123" s="1927">
        <f t="shared" si="10"/>
        <v>0</v>
      </c>
      <c r="K123" s="1928"/>
      <c r="L123" s="1929" t="e">
        <f>($K$9*60)/((($J$8-$K123)/12)*(60-J123)*'Product Data'!$P$23)</f>
        <v>#N/A</v>
      </c>
      <c r="N123" s="1927">
        <f t="shared" si="11"/>
        <v>0</v>
      </c>
      <c r="O123" s="1928"/>
      <c r="P123" s="1929" t="e">
        <f>($O$9*60)/((($N$8-$O123)/12)*(60-N123)*'Product Data'!$P$23)</f>
        <v>#N/A</v>
      </c>
    </row>
    <row r="124" spans="2:16" x14ac:dyDescent="0.25">
      <c r="B124" s="1927"/>
      <c r="C124" s="1928"/>
      <c r="D124" s="1929"/>
      <c r="F124" s="1927">
        <f t="shared" si="9"/>
        <v>0</v>
      </c>
      <c r="G124" s="1928"/>
      <c r="H124" s="1929" t="e">
        <f>($G$9*60)/((($F$8-$G124)/12)*(60-F124)*'Product Data'!$P$23)</f>
        <v>#N/A</v>
      </c>
      <c r="J124" s="1927">
        <f t="shared" si="10"/>
        <v>0</v>
      </c>
      <c r="K124" s="1928"/>
      <c r="L124" s="1929" t="e">
        <f>($K$9*60)/((($J$8-$K124)/12)*(60-J124)*'Product Data'!$P$23)</f>
        <v>#N/A</v>
      </c>
      <c r="N124" s="1927">
        <f t="shared" si="11"/>
        <v>0</v>
      </c>
      <c r="O124" s="1928"/>
      <c r="P124" s="1929" t="e">
        <f>($O$9*60)/((($N$8-$O124)/12)*(60-N124)*'Product Data'!$P$23)</f>
        <v>#N/A</v>
      </c>
    </row>
    <row r="125" spans="2:16" x14ac:dyDescent="0.25">
      <c r="B125" s="1927"/>
      <c r="C125" s="1928"/>
      <c r="D125" s="1929"/>
      <c r="F125" s="1927">
        <f t="shared" si="9"/>
        <v>0</v>
      </c>
      <c r="G125" s="1928"/>
      <c r="H125" s="1929" t="e">
        <f>($G$9*60)/((($F$8-$G125)/12)*(60-F125)*'Product Data'!$P$23)</f>
        <v>#N/A</v>
      </c>
      <c r="J125" s="1927">
        <f t="shared" si="10"/>
        <v>0</v>
      </c>
      <c r="K125" s="1928"/>
      <c r="L125" s="1929" t="e">
        <f>($K$9*60)/((($J$8-$K125)/12)*(60-J125)*'Product Data'!$P$23)</f>
        <v>#N/A</v>
      </c>
      <c r="N125" s="1927">
        <f t="shared" si="11"/>
        <v>0</v>
      </c>
      <c r="O125" s="1928"/>
      <c r="P125" s="1929" t="e">
        <f>($O$9*60)/((($N$8-$O125)/12)*(60-N125)*'Product Data'!$P$23)</f>
        <v>#N/A</v>
      </c>
    </row>
    <row r="126" spans="2:16" x14ac:dyDescent="0.25">
      <c r="B126" s="1927"/>
      <c r="C126" s="1928"/>
      <c r="D126" s="1929"/>
      <c r="F126" s="1927">
        <f t="shared" si="9"/>
        <v>0</v>
      </c>
      <c r="G126" s="1928"/>
      <c r="H126" s="1929" t="e">
        <f>($G$9*60)/((($F$8-$G126)/12)*(60-F126)*'Product Data'!$P$23)</f>
        <v>#N/A</v>
      </c>
      <c r="J126" s="1927">
        <f t="shared" si="10"/>
        <v>0</v>
      </c>
      <c r="K126" s="1928"/>
      <c r="L126" s="1929" t="e">
        <f>($K$9*60)/((($J$8-$K126)/12)*(60-J126)*'Product Data'!$P$23)</f>
        <v>#N/A</v>
      </c>
      <c r="N126" s="1927">
        <f t="shared" si="11"/>
        <v>0</v>
      </c>
      <c r="O126" s="1928"/>
      <c r="P126" s="1929" t="e">
        <f>($O$9*60)/((($N$8-$O126)/12)*(60-N126)*'Product Data'!$P$23)</f>
        <v>#N/A</v>
      </c>
    </row>
    <row r="127" spans="2:16" x14ac:dyDescent="0.25">
      <c r="B127" s="1927"/>
      <c r="C127" s="1928"/>
      <c r="D127" s="1929"/>
      <c r="F127" s="1927">
        <f t="shared" si="9"/>
        <v>0</v>
      </c>
      <c r="G127" s="1928"/>
      <c r="H127" s="1929" t="e">
        <f>($G$9*60)/((($F$8-$G127)/12)*(60-F127)*'Product Data'!$P$23)</f>
        <v>#N/A</v>
      </c>
      <c r="J127" s="1927">
        <f t="shared" si="10"/>
        <v>0</v>
      </c>
      <c r="K127" s="1928"/>
      <c r="L127" s="1929" t="e">
        <f>($K$9*60)/((($J$8-$K127)/12)*(60-J127)*'Product Data'!$P$23)</f>
        <v>#N/A</v>
      </c>
      <c r="N127" s="1927">
        <f t="shared" si="11"/>
        <v>0</v>
      </c>
      <c r="O127" s="1928"/>
      <c r="P127" s="1929" t="e">
        <f>($O$9*60)/((($N$8-$O127)/12)*(60-N127)*'Product Data'!$P$23)</f>
        <v>#N/A</v>
      </c>
    </row>
    <row r="128" spans="2:16" x14ac:dyDescent="0.25">
      <c r="B128" s="1927"/>
      <c r="C128" s="1928"/>
      <c r="D128" s="1929"/>
      <c r="F128" s="1927">
        <f t="shared" si="9"/>
        <v>0</v>
      </c>
      <c r="G128" s="1928"/>
      <c r="H128" s="1929" t="e">
        <f>($G$9*60)/((($F$8-$G128)/12)*(60-F128)*'Product Data'!$P$23)</f>
        <v>#N/A</v>
      </c>
      <c r="J128" s="1927">
        <f t="shared" si="10"/>
        <v>0</v>
      </c>
      <c r="K128" s="1928"/>
      <c r="L128" s="1929" t="e">
        <f>($K$9*60)/((($J$8-$K128)/12)*(60-J128)*'Product Data'!$P$23)</f>
        <v>#N/A</v>
      </c>
      <c r="N128" s="1927">
        <f t="shared" si="11"/>
        <v>0</v>
      </c>
      <c r="O128" s="1928"/>
      <c r="P128" s="1929" t="e">
        <f>($O$9*60)/((($N$8-$O128)/12)*(60-N128)*'Product Data'!$P$23)</f>
        <v>#N/A</v>
      </c>
    </row>
    <row r="129" spans="2:16" x14ac:dyDescent="0.25">
      <c r="B129" s="1927"/>
      <c r="C129" s="1928"/>
      <c r="D129" s="1929"/>
      <c r="F129" s="1927">
        <f t="shared" si="9"/>
        <v>0</v>
      </c>
      <c r="G129" s="1928"/>
      <c r="H129" s="1929" t="e">
        <f>($G$9*60)/((($F$8-$G129)/12)*(60-F129)*'Product Data'!$P$23)</f>
        <v>#N/A</v>
      </c>
      <c r="J129" s="1927">
        <f t="shared" si="10"/>
        <v>0</v>
      </c>
      <c r="K129" s="1928"/>
      <c r="L129" s="1929" t="e">
        <f>($K$9*60)/((($J$8-$K129)/12)*(60-J129)*'Product Data'!$P$23)</f>
        <v>#N/A</v>
      </c>
      <c r="N129" s="1927">
        <f t="shared" si="11"/>
        <v>0</v>
      </c>
      <c r="O129" s="1928"/>
      <c r="P129" s="1929" t="e">
        <f>($O$9*60)/((($N$8-$O129)/12)*(60-N129)*'Product Data'!$P$23)</f>
        <v>#N/A</v>
      </c>
    </row>
    <row r="130" spans="2:16" x14ac:dyDescent="0.25">
      <c r="B130" s="1927"/>
      <c r="C130" s="1928"/>
      <c r="D130" s="1929"/>
      <c r="F130" s="1927">
        <f t="shared" si="9"/>
        <v>0</v>
      </c>
      <c r="G130" s="1928"/>
      <c r="H130" s="1929" t="e">
        <f>($G$9*60)/((($F$8-$G130)/12)*(60-F130)*'Product Data'!$P$23)</f>
        <v>#N/A</v>
      </c>
      <c r="J130" s="1927">
        <f t="shared" si="10"/>
        <v>0</v>
      </c>
      <c r="K130" s="1928"/>
      <c r="L130" s="1929" t="e">
        <f>($K$9*60)/((($J$8-$K130)/12)*(60-J130)*'Product Data'!$P$23)</f>
        <v>#N/A</v>
      </c>
      <c r="N130" s="1927">
        <f t="shared" si="11"/>
        <v>0</v>
      </c>
      <c r="O130" s="1928"/>
      <c r="P130" s="1929" t="e">
        <f>($O$9*60)/((($N$8-$O130)/12)*(60-N130)*'Product Data'!$P$23)</f>
        <v>#N/A</v>
      </c>
    </row>
    <row r="131" spans="2:16" x14ac:dyDescent="0.25">
      <c r="B131" s="1927"/>
      <c r="C131" s="1928"/>
      <c r="D131" s="1929"/>
      <c r="F131" s="1927">
        <f t="shared" si="9"/>
        <v>0</v>
      </c>
      <c r="G131" s="1928"/>
      <c r="H131" s="1929" t="e">
        <f>($G$9*60)/((($F$8-$G131)/12)*(60-F131)*'Product Data'!$P$23)</f>
        <v>#N/A</v>
      </c>
      <c r="J131" s="1927">
        <f t="shared" si="10"/>
        <v>0</v>
      </c>
      <c r="K131" s="1928"/>
      <c r="L131" s="1929" t="e">
        <f>($K$9*60)/((($J$8-$K131)/12)*(60-J131)*'Product Data'!$P$23)</f>
        <v>#N/A</v>
      </c>
      <c r="N131" s="1927">
        <f t="shared" si="11"/>
        <v>0</v>
      </c>
      <c r="O131" s="1928"/>
      <c r="P131" s="1929" t="e">
        <f>($O$9*60)/((($N$8-$O131)/12)*(60-N131)*'Product Data'!$P$23)</f>
        <v>#N/A</v>
      </c>
    </row>
    <row r="132" spans="2:16" x14ac:dyDescent="0.25">
      <c r="B132" s="1927"/>
      <c r="C132" s="1928"/>
      <c r="D132" s="1929"/>
      <c r="F132" s="1927">
        <f t="shared" si="9"/>
        <v>0</v>
      </c>
      <c r="G132" s="1928"/>
      <c r="H132" s="1929" t="e">
        <f>($G$9*60)/((($F$8-$G132)/12)*(60-F132)*'Product Data'!$P$23)</f>
        <v>#N/A</v>
      </c>
      <c r="J132" s="1927">
        <f t="shared" si="10"/>
        <v>0</v>
      </c>
      <c r="K132" s="1928"/>
      <c r="L132" s="1929" t="e">
        <f>($K$9*60)/((($J$8-$K132)/12)*(60-J132)*'Product Data'!$P$23)</f>
        <v>#N/A</v>
      </c>
      <c r="N132" s="1927">
        <f t="shared" si="11"/>
        <v>0</v>
      </c>
      <c r="O132" s="1928"/>
      <c r="P132" s="1929" t="e">
        <f>($O$9*60)/((($N$8-$O132)/12)*(60-N132)*'Product Data'!$P$23)</f>
        <v>#N/A</v>
      </c>
    </row>
    <row r="133" spans="2:16" x14ac:dyDescent="0.25">
      <c r="B133" s="1927"/>
      <c r="C133" s="1928"/>
      <c r="D133" s="1929"/>
      <c r="F133" s="1927">
        <f t="shared" si="9"/>
        <v>0</v>
      </c>
      <c r="G133" s="1928"/>
      <c r="H133" s="1929" t="e">
        <f>($G$9*60)/((($F$8-$G133)/12)*(60-F133)*'Product Data'!$P$23)</f>
        <v>#N/A</v>
      </c>
      <c r="J133" s="1927">
        <f t="shared" si="10"/>
        <v>0</v>
      </c>
      <c r="K133" s="1928"/>
      <c r="L133" s="1929" t="e">
        <f>($K$9*60)/((($J$8-$K133)/12)*(60-J133)*'Product Data'!$P$23)</f>
        <v>#N/A</v>
      </c>
      <c r="N133" s="1927">
        <f t="shared" si="11"/>
        <v>0</v>
      </c>
      <c r="O133" s="1928"/>
      <c r="P133" s="1929" t="e">
        <f>($O$9*60)/((($N$8-$O133)/12)*(60-N133)*'Product Data'!$P$23)</f>
        <v>#N/A</v>
      </c>
    </row>
    <row r="134" spans="2:16" x14ac:dyDescent="0.25">
      <c r="B134" s="1927"/>
      <c r="C134" s="1928"/>
      <c r="D134" s="1929"/>
      <c r="F134" s="1927">
        <f t="shared" si="9"/>
        <v>0</v>
      </c>
      <c r="G134" s="1928"/>
      <c r="H134" s="1929" t="e">
        <f>($G$9*60)/((($F$8-$G134)/12)*(60-F134)*'Product Data'!$P$23)</f>
        <v>#N/A</v>
      </c>
      <c r="J134" s="1927">
        <f t="shared" si="10"/>
        <v>0</v>
      </c>
      <c r="K134" s="1928"/>
      <c r="L134" s="1929" t="e">
        <f>($K$9*60)/((($J$8-$K134)/12)*(60-J134)*'Product Data'!$P$23)</f>
        <v>#N/A</v>
      </c>
      <c r="N134" s="1927">
        <f t="shared" si="11"/>
        <v>0</v>
      </c>
      <c r="O134" s="1928"/>
      <c r="P134" s="1929" t="e">
        <f>($O$9*60)/((($N$8-$O134)/12)*(60-N134)*'Product Data'!$P$23)</f>
        <v>#N/A</v>
      </c>
    </row>
    <row r="135" spans="2:16" x14ac:dyDescent="0.25">
      <c r="B135" s="1927"/>
      <c r="C135" s="1928"/>
      <c r="D135" s="1929"/>
      <c r="F135" s="1927">
        <f t="shared" si="9"/>
        <v>0</v>
      </c>
      <c r="G135" s="1928"/>
      <c r="H135" s="1929" t="e">
        <f>($G$9*60)/((($F$8-$G135)/12)*(60-F135)*'Product Data'!$P$23)</f>
        <v>#N/A</v>
      </c>
      <c r="J135" s="1927">
        <f t="shared" si="10"/>
        <v>0</v>
      </c>
      <c r="K135" s="1928"/>
      <c r="L135" s="1929" t="e">
        <f>($K$9*60)/((($J$8-$K135)/12)*(60-J135)*'Product Data'!$P$23)</f>
        <v>#N/A</v>
      </c>
      <c r="N135" s="1927">
        <f t="shared" si="11"/>
        <v>0</v>
      </c>
      <c r="O135" s="1928"/>
      <c r="P135" s="1929" t="e">
        <f>($O$9*60)/((($N$8-$O135)/12)*(60-N135)*'Product Data'!$P$23)</f>
        <v>#N/A</v>
      </c>
    </row>
    <row r="136" spans="2:16" x14ac:dyDescent="0.25">
      <c r="B136" s="1927"/>
      <c r="C136" s="1928"/>
      <c r="D136" s="1929"/>
      <c r="F136" s="1927">
        <f t="shared" si="9"/>
        <v>0</v>
      </c>
      <c r="G136" s="1928"/>
      <c r="H136" s="1929" t="e">
        <f>($G$9*60)/((($F$8-$G136)/12)*(60-F136)*'Product Data'!$P$23)</f>
        <v>#N/A</v>
      </c>
      <c r="J136" s="1927">
        <f t="shared" si="10"/>
        <v>0</v>
      </c>
      <c r="K136" s="1928"/>
      <c r="L136" s="1929" t="e">
        <f>($K$9*60)/((($J$8-$K136)/12)*(60-J136)*'Product Data'!$P$23)</f>
        <v>#N/A</v>
      </c>
      <c r="N136" s="1927">
        <f t="shared" si="11"/>
        <v>0</v>
      </c>
      <c r="O136" s="1928"/>
      <c r="P136" s="1929" t="e">
        <f>($O$9*60)/((($N$8-$O136)/12)*(60-N136)*'Product Data'!$P$23)</f>
        <v>#N/A</v>
      </c>
    </row>
    <row r="137" spans="2:16" x14ac:dyDescent="0.25">
      <c r="B137" s="1927"/>
      <c r="C137" s="1928"/>
      <c r="D137" s="1929"/>
      <c r="F137" s="1927">
        <f t="shared" si="9"/>
        <v>0</v>
      </c>
      <c r="G137" s="1928"/>
      <c r="H137" s="1929" t="e">
        <f>($G$9*60)/((($F$8-$G137)/12)*(60-F137)*'Product Data'!$P$23)</f>
        <v>#N/A</v>
      </c>
      <c r="J137" s="1927">
        <f t="shared" si="10"/>
        <v>0</v>
      </c>
      <c r="K137" s="1928"/>
      <c r="L137" s="1929" t="e">
        <f>($K$9*60)/((($J$8-$K137)/12)*(60-J137)*'Product Data'!$P$23)</f>
        <v>#N/A</v>
      </c>
      <c r="N137" s="1927">
        <f t="shared" si="11"/>
        <v>0</v>
      </c>
      <c r="O137" s="1928"/>
      <c r="P137" s="1929" t="e">
        <f>($O$9*60)/((($N$8-$O137)/12)*(60-N137)*'Product Data'!$P$23)</f>
        <v>#N/A</v>
      </c>
    </row>
    <row r="138" spans="2:16" x14ac:dyDescent="0.25">
      <c r="B138" s="1927"/>
      <c r="C138" s="1928"/>
      <c r="D138" s="1929"/>
      <c r="F138" s="1927">
        <f t="shared" si="9"/>
        <v>0</v>
      </c>
      <c r="G138" s="1928"/>
      <c r="H138" s="1929" t="e">
        <f>($G$9*60)/((($F$8-$G138)/12)*(60-F138)*'Product Data'!$P$23)</f>
        <v>#N/A</v>
      </c>
      <c r="J138" s="1927">
        <f t="shared" si="10"/>
        <v>0</v>
      </c>
      <c r="K138" s="1928"/>
      <c r="L138" s="1929" t="e">
        <f>($K$9*60)/((($J$8-$K138)/12)*(60-J138)*'Product Data'!$P$23)</f>
        <v>#N/A</v>
      </c>
      <c r="N138" s="1927">
        <f t="shared" si="11"/>
        <v>0</v>
      </c>
      <c r="O138" s="1928"/>
      <c r="P138" s="1929" t="e">
        <f>($O$9*60)/((($N$8-$O138)/12)*(60-N138)*'Product Data'!$P$23)</f>
        <v>#N/A</v>
      </c>
    </row>
    <row r="139" spans="2:16" x14ac:dyDescent="0.25">
      <c r="B139" s="1927"/>
      <c r="C139" s="1928"/>
      <c r="D139" s="1929"/>
      <c r="F139" s="1927">
        <f t="shared" si="9"/>
        <v>0</v>
      </c>
      <c r="G139" s="1928"/>
      <c r="H139" s="1929" t="e">
        <f>($G$9*60)/((($F$8-$G139)/12)*(60-F139)*'Product Data'!$P$23)</f>
        <v>#N/A</v>
      </c>
      <c r="J139" s="1927">
        <f t="shared" si="10"/>
        <v>0</v>
      </c>
      <c r="K139" s="1928"/>
      <c r="L139" s="1929" t="e">
        <f>($K$9*60)/((($J$8-$K139)/12)*(60-J139)*'Product Data'!$P$23)</f>
        <v>#N/A</v>
      </c>
      <c r="N139" s="1927">
        <f t="shared" si="11"/>
        <v>0</v>
      </c>
      <c r="O139" s="1928"/>
      <c r="P139" s="1929" t="e">
        <f>($O$9*60)/((($N$8-$O139)/12)*(60-N139)*'Product Data'!$P$23)</f>
        <v>#N/A</v>
      </c>
    </row>
    <row r="140" spans="2:16" x14ac:dyDescent="0.25">
      <c r="B140" s="1927"/>
      <c r="C140" s="1928"/>
      <c r="D140" s="1929"/>
      <c r="F140" s="1927">
        <f t="shared" si="9"/>
        <v>0</v>
      </c>
      <c r="G140" s="1928"/>
      <c r="H140" s="1929" t="e">
        <f>($G$9*60)/((($F$8-$G140)/12)*(60-F140)*'Product Data'!$P$23)</f>
        <v>#N/A</v>
      </c>
      <c r="J140" s="1927">
        <f t="shared" si="10"/>
        <v>0</v>
      </c>
      <c r="K140" s="1928"/>
      <c r="L140" s="1929" t="e">
        <f>($K$9*60)/((($J$8-$K140)/12)*(60-J140)*'Product Data'!$P$23)</f>
        <v>#N/A</v>
      </c>
      <c r="N140" s="1927">
        <f t="shared" si="11"/>
        <v>0</v>
      </c>
      <c r="O140" s="1928"/>
      <c r="P140" s="1929" t="e">
        <f>($O$9*60)/((($N$8-$O140)/12)*(60-N140)*'Product Data'!$P$23)</f>
        <v>#N/A</v>
      </c>
    </row>
    <row r="141" spans="2:16" x14ac:dyDescent="0.25">
      <c r="B141" s="1927"/>
      <c r="C141" s="1928"/>
      <c r="D141" s="1929"/>
      <c r="F141" s="1927">
        <f t="shared" si="9"/>
        <v>0</v>
      </c>
      <c r="G141" s="1928"/>
      <c r="H141" s="1929" t="e">
        <f>($G$9*60)/((($F$8-$G141)/12)*(60-F141)*'Product Data'!$P$23)</f>
        <v>#N/A</v>
      </c>
      <c r="J141" s="1927">
        <f t="shared" si="10"/>
        <v>0</v>
      </c>
      <c r="K141" s="1928"/>
      <c r="L141" s="1929" t="e">
        <f>($K$9*60)/((($J$8-$K141)/12)*(60-J141)*'Product Data'!$P$23)</f>
        <v>#N/A</v>
      </c>
      <c r="N141" s="1927">
        <f t="shared" si="11"/>
        <v>0</v>
      </c>
      <c r="O141" s="1928"/>
      <c r="P141" s="1929" t="e">
        <f>($O$9*60)/((($N$8-$O141)/12)*(60-N141)*'Product Data'!$P$23)</f>
        <v>#N/A</v>
      </c>
    </row>
    <row r="142" spans="2:16" x14ac:dyDescent="0.25">
      <c r="B142" s="1927"/>
      <c r="C142" s="1928"/>
      <c r="D142" s="1929"/>
      <c r="F142" s="1927">
        <f t="shared" si="9"/>
        <v>0</v>
      </c>
      <c r="G142" s="1928"/>
      <c r="H142" s="1929" t="e">
        <f>($G$9*60)/((($F$8-$G142)/12)*(60-F142)*'Product Data'!$P$23)</f>
        <v>#N/A</v>
      </c>
      <c r="J142" s="1927">
        <f t="shared" si="10"/>
        <v>0</v>
      </c>
      <c r="K142" s="1928"/>
      <c r="L142" s="1929" t="e">
        <f>($K$9*60)/((($J$8-$K142)/12)*(60-J142)*'Product Data'!$P$23)</f>
        <v>#N/A</v>
      </c>
      <c r="N142" s="1927">
        <f t="shared" si="11"/>
        <v>0</v>
      </c>
      <c r="O142" s="1928"/>
      <c r="P142" s="1929" t="e">
        <f>($O$9*60)/((($N$8-$O142)/12)*(60-N142)*'Product Data'!$P$23)</f>
        <v>#N/A</v>
      </c>
    </row>
    <row r="143" spans="2:16" x14ac:dyDescent="0.25">
      <c r="B143" s="1927"/>
      <c r="C143" s="1928"/>
      <c r="D143" s="1929"/>
      <c r="F143" s="1927">
        <f t="shared" si="9"/>
        <v>0</v>
      </c>
      <c r="G143" s="1928"/>
      <c r="H143" s="1929" t="e">
        <f>($G$9*60)/((($F$8-$G143)/12)*(60-F143)*'Product Data'!$P$23)</f>
        <v>#N/A</v>
      </c>
      <c r="J143" s="1927">
        <f t="shared" si="10"/>
        <v>0</v>
      </c>
      <c r="K143" s="1928"/>
      <c r="L143" s="1929" t="e">
        <f>($K$9*60)/((($J$8-$K143)/12)*(60-J143)*'Product Data'!$P$23)</f>
        <v>#N/A</v>
      </c>
      <c r="N143" s="1927">
        <f t="shared" si="11"/>
        <v>0</v>
      </c>
      <c r="O143" s="1928"/>
      <c r="P143" s="1929" t="e">
        <f>($O$9*60)/((($N$8-$O143)/12)*(60-N143)*'Product Data'!$P$23)</f>
        <v>#N/A</v>
      </c>
    </row>
    <row r="144" spans="2:16" x14ac:dyDescent="0.25">
      <c r="B144" s="1927"/>
      <c r="C144" s="1928"/>
      <c r="D144" s="1929"/>
      <c r="F144" s="1927">
        <f t="shared" si="9"/>
        <v>0</v>
      </c>
      <c r="G144" s="1928"/>
      <c r="H144" s="1929" t="e">
        <f>($G$9*60)/((($F$8-$G144)/12)*(60-F144)*'Product Data'!$P$23)</f>
        <v>#N/A</v>
      </c>
      <c r="J144" s="1927">
        <f t="shared" si="10"/>
        <v>0</v>
      </c>
      <c r="K144" s="1928"/>
      <c r="L144" s="1929" t="e">
        <f>($K$9*60)/((($J$8-$K144)/12)*(60-J144)*'Product Data'!$P$23)</f>
        <v>#N/A</v>
      </c>
      <c r="N144" s="1927">
        <f t="shared" si="11"/>
        <v>0</v>
      </c>
      <c r="O144" s="1928"/>
      <c r="P144" s="1929" t="e">
        <f>($O$9*60)/((($N$8-$O144)/12)*(60-N144)*'Product Data'!$P$23)</f>
        <v>#N/A</v>
      </c>
    </row>
    <row r="145" spans="2:16" x14ac:dyDescent="0.25">
      <c r="B145" s="1927"/>
      <c r="C145" s="1928"/>
      <c r="D145" s="1929"/>
      <c r="F145" s="1927">
        <f t="shared" si="9"/>
        <v>0</v>
      </c>
      <c r="G145" s="1928"/>
      <c r="H145" s="1929" t="e">
        <f>($G$9*60)/((($F$8-$G145)/12)*(60-F145)*'Product Data'!$P$23)</f>
        <v>#N/A</v>
      </c>
      <c r="J145" s="1927">
        <f t="shared" si="10"/>
        <v>0</v>
      </c>
      <c r="K145" s="1928"/>
      <c r="L145" s="1929" t="e">
        <f>($K$9*60)/((($J$8-$K145)/12)*(60-J145)*'Product Data'!$P$23)</f>
        <v>#N/A</v>
      </c>
      <c r="N145" s="1927">
        <f t="shared" si="11"/>
        <v>0</v>
      </c>
      <c r="O145" s="1928"/>
      <c r="P145" s="1929" t="e">
        <f>($O$9*60)/((($N$8-$O145)/12)*(60-N145)*'Product Data'!$P$23)</f>
        <v>#N/A</v>
      </c>
    </row>
    <row r="146" spans="2:16" x14ac:dyDescent="0.25">
      <c r="B146" s="1927"/>
      <c r="C146" s="1928"/>
      <c r="D146" s="1929"/>
      <c r="F146" s="1927">
        <f t="shared" si="9"/>
        <v>0</v>
      </c>
      <c r="G146" s="1928"/>
      <c r="H146" s="1929" t="e">
        <f>($G$9*60)/((($F$8-$G146)/12)*(60-F146)*'Product Data'!$P$23)</f>
        <v>#N/A</v>
      </c>
      <c r="J146" s="1927">
        <f t="shared" si="10"/>
        <v>0</v>
      </c>
      <c r="K146" s="1928"/>
      <c r="L146" s="1929" t="e">
        <f>($K$9*60)/((($J$8-$K146)/12)*(60-J146)*'Product Data'!$P$23)</f>
        <v>#N/A</v>
      </c>
      <c r="N146" s="1927">
        <f t="shared" si="11"/>
        <v>0</v>
      </c>
      <c r="O146" s="1928"/>
      <c r="P146" s="1929" t="e">
        <f>($O$9*60)/((($N$8-$O146)/12)*(60-N146)*'Product Data'!$P$23)</f>
        <v>#N/A</v>
      </c>
    </row>
    <row r="147" spans="2:16" x14ac:dyDescent="0.25">
      <c r="B147" s="1927"/>
      <c r="C147" s="1928"/>
      <c r="D147" s="1929"/>
      <c r="F147" s="1927">
        <f t="shared" si="9"/>
        <v>0</v>
      </c>
      <c r="G147" s="1928"/>
      <c r="H147" s="1929" t="e">
        <f>($G$9*60)/((($F$8-$G147)/12)*(60-F147)*'Product Data'!$P$23)</f>
        <v>#N/A</v>
      </c>
      <c r="J147" s="1927">
        <f t="shared" si="10"/>
        <v>0</v>
      </c>
      <c r="K147" s="1928"/>
      <c r="L147" s="1929" t="e">
        <f>($K$9*60)/((($J$8-$K147)/12)*(60-J147)*'Product Data'!$P$23)</f>
        <v>#N/A</v>
      </c>
      <c r="N147" s="1927">
        <f t="shared" si="11"/>
        <v>0</v>
      </c>
      <c r="O147" s="1928"/>
      <c r="P147" s="1929" t="e">
        <f>($O$9*60)/((($N$8-$O147)/12)*(60-N147)*'Product Data'!$P$23)</f>
        <v>#N/A</v>
      </c>
    </row>
    <row r="148" spans="2:16" x14ac:dyDescent="0.25">
      <c r="B148" s="1927"/>
      <c r="C148" s="1928"/>
      <c r="D148" s="1929"/>
      <c r="F148" s="1927">
        <f t="shared" si="9"/>
        <v>0</v>
      </c>
      <c r="G148" s="1928"/>
      <c r="H148" s="1929" t="e">
        <f>($G$9*60)/((($F$8-$G148)/12)*(60-F148)*'Product Data'!$P$23)</f>
        <v>#N/A</v>
      </c>
      <c r="J148" s="1927">
        <f t="shared" si="10"/>
        <v>0</v>
      </c>
      <c r="K148" s="1928"/>
      <c r="L148" s="1929" t="e">
        <f>($K$9*60)/((($J$8-$K148)/12)*(60-J148)*'Product Data'!$P$23)</f>
        <v>#N/A</v>
      </c>
      <c r="N148" s="1927">
        <f t="shared" si="11"/>
        <v>0</v>
      </c>
      <c r="O148" s="1928"/>
      <c r="P148" s="1929" t="e">
        <f>($O$9*60)/((($N$8-$O148)/12)*(60-N148)*'Product Data'!$P$23)</f>
        <v>#N/A</v>
      </c>
    </row>
    <row r="149" spans="2:16" x14ac:dyDescent="0.25">
      <c r="B149" s="2431"/>
      <c r="C149" s="2432"/>
      <c r="D149" s="1929"/>
      <c r="F149" s="2431">
        <f t="shared" si="9"/>
        <v>0</v>
      </c>
      <c r="G149" s="2432"/>
      <c r="H149" s="1929" t="e">
        <f>($G$9*60)/((($F$8-$G149)/12)*(60-F149)*'Product Data'!$P$23)</f>
        <v>#N/A</v>
      </c>
      <c r="J149" s="2431">
        <f t="shared" si="10"/>
        <v>0</v>
      </c>
      <c r="K149" s="2432"/>
      <c r="L149" s="1929" t="e">
        <f>($K$9*60)/((($J$8-$K149)/12)*(60-J149)*'Product Data'!$P$23)</f>
        <v>#N/A</v>
      </c>
      <c r="N149" s="2431">
        <f t="shared" si="11"/>
        <v>0</v>
      </c>
      <c r="O149" s="2432"/>
      <c r="P149" s="1929" t="e">
        <f>($O$9*60)/((($N$8-$O149)/12)*(60-N149)*'Product Data'!$P$23)</f>
        <v>#N/A</v>
      </c>
    </row>
    <row r="150" spans="2:16" x14ac:dyDescent="0.25">
      <c r="C150" s="2260"/>
      <c r="D150" s="2259"/>
      <c r="G150" s="2260"/>
      <c r="H150" s="2259"/>
      <c r="K150" s="2260"/>
      <c r="L150" s="2259"/>
      <c r="O150" s="2260"/>
      <c r="P150" s="2259"/>
    </row>
    <row r="151" spans="2:16" x14ac:dyDescent="0.25">
      <c r="C151" s="2260"/>
      <c r="D151" s="2259"/>
      <c r="G151" s="2260"/>
      <c r="H151" s="2259"/>
      <c r="K151" s="2260"/>
      <c r="L151" s="2259"/>
      <c r="O151" s="2260"/>
      <c r="P151" s="2259"/>
    </row>
    <row r="152" spans="2:16" x14ac:dyDescent="0.25">
      <c r="C152" s="2260"/>
      <c r="D152" s="2259"/>
      <c r="G152" s="2260"/>
      <c r="H152" s="2259"/>
      <c r="K152" s="2260"/>
      <c r="L152" s="2259"/>
      <c r="O152" s="2260"/>
      <c r="P152" s="2259"/>
    </row>
    <row r="153" spans="2:16" x14ac:dyDescent="0.25">
      <c r="C153" s="2260"/>
      <c r="D153" s="2259"/>
      <c r="G153" s="2260"/>
      <c r="H153" s="2259"/>
      <c r="K153" s="2260"/>
      <c r="L153" s="2259"/>
      <c r="O153" s="2260"/>
      <c r="P153" s="2259"/>
    </row>
    <row r="154" spans="2:16" x14ac:dyDescent="0.25">
      <c r="C154" s="2260"/>
      <c r="D154" s="2259"/>
      <c r="G154" s="2260"/>
      <c r="H154" s="2259"/>
      <c r="K154" s="2260"/>
      <c r="L154" s="2259"/>
      <c r="O154" s="2260"/>
      <c r="P154" s="2259"/>
    </row>
    <row r="155" spans="2:16" x14ac:dyDescent="0.25">
      <c r="C155" s="2260"/>
      <c r="D155" s="2259"/>
      <c r="G155" s="2260"/>
      <c r="H155" s="2259"/>
      <c r="K155" s="2260"/>
      <c r="L155" s="2259"/>
      <c r="O155" s="2260"/>
      <c r="P155" s="2259"/>
    </row>
    <row r="156" spans="2:16" x14ac:dyDescent="0.25">
      <c r="C156" s="2260"/>
      <c r="D156" s="2259"/>
      <c r="G156" s="2260"/>
      <c r="H156" s="2259"/>
      <c r="K156" s="2260"/>
      <c r="L156" s="2259"/>
      <c r="O156" s="2260"/>
      <c r="P156" s="2259"/>
    </row>
    <row r="157" spans="2:16" x14ac:dyDescent="0.25">
      <c r="C157" s="2260"/>
      <c r="D157" s="2259"/>
      <c r="G157" s="2260"/>
      <c r="H157" s="2259"/>
      <c r="K157" s="2260"/>
      <c r="L157" s="2259"/>
      <c r="O157" s="2260"/>
      <c r="P157" s="2259"/>
    </row>
    <row r="158" spans="2:16" x14ac:dyDescent="0.25">
      <c r="C158" s="2260"/>
      <c r="D158" s="2259"/>
      <c r="G158" s="2260"/>
      <c r="H158" s="2259"/>
      <c r="K158" s="2260"/>
      <c r="L158" s="2259"/>
      <c r="O158" s="2260"/>
      <c r="P158" s="2259"/>
    </row>
    <row r="159" spans="2:16" x14ac:dyDescent="0.25">
      <c r="C159" s="2260"/>
      <c r="D159" s="2259"/>
      <c r="G159" s="2260"/>
      <c r="H159" s="2259"/>
      <c r="K159" s="2260"/>
      <c r="L159" s="2259"/>
      <c r="O159" s="2260"/>
      <c r="P159" s="2259"/>
    </row>
    <row r="160" spans="2:16" x14ac:dyDescent="0.25">
      <c r="C160" s="2260"/>
      <c r="D160" s="2259"/>
      <c r="G160" s="2260"/>
      <c r="H160" s="2259"/>
      <c r="K160" s="2260"/>
      <c r="L160" s="2259"/>
      <c r="O160" s="2260"/>
      <c r="P160" s="2259"/>
    </row>
    <row r="161" spans="3:16" x14ac:dyDescent="0.25">
      <c r="C161" s="2260"/>
      <c r="D161" s="2259"/>
      <c r="G161" s="2260"/>
      <c r="H161" s="2259"/>
      <c r="K161" s="2260"/>
      <c r="L161" s="2259"/>
      <c r="O161" s="2260"/>
      <c r="P161" s="2259"/>
    </row>
    <row r="162" spans="3:16" x14ac:dyDescent="0.25">
      <c r="C162" s="2260"/>
      <c r="D162" s="2259"/>
      <c r="G162" s="2260"/>
      <c r="H162" s="2259"/>
      <c r="K162" s="2260"/>
      <c r="L162" s="2259"/>
      <c r="O162" s="2260"/>
      <c r="P162" s="2259"/>
    </row>
    <row r="163" spans="3:16" x14ac:dyDescent="0.25">
      <c r="C163" s="2260"/>
      <c r="D163" s="2259"/>
      <c r="G163" s="2260"/>
      <c r="H163" s="2259"/>
      <c r="K163" s="2260"/>
      <c r="L163" s="2259"/>
      <c r="O163" s="2260"/>
      <c r="P163" s="2259"/>
    </row>
    <row r="164" spans="3:16" x14ac:dyDescent="0.25">
      <c r="C164" s="2260"/>
      <c r="D164" s="2259"/>
      <c r="G164" s="2260"/>
      <c r="H164" s="2259"/>
      <c r="K164" s="2260"/>
      <c r="L164" s="2259"/>
      <c r="O164" s="2260"/>
      <c r="P164" s="2259"/>
    </row>
    <row r="165" spans="3:16" x14ac:dyDescent="0.25">
      <c r="C165" s="2260"/>
      <c r="D165" s="2259"/>
      <c r="G165" s="2260"/>
      <c r="H165" s="2259"/>
      <c r="K165" s="2260"/>
      <c r="L165" s="2259"/>
      <c r="O165" s="2260"/>
      <c r="P165" s="2259"/>
    </row>
    <row r="166" spans="3:16" x14ac:dyDescent="0.25">
      <c r="C166" s="2260"/>
      <c r="D166" s="2259"/>
      <c r="G166" s="2260"/>
      <c r="H166" s="2259"/>
      <c r="K166" s="2260"/>
      <c r="L166" s="2259"/>
      <c r="O166" s="2260"/>
      <c r="P166" s="2259"/>
    </row>
    <row r="167" spans="3:16" x14ac:dyDescent="0.25">
      <c r="C167" s="2260"/>
      <c r="D167" s="2259"/>
      <c r="G167" s="2260"/>
      <c r="H167" s="2259"/>
      <c r="K167" s="2260"/>
      <c r="L167" s="2259"/>
      <c r="O167" s="2260"/>
      <c r="P167" s="2259"/>
    </row>
    <row r="168" spans="3:16" x14ac:dyDescent="0.25">
      <c r="C168" s="2260"/>
      <c r="D168" s="2259"/>
      <c r="G168" s="2260"/>
      <c r="H168" s="2259"/>
      <c r="K168" s="2260"/>
      <c r="L168" s="2259"/>
      <c r="O168" s="2260"/>
      <c r="P168" s="2259"/>
    </row>
    <row r="169" spans="3:16" x14ac:dyDescent="0.25">
      <c r="C169" s="2260"/>
      <c r="D169" s="2259"/>
      <c r="G169" s="2260"/>
      <c r="H169" s="2259"/>
      <c r="K169" s="2260"/>
      <c r="L169" s="2259"/>
      <c r="O169" s="2260"/>
      <c r="P169" s="2259"/>
    </row>
    <row r="170" spans="3:16" x14ac:dyDescent="0.25">
      <c r="C170" s="2260"/>
      <c r="D170" s="2259"/>
      <c r="G170" s="2260"/>
      <c r="H170" s="2259"/>
      <c r="K170" s="2260"/>
      <c r="L170" s="2259"/>
      <c r="O170" s="2260"/>
      <c r="P170" s="2259"/>
    </row>
    <row r="171" spans="3:16" x14ac:dyDescent="0.25">
      <c r="C171" s="2260"/>
      <c r="D171" s="2259"/>
      <c r="G171" s="2260"/>
      <c r="H171" s="2259"/>
      <c r="K171" s="2260"/>
      <c r="L171" s="2259"/>
      <c r="O171" s="2260"/>
      <c r="P171" s="2259"/>
    </row>
    <row r="172" spans="3:16" x14ac:dyDescent="0.25">
      <c r="C172" s="2260"/>
      <c r="D172" s="2259"/>
      <c r="G172" s="2260"/>
      <c r="H172" s="2259"/>
      <c r="K172" s="2260"/>
      <c r="L172" s="2259"/>
      <c r="O172" s="2260"/>
      <c r="P172" s="2259"/>
    </row>
    <row r="173" spans="3:16" x14ac:dyDescent="0.25">
      <c r="C173" s="2260"/>
      <c r="D173" s="2259"/>
      <c r="G173" s="2260"/>
      <c r="H173" s="2259"/>
      <c r="K173" s="2260"/>
      <c r="L173" s="2259"/>
      <c r="O173" s="2260"/>
      <c r="P173" s="2259"/>
    </row>
    <row r="174" spans="3:16" x14ac:dyDescent="0.25">
      <c r="C174" s="2260"/>
      <c r="D174" s="2259"/>
      <c r="G174" s="2260"/>
      <c r="H174" s="2259"/>
      <c r="K174" s="2260"/>
      <c r="L174" s="2259"/>
      <c r="O174" s="2260"/>
      <c r="P174" s="2259"/>
    </row>
    <row r="175" spans="3:16" x14ac:dyDescent="0.25">
      <c r="C175" s="2260"/>
      <c r="D175" s="2259"/>
      <c r="G175" s="2260"/>
      <c r="H175" s="2259"/>
      <c r="K175" s="2260"/>
      <c r="L175" s="2259"/>
      <c r="O175" s="2260"/>
      <c r="P175" s="2259"/>
    </row>
    <row r="176" spans="3:16" x14ac:dyDescent="0.25">
      <c r="C176" s="2260"/>
      <c r="D176" s="2259"/>
      <c r="G176" s="2260"/>
      <c r="H176" s="2259"/>
      <c r="K176" s="2260"/>
      <c r="L176" s="2259"/>
      <c r="O176" s="2260"/>
      <c r="P176" s="2259"/>
    </row>
    <row r="177" spans="3:16" x14ac:dyDescent="0.25">
      <c r="C177" s="2260"/>
      <c r="D177" s="2259"/>
      <c r="G177" s="2260"/>
      <c r="H177" s="2259"/>
      <c r="K177" s="2260"/>
      <c r="L177" s="2259"/>
      <c r="O177" s="2260"/>
      <c r="P177" s="2259"/>
    </row>
    <row r="178" spans="3:16" x14ac:dyDescent="0.25">
      <c r="C178" s="2260"/>
      <c r="D178" s="2259"/>
      <c r="G178" s="2260"/>
      <c r="H178" s="2259"/>
      <c r="K178" s="2260"/>
      <c r="L178" s="2259"/>
      <c r="O178" s="2260"/>
      <c r="P178" s="2259"/>
    </row>
    <row r="179" spans="3:16" x14ac:dyDescent="0.25">
      <c r="C179" s="2260"/>
      <c r="D179" s="2259"/>
      <c r="G179" s="2260"/>
      <c r="H179" s="2259"/>
      <c r="K179" s="2260"/>
      <c r="L179" s="2259"/>
      <c r="O179" s="2260"/>
      <c r="P179" s="2259"/>
    </row>
    <row r="180" spans="3:16" x14ac:dyDescent="0.25">
      <c r="C180" s="2260"/>
      <c r="D180" s="2259"/>
      <c r="G180" s="2260"/>
      <c r="H180" s="2259"/>
      <c r="K180" s="2260"/>
      <c r="L180" s="2259"/>
      <c r="O180" s="2260"/>
      <c r="P180" s="2259"/>
    </row>
    <row r="181" spans="3:16" x14ac:dyDescent="0.25">
      <c r="C181" s="2260"/>
      <c r="D181" s="2259"/>
      <c r="G181" s="2260"/>
      <c r="H181" s="2259"/>
      <c r="K181" s="2260"/>
      <c r="L181" s="2259"/>
      <c r="O181" s="2260"/>
      <c r="P181" s="2259"/>
    </row>
    <row r="182" spans="3:16" x14ac:dyDescent="0.25">
      <c r="C182" s="2260"/>
      <c r="D182" s="2259"/>
      <c r="G182" s="2260"/>
      <c r="H182" s="2259"/>
      <c r="K182" s="2260"/>
      <c r="L182" s="2259"/>
      <c r="O182" s="2260"/>
      <c r="P182" s="2259"/>
    </row>
    <row r="183" spans="3:16" x14ac:dyDescent="0.25">
      <c r="C183" s="2260"/>
      <c r="D183" s="2259"/>
      <c r="G183" s="2260"/>
      <c r="H183" s="2259"/>
      <c r="K183" s="2260"/>
      <c r="L183" s="2259"/>
      <c r="O183" s="2260"/>
      <c r="P183" s="2259"/>
    </row>
    <row r="184" spans="3:16" x14ac:dyDescent="0.25">
      <c r="C184" s="2260"/>
      <c r="D184" s="2259"/>
      <c r="G184" s="2260"/>
      <c r="H184" s="2259"/>
      <c r="K184" s="2260"/>
      <c r="L184" s="2259"/>
      <c r="O184" s="2260"/>
      <c r="P184" s="2259"/>
    </row>
    <row r="185" spans="3:16" x14ac:dyDescent="0.25">
      <c r="C185" s="2260"/>
      <c r="D185" s="2259"/>
      <c r="G185" s="2260"/>
      <c r="H185" s="2259"/>
      <c r="K185" s="2260"/>
      <c r="L185" s="2259"/>
      <c r="O185" s="2260"/>
      <c r="P185" s="2259"/>
    </row>
    <row r="186" spans="3:16" x14ac:dyDescent="0.25">
      <c r="C186" s="2260"/>
      <c r="D186" s="2259"/>
      <c r="G186" s="2260"/>
      <c r="H186" s="2259"/>
      <c r="K186" s="2260"/>
      <c r="L186" s="2259"/>
      <c r="O186" s="2260"/>
      <c r="P186" s="2259"/>
    </row>
    <row r="187" spans="3:16" x14ac:dyDescent="0.25">
      <c r="C187" s="2260"/>
      <c r="D187" s="2259"/>
      <c r="G187" s="2260"/>
      <c r="H187" s="2259"/>
      <c r="K187" s="2260"/>
      <c r="L187" s="2259"/>
      <c r="O187" s="2260"/>
      <c r="P187" s="2259"/>
    </row>
    <row r="188" spans="3:16" x14ac:dyDescent="0.25">
      <c r="C188" s="2260"/>
      <c r="D188" s="2259"/>
      <c r="G188" s="2260"/>
      <c r="H188" s="2259"/>
      <c r="K188" s="2260"/>
      <c r="L188" s="2259"/>
      <c r="O188" s="2260"/>
      <c r="P188" s="2259"/>
    </row>
    <row r="189" spans="3:16" x14ac:dyDescent="0.25">
      <c r="C189" s="2260"/>
      <c r="D189" s="2259"/>
      <c r="G189" s="2260"/>
      <c r="H189" s="2259"/>
      <c r="K189" s="2260"/>
      <c r="L189" s="2259"/>
      <c r="O189" s="2260"/>
      <c r="P189" s="2259"/>
    </row>
    <row r="190" spans="3:16" x14ac:dyDescent="0.25">
      <c r="C190" s="2260"/>
      <c r="D190" s="2259"/>
      <c r="G190" s="2260"/>
      <c r="H190" s="2259"/>
      <c r="K190" s="2260"/>
      <c r="L190" s="2259"/>
      <c r="O190" s="2260"/>
      <c r="P190" s="2259"/>
    </row>
    <row r="191" spans="3:16" x14ac:dyDescent="0.25">
      <c r="C191" s="2260"/>
      <c r="D191" s="2259"/>
      <c r="G191" s="2260"/>
      <c r="H191" s="2259"/>
      <c r="K191" s="2260"/>
      <c r="L191" s="2259"/>
      <c r="O191" s="2260"/>
      <c r="P191" s="2259"/>
    </row>
    <row r="192" spans="3:16" x14ac:dyDescent="0.25">
      <c r="C192" s="2260"/>
      <c r="D192" s="2259"/>
      <c r="G192" s="2260"/>
      <c r="H192" s="2259"/>
      <c r="K192" s="2260"/>
      <c r="L192" s="2259"/>
      <c r="O192" s="2260"/>
      <c r="P192" s="2259"/>
    </row>
    <row r="193" spans="3:16" x14ac:dyDescent="0.25">
      <c r="C193" s="2260"/>
      <c r="D193" s="2259"/>
      <c r="G193" s="2260"/>
      <c r="H193" s="2259"/>
      <c r="K193" s="2260"/>
      <c r="L193" s="2259"/>
      <c r="O193" s="2260"/>
      <c r="P193" s="2259"/>
    </row>
    <row r="194" spans="3:16" x14ac:dyDescent="0.25">
      <c r="C194" s="2260"/>
      <c r="D194" s="2259"/>
      <c r="G194" s="2260"/>
      <c r="H194" s="2259"/>
      <c r="K194" s="2260"/>
      <c r="L194" s="2259"/>
      <c r="O194" s="2260"/>
      <c r="P194" s="2259"/>
    </row>
    <row r="195" spans="3:16" x14ac:dyDescent="0.25">
      <c r="C195" s="2260"/>
      <c r="D195" s="2259"/>
      <c r="G195" s="2260"/>
      <c r="H195" s="2259"/>
      <c r="K195" s="2260"/>
      <c r="L195" s="2259"/>
      <c r="O195" s="2260"/>
      <c r="P195" s="2259"/>
    </row>
    <row r="196" spans="3:16" x14ac:dyDescent="0.25">
      <c r="C196" s="2260"/>
      <c r="D196" s="2259"/>
      <c r="G196" s="2260"/>
      <c r="H196" s="2259"/>
      <c r="K196" s="2260"/>
      <c r="L196" s="2259"/>
      <c r="O196" s="2260"/>
      <c r="P196" s="2259"/>
    </row>
    <row r="197" spans="3:16" x14ac:dyDescent="0.25">
      <c r="C197" s="2260"/>
      <c r="D197" s="2259"/>
      <c r="G197" s="2260"/>
      <c r="H197" s="2259"/>
      <c r="K197" s="2260"/>
      <c r="L197" s="2259"/>
      <c r="O197" s="2260"/>
      <c r="P197" s="2259"/>
    </row>
    <row r="198" spans="3:16" x14ac:dyDescent="0.25">
      <c r="C198" s="2260"/>
      <c r="D198" s="2259"/>
      <c r="G198" s="2260"/>
      <c r="H198" s="2259"/>
      <c r="K198" s="2260"/>
      <c r="L198" s="2259"/>
      <c r="O198" s="2260"/>
      <c r="P198" s="2259"/>
    </row>
    <row r="199" spans="3:16" x14ac:dyDescent="0.25">
      <c r="C199" s="2260"/>
      <c r="D199" s="2259"/>
      <c r="G199" s="2260"/>
      <c r="H199" s="2259"/>
      <c r="K199" s="2260"/>
      <c r="L199" s="2259"/>
      <c r="O199" s="2260"/>
      <c r="P199" s="2259"/>
    </row>
    <row r="200" spans="3:16" x14ac:dyDescent="0.25">
      <c r="C200" s="2260"/>
      <c r="D200" s="2259"/>
      <c r="G200" s="2260"/>
      <c r="H200" s="2259"/>
      <c r="K200" s="2260"/>
      <c r="L200" s="2259"/>
      <c r="O200" s="2260"/>
      <c r="P200" s="2259"/>
    </row>
    <row r="201" spans="3:16" x14ac:dyDescent="0.25">
      <c r="C201" s="2260"/>
      <c r="D201" s="2259"/>
      <c r="G201" s="2260"/>
      <c r="H201" s="2259"/>
      <c r="K201" s="2260"/>
      <c r="L201" s="2259"/>
      <c r="O201" s="2260"/>
      <c r="P201" s="2259"/>
    </row>
    <row r="202" spans="3:16" x14ac:dyDescent="0.25">
      <c r="C202" s="2260"/>
      <c r="D202" s="2259"/>
      <c r="G202" s="2260"/>
      <c r="H202" s="2259"/>
      <c r="K202" s="2260"/>
      <c r="L202" s="2259"/>
      <c r="O202" s="2260"/>
      <c r="P202" s="2259"/>
    </row>
    <row r="203" spans="3:16" x14ac:dyDescent="0.25">
      <c r="C203" s="2260"/>
      <c r="D203" s="2259"/>
      <c r="G203" s="2260"/>
      <c r="H203" s="2259"/>
      <c r="K203" s="2260"/>
      <c r="L203" s="2259"/>
      <c r="O203" s="2260"/>
      <c r="P203" s="2259"/>
    </row>
    <row r="204" spans="3:16" x14ac:dyDescent="0.25">
      <c r="C204" s="2260"/>
      <c r="D204" s="2259"/>
      <c r="G204" s="2260"/>
      <c r="H204" s="2259"/>
      <c r="K204" s="2260"/>
      <c r="L204" s="2259"/>
      <c r="O204" s="2260"/>
      <c r="P204" s="2259"/>
    </row>
    <row r="205" spans="3:16" x14ac:dyDescent="0.25">
      <c r="C205" s="2260"/>
      <c r="D205" s="2259"/>
      <c r="G205" s="2260"/>
      <c r="H205" s="2259"/>
      <c r="K205" s="2260"/>
      <c r="L205" s="2259"/>
      <c r="O205" s="2260"/>
      <c r="P205" s="2259"/>
    </row>
    <row r="206" spans="3:16" x14ac:dyDescent="0.25">
      <c r="C206" s="2260"/>
      <c r="D206" s="2259"/>
      <c r="G206" s="2260"/>
      <c r="H206" s="2259"/>
      <c r="K206" s="2260"/>
      <c r="L206" s="2259"/>
      <c r="O206" s="2260"/>
      <c r="P206" s="2259"/>
    </row>
    <row r="207" spans="3:16" x14ac:dyDescent="0.25">
      <c r="C207" s="2260"/>
      <c r="D207" s="2259"/>
      <c r="G207" s="2260"/>
      <c r="H207" s="2259"/>
      <c r="K207" s="2260"/>
      <c r="L207" s="2259"/>
      <c r="O207" s="2260"/>
      <c r="P207" s="2259"/>
    </row>
    <row r="208" spans="3:16" x14ac:dyDescent="0.25">
      <c r="C208" s="2260"/>
      <c r="D208" s="2259"/>
      <c r="G208" s="2260"/>
      <c r="H208" s="2259"/>
      <c r="K208" s="2260"/>
      <c r="L208" s="2259"/>
      <c r="O208" s="2260"/>
      <c r="P208" s="2259"/>
    </row>
    <row r="209" spans="3:16" x14ac:dyDescent="0.25">
      <c r="C209" s="2260"/>
      <c r="D209" s="2259"/>
      <c r="G209" s="2260"/>
      <c r="H209" s="2259"/>
      <c r="K209" s="2260"/>
      <c r="L209" s="2259"/>
      <c r="O209" s="2260"/>
      <c r="P209" s="2259"/>
    </row>
    <row r="210" spans="3:16" x14ac:dyDescent="0.25">
      <c r="C210" s="2260"/>
      <c r="D210" s="2259"/>
      <c r="G210" s="2260"/>
      <c r="H210" s="2259"/>
      <c r="K210" s="2260"/>
      <c r="L210" s="2259"/>
      <c r="O210" s="2260"/>
      <c r="P210" s="2259"/>
    </row>
    <row r="211" spans="3:16" x14ac:dyDescent="0.25">
      <c r="C211" s="2260"/>
      <c r="D211" s="2259"/>
      <c r="G211" s="2260"/>
      <c r="H211" s="2259"/>
      <c r="K211" s="2260"/>
      <c r="L211" s="2259"/>
      <c r="O211" s="2260"/>
      <c r="P211" s="2259"/>
    </row>
    <row r="212" spans="3:16" x14ac:dyDescent="0.25">
      <c r="C212" s="2260"/>
      <c r="D212" s="2259"/>
      <c r="G212" s="2260"/>
      <c r="H212" s="2259"/>
      <c r="K212" s="2260"/>
      <c r="L212" s="2259"/>
      <c r="O212" s="2260"/>
      <c r="P212" s="2259"/>
    </row>
    <row r="213" spans="3:16" x14ac:dyDescent="0.25">
      <c r="C213" s="2260"/>
      <c r="D213" s="2259"/>
      <c r="G213" s="2260"/>
      <c r="H213" s="2259"/>
      <c r="K213" s="2260"/>
      <c r="L213" s="2259"/>
      <c r="O213" s="2260"/>
      <c r="P213" s="2259"/>
    </row>
    <row r="214" spans="3:16" x14ac:dyDescent="0.25">
      <c r="C214" s="2260"/>
      <c r="D214" s="2259"/>
      <c r="G214" s="2260"/>
      <c r="H214" s="2259"/>
      <c r="K214" s="2260"/>
      <c r="L214" s="2259"/>
      <c r="O214" s="2260"/>
      <c r="P214" s="2259"/>
    </row>
    <row r="215" spans="3:16" x14ac:dyDescent="0.25">
      <c r="C215" s="2260"/>
      <c r="D215" s="2259"/>
      <c r="G215" s="2260"/>
      <c r="H215" s="2259"/>
      <c r="K215" s="2260"/>
      <c r="L215" s="2259"/>
      <c r="O215" s="2260"/>
      <c r="P215" s="2259"/>
    </row>
    <row r="216" spans="3:16" x14ac:dyDescent="0.25">
      <c r="C216" s="2260"/>
      <c r="D216" s="2259"/>
      <c r="G216" s="2260"/>
      <c r="H216" s="2259"/>
      <c r="K216" s="2260"/>
      <c r="L216" s="2259"/>
      <c r="O216" s="2260"/>
      <c r="P216" s="2259"/>
    </row>
    <row r="217" spans="3:16" x14ac:dyDescent="0.25">
      <c r="C217" s="2260"/>
      <c r="D217" s="2259"/>
      <c r="G217" s="2260"/>
      <c r="H217" s="2259"/>
      <c r="K217" s="2260"/>
      <c r="L217" s="2259"/>
      <c r="O217" s="2260"/>
      <c r="P217" s="2259"/>
    </row>
    <row r="218" spans="3:16" x14ac:dyDescent="0.25">
      <c r="C218" s="2260"/>
      <c r="D218" s="2259"/>
      <c r="G218" s="2260"/>
      <c r="H218" s="2259"/>
      <c r="K218" s="2260"/>
      <c r="L218" s="2259"/>
      <c r="O218" s="2260"/>
      <c r="P218" s="2259"/>
    </row>
    <row r="219" spans="3:16" x14ac:dyDescent="0.25">
      <c r="C219" s="2260"/>
      <c r="D219" s="2259"/>
      <c r="G219" s="2260"/>
      <c r="H219" s="2259"/>
      <c r="K219" s="2260"/>
      <c r="L219" s="2259"/>
      <c r="O219" s="2260"/>
      <c r="P219" s="2259"/>
    </row>
    <row r="220" spans="3:16" x14ac:dyDescent="0.25">
      <c r="C220" s="2260"/>
      <c r="D220" s="2259"/>
      <c r="G220" s="2260"/>
      <c r="H220" s="2259"/>
      <c r="K220" s="2260"/>
      <c r="L220" s="2259"/>
      <c r="O220" s="2260"/>
      <c r="P220" s="2259"/>
    </row>
    <row r="221" spans="3:16" x14ac:dyDescent="0.25">
      <c r="C221" s="2260"/>
      <c r="D221" s="2259"/>
      <c r="G221" s="2260"/>
      <c r="H221" s="2259"/>
      <c r="K221" s="2260"/>
      <c r="L221" s="2259"/>
      <c r="O221" s="2260"/>
      <c r="P221" s="2259"/>
    </row>
    <row r="222" spans="3:16" x14ac:dyDescent="0.25">
      <c r="C222" s="2260"/>
      <c r="D222" s="2259"/>
      <c r="G222" s="2260"/>
      <c r="H222" s="2259"/>
      <c r="K222" s="2260"/>
      <c r="L222" s="2259"/>
      <c r="O222" s="2260"/>
      <c r="P222" s="2259"/>
    </row>
    <row r="223" spans="3:16" x14ac:dyDescent="0.25">
      <c r="C223" s="2260"/>
      <c r="D223" s="2259"/>
      <c r="G223" s="2260"/>
      <c r="H223" s="2259"/>
      <c r="K223" s="2260"/>
      <c r="L223" s="2259"/>
      <c r="O223" s="2260"/>
      <c r="P223" s="2259"/>
    </row>
    <row r="224" spans="3:16" x14ac:dyDescent="0.25">
      <c r="C224" s="2260"/>
      <c r="D224" s="2259"/>
      <c r="G224" s="2260"/>
      <c r="H224" s="2259"/>
      <c r="K224" s="2260"/>
      <c r="L224" s="2259"/>
      <c r="O224" s="2260"/>
      <c r="P224" s="2259"/>
    </row>
  </sheetData>
  <mergeCells count="14">
    <mergeCell ref="N2:P2"/>
    <mergeCell ref="N3:P4"/>
    <mergeCell ref="R13:S13"/>
    <mergeCell ref="U8:U9"/>
    <mergeCell ref="R9:T9"/>
    <mergeCell ref="R10:S10"/>
    <mergeCell ref="R11:S11"/>
    <mergeCell ref="R12:S12"/>
    <mergeCell ref="B2:D2"/>
    <mergeCell ref="F2:H2"/>
    <mergeCell ref="J2:L2"/>
    <mergeCell ref="B3:D4"/>
    <mergeCell ref="F3:H4"/>
    <mergeCell ref="J3:L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1E07-52E2-4041-B6BA-03836031ABCF}">
  <sheetPr codeName="Sheet11">
    <tabColor rgb="FFFF0000"/>
  </sheetPr>
  <dimension ref="A1:W224"/>
  <sheetViews>
    <sheetView topLeftCell="E13" zoomScale="80" zoomScaleNormal="80" workbookViewId="0">
      <selection activeCell="V33" sqref="V33"/>
    </sheetView>
  </sheetViews>
  <sheetFormatPr defaultRowHeight="15" x14ac:dyDescent="0.25"/>
  <cols>
    <col min="1" max="1" width="20" style="1" customWidth="1"/>
    <col min="2" max="2" width="23" style="1558" customWidth="1"/>
    <col min="3" max="4" width="17" style="1558" customWidth="1"/>
    <col min="5" max="5" width="4.28515625" style="1" customWidth="1"/>
    <col min="6" max="6" width="23" style="1558" customWidth="1"/>
    <col min="7" max="8" width="17" style="1558" customWidth="1"/>
    <col min="9" max="9" width="4.28515625" style="1" customWidth="1"/>
    <col min="10" max="10" width="23" style="1558" customWidth="1"/>
    <col min="11" max="12" width="17" style="1558" customWidth="1"/>
    <col min="13" max="13" width="2.85546875" style="1" customWidth="1"/>
    <col min="14" max="14" width="23" style="1558" customWidth="1"/>
    <col min="15" max="16" width="17" style="1558" customWidth="1"/>
    <col min="17" max="17" width="2.85546875" style="1" customWidth="1"/>
    <col min="18" max="20" width="22.85546875" style="1" customWidth="1"/>
    <col min="21" max="22" width="28.85546875" style="1" customWidth="1"/>
    <col min="23" max="23" width="12.85546875" style="1" bestFit="1" customWidth="1"/>
    <col min="24" max="16384" width="9.140625" style="1"/>
  </cols>
  <sheetData>
    <row r="1" spans="1:23" ht="77.25" customHeight="1" thickBot="1" x14ac:dyDescent="0.3">
      <c r="G1" s="1943" t="s">
        <v>436</v>
      </c>
      <c r="J1" s="1942"/>
      <c r="K1" s="1942"/>
      <c r="L1" s="1941" t="s">
        <v>437</v>
      </c>
      <c r="N1" s="1942"/>
      <c r="O1" s="1942"/>
      <c r="P1" s="1941"/>
    </row>
    <row r="2" spans="1:23" ht="35.25" customHeight="1" thickBot="1" x14ac:dyDescent="0.3">
      <c r="B2" s="3521" t="s">
        <v>438</v>
      </c>
      <c r="C2" s="3522"/>
      <c r="D2" s="3523"/>
      <c r="F2" s="3524" t="s">
        <v>439</v>
      </c>
      <c r="G2" s="3525"/>
      <c r="H2" s="3526"/>
      <c r="J2" s="3527" t="s">
        <v>440</v>
      </c>
      <c r="K2" s="3528"/>
      <c r="L2" s="3529"/>
      <c r="N2" s="3536" t="s">
        <v>3818</v>
      </c>
      <c r="O2" s="3537"/>
      <c r="P2" s="3538"/>
    </row>
    <row r="3" spans="1:23" ht="32.25" customHeight="1" x14ac:dyDescent="0.25">
      <c r="B3" s="3530" t="e">
        <f>IF(T10&gt;0,R15&amp;IF(T7&lt;T10,"
"&amp;R16,""),R14)</f>
        <v>#N/A</v>
      </c>
      <c r="C3" s="3531"/>
      <c r="D3" s="3532"/>
      <c r="F3" s="3530" t="e">
        <f>IF(T11&gt;0,R19&amp;IF(T7&lt;T11,"
"&amp;R20,""),R18)</f>
        <v>#N/A</v>
      </c>
      <c r="G3" s="3531"/>
      <c r="H3" s="3532"/>
      <c r="J3" s="3530" t="e">
        <f>IF(T12&gt;0,R23&amp;IF(T7&lt;T12,"
"&amp;R24,""),R22)</f>
        <v>#N/A</v>
      </c>
      <c r="K3" s="3531"/>
      <c r="L3" s="3532"/>
      <c r="N3" s="3530" t="e">
        <f>IF(T13&gt;0,R26&amp;IF(T4&lt;T13,"
"&amp;R27,""),R25)</f>
        <v>#N/A</v>
      </c>
      <c r="O3" s="3531"/>
      <c r="P3" s="3532"/>
      <c r="R3" s="898" t="s">
        <v>441</v>
      </c>
    </row>
    <row r="4" spans="1:23" ht="32.25" customHeight="1" thickBot="1" x14ac:dyDescent="0.3">
      <c r="B4" s="3533"/>
      <c r="C4" s="3534"/>
      <c r="D4" s="3535"/>
      <c r="F4" s="3533"/>
      <c r="G4" s="3534"/>
      <c r="H4" s="3535"/>
      <c r="J4" s="3533"/>
      <c r="K4" s="3534"/>
      <c r="L4" s="3535"/>
      <c r="N4" s="3533"/>
      <c r="O4" s="3534"/>
      <c r="P4" s="3535"/>
      <c r="R4" s="1927" t="s">
        <v>442</v>
      </c>
      <c r="S4" s="1933">
        <v>0.2</v>
      </c>
      <c r="T4" s="1929">
        <f>'BTL Calculator'!V9*S7</f>
        <v>0</v>
      </c>
      <c r="U4" s="1926">
        <f>T5-'BTL Calculator'!O80</f>
        <v>0</v>
      </c>
      <c r="V4" s="1926"/>
    </row>
    <row r="5" spans="1:23" ht="18.75" thickBot="1" x14ac:dyDescent="0.3">
      <c r="R5" s="1927" t="s">
        <v>442</v>
      </c>
      <c r="S5" s="1933">
        <v>0.2</v>
      </c>
      <c r="T5" s="1929">
        <f>'BTL Calculator'!V9*S7</f>
        <v>0</v>
      </c>
      <c r="U5" s="1926">
        <f>T5-'BTL Calculator'!F80</f>
        <v>0</v>
      </c>
      <c r="V5" s="1926"/>
    </row>
    <row r="6" spans="1:23" ht="18.75" thickBot="1" x14ac:dyDescent="0.3">
      <c r="B6" s="1944" t="s">
        <v>443</v>
      </c>
      <c r="C6" s="1947" t="str">
        <f>IF(B24&gt;-1,B24&amp;"m Rolled","")</f>
        <v>0m Rolled</v>
      </c>
      <c r="D6" s="1945">
        <f>IF(C6="","",_xlfn.MINIFS(C24:C224,D24:D224,"&gt;="&amp;D8))</f>
        <v>1.00613961606655E-16</v>
      </c>
      <c r="F6" s="1944" t="s">
        <v>443</v>
      </c>
      <c r="G6" s="1947" t="str">
        <f>IF(F24&gt;-1,F24&amp;"m Rolled","")</f>
        <v>0m Rolled</v>
      </c>
      <c r="H6" s="1945">
        <f>IF(G6="","",_xlfn.MINIFS(G24:G224,H24:H224,"&gt;="&amp;H8))</f>
        <v>1.00613961606655E-16</v>
      </c>
      <c r="J6" s="1944" t="s">
        <v>443</v>
      </c>
      <c r="K6" s="1947" t="str">
        <f>IF(J24&gt;-1,J24&amp;"m Rolled","")</f>
        <v>0m Rolled</v>
      </c>
      <c r="L6" s="1945">
        <f>IF(K6="","",_xlfn.MINIFS(K24:K224,L24:L224,"&gt;="&amp;L8))</f>
        <v>1.00613961606655E-16</v>
      </c>
      <c r="N6" s="1944" t="s">
        <v>443</v>
      </c>
      <c r="O6" s="1947" t="str">
        <f>IF(N24&gt;-1,N24&amp;"m Rolled","")</f>
        <v>0m Rolled</v>
      </c>
      <c r="P6" s="1945">
        <f>IF(O6="","",_xlfn.MINIFS(O24:O224,P24:P224,"&gt;="&amp;P8))</f>
        <v>1.00613961606655E-16</v>
      </c>
      <c r="R6" s="1927" t="s">
        <v>442</v>
      </c>
      <c r="S6" s="1933">
        <v>0.2</v>
      </c>
      <c r="T6" s="1929">
        <f>'BTL Calculator'!V9*S7</f>
        <v>0</v>
      </c>
      <c r="U6" s="1926">
        <f>T6-'BTL Calculator'!I80</f>
        <v>0</v>
      </c>
      <c r="V6" s="1926"/>
    </row>
    <row r="7" spans="1:23" ht="18" x14ac:dyDescent="0.25">
      <c r="C7" s="1"/>
      <c r="D7" s="1"/>
      <c r="G7" s="1"/>
      <c r="H7" s="1"/>
      <c r="K7" s="1"/>
      <c r="L7" s="1"/>
      <c r="O7" s="1"/>
      <c r="P7" s="1"/>
      <c r="R7" s="1927" t="s">
        <v>442</v>
      </c>
      <c r="S7" s="1933">
        <v>0.2</v>
      </c>
      <c r="T7" s="1929">
        <f>'BTL Calculator'!V9*S7</f>
        <v>0</v>
      </c>
      <c r="U7" s="1926">
        <f>T7-'BTL Calculator'!L80</f>
        <v>0</v>
      </c>
      <c r="V7" s="1926"/>
    </row>
    <row r="8" spans="1:23" x14ac:dyDescent="0.25">
      <c r="A8" s="2338" t="str">
        <f>Product_Selected</f>
        <v>1) Standard</v>
      </c>
      <c r="B8" s="1928" t="e">
        <f>VLOOKUP(A8,R31:U34,4,0)</f>
        <v>#N/A</v>
      </c>
      <c r="C8" s="1928">
        <v>1.2500000000000001E-2</v>
      </c>
      <c r="D8" s="1929" t="e">
        <f>Property_Value*VLOOKUP(A8,R31:W34,6,0)</f>
        <v>#N/A</v>
      </c>
      <c r="F8" s="1928" t="e">
        <f>VLOOKUP(A8,R31:T34,3,0)</f>
        <v>#N/A</v>
      </c>
      <c r="G8" s="1928">
        <v>1.2500000000000001E-2</v>
      </c>
      <c r="H8" s="1929" t="e">
        <f>Property_Value*VLOOKUP(A8,R31:W34,6,0)</f>
        <v>#N/A</v>
      </c>
      <c r="J8" s="1928" t="e">
        <f>VLOOKUP(A8,R31:S34,2,0)</f>
        <v>#N/A</v>
      </c>
      <c r="K8" s="1928">
        <v>1.2500000000000001E-2</v>
      </c>
      <c r="L8" s="1929" t="e">
        <f>Property_Value*VLOOKUP(A8,R31:W34,6,0)</f>
        <v>#N/A</v>
      </c>
      <c r="N8" s="1928" t="e">
        <f>VLOOKUP(A8,R31:W34,5,0)</f>
        <v>#N/A</v>
      </c>
      <c r="O8" s="1928">
        <v>1.2500000000000001E-2</v>
      </c>
      <c r="P8" s="1929" t="e">
        <f>Property_Value*VLOOKUP(A8,R31:X34,6,0)</f>
        <v>#N/A</v>
      </c>
      <c r="R8" s="1558"/>
      <c r="S8" s="1558"/>
      <c r="T8" s="1936"/>
      <c r="U8" s="3540" t="s">
        <v>444</v>
      </c>
      <c r="V8" s="2636"/>
    </row>
    <row r="9" spans="1:23" ht="15.75" thickBot="1" x14ac:dyDescent="0.3">
      <c r="B9" s="2249" t="e">
        <f>D8-(D8*D6/12)*36-((B8-D6)/12*B24*D8)-(D8*U30)</f>
        <v>#N/A</v>
      </c>
      <c r="C9" s="1929">
        <f>IF('BTL Calculator'!V5="3 Year Fixed",'KB_CRITERIA AND CALCULATION '!AO90/36,IF('BTL Calculator'!V5="5 Year Fixed",'KB_CRITERIA AND CALCULATION '!AO90/60,'KB_CRITERIA AND CALCULATION '!AO90/24))</f>
        <v>0</v>
      </c>
      <c r="D9" s="1558">
        <f>'BTL Calculator'!$V$9</f>
        <v>0</v>
      </c>
      <c r="F9" s="2249" t="e">
        <f>H8-(H8*H6/12)*36-((F8-H6)/12*F24*H8)-(H8*T30)</f>
        <v>#N/A</v>
      </c>
      <c r="G9" s="1929">
        <f>IF('BTL Calculator'!V5="3 Year Fixed",'KB_CRITERIA AND CALCULATION '!AO90/36,IF('BTL Calculator'!V5="5 Year Fixed",'KB_CRITERIA AND CALCULATION '!AO90/60,'KB_CRITERIA AND CALCULATION '!AO90/24))</f>
        <v>0</v>
      </c>
      <c r="H9" s="1558">
        <f>'BTL Calculator'!$V$9</f>
        <v>0</v>
      </c>
      <c r="J9" s="2249" t="e">
        <f>L8-(L8*L6/12)*36-((J8-L6)/12*J24*L8)-(L8*S30)</f>
        <v>#N/A</v>
      </c>
      <c r="K9" s="1929">
        <f>IF('BTL Calculator'!V5="3 Year Fixed",'KB_CRITERIA AND CALCULATION '!AO90/36,IF('BTL Calculator'!V5="5 Year Fixed",'KB_CRITERIA AND CALCULATION '!AO90/60,'KB_CRITERIA AND CALCULATION '!AO90/24))</f>
        <v>0</v>
      </c>
      <c r="L9" s="1558">
        <f>'BTL Calculator'!$V$9</f>
        <v>0</v>
      </c>
      <c r="N9" s="2249" t="e">
        <f>P8-(P8*P6/12)*60-((N8-P6)/12*N24*P8)-(P8*V30)</f>
        <v>#N/A</v>
      </c>
      <c r="O9" s="1929">
        <f>IF('BTL Calculator'!V5="3 Year Fixed",'KB_CRITERIA AND CALCULATION '!AO90/36,IF('BTL Calculator'!V5="5 Year Fixed",'KB_CRITERIA AND CALCULATION '!AO90/60,'KB_CRITERIA AND CALCULATION '!AO90/24))</f>
        <v>0</v>
      </c>
      <c r="P9" s="1558">
        <f>'BTL Calculator'!$V$9</f>
        <v>0</v>
      </c>
      <c r="R9" s="3542"/>
      <c r="S9" s="3542"/>
      <c r="T9" s="3542"/>
      <c r="U9" s="3541"/>
      <c r="V9" s="2636"/>
    </row>
    <row r="10" spans="1:23" ht="15.75" thickBot="1" x14ac:dyDescent="0.3">
      <c r="B10" s="2249" t="e">
        <f>IF(T7&lt;T10,U10,B9)</f>
        <v>#N/A</v>
      </c>
      <c r="C10" s="1936"/>
      <c r="F10" s="2249" t="e">
        <f>IF(T7&lt;T11,U11,F9)</f>
        <v>#N/A</v>
      </c>
      <c r="J10" s="2249" t="e">
        <f>IF(T7&lt;T12,U12,J9)</f>
        <v>#N/A</v>
      </c>
      <c r="N10" s="2249" t="e">
        <f>IF(T4&lt;T13,U13,N9)</f>
        <v>#N/A</v>
      </c>
      <c r="R10" s="3543" t="s">
        <v>445</v>
      </c>
      <c r="S10" s="3544"/>
      <c r="T10" s="1938" t="e">
        <f>((D8-C21)*(((($B$8-'KB Model Suggestions Fixed 3yr'!$C$8)/12)*(36-'KB Model Suggestions Fixed 3yr'!$B$21)*'Product Data'!$P$23)))/36</f>
        <v>#N/A</v>
      </c>
      <c r="U10" s="1929" t="e">
        <f>(($C$9+U5)*36)/((($B$8-'KB Model Suggestions Fixed 3yr'!$C$8)/12)*(36-'KB Model Suggestions Fixed 3yr'!$B$21)*'Product Data'!$P$23)</f>
        <v>#N/A</v>
      </c>
      <c r="V10" s="1929"/>
      <c r="W10" s="1934" t="e">
        <f>((D8-(($D$9*36)/((($B$8-'KB Model Suggestions Fixed 3yr'!$C$8)/12)*(36-'KB Model Suggestions Fixed 3yr'!$B$21)*'Product Data'!$P$23)))*(((($B$8-'KB Model Suggestions Fixed 3yr'!$C$8)/12)*(36-'KB Model Suggestions Fixed 3yr'!$B$21)*'Product Data'!$P$23)))/36</f>
        <v>#N/A</v>
      </c>
    </row>
    <row r="11" spans="1:23" ht="15.75" thickBot="1" x14ac:dyDescent="0.3">
      <c r="B11" s="1937" t="s">
        <v>446</v>
      </c>
      <c r="C11" s="1937" t="s">
        <v>293</v>
      </c>
      <c r="D11" s="1937" t="s">
        <v>447</v>
      </c>
      <c r="F11" s="1937" t="s">
        <v>446</v>
      </c>
      <c r="G11" s="1937" t="s">
        <v>293</v>
      </c>
      <c r="H11" s="1937" t="s">
        <v>447</v>
      </c>
      <c r="J11" s="1937" t="s">
        <v>446</v>
      </c>
      <c r="K11" s="1937" t="s">
        <v>293</v>
      </c>
      <c r="L11" s="1937" t="s">
        <v>447</v>
      </c>
      <c r="N11" s="1937" t="s">
        <v>446</v>
      </c>
      <c r="O11" s="1937" t="s">
        <v>293</v>
      </c>
      <c r="P11" s="1937" t="s">
        <v>447</v>
      </c>
      <c r="R11" s="3545" t="s">
        <v>448</v>
      </c>
      <c r="S11" s="3546"/>
      <c r="T11" s="1939" t="e">
        <f>((H8-G21)*(((($F$8-'KB Model Suggestions Fixed 3yr'!$G$8)/12)*(36-'KB Model Suggestions Fixed 3yr'!$F$21)*'Product Data'!$P$23)))/36</f>
        <v>#N/A</v>
      </c>
      <c r="U11" s="1929" t="e">
        <f>(($G$9+U6)*36)/((($F$8-'KB Model Suggestions Fixed 3yr'!$G$8)/12)*(36-'KB Model Suggestions Fixed 3yr'!F21)*'Product Data'!$P$23)</f>
        <v>#N/A</v>
      </c>
      <c r="V11" s="1929"/>
      <c r="W11" s="1934" t="e">
        <f>((H8-(($H$9*36)/((($F$8-'KB Model Suggestions Fixed 3yr'!$G$8)/12)*(36-'KB Model Suggestions Fixed 3yr'!F21)*'Product Data'!$P$23)))*(((($F$8-'KB Model Suggestions Fixed 3yr'!$G$8)/12)*(36-'KB Model Suggestions Fixed 3yr'!$F$21)*'Product Data'!$P$23)))/36</f>
        <v>#N/A</v>
      </c>
    </row>
    <row r="12" spans="1:23" ht="15.75" thickBot="1" x14ac:dyDescent="0.3">
      <c r="B12" s="1927">
        <v>0</v>
      </c>
      <c r="C12" s="1929" t="e">
        <f>($C$9*36)/((($B$8-$C$8)/12)*(36-B12)*'Product Data'!$P$23)</f>
        <v>#N/A</v>
      </c>
      <c r="D12" s="1930" t="e">
        <f t="shared" ref="D12:D21" si="0">$D$8/C12</f>
        <v>#N/A</v>
      </c>
      <c r="F12" s="1927">
        <v>0</v>
      </c>
      <c r="G12" s="1929" t="e">
        <f>($G$9*36)/((($F$8-$G$8)/12)*(36-F12)*'Product Data'!$P$23)</f>
        <v>#N/A</v>
      </c>
      <c r="H12" s="1930" t="e">
        <f t="shared" ref="H12:H21" si="1">$D$8/G12</f>
        <v>#N/A</v>
      </c>
      <c r="J12" s="1927">
        <v>0</v>
      </c>
      <c r="K12" s="1929" t="e">
        <f>($K$9*36)/((($J$8-$K$8)/12)*(36-J12)*'Product Data'!$P$23)</f>
        <v>#N/A</v>
      </c>
      <c r="L12" s="1930" t="e">
        <f t="shared" ref="L12:L21" si="2">$D$8/K12</f>
        <v>#N/A</v>
      </c>
      <c r="N12" s="1927">
        <v>0</v>
      </c>
      <c r="O12" s="1929" t="e">
        <f>($O$9*36)/((($N$8-$O$8)/12)*(36-N12)*'Product Data'!$P$23)</f>
        <v>#N/A</v>
      </c>
      <c r="P12" s="1930" t="e">
        <f t="shared" ref="P12:P21" si="3">$D$8/O12</f>
        <v>#N/A</v>
      </c>
      <c r="R12" s="3547" t="s">
        <v>449</v>
      </c>
      <c r="S12" s="3548"/>
      <c r="T12" s="1940" t="e">
        <f>((L8-K21)*(((($J$8-'KB Model Suggestions Fixed 3yr'!$K$8)/12)*(36-'KB Model Suggestions Fixed 3yr'!$J$21)*'Product Data'!$P$23)))/36</f>
        <v>#N/A</v>
      </c>
      <c r="U12" s="1929" t="e">
        <f>(($K$9+U7)*36)/((($J$8-'KB Model Suggestions Fixed 3yr'!$K$8)/12)*(36-'KB Model Suggestions Fixed 3yr'!J21)*'Product Data'!$P$23)</f>
        <v>#N/A</v>
      </c>
      <c r="V12" s="1929"/>
      <c r="W12" s="1934" t="e">
        <f>((L8-(($L$9*36)/((($J$8-'KB Model Suggestions Fixed 3yr'!$K$8)/12)*(36-'KB Model Suggestions Fixed 3yr'!J21)*'Product Data'!$P$23)))*(((($J$8-'KB Model Suggestions Fixed 3yr'!$K$8)/12)*(36-'KB Model Suggestions Fixed 3yr'!$J$21)*'Product Data'!$P$23)))/36</f>
        <v>#N/A</v>
      </c>
    </row>
    <row r="13" spans="1:23" ht="15.75" thickBot="1" x14ac:dyDescent="0.3">
      <c r="B13" s="1927">
        <v>1</v>
      </c>
      <c r="C13" s="1929" t="e">
        <f>($C$9*36)/((($B$8-$C$8)/12)*(36-B13)*'Product Data'!$P$23)</f>
        <v>#N/A</v>
      </c>
      <c r="D13" s="1930" t="e">
        <f t="shared" si="0"/>
        <v>#N/A</v>
      </c>
      <c r="F13" s="1927">
        <v>1</v>
      </c>
      <c r="G13" s="1929" t="e">
        <f>($G$9*36)/((($F$8-$G$8)/12)*(36-F13)*'Product Data'!$P$23)</f>
        <v>#N/A</v>
      </c>
      <c r="H13" s="1930" t="e">
        <f t="shared" si="1"/>
        <v>#N/A</v>
      </c>
      <c r="J13" s="1927">
        <v>1</v>
      </c>
      <c r="K13" s="1929" t="e">
        <f>($K$9*36)/((($J$8-$K$8)/12)*(36-J13)*'Product Data'!$P$23)</f>
        <v>#N/A</v>
      </c>
      <c r="L13" s="1930" t="e">
        <f t="shared" si="2"/>
        <v>#N/A</v>
      </c>
      <c r="N13" s="1927">
        <v>1</v>
      </c>
      <c r="O13" s="1929" t="e">
        <f>($O$9*36)/((($N$8-$O$8)/12)*(36-N13)*'Product Data'!$P$23)</f>
        <v>#N/A</v>
      </c>
      <c r="P13" s="1930" t="e">
        <f t="shared" si="3"/>
        <v>#N/A</v>
      </c>
      <c r="R13" s="3539" t="s">
        <v>3819</v>
      </c>
      <c r="S13" s="3539"/>
      <c r="T13" s="2684" t="e">
        <f>((P8-O21)*(((($N$8-'KB Model Suggestions Fixed 3yr'!$O$8)/12)*(36-'KB Model Suggestions Fixed 3yr'!$N$21)*'Product Data'!$P$23)))/36</f>
        <v>#N/A</v>
      </c>
      <c r="U13" s="1929" t="e">
        <f>(($O$9+U4)*36)/((($N$8-'KB Model Suggestions Fixed 3yr'!$O$8)/12)*(36-'KB Model Suggestions Fixed 3yr'!N21)*'Product Data'!$P$23)</f>
        <v>#N/A</v>
      </c>
      <c r="V13" s="1929"/>
      <c r="W13" s="1934" t="e">
        <f>((P8-(($P$9*36)/((($N$8-'KB Model Suggestions Fixed 3yr'!$O$8)/12)*(36-'KB Model Suggestions Fixed 3yr'!N21)*'Product Data'!$P$23)))*(((($N$8-'KB Model Suggestions Fixed 3yr'!$O$8)/12)*(36-'KB Model Suggestions Fixed 3yr'!$N$21)*'Product Data'!$P$23)))/36</f>
        <v>#N/A</v>
      </c>
    </row>
    <row r="14" spans="1:23" x14ac:dyDescent="0.25">
      <c r="B14" s="1927">
        <v>2</v>
      </c>
      <c r="C14" s="1929" t="e">
        <f>($C$9*36)/((($B$8-$C$8)/12)*(36-B14)*'Product Data'!$P$23)</f>
        <v>#N/A</v>
      </c>
      <c r="D14" s="1930" t="e">
        <f t="shared" si="0"/>
        <v>#N/A</v>
      </c>
      <c r="F14" s="1927">
        <v>2</v>
      </c>
      <c r="G14" s="1929" t="e">
        <f>($G$9*36)/((($F$8-$G$8)/12)*(36-F14)*'Product Data'!$P$23)</f>
        <v>#N/A</v>
      </c>
      <c r="H14" s="1930" t="e">
        <f t="shared" si="1"/>
        <v>#N/A</v>
      </c>
      <c r="J14" s="1927">
        <v>2</v>
      </c>
      <c r="K14" s="1929" t="e">
        <f>($K$9*36)/((($J$8-$K$8)/12)*(36-J14)*'Product Data'!$P$23)</f>
        <v>#N/A</v>
      </c>
      <c r="L14" s="1930" t="e">
        <f t="shared" si="2"/>
        <v>#N/A</v>
      </c>
      <c r="N14" s="1927">
        <v>2</v>
      </c>
      <c r="O14" s="1929" t="e">
        <f>($O$9*36)/((($N$8-$O$8)/12)*(36-N14)*'Product Data'!$P$23)</f>
        <v>#N/A</v>
      </c>
      <c r="P14" s="1930" t="e">
        <f t="shared" si="3"/>
        <v>#N/A</v>
      </c>
      <c r="R14" s="1" t="str">
        <f>"Max LTV possible with no Top Slice "&amp; C6 &amp; IF(B24&gt;-1,IF(D6&gt;-1," &amp; ","")&amp;TEXT(D6,"0.00%")&amp;" Deferred","")</f>
        <v>Max LTV possible with no Top Slice 0m Rolled &amp; 0.00% Deferred</v>
      </c>
      <c r="T14" s="1926"/>
    </row>
    <row r="15" spans="1:23" x14ac:dyDescent="0.25">
      <c r="B15" s="1927">
        <v>3</v>
      </c>
      <c r="C15" s="1929" t="e">
        <f>($C$9*36)/((($B$8-$C$8)/12)*(36-B15)*'Product Data'!$P$23)</f>
        <v>#N/A</v>
      </c>
      <c r="D15" s="1930" t="e">
        <f t="shared" si="0"/>
        <v>#N/A</v>
      </c>
      <c r="F15" s="1927">
        <v>3</v>
      </c>
      <c r="G15" s="1929" t="e">
        <f>($G$9*36)/((($F$8-$G$8)/12)*(36-F15)*'Product Data'!$P$23)</f>
        <v>#N/A</v>
      </c>
      <c r="H15" s="1930" t="e">
        <f t="shared" si="1"/>
        <v>#N/A</v>
      </c>
      <c r="J15" s="1927">
        <v>3</v>
      </c>
      <c r="K15" s="1929" t="e">
        <f>($K$9*36)/((($J$8-$K$8)/12)*(36-J15)*'Product Data'!$P$23)</f>
        <v>#N/A</v>
      </c>
      <c r="L15" s="1930" t="e">
        <f t="shared" si="2"/>
        <v>#N/A</v>
      </c>
      <c r="N15" s="1927">
        <v>3</v>
      </c>
      <c r="O15" s="1929" t="e">
        <f>($O$9*36)/((($N$8-$O$8)/12)*(36-N15)*'Product Data'!$P$23)</f>
        <v>#N/A</v>
      </c>
      <c r="P15" s="1930" t="e">
        <f t="shared" si="3"/>
        <v>#N/A</v>
      </c>
      <c r="R15" s="1" t="e">
        <f>"For Max LTV Gross loan, need Top Slice of "&amp;TEXT(W10,"£0,00")&amp;"pcm (+ max Roll/Defer). "</f>
        <v>#N/A</v>
      </c>
    </row>
    <row r="16" spans="1:23" x14ac:dyDescent="0.25">
      <c r="B16" s="1927">
        <v>4</v>
      </c>
      <c r="C16" s="1929" t="e">
        <f>($C$9*36)/((($B$8-$C$8)/12)*(36-B16)*'Product Data'!$P$23)</f>
        <v>#N/A</v>
      </c>
      <c r="D16" s="1930" t="e">
        <f t="shared" si="0"/>
        <v>#N/A</v>
      </c>
      <c r="F16" s="1927">
        <v>4</v>
      </c>
      <c r="G16" s="1929" t="e">
        <f>($G$9*36)/((($F$8-$G$8)/12)*(36-F16)*'Product Data'!$P$23)</f>
        <v>#N/A</v>
      </c>
      <c r="H16" s="1930" t="e">
        <f t="shared" si="1"/>
        <v>#N/A</v>
      </c>
      <c r="J16" s="1927">
        <v>4</v>
      </c>
      <c r="K16" s="1929" t="e">
        <f>($K$9*36)/((($J$8-$K$8)/12)*(36-J16)*'Product Data'!$P$23)</f>
        <v>#N/A</v>
      </c>
      <c r="L16" s="1930" t="e">
        <f t="shared" si="2"/>
        <v>#N/A</v>
      </c>
      <c r="N16" s="1927">
        <v>4</v>
      </c>
      <c r="O16" s="1929" t="e">
        <f>($O$9*36)/((($N$8-$O$8)/12)*(36-N16)*'Product Data'!$P$23)</f>
        <v>#N/A</v>
      </c>
      <c r="P16" s="1930" t="e">
        <f t="shared" si="3"/>
        <v>#N/A</v>
      </c>
      <c r="R16" s="1" t="e">
        <f>" However, Top slice capped @ "&amp;TEXT(T7,"£0,0")&amp;" pcm, giving Max Gross Loan of "&amp;TEXT(U10,"£###,###")</f>
        <v>#N/A</v>
      </c>
    </row>
    <row r="17" spans="2:23" x14ac:dyDescent="0.25">
      <c r="B17" s="1927">
        <v>5</v>
      </c>
      <c r="C17" s="1929" t="e">
        <f>($C$9*36)/((($B$8-$C$8)/12)*(36-B17)*'Product Data'!$P$23)</f>
        <v>#N/A</v>
      </c>
      <c r="D17" s="1930" t="e">
        <f t="shared" si="0"/>
        <v>#N/A</v>
      </c>
      <c r="F17" s="1927">
        <v>5</v>
      </c>
      <c r="G17" s="1929" t="e">
        <f>($G$9*36)/((($F$8-$G$8)/12)*(36-F17)*'Product Data'!$P$23)</f>
        <v>#N/A</v>
      </c>
      <c r="H17" s="1930" t="e">
        <f t="shared" si="1"/>
        <v>#N/A</v>
      </c>
      <c r="J17" s="1927">
        <v>5</v>
      </c>
      <c r="K17" s="1929" t="e">
        <f>($K$9*36)/((($J$8-$K$8)/12)*(36-J17)*'Product Data'!$P$23)</f>
        <v>#N/A</v>
      </c>
      <c r="L17" s="1930" t="e">
        <f t="shared" si="2"/>
        <v>#N/A</v>
      </c>
      <c r="N17" s="1927">
        <v>5</v>
      </c>
      <c r="O17" s="1929" t="e">
        <f>($O$9*36)/((($N$8-$O$8)/12)*(36-N17)*'Product Data'!$P$23)</f>
        <v>#N/A</v>
      </c>
      <c r="P17" s="1930" t="e">
        <f t="shared" si="3"/>
        <v>#N/A</v>
      </c>
    </row>
    <row r="18" spans="2:23" x14ac:dyDescent="0.25">
      <c r="B18" s="1927">
        <v>6</v>
      </c>
      <c r="C18" s="1929" t="e">
        <f>($C$9*36)/((($B$8-$C$8)/12)*(36-B18)*'Product Data'!$P$23)</f>
        <v>#N/A</v>
      </c>
      <c r="D18" s="1930" t="e">
        <f t="shared" si="0"/>
        <v>#N/A</v>
      </c>
      <c r="F18" s="1927">
        <v>6</v>
      </c>
      <c r="G18" s="1929" t="e">
        <f>($G$9*36)/((($F$8-$G$8)/12)*(36-F18)*'Product Data'!$P$23)</f>
        <v>#N/A</v>
      </c>
      <c r="H18" s="1930" t="e">
        <f t="shared" si="1"/>
        <v>#N/A</v>
      </c>
      <c r="J18" s="1927">
        <v>6</v>
      </c>
      <c r="K18" s="1929" t="e">
        <f>($K$9*36)/((($J$8-$K$8)/12)*(36-J18)*'Product Data'!$P$23)</f>
        <v>#N/A</v>
      </c>
      <c r="L18" s="1930" t="e">
        <f t="shared" si="2"/>
        <v>#N/A</v>
      </c>
      <c r="N18" s="1927">
        <v>6</v>
      </c>
      <c r="O18" s="1929" t="e">
        <f>($O$9*36)/((($N$8-$O$8)/12)*(36-N18)*'Product Data'!$P$23)</f>
        <v>#N/A</v>
      </c>
      <c r="P18" s="1930" t="e">
        <f t="shared" si="3"/>
        <v>#N/A</v>
      </c>
      <c r="R18" s="1" t="str">
        <f>"Max LTV possible with no Top Slice "&amp; G6 &amp; IF(F24&gt;-1,IF(H6&gt;-1," &amp; ","")&amp;TEXT(H6,"0.00%")&amp;" Deferred","")</f>
        <v>Max LTV possible with no Top Slice 0m Rolled &amp; 0.00% Deferred</v>
      </c>
    </row>
    <row r="19" spans="2:23" x14ac:dyDescent="0.25">
      <c r="B19" s="1927">
        <v>7</v>
      </c>
      <c r="C19" s="1929" t="e">
        <f>($C$9*36)/((($B$8-$C$8)/12)*(36-B19)*'Product Data'!$P$23)</f>
        <v>#N/A</v>
      </c>
      <c r="D19" s="1930" t="e">
        <f t="shared" si="0"/>
        <v>#N/A</v>
      </c>
      <c r="F19" s="1927">
        <v>7</v>
      </c>
      <c r="G19" s="1929" t="e">
        <f>($G$9*36)/((($F$8-$G$8)/12)*(36-F19)*'Product Data'!$P$23)</f>
        <v>#N/A</v>
      </c>
      <c r="H19" s="1930" t="e">
        <f t="shared" si="1"/>
        <v>#N/A</v>
      </c>
      <c r="J19" s="1927">
        <v>7</v>
      </c>
      <c r="K19" s="1929" t="e">
        <f>($K$9*36)/((($J$8-$K$8)/12)*(36-J19)*'Product Data'!$P$23)</f>
        <v>#N/A</v>
      </c>
      <c r="L19" s="1930" t="e">
        <f t="shared" si="2"/>
        <v>#N/A</v>
      </c>
      <c r="N19" s="1927">
        <v>7</v>
      </c>
      <c r="O19" s="1929" t="e">
        <f>($O$9*36)/((($N$8-$O$8)/12)*(36-N19)*'Product Data'!$P$23)</f>
        <v>#N/A</v>
      </c>
      <c r="P19" s="1930" t="e">
        <f t="shared" si="3"/>
        <v>#N/A</v>
      </c>
      <c r="R19" s="1" t="e">
        <f>"For Max LTV Gross loan, need Top Slice of "&amp;TEXT(W11,"£0,00")&amp;"pcm (+ max Roll/Defer). "</f>
        <v>#N/A</v>
      </c>
    </row>
    <row r="20" spans="2:23" x14ac:dyDescent="0.25">
      <c r="B20" s="1927">
        <v>8</v>
      </c>
      <c r="C20" s="1929" t="e">
        <f>($C$9*36)/((($B$8-$C$8)/12)*(36-B20)*'Product Data'!$P$23)</f>
        <v>#N/A</v>
      </c>
      <c r="D20" s="1930" t="e">
        <f t="shared" si="0"/>
        <v>#N/A</v>
      </c>
      <c r="F20" s="1927">
        <v>8</v>
      </c>
      <c r="G20" s="1929" t="e">
        <f>($G$9*36)/((($F$8-$G$8)/12)*(36-F20)*'Product Data'!$P$23)</f>
        <v>#N/A</v>
      </c>
      <c r="H20" s="1930" t="e">
        <f t="shared" si="1"/>
        <v>#N/A</v>
      </c>
      <c r="J20" s="1927">
        <v>8</v>
      </c>
      <c r="K20" s="1929" t="e">
        <f>($K$9*36)/((($J$8-$K$8)/12)*(36-J20)*'Product Data'!$P$23)</f>
        <v>#N/A</v>
      </c>
      <c r="L20" s="1930" t="e">
        <f t="shared" si="2"/>
        <v>#N/A</v>
      </c>
      <c r="N20" s="1927">
        <v>8</v>
      </c>
      <c r="O20" s="1929" t="e">
        <f>($O$9*36)/((($N$8-$O$8)/12)*(36-N20)*'Product Data'!$P$23)</f>
        <v>#N/A</v>
      </c>
      <c r="P20" s="1930" t="e">
        <f t="shared" si="3"/>
        <v>#N/A</v>
      </c>
      <c r="R20" s="1" t="e">
        <f>" However, Top slice capped @ "&amp;TEXT(T7,"£0,0")&amp;" pcm, giving Max Gross Loan of "&amp;TEXT(U11,"£###,###")</f>
        <v>#N/A</v>
      </c>
    </row>
    <row r="21" spans="2:23" x14ac:dyDescent="0.25">
      <c r="B21" s="1927">
        <v>9</v>
      </c>
      <c r="C21" s="1929" t="e">
        <f>($C$9*36)/((($B$8-$C$8)/12)*(36-B21)*'Product Data'!$P$23)</f>
        <v>#N/A</v>
      </c>
      <c r="D21" s="1930" t="e">
        <f t="shared" si="0"/>
        <v>#N/A</v>
      </c>
      <c r="F21" s="1927">
        <v>9</v>
      </c>
      <c r="G21" s="1929" t="e">
        <f>($G$9*36)/((($F$8-$G$8)/12)*(36-F21)*'Product Data'!$P$23)</f>
        <v>#N/A</v>
      </c>
      <c r="H21" s="1930" t="e">
        <f t="shared" si="1"/>
        <v>#N/A</v>
      </c>
      <c r="J21" s="1927">
        <v>9</v>
      </c>
      <c r="K21" s="1929" t="e">
        <f>($K$9*36)/((($J$8-$K$8)/12)*(36-J21)*'Product Data'!$P$23)</f>
        <v>#N/A</v>
      </c>
      <c r="L21" s="1930" t="e">
        <f t="shared" si="2"/>
        <v>#N/A</v>
      </c>
      <c r="N21" s="1927">
        <v>9</v>
      </c>
      <c r="O21" s="1929" t="e">
        <f>($O$9*36)/((($N$8-$O$8)/12)*(36-N21)*'Product Data'!$P$23)</f>
        <v>#N/A</v>
      </c>
      <c r="P21" s="1930" t="e">
        <f t="shared" si="3"/>
        <v>#N/A</v>
      </c>
    </row>
    <row r="22" spans="2:23" x14ac:dyDescent="0.25">
      <c r="R22" s="1" t="str">
        <f>"Max LTV possible with no Top Slice "&amp; K6 &amp; IF(J24&gt;-1,IF(L6&gt;-1," &amp; ","")&amp;TEXT(L6,"0.00%")&amp;" Deferred","")</f>
        <v>Max LTV possible with no Top Slice 0m Rolled &amp; 0.00% Deferred</v>
      </c>
    </row>
    <row r="23" spans="2:23" x14ac:dyDescent="0.25">
      <c r="B23" s="1937" t="s">
        <v>450</v>
      </c>
      <c r="C23" s="1937" t="s">
        <v>451</v>
      </c>
      <c r="D23" s="1937" t="s">
        <v>452</v>
      </c>
      <c r="F23" s="1937" t="s">
        <v>450</v>
      </c>
      <c r="G23" s="1937" t="s">
        <v>451</v>
      </c>
      <c r="H23" s="1937" t="s">
        <v>452</v>
      </c>
      <c r="J23" s="1937" t="s">
        <v>450</v>
      </c>
      <c r="K23" s="1937" t="s">
        <v>451</v>
      </c>
      <c r="L23" s="1937" t="s">
        <v>452</v>
      </c>
      <c r="N23" s="1937" t="s">
        <v>450</v>
      </c>
      <c r="O23" s="1937" t="s">
        <v>451</v>
      </c>
      <c r="P23" s="1937" t="s">
        <v>452</v>
      </c>
      <c r="R23" s="1" t="e">
        <f>"For Max LTV Gross loan, need Top Slice of "&amp;TEXT(W12,"£0,00")&amp;"pcm (+ max Roll/Defer). "</f>
        <v>#N/A</v>
      </c>
    </row>
    <row r="24" spans="2:23" x14ac:dyDescent="0.25">
      <c r="B24" s="1927">
        <f>_xlfn.MINIFS(B12:B21,D12:D21,"&lt;="&amp;100%)</f>
        <v>0</v>
      </c>
      <c r="C24" s="2392">
        <v>1.2500000000000001E-2</v>
      </c>
      <c r="D24" s="1929" t="e">
        <f>($C$9*36)/((($B$8-$C24)/12)*(36-B24)*'Product Data'!$P$23)</f>
        <v>#N/A</v>
      </c>
      <c r="F24" s="1927">
        <f>_xlfn.MINIFS(F12:F21,H12:H21,"&lt;="&amp;100%)</f>
        <v>0</v>
      </c>
      <c r="G24" s="2392">
        <v>1.2500000000000001E-2</v>
      </c>
      <c r="H24" s="1929" t="e">
        <f>($G$9*36)/((($F$8-$G24)/12)*(36-F24)*'Product Data'!$P$23)</f>
        <v>#N/A</v>
      </c>
      <c r="J24" s="1927">
        <f>_xlfn.MINIFS(J12:J21,L12:L21,"&lt;="&amp;100%)</f>
        <v>0</v>
      </c>
      <c r="K24" s="2392">
        <v>1.2500000000000001E-2</v>
      </c>
      <c r="L24" s="1929" t="e">
        <f>($K$9*36)/((($J$8-$K24)/12)*(36-J24)*'Product Data'!$P$23)</f>
        <v>#N/A</v>
      </c>
      <c r="N24" s="1927">
        <f>_xlfn.MINIFS(N12:N21,P12:P21,"&lt;="&amp;100%)</f>
        <v>0</v>
      </c>
      <c r="O24" s="2392">
        <v>1.2500000000000001E-2</v>
      </c>
      <c r="P24" s="1929" t="e">
        <f>($O$9*36)/((($N$8-$O24)/12)*(36-N24)*'Product Data'!$P$23)</f>
        <v>#N/A</v>
      </c>
      <c r="R24" s="1" t="e">
        <f>" However, Top slice capped @ "&amp;TEXT(T7,"£0,0")&amp;" pcm, giving Max Gross Loan of "&amp;TEXT(U12,"£###,###")</f>
        <v>#N/A</v>
      </c>
    </row>
    <row r="25" spans="2:23" x14ac:dyDescent="0.25">
      <c r="B25" s="1927">
        <f>B24</f>
        <v>0</v>
      </c>
      <c r="C25" s="1928">
        <v>1.24E-2</v>
      </c>
      <c r="D25" s="1929" t="e">
        <f>($C$9*36)/((($B$8-$C25)/12)*(36-B25)*'Product Data'!$P$23)</f>
        <v>#N/A</v>
      </c>
      <c r="F25" s="1927">
        <f>F24</f>
        <v>0</v>
      </c>
      <c r="G25" s="1928">
        <v>1.24E-2</v>
      </c>
      <c r="H25" s="1929" t="e">
        <f>($G$9*36)/((($F$8-$G25)/12)*(36-F25)*'Product Data'!$P$23)</f>
        <v>#N/A</v>
      </c>
      <c r="J25" s="1927">
        <f>J24</f>
        <v>0</v>
      </c>
      <c r="K25" s="1928">
        <v>1.24E-2</v>
      </c>
      <c r="L25" s="1929" t="e">
        <f>($K$9*36)/((($J$8-$K25)/12)*(36-J25)*'Product Data'!$P$23)</f>
        <v>#N/A</v>
      </c>
      <c r="N25" s="1927">
        <f>N24</f>
        <v>0</v>
      </c>
      <c r="O25" s="1928">
        <v>1.24E-2</v>
      </c>
      <c r="P25" s="1929" t="e">
        <f>($O$9*36)/((($N$8-$O25)/12)*(36-N25)*'Product Data'!$P$23)</f>
        <v>#N/A</v>
      </c>
      <c r="R25" s="1" t="str">
        <f>"Max LTV possible with no Top Slice "&amp; O6 &amp; IF(N24&gt;-1,IF(P6&gt;-1," &amp; ","")&amp;TEXT(P6,"0.00%")&amp;" Deferred","")</f>
        <v>Max LTV possible with no Top Slice 0m Rolled &amp; 0.00% Deferred</v>
      </c>
    </row>
    <row r="26" spans="2:23" x14ac:dyDescent="0.25">
      <c r="B26" s="1927">
        <f t="shared" ref="B26:B89" si="4">B25</f>
        <v>0</v>
      </c>
      <c r="C26" s="1928">
        <v>1.2300000000000101E-2</v>
      </c>
      <c r="D26" s="1929" t="e">
        <f>($C$9*36)/((($B$8-$C26)/12)*(36-B26)*'Product Data'!$P$23)</f>
        <v>#N/A</v>
      </c>
      <c r="F26" s="1927">
        <f t="shared" ref="F26:F89" si="5">F25</f>
        <v>0</v>
      </c>
      <c r="G26" s="1928">
        <v>1.2300000000000101E-2</v>
      </c>
      <c r="H26" s="1929" t="e">
        <f>($G$9*36)/((($F$8-$G26)/12)*(36-F26)*'Product Data'!$P$23)</f>
        <v>#N/A</v>
      </c>
      <c r="J26" s="1927">
        <f t="shared" ref="J26:J89" si="6">J25</f>
        <v>0</v>
      </c>
      <c r="K26" s="1928">
        <v>1.2300000000000101E-2</v>
      </c>
      <c r="L26" s="1929" t="e">
        <f>($K$9*36)/((($J$8-$K26)/12)*(36-J26)*'Product Data'!$P$23)</f>
        <v>#N/A</v>
      </c>
      <c r="N26" s="1927">
        <f t="shared" ref="N26:N89" si="7">N25</f>
        <v>0</v>
      </c>
      <c r="O26" s="1928">
        <v>1.2300000000000101E-2</v>
      </c>
      <c r="P26" s="1929" t="e">
        <f>($O$9*36)/((($N$8-$O26)/12)*(36-N26)*'Product Data'!$P$23)</f>
        <v>#N/A</v>
      </c>
      <c r="R26" s="1" t="e">
        <f>"For Max LTV Gross loan, need Top Slice of "&amp;TEXT(W13,"£0,00")&amp;"pcm (+ max Roll/Defer). "</f>
        <v>#N/A</v>
      </c>
    </row>
    <row r="27" spans="2:23" x14ac:dyDescent="0.25">
      <c r="B27" s="1927">
        <f t="shared" si="4"/>
        <v>0</v>
      </c>
      <c r="C27" s="1928">
        <v>1.22000000000001E-2</v>
      </c>
      <c r="D27" s="1929" t="e">
        <f>($C$9*36)/((($B$8-$C27)/12)*(36-B27)*'Product Data'!$P$23)</f>
        <v>#N/A</v>
      </c>
      <c r="F27" s="1927">
        <f t="shared" si="5"/>
        <v>0</v>
      </c>
      <c r="G27" s="1928">
        <v>1.22000000000001E-2</v>
      </c>
      <c r="H27" s="1929" t="e">
        <f>($G$9*36)/((($F$8-$G27)/12)*(36-F27)*'Product Data'!$P$23)</f>
        <v>#N/A</v>
      </c>
      <c r="J27" s="1927">
        <f t="shared" si="6"/>
        <v>0</v>
      </c>
      <c r="K27" s="1928">
        <v>1.22000000000001E-2</v>
      </c>
      <c r="L27" s="1929" t="e">
        <f>($K$9*36)/((($J$8-$K27)/12)*(36-J27)*'Product Data'!$P$23)</f>
        <v>#N/A</v>
      </c>
      <c r="N27" s="1927">
        <f t="shared" si="7"/>
        <v>0</v>
      </c>
      <c r="O27" s="2392">
        <v>1.22000000000001E-2</v>
      </c>
      <c r="P27" s="1929" t="e">
        <f>($O$9*36)/((($N$8-$O27)/12)*(36-N27)*'Product Data'!$P$23)</f>
        <v>#N/A</v>
      </c>
      <c r="R27" s="1" t="e">
        <f>" However, Top slice capped @ "&amp;TEXT(T4,"£0,0")&amp;" pcm, giving Max Gross Loan of "&amp;TEXT(U13,"£###,###")</f>
        <v>#N/A</v>
      </c>
    </row>
    <row r="28" spans="2:23" x14ac:dyDescent="0.25">
      <c r="B28" s="1927">
        <f t="shared" si="4"/>
        <v>0</v>
      </c>
      <c r="C28" s="1928">
        <v>1.21E-2</v>
      </c>
      <c r="D28" s="1929" t="e">
        <f>($C$9*36)/((($B$8-$C28)/12)*(36-B28)*'Product Data'!$P$23)</f>
        <v>#N/A</v>
      </c>
      <c r="F28" s="1927">
        <f t="shared" si="5"/>
        <v>0</v>
      </c>
      <c r="G28" s="1928">
        <v>1.21E-2</v>
      </c>
      <c r="H28" s="1929" t="e">
        <f>($G$9*36)/((($F$8-$G28)/12)*(36-F28)*'Product Data'!$P$23)</f>
        <v>#N/A</v>
      </c>
      <c r="J28" s="1927">
        <f t="shared" si="6"/>
        <v>0</v>
      </c>
      <c r="K28" s="1928">
        <v>1.21E-2</v>
      </c>
      <c r="L28" s="1929" t="e">
        <f>($K$9*36)/((($J$8-$K28)/12)*(36-J28)*'Product Data'!$P$23)</f>
        <v>#N/A</v>
      </c>
      <c r="N28" s="1927">
        <f t="shared" si="7"/>
        <v>0</v>
      </c>
      <c r="O28" s="1928">
        <v>1.21E-2</v>
      </c>
      <c r="P28" s="1929" t="e">
        <f>($O$9*36)/((($N$8-$O28)/12)*(36-N28)*'Product Data'!$P$23)</f>
        <v>#N/A</v>
      </c>
    </row>
    <row r="29" spans="2:23" x14ac:dyDescent="0.25">
      <c r="B29" s="1927">
        <f t="shared" si="4"/>
        <v>0</v>
      </c>
      <c r="C29" s="1928">
        <v>1.2000000000000101E-2</v>
      </c>
      <c r="D29" s="1929" t="e">
        <f>($C$9*36)/((($B$8-$C29)/12)*(36-B29)*'Product Data'!$P$23)</f>
        <v>#N/A</v>
      </c>
      <c r="F29" s="1927">
        <f t="shared" si="5"/>
        <v>0</v>
      </c>
      <c r="G29" s="1928">
        <v>1.2000000000000101E-2</v>
      </c>
      <c r="H29" s="1929" t="e">
        <f>($G$9*36)/((($F$8-$G29)/12)*(36-F29)*'Product Data'!$P$23)</f>
        <v>#N/A</v>
      </c>
      <c r="J29" s="1927">
        <f t="shared" si="6"/>
        <v>0</v>
      </c>
      <c r="K29" s="1928">
        <v>1.2000000000000101E-2</v>
      </c>
      <c r="L29" s="1929" t="e">
        <f>($K$9*36)/((($J$8-$K29)/12)*(36-J29)*'Product Data'!$P$23)</f>
        <v>#N/A</v>
      </c>
      <c r="N29" s="1927">
        <f t="shared" si="7"/>
        <v>0</v>
      </c>
      <c r="O29" s="1928">
        <v>1.2000000000000101E-2</v>
      </c>
      <c r="P29" s="1929" t="e">
        <f>($O$9*36)/((($N$8-$O29)/12)*(36-N29)*'Product Data'!$P$23)</f>
        <v>#N/A</v>
      </c>
      <c r="R29" s="1927" t="s">
        <v>453</v>
      </c>
      <c r="S29" s="1927" t="s">
        <v>454</v>
      </c>
      <c r="T29" s="2335"/>
      <c r="U29" s="2335"/>
      <c r="V29" s="2286"/>
    </row>
    <row r="30" spans="2:23" x14ac:dyDescent="0.25">
      <c r="B30" s="1927">
        <f t="shared" si="4"/>
        <v>0</v>
      </c>
      <c r="C30" s="1928">
        <v>1.19000000000001E-2</v>
      </c>
      <c r="D30" s="1929" t="e">
        <f>($C$9*36)/((($B$8-$C30)/12)*(36-B30)*'Product Data'!$P$23)</f>
        <v>#N/A</v>
      </c>
      <c r="F30" s="1927">
        <f t="shared" si="5"/>
        <v>0</v>
      </c>
      <c r="G30" s="1928">
        <v>1.19000000000001E-2</v>
      </c>
      <c r="H30" s="1929" t="e">
        <f>($G$9*36)/((($F$8-$G30)/12)*(36-F30)*'Product Data'!$P$23)</f>
        <v>#N/A</v>
      </c>
      <c r="J30" s="1927">
        <f t="shared" si="6"/>
        <v>0</v>
      </c>
      <c r="K30" s="1928">
        <v>1.19000000000001E-2</v>
      </c>
      <c r="L30" s="1929" t="e">
        <f>($K$9*36)/((($J$8-$K30)/12)*(36-J30)*'Product Data'!$P$23)</f>
        <v>#N/A</v>
      </c>
      <c r="N30" s="1927">
        <f t="shared" si="7"/>
        <v>0</v>
      </c>
      <c r="O30" s="2392">
        <v>1.19000000000001E-2</v>
      </c>
      <c r="P30" s="1929" t="e">
        <f>($O$9*36)/((($N$8-$O30)/12)*(36-N30)*'Product Data'!$P$23)</f>
        <v>#N/A</v>
      </c>
      <c r="R30" s="1927"/>
      <c r="S30" s="1928">
        <f>+IF('BTL Calculator'!V3="Retention ",0.015,0.02)</f>
        <v>0.02</v>
      </c>
      <c r="T30" s="2337">
        <f>+IF('BTL Calculator'!V3="Retention ",0.035,0.04)</f>
        <v>0.04</v>
      </c>
      <c r="U30" s="2337">
        <f>+IF('BTL Calculator'!V3="Retention ",0.055,0.06)</f>
        <v>0.06</v>
      </c>
      <c r="V30" s="2337">
        <v>0.03</v>
      </c>
      <c r="W30" s="1927" t="s">
        <v>455</v>
      </c>
    </row>
    <row r="31" spans="2:23" x14ac:dyDescent="0.25">
      <c r="B31" s="1927">
        <f t="shared" si="4"/>
        <v>0</v>
      </c>
      <c r="C31" s="1928">
        <v>1.18000000000001E-2</v>
      </c>
      <c r="D31" s="1929" t="e">
        <f>($C$9*36)/((($B$8-$C31)/12)*(36-B31)*'Product Data'!$P$23)</f>
        <v>#N/A</v>
      </c>
      <c r="F31" s="1927">
        <f t="shared" si="5"/>
        <v>0</v>
      </c>
      <c r="G31" s="1928">
        <v>1.18000000000001E-2</v>
      </c>
      <c r="H31" s="1929" t="e">
        <f>($G$9*36)/((($F$8-$G31)/12)*(36-F31)*'Product Data'!$P$23)</f>
        <v>#N/A</v>
      </c>
      <c r="J31" s="1927">
        <f t="shared" si="6"/>
        <v>0</v>
      </c>
      <c r="K31" s="1928">
        <v>1.18000000000001E-2</v>
      </c>
      <c r="L31" s="1929" t="e">
        <f>($K$9*36)/((($J$8-$K31)/12)*(36-J31)*'Product Data'!$P$23)</f>
        <v>#N/A</v>
      </c>
      <c r="N31" s="1927">
        <f t="shared" si="7"/>
        <v>0</v>
      </c>
      <c r="O31" s="1928">
        <v>1.18000000000001E-2</v>
      </c>
      <c r="P31" s="1929" t="e">
        <f>($O$9*36)/((($N$8-$O31)/12)*(36-N31)*'Product Data'!$P$23)</f>
        <v>#N/A</v>
      </c>
      <c r="R31" s="1927" t="s">
        <v>432</v>
      </c>
      <c r="S31" s="1928">
        <f>IF(AND('BTL Calculator'!V3="Retention ",'BTL Calculator'!X3=0.75),'Product Data'!G190,
IF(AND('BTL Calculator'!V3="Retention ",'BTL Calculator'!X3=0.65),'Product Data'!G212,
'Product Data'!C85))</f>
        <v>7.7899999999999997E-2</v>
      </c>
      <c r="T31" s="2337">
        <f>IF(AND('BTL Calculator'!V3="Retention ",'BTL Calculator'!X3=0.75),'Product Data'!G195,
IF(AND('BTL Calculator'!V3="Retention ",'BTL Calculator'!X3=0.65),'Product Data'!G217,
'Product Data'!C91))</f>
        <v>7.0900000000000005E-2</v>
      </c>
      <c r="U31" s="2337">
        <f>IF(AND('BTL Calculator'!V3 = "Retention ",'BTL Calculator'!X3=0.75),'Product Data'!G200,
IF(AND('BTL Calculator'!V3 = "Retention ",'BTL Calculator'!X3=0.65),'Product Data'!G222,
'Product Data'!C97))</f>
        <v>6.3899999999999998E-2</v>
      </c>
      <c r="V31" s="2337">
        <f>IF(AND('BTL Calculator'!V3 = "Retention ",'BTL Calculator'!X3=0.75),'Product Data'!G205,
IF(AND('BTL Calculator'!V3 = "Retention ",'BTL Calculator'!X3=0.65),'Product Data'!G227,
'Product Data'!C103))</f>
        <v>7.46E-2</v>
      </c>
      <c r="W31" s="1932">
        <f>+IF(AND('BTL Calculator'!V3 = "Retention ",'BTL Calculator'!X3=0.75),0.75,
IF(AND('BTL Calculator'!V3 = "Retention ",'BTL Calculator'!X3=0.65),0.65,0.75))</f>
        <v>0.75</v>
      </c>
    </row>
    <row r="32" spans="2:23" x14ac:dyDescent="0.25">
      <c r="B32" s="1927">
        <f t="shared" si="4"/>
        <v>0</v>
      </c>
      <c r="C32" s="1928">
        <v>1.1700000000000099E-2</v>
      </c>
      <c r="D32" s="1929" t="e">
        <f>($C$9*36)/((($B$8-$C32)/12)*(36-B32)*'Product Data'!$P$23)</f>
        <v>#N/A</v>
      </c>
      <c r="F32" s="1927">
        <f t="shared" si="5"/>
        <v>0</v>
      </c>
      <c r="G32" s="1928">
        <v>1.1700000000000099E-2</v>
      </c>
      <c r="H32" s="1929" t="e">
        <f>($G$9*36)/((($F$8-$G32)/12)*(36-F32)*'Product Data'!$P$23)</f>
        <v>#N/A</v>
      </c>
      <c r="J32" s="1927">
        <f t="shared" si="6"/>
        <v>0</v>
      </c>
      <c r="K32" s="1928">
        <v>1.1700000000000099E-2</v>
      </c>
      <c r="L32" s="1929" t="e">
        <f>($K$9*36)/((($J$8-$K32)/12)*(36-J32)*'Product Data'!$P$23)</f>
        <v>#N/A</v>
      </c>
      <c r="N32" s="1927">
        <f t="shared" si="7"/>
        <v>0</v>
      </c>
      <c r="O32" s="1928">
        <v>1.1700000000000099E-2</v>
      </c>
      <c r="P32" s="1929" t="e">
        <f>($O$9*36)/((($N$8-$O32)/12)*(36-N32)*'Product Data'!$P$23)</f>
        <v>#N/A</v>
      </c>
      <c r="R32" s="1927" t="s">
        <v>433</v>
      </c>
      <c r="S32" s="1928">
        <f>IF(AND('BTL Calculator'!V3 = "Retention ",'BTL Calculator'!X3=0.75),'Product Data'!G191,
IF(AND('BTL Calculator'!V3="Retention ",'BTL Calculator'!X3=0.65),'Product Data'!G213,
'Product Data'!C86))</f>
        <v>8.2899999999999988E-2</v>
      </c>
      <c r="T32" s="2337">
        <f>IF(AND('BTL Calculator'!V3 = "Retention ",'BTL Calculator'!X3=0.75),'Product Data'!G196,
IF(AND('BTL Calculator'!V3="Retention ",'BTL Calculator'!X3=0.65),'Product Data'!G218,
'Product Data'!C92))</f>
        <v>7.5899999999999995E-2</v>
      </c>
      <c r="U32" s="2337">
        <f>IF(AND('BTL Calculator'!V3="Retention ",'BTL Calculator'!X3=0.75),'Product Data'!G201,
IF(AND('BTL Calculator'!V3="Retention ",'BTL Calculator'!X3=0.65),'Product Data'!G223,
'Product Data'!C98))</f>
        <v>6.8900000000000003E-2</v>
      </c>
      <c r="V32" s="2337">
        <f>IF(AND('BTL Calculator'!V3="Retention ",'BTL Calculator'!X3=0.75),'Product Data'!G206,
IF(AND('BTL Calculator'!V3="Retention ",'BTL Calculator'!X3=0.65),'Product Data'!G228,
'Product Data'!C104))</f>
        <v>7.9600000000000004E-2</v>
      </c>
      <c r="W32" s="1932">
        <f>+IF(AND('BTL Calculator'!V3 = "Retention ",'BTL Calculator'!X3=0.75),0.75,
IF(AND('BTL Calculator'!V3 = "Retention ",'BTL Calculator'!X3=0.65),0.65,0.75))</f>
        <v>0.75</v>
      </c>
    </row>
    <row r="33" spans="2:23" x14ac:dyDescent="0.25">
      <c r="B33" s="1927">
        <f t="shared" si="4"/>
        <v>0</v>
      </c>
      <c r="C33" s="1928">
        <v>1.16000000000001E-2</v>
      </c>
      <c r="D33" s="1929" t="e">
        <f>($C$9*36)/((($B$8-$C33)/12)*(36-B33)*'Product Data'!$P$23)</f>
        <v>#N/A</v>
      </c>
      <c r="F33" s="1927">
        <f t="shared" si="5"/>
        <v>0</v>
      </c>
      <c r="G33" s="1928">
        <v>1.16000000000001E-2</v>
      </c>
      <c r="H33" s="1929" t="e">
        <f>($G$9*36)/((($F$8-$G33)/12)*(36-F33)*'Product Data'!$P$23)</f>
        <v>#N/A</v>
      </c>
      <c r="J33" s="1927">
        <f t="shared" si="6"/>
        <v>0</v>
      </c>
      <c r="K33" s="1928">
        <v>1.16000000000001E-2</v>
      </c>
      <c r="L33" s="1929" t="e">
        <f>($K$9*36)/((($J$8-$K33)/12)*(36-J33)*'Product Data'!$P$23)</f>
        <v>#N/A</v>
      </c>
      <c r="N33" s="1927">
        <f t="shared" si="7"/>
        <v>0</v>
      </c>
      <c r="O33" s="2392">
        <v>1.16000000000001E-2</v>
      </c>
      <c r="P33" s="1929" t="e">
        <f>($O$9*36)/((($N$8-$O33)/12)*(36-N33)*'Product Data'!$P$23)</f>
        <v>#N/A</v>
      </c>
      <c r="R33" s="1927" t="s">
        <v>434</v>
      </c>
      <c r="S33" s="1928">
        <f>IF(AND('BTL Calculator'!V3 = "Retention ",'BTL Calculator'!X3=0.75),'Product Data'!G192,
IF(AND('BTL Calculator'!V3="Retention ",'BTL Calculator'!X3=0.65),'Product Data'!G214,
'Product Data'!C87))</f>
        <v>8.6899999999999991E-2</v>
      </c>
      <c r="T33" s="2337">
        <f>IF(AND('BTL Calculator'!V3 = "Retention ",'BTL Calculator'!X3=0.75),'Product Data'!G197,
IF(AND('BTL Calculator'!V3="Retention ",'BTL Calculator'!X3=0.65),'Product Data'!G219,
'Product Data'!C93))</f>
        <v>7.9899999999999999E-2</v>
      </c>
      <c r="U33" s="2337">
        <f>IF(AND('BTL Calculator'!V3 = "Retention ",'BTL Calculator'!X3=0.75),'Product Data'!G202,
IF(AND('BTL Calculator'!V3 = "Retention ",'BTL Calculator'!X3=0.65),'Product Data'!G224,
'Product Data'!C99))</f>
        <v>7.2900000000000006E-2</v>
      </c>
      <c r="V33" s="2337">
        <f>IF(AND('BTL Calculator'!V3 = "Retention ",'BTL Calculator'!X3=0.75),'Product Data'!G207,
IF(AND('BTL Calculator'!V3 = "Retention ",'BTL Calculator'!X3=0.65),'Product Data'!G229,
'Product Data'!C105))</f>
        <v>8.3599999999999994E-2</v>
      </c>
      <c r="W33" s="1932">
        <f>+IF(AND('BTL Calculator'!V3 = "Retention ",'BTL Calculator'!X3=0.75),0.75,
IF(AND('BTL Calculator'!V3 = "Retention ",'BTL Calculator'!X3=0.65),0.65,0.75))</f>
        <v>0.75</v>
      </c>
    </row>
    <row r="34" spans="2:23" x14ac:dyDescent="0.25">
      <c r="B34" s="1927">
        <f t="shared" si="4"/>
        <v>0</v>
      </c>
      <c r="C34" s="1928">
        <v>1.15000000000001E-2</v>
      </c>
      <c r="D34" s="1929" t="e">
        <f>($C$9*36)/((($B$8-$C34)/12)*(36-B34)*'Product Data'!$P$23)</f>
        <v>#N/A</v>
      </c>
      <c r="F34" s="1927">
        <f t="shared" si="5"/>
        <v>0</v>
      </c>
      <c r="G34" s="1928">
        <v>1.15000000000001E-2</v>
      </c>
      <c r="H34" s="1929" t="e">
        <f>($G$9*36)/((($F$8-$G34)/12)*(36-F34)*'Product Data'!$P$23)</f>
        <v>#N/A</v>
      </c>
      <c r="J34" s="1927">
        <f t="shared" si="6"/>
        <v>0</v>
      </c>
      <c r="K34" s="1928">
        <v>1.15000000000001E-2</v>
      </c>
      <c r="L34" s="1929" t="e">
        <f>($K$9*36)/((($J$8-$K34)/12)*(36-J34)*'Product Data'!$P$23)</f>
        <v>#N/A</v>
      </c>
      <c r="N34" s="1927">
        <f t="shared" si="7"/>
        <v>0</v>
      </c>
      <c r="O34" s="1928">
        <v>1.15000000000001E-2</v>
      </c>
      <c r="P34" s="1929" t="e">
        <f>($O$9*36)/((($N$8-$O34)/12)*(36-N34)*'Product Data'!$P$23)</f>
        <v>#N/A</v>
      </c>
      <c r="R34" s="1927"/>
      <c r="S34" s="1928"/>
      <c r="T34" s="2337"/>
      <c r="U34" s="2337"/>
      <c r="V34" s="2337"/>
      <c r="W34" s="1932"/>
    </row>
    <row r="35" spans="2:23" x14ac:dyDescent="0.25">
      <c r="B35" s="1927">
        <f t="shared" si="4"/>
        <v>0</v>
      </c>
      <c r="C35" s="1928">
        <v>1.1400000000000099E-2</v>
      </c>
      <c r="D35" s="1929" t="e">
        <f>($C$9*36)/((($B$8-$C35)/12)*(36-B35)*'Product Data'!$P$23)</f>
        <v>#N/A</v>
      </c>
      <c r="F35" s="1927">
        <f t="shared" si="5"/>
        <v>0</v>
      </c>
      <c r="G35" s="1928">
        <v>1.1400000000000099E-2</v>
      </c>
      <c r="H35" s="1929" t="e">
        <f>($G$9*36)/((($F$8-$G35)/12)*(36-F35)*'Product Data'!$P$23)</f>
        <v>#N/A</v>
      </c>
      <c r="J35" s="1927">
        <f t="shared" si="6"/>
        <v>0</v>
      </c>
      <c r="K35" s="1928">
        <v>1.1400000000000099E-2</v>
      </c>
      <c r="L35" s="1929" t="e">
        <f>($K$9*36)/((($J$8-$K35)/12)*(36-J35)*'Product Data'!$P$23)</f>
        <v>#N/A</v>
      </c>
      <c r="N35" s="1927">
        <f t="shared" si="7"/>
        <v>0</v>
      </c>
      <c r="O35" s="1928">
        <v>1.1400000000000099E-2</v>
      </c>
      <c r="P35" s="1929" t="e">
        <f>($O$9*36)/((($N$8-$O35)/12)*(36-N35)*'Product Data'!$P$23)</f>
        <v>#N/A</v>
      </c>
    </row>
    <row r="36" spans="2:23" x14ac:dyDescent="0.25">
      <c r="B36" s="1927">
        <f t="shared" si="4"/>
        <v>0</v>
      </c>
      <c r="C36" s="1928">
        <v>1.1299999999999999E-2</v>
      </c>
      <c r="D36" s="1929" t="e">
        <f>($C$9*36)/((($B$8-$C36)/12)*(36-B36)*'Product Data'!$P$23)</f>
        <v>#N/A</v>
      </c>
      <c r="F36" s="1927">
        <f t="shared" si="5"/>
        <v>0</v>
      </c>
      <c r="G36" s="1928">
        <v>1.1299999999999999E-2</v>
      </c>
      <c r="H36" s="1929" t="e">
        <f>($G$9*36)/((($F$8-$G36)/12)*(36-F36)*'Product Data'!$P$23)</f>
        <v>#N/A</v>
      </c>
      <c r="J36" s="1927">
        <f t="shared" si="6"/>
        <v>0</v>
      </c>
      <c r="K36" s="1928">
        <v>1.1299999999999999E-2</v>
      </c>
      <c r="L36" s="1929" t="e">
        <f>($K$9*36)/((($J$8-$K36)/12)*(36-J36)*'Product Data'!$P$23)</f>
        <v>#N/A</v>
      </c>
      <c r="N36" s="1927">
        <f t="shared" si="7"/>
        <v>0</v>
      </c>
      <c r="O36" s="2392">
        <v>1.1299999999999999E-2</v>
      </c>
      <c r="P36" s="1929" t="e">
        <f>($O$9*36)/((($N$8-$O36)/12)*(36-N36)*'Product Data'!$P$23)</f>
        <v>#N/A</v>
      </c>
    </row>
    <row r="37" spans="2:23" x14ac:dyDescent="0.25">
      <c r="B37" s="1927">
        <f t="shared" si="4"/>
        <v>0</v>
      </c>
      <c r="C37" s="1928">
        <v>1.1200000000000101E-2</v>
      </c>
      <c r="D37" s="1929" t="e">
        <f>($C$9*36)/((($B$8-$C37)/12)*(36-B37)*'Product Data'!$P$23)</f>
        <v>#N/A</v>
      </c>
      <c r="F37" s="1927">
        <f t="shared" si="5"/>
        <v>0</v>
      </c>
      <c r="G37" s="1928">
        <v>1.1200000000000101E-2</v>
      </c>
      <c r="H37" s="1929" t="e">
        <f>($G$9*36)/((($F$8-$G37)/12)*(36-F37)*'Product Data'!$P$23)</f>
        <v>#N/A</v>
      </c>
      <c r="J37" s="1927">
        <f t="shared" si="6"/>
        <v>0</v>
      </c>
      <c r="K37" s="1928">
        <v>1.1200000000000101E-2</v>
      </c>
      <c r="L37" s="1929" t="e">
        <f>($K$9*36)/((($J$8-$K37)/12)*(36-J37)*'Product Data'!$P$23)</f>
        <v>#N/A</v>
      </c>
      <c r="N37" s="1927">
        <f t="shared" si="7"/>
        <v>0</v>
      </c>
      <c r="O37" s="1928">
        <v>1.1200000000000101E-2</v>
      </c>
      <c r="P37" s="1929" t="e">
        <f>($O$9*36)/((($N$8-$O37)/12)*(36-N37)*'Product Data'!$P$23)</f>
        <v>#N/A</v>
      </c>
    </row>
    <row r="38" spans="2:23" x14ac:dyDescent="0.25">
      <c r="B38" s="1927">
        <f t="shared" si="4"/>
        <v>0</v>
      </c>
      <c r="C38" s="1928">
        <v>1.1100000000000099E-2</v>
      </c>
      <c r="D38" s="1929" t="e">
        <f>($C$9*36)/((($B$8-$C38)/12)*(36-B38)*'Product Data'!$P$23)</f>
        <v>#N/A</v>
      </c>
      <c r="F38" s="1927">
        <f t="shared" si="5"/>
        <v>0</v>
      </c>
      <c r="G38" s="1928">
        <v>1.1100000000000099E-2</v>
      </c>
      <c r="H38" s="1929" t="e">
        <f>($G$9*36)/((($F$8-$G38)/12)*(36-F38)*'Product Data'!$P$23)</f>
        <v>#N/A</v>
      </c>
      <c r="J38" s="1927">
        <f t="shared" si="6"/>
        <v>0</v>
      </c>
      <c r="K38" s="1928">
        <v>1.1100000000000099E-2</v>
      </c>
      <c r="L38" s="1929" t="e">
        <f>($K$9*36)/((($J$8-$K38)/12)*(36-J38)*'Product Data'!$P$23)</f>
        <v>#N/A</v>
      </c>
      <c r="N38" s="1927">
        <f t="shared" si="7"/>
        <v>0</v>
      </c>
      <c r="O38" s="1928">
        <v>1.1100000000000099E-2</v>
      </c>
      <c r="P38" s="1929" t="e">
        <f>($O$9*36)/((($N$8-$O38)/12)*(36-N38)*'Product Data'!$P$23)</f>
        <v>#N/A</v>
      </c>
    </row>
    <row r="39" spans="2:23" x14ac:dyDescent="0.25">
      <c r="B39" s="1927">
        <f t="shared" si="4"/>
        <v>0</v>
      </c>
      <c r="C39" s="1928">
        <v>1.0999999999999999E-2</v>
      </c>
      <c r="D39" s="1929" t="e">
        <f>($C$9*36)/((($B$8-$C39)/12)*(36-B39)*'Product Data'!$P$23)</f>
        <v>#N/A</v>
      </c>
      <c r="F39" s="1927">
        <f t="shared" si="5"/>
        <v>0</v>
      </c>
      <c r="G39" s="1928">
        <v>1.0999999999999999E-2</v>
      </c>
      <c r="H39" s="1929" t="e">
        <f>($G$9*36)/((($F$8-$G39)/12)*(36-F39)*'Product Data'!$P$23)</f>
        <v>#N/A</v>
      </c>
      <c r="J39" s="1927">
        <f t="shared" si="6"/>
        <v>0</v>
      </c>
      <c r="K39" s="1928">
        <v>1.0999999999999999E-2</v>
      </c>
      <c r="L39" s="1929" t="e">
        <f>($K$9*36)/((($J$8-$K39)/12)*(36-J39)*'Product Data'!$P$23)</f>
        <v>#N/A</v>
      </c>
      <c r="N39" s="1927">
        <f t="shared" si="7"/>
        <v>0</v>
      </c>
      <c r="O39" s="2392">
        <v>1.0999999999999999E-2</v>
      </c>
      <c r="P39" s="1929" t="e">
        <f>($O$9*36)/((($N$8-$O39)/12)*(36-N39)*'Product Data'!$P$23)</f>
        <v>#N/A</v>
      </c>
    </row>
    <row r="40" spans="2:23" x14ac:dyDescent="0.25">
      <c r="B40" s="1927">
        <f t="shared" si="4"/>
        <v>0</v>
      </c>
      <c r="C40" s="1928">
        <v>1.0900000000000101E-2</v>
      </c>
      <c r="D40" s="1929" t="e">
        <f>($C$9*36)/((($B$8-$C40)/12)*(36-B40)*'Product Data'!$P$23)</f>
        <v>#N/A</v>
      </c>
      <c r="F40" s="1927">
        <f t="shared" si="5"/>
        <v>0</v>
      </c>
      <c r="G40" s="1928">
        <v>1.0900000000000101E-2</v>
      </c>
      <c r="H40" s="1929" t="e">
        <f>($G$9*36)/((($F$8-$G40)/12)*(36-F40)*'Product Data'!$P$23)</f>
        <v>#N/A</v>
      </c>
      <c r="J40" s="1927">
        <f t="shared" si="6"/>
        <v>0</v>
      </c>
      <c r="K40" s="1928">
        <v>1.0900000000000101E-2</v>
      </c>
      <c r="L40" s="1929" t="e">
        <f>($K$9*36)/((($J$8-$K40)/12)*(36-J40)*'Product Data'!$P$23)</f>
        <v>#N/A</v>
      </c>
      <c r="N40" s="1927">
        <f t="shared" si="7"/>
        <v>0</v>
      </c>
      <c r="O40" s="1928">
        <v>1.0900000000000101E-2</v>
      </c>
      <c r="P40" s="1929" t="e">
        <f>($O$9*36)/((($N$8-$O40)/12)*(36-N40)*'Product Data'!$P$23)</f>
        <v>#N/A</v>
      </c>
    </row>
    <row r="41" spans="2:23" x14ac:dyDescent="0.25">
      <c r="B41" s="1927">
        <f t="shared" si="4"/>
        <v>0</v>
      </c>
      <c r="C41" s="1928">
        <v>1.0800000000000099E-2</v>
      </c>
      <c r="D41" s="1929" t="e">
        <f>($C$9*36)/((($B$8-$C41)/12)*(36-B41)*'Product Data'!$P$23)</f>
        <v>#N/A</v>
      </c>
      <c r="F41" s="1927">
        <f t="shared" si="5"/>
        <v>0</v>
      </c>
      <c r="G41" s="1928">
        <v>1.0800000000000099E-2</v>
      </c>
      <c r="H41" s="1929" t="e">
        <f>($G$9*36)/((($F$8-$G41)/12)*(36-F41)*'Product Data'!$P$23)</f>
        <v>#N/A</v>
      </c>
      <c r="J41" s="1927">
        <f t="shared" si="6"/>
        <v>0</v>
      </c>
      <c r="K41" s="1928">
        <v>1.0800000000000099E-2</v>
      </c>
      <c r="L41" s="1929" t="e">
        <f>($K$9*36)/((($J$8-$K41)/12)*(36-J41)*'Product Data'!$P$23)</f>
        <v>#N/A</v>
      </c>
      <c r="N41" s="1927">
        <f t="shared" si="7"/>
        <v>0</v>
      </c>
      <c r="O41" s="1928">
        <v>1.0800000000000099E-2</v>
      </c>
      <c r="P41" s="1929" t="e">
        <f>($O$9*36)/((($N$8-$O41)/12)*(36-N41)*'Product Data'!$P$23)</f>
        <v>#N/A</v>
      </c>
    </row>
    <row r="42" spans="2:23" x14ac:dyDescent="0.25">
      <c r="B42" s="1927">
        <f t="shared" si="4"/>
        <v>0</v>
      </c>
      <c r="C42" s="1928">
        <v>1.07000000000001E-2</v>
      </c>
      <c r="D42" s="1929" t="e">
        <f>($C$9*36)/((($B$8-$C42)/12)*(36-B42)*'Product Data'!$P$23)</f>
        <v>#N/A</v>
      </c>
      <c r="F42" s="1927">
        <f t="shared" si="5"/>
        <v>0</v>
      </c>
      <c r="G42" s="1928">
        <v>1.07000000000001E-2</v>
      </c>
      <c r="H42" s="1929" t="e">
        <f>($G$9*36)/((($F$8-$G42)/12)*(36-F42)*'Product Data'!$P$23)</f>
        <v>#N/A</v>
      </c>
      <c r="J42" s="1927">
        <f t="shared" si="6"/>
        <v>0</v>
      </c>
      <c r="K42" s="1928">
        <v>1.07000000000001E-2</v>
      </c>
      <c r="L42" s="1929" t="e">
        <f>($K$9*36)/((($J$8-$K42)/12)*(36-J42)*'Product Data'!$P$23)</f>
        <v>#N/A</v>
      </c>
      <c r="N42" s="1927">
        <f t="shared" si="7"/>
        <v>0</v>
      </c>
      <c r="O42" s="2392">
        <v>1.07000000000001E-2</v>
      </c>
      <c r="P42" s="1929" t="e">
        <f>($O$9*36)/((($N$8-$O42)/12)*(36-N42)*'Product Data'!$P$23)</f>
        <v>#N/A</v>
      </c>
    </row>
    <row r="43" spans="2:23" x14ac:dyDescent="0.25">
      <c r="B43" s="1927">
        <f t="shared" si="4"/>
        <v>0</v>
      </c>
      <c r="C43" s="1928">
        <v>1.0600000000000101E-2</v>
      </c>
      <c r="D43" s="1929" t="e">
        <f>($C$9*36)/((($B$8-$C43)/12)*(36-B43)*'Product Data'!$P$23)</f>
        <v>#N/A</v>
      </c>
      <c r="F43" s="1927">
        <f t="shared" si="5"/>
        <v>0</v>
      </c>
      <c r="G43" s="1928">
        <v>1.0600000000000101E-2</v>
      </c>
      <c r="H43" s="1929" t="e">
        <f>($G$9*36)/((($F$8-$G43)/12)*(36-F43)*'Product Data'!$P$23)</f>
        <v>#N/A</v>
      </c>
      <c r="J43" s="1927">
        <f t="shared" si="6"/>
        <v>0</v>
      </c>
      <c r="K43" s="1928">
        <v>1.0600000000000101E-2</v>
      </c>
      <c r="L43" s="1929" t="e">
        <f>($K$9*36)/((($J$8-$K43)/12)*(36-J43)*'Product Data'!$P$23)</f>
        <v>#N/A</v>
      </c>
      <c r="N43" s="1927">
        <f t="shared" si="7"/>
        <v>0</v>
      </c>
      <c r="O43" s="1928">
        <v>1.0600000000000101E-2</v>
      </c>
      <c r="P43" s="1929" t="e">
        <f>($O$9*36)/((($N$8-$O43)/12)*(36-N43)*'Product Data'!$P$23)</f>
        <v>#N/A</v>
      </c>
    </row>
    <row r="44" spans="2:23" x14ac:dyDescent="0.25">
      <c r="B44" s="1927">
        <f t="shared" si="4"/>
        <v>0</v>
      </c>
      <c r="C44" s="1928">
        <v>1.05000000000001E-2</v>
      </c>
      <c r="D44" s="1929" t="e">
        <f>($C$9*36)/((($B$8-$C44)/12)*(36-B44)*'Product Data'!$P$23)</f>
        <v>#N/A</v>
      </c>
      <c r="F44" s="1927">
        <f t="shared" si="5"/>
        <v>0</v>
      </c>
      <c r="G44" s="1928">
        <v>1.05000000000001E-2</v>
      </c>
      <c r="H44" s="1929" t="e">
        <f>($G$9*36)/((($F$8-$G44)/12)*(36-F44)*'Product Data'!$P$23)</f>
        <v>#N/A</v>
      </c>
      <c r="J44" s="1927">
        <f t="shared" si="6"/>
        <v>0</v>
      </c>
      <c r="K44" s="1928">
        <v>1.05000000000001E-2</v>
      </c>
      <c r="L44" s="1929" t="e">
        <f>($K$9*36)/((($J$8-$K44)/12)*(36-J44)*'Product Data'!$P$23)</f>
        <v>#N/A</v>
      </c>
      <c r="N44" s="1927">
        <f t="shared" si="7"/>
        <v>0</v>
      </c>
      <c r="O44" s="1928">
        <v>1.05000000000001E-2</v>
      </c>
      <c r="P44" s="1929" t="e">
        <f>($O$9*36)/((($N$8-$O44)/12)*(36-N44)*'Product Data'!$P$23)</f>
        <v>#N/A</v>
      </c>
    </row>
    <row r="45" spans="2:23" x14ac:dyDescent="0.25">
      <c r="B45" s="1927">
        <f t="shared" si="4"/>
        <v>0</v>
      </c>
      <c r="C45" s="1928">
        <v>1.04000000000001E-2</v>
      </c>
      <c r="D45" s="1929" t="e">
        <f>($C$9*36)/((($B$8-$C45)/12)*(36-B45)*'Product Data'!$P$23)</f>
        <v>#N/A</v>
      </c>
      <c r="F45" s="1927">
        <f t="shared" si="5"/>
        <v>0</v>
      </c>
      <c r="G45" s="1928">
        <v>1.04000000000001E-2</v>
      </c>
      <c r="H45" s="1929" t="e">
        <f>($G$9*36)/((($F$8-$G45)/12)*(36-F45)*'Product Data'!$P$23)</f>
        <v>#N/A</v>
      </c>
      <c r="J45" s="1927">
        <f t="shared" si="6"/>
        <v>0</v>
      </c>
      <c r="K45" s="1928">
        <v>1.04000000000001E-2</v>
      </c>
      <c r="L45" s="1929" t="e">
        <f>($K$9*36)/((($J$8-$K45)/12)*(36-J45)*'Product Data'!$P$23)</f>
        <v>#N/A</v>
      </c>
      <c r="N45" s="1927">
        <f t="shared" si="7"/>
        <v>0</v>
      </c>
      <c r="O45" s="2392">
        <v>1.04000000000001E-2</v>
      </c>
      <c r="P45" s="1929" t="e">
        <f>($O$9*36)/((($N$8-$O45)/12)*(36-N45)*'Product Data'!$P$23)</f>
        <v>#N/A</v>
      </c>
    </row>
    <row r="46" spans="2:23" x14ac:dyDescent="0.25">
      <c r="B46" s="1927">
        <f t="shared" si="4"/>
        <v>0</v>
      </c>
      <c r="C46" s="1928">
        <v>1.0300000000000101E-2</v>
      </c>
      <c r="D46" s="1929" t="e">
        <f>($C$9*36)/((($B$8-$C46)/12)*(36-B46)*'Product Data'!$P$23)</f>
        <v>#N/A</v>
      </c>
      <c r="F46" s="1927">
        <f t="shared" si="5"/>
        <v>0</v>
      </c>
      <c r="G46" s="1928">
        <v>1.0300000000000101E-2</v>
      </c>
      <c r="H46" s="1929" t="e">
        <f>($G$9*36)/((($F$8-$G46)/12)*(36-F46)*'Product Data'!$P$23)</f>
        <v>#N/A</v>
      </c>
      <c r="J46" s="1927">
        <f t="shared" si="6"/>
        <v>0</v>
      </c>
      <c r="K46" s="1928">
        <v>1.0300000000000101E-2</v>
      </c>
      <c r="L46" s="1929" t="e">
        <f>($K$9*36)/((($J$8-$K46)/12)*(36-J46)*'Product Data'!$P$23)</f>
        <v>#N/A</v>
      </c>
      <c r="N46" s="1927">
        <f t="shared" si="7"/>
        <v>0</v>
      </c>
      <c r="O46" s="1928">
        <v>1.0300000000000101E-2</v>
      </c>
      <c r="P46" s="1929" t="e">
        <f>($O$9*36)/((($N$8-$O46)/12)*(36-N46)*'Product Data'!$P$23)</f>
        <v>#N/A</v>
      </c>
    </row>
    <row r="47" spans="2:23" x14ac:dyDescent="0.25">
      <c r="B47" s="1927">
        <f t="shared" si="4"/>
        <v>0</v>
      </c>
      <c r="C47" s="1928">
        <v>1.02000000000001E-2</v>
      </c>
      <c r="D47" s="1929" t="e">
        <f>($C$9*36)/((($B$8-$C47)/12)*(36-B47)*'Product Data'!$P$23)</f>
        <v>#N/A</v>
      </c>
      <c r="F47" s="1927">
        <f t="shared" si="5"/>
        <v>0</v>
      </c>
      <c r="G47" s="1928">
        <v>1.02000000000001E-2</v>
      </c>
      <c r="H47" s="1929" t="e">
        <f>($G$9*36)/((($F$8-$G47)/12)*(36-F47)*'Product Data'!$P$23)</f>
        <v>#N/A</v>
      </c>
      <c r="J47" s="1927">
        <f t="shared" si="6"/>
        <v>0</v>
      </c>
      <c r="K47" s="1928">
        <v>1.02000000000001E-2</v>
      </c>
      <c r="L47" s="1929" t="e">
        <f>($K$9*36)/((($J$8-$K47)/12)*(36-J47)*'Product Data'!$P$23)</f>
        <v>#N/A</v>
      </c>
      <c r="N47" s="1927">
        <f t="shared" si="7"/>
        <v>0</v>
      </c>
      <c r="O47" s="1928">
        <v>1.02000000000001E-2</v>
      </c>
      <c r="P47" s="1929" t="e">
        <f>($O$9*36)/((($N$8-$O47)/12)*(36-N47)*'Product Data'!$P$23)</f>
        <v>#N/A</v>
      </c>
    </row>
    <row r="48" spans="2:23" x14ac:dyDescent="0.25">
      <c r="B48" s="1927">
        <f t="shared" si="4"/>
        <v>0</v>
      </c>
      <c r="C48" s="1928">
        <v>1.01000000000001E-2</v>
      </c>
      <c r="D48" s="1929" t="e">
        <f>($C$9*36)/((($B$8-$C48)/12)*(36-B48)*'Product Data'!$P$23)</f>
        <v>#N/A</v>
      </c>
      <c r="F48" s="1927">
        <f t="shared" si="5"/>
        <v>0</v>
      </c>
      <c r="G48" s="1928">
        <v>1.01000000000001E-2</v>
      </c>
      <c r="H48" s="1929" t="e">
        <f>($G$9*36)/((($F$8-$G48)/12)*(36-F48)*'Product Data'!$P$23)</f>
        <v>#N/A</v>
      </c>
      <c r="J48" s="1927">
        <f t="shared" si="6"/>
        <v>0</v>
      </c>
      <c r="K48" s="1928">
        <v>1.01000000000001E-2</v>
      </c>
      <c r="L48" s="1929" t="e">
        <f>($K$9*36)/((($J$8-$K48)/12)*(36-J48)*'Product Data'!$P$23)</f>
        <v>#N/A</v>
      </c>
      <c r="N48" s="1927">
        <f t="shared" si="7"/>
        <v>0</v>
      </c>
      <c r="O48" s="2392">
        <v>1.01000000000001E-2</v>
      </c>
      <c r="P48" s="1929" t="e">
        <f>($O$9*36)/((($N$8-$O48)/12)*(36-N48)*'Product Data'!$P$23)</f>
        <v>#N/A</v>
      </c>
    </row>
    <row r="49" spans="2:16" x14ac:dyDescent="0.25">
      <c r="B49" s="1927">
        <f t="shared" si="4"/>
        <v>0</v>
      </c>
      <c r="C49" s="1928">
        <v>1.0000000000000101E-2</v>
      </c>
      <c r="D49" s="1929" t="e">
        <f>($C$9*36)/((($B$8-$C49)/12)*(36-B49)*'Product Data'!$P$23)</f>
        <v>#N/A</v>
      </c>
      <c r="F49" s="1927">
        <f t="shared" si="5"/>
        <v>0</v>
      </c>
      <c r="G49" s="1928">
        <v>1.0000000000000101E-2</v>
      </c>
      <c r="H49" s="1929" t="e">
        <f>($G$9*36)/((($F$8-$G49)/12)*(36-F49)*'Product Data'!$P$23)</f>
        <v>#N/A</v>
      </c>
      <c r="J49" s="1927">
        <f t="shared" si="6"/>
        <v>0</v>
      </c>
      <c r="K49" s="1928">
        <v>1.0000000000000101E-2</v>
      </c>
      <c r="L49" s="1929" t="e">
        <f>($K$9*36)/((($J$8-$K49)/12)*(36-J49)*'Product Data'!$P$23)</f>
        <v>#N/A</v>
      </c>
      <c r="N49" s="1927">
        <f t="shared" si="7"/>
        <v>0</v>
      </c>
      <c r="O49" s="1928">
        <v>1.0000000000000101E-2</v>
      </c>
      <c r="P49" s="1929" t="e">
        <f>($O$9*36)/((($N$8-$O49)/12)*(36-N49)*'Product Data'!$P$23)</f>
        <v>#N/A</v>
      </c>
    </row>
    <row r="50" spans="2:16" x14ac:dyDescent="0.25">
      <c r="B50" s="1927">
        <f t="shared" si="4"/>
        <v>0</v>
      </c>
      <c r="C50" s="1928">
        <v>9.9000000000000997E-3</v>
      </c>
      <c r="D50" s="1929" t="e">
        <f>($C$9*36)/((($B$8-$C50)/12)*(36-B50)*'Product Data'!$P$23)</f>
        <v>#N/A</v>
      </c>
      <c r="F50" s="1927">
        <f t="shared" si="5"/>
        <v>0</v>
      </c>
      <c r="G50" s="1928">
        <v>9.9000000000000997E-3</v>
      </c>
      <c r="H50" s="1929" t="e">
        <f>($G$9*36)/((($F$8-$G50)/12)*(36-F50)*'Product Data'!$P$23)</f>
        <v>#N/A</v>
      </c>
      <c r="J50" s="1927">
        <f t="shared" si="6"/>
        <v>0</v>
      </c>
      <c r="K50" s="1928">
        <v>9.9000000000000997E-3</v>
      </c>
      <c r="L50" s="1929" t="e">
        <f>($K$9*36)/((($J$8-$K50)/12)*(36-J50)*'Product Data'!$P$23)</f>
        <v>#N/A</v>
      </c>
      <c r="N50" s="1927">
        <f t="shared" si="7"/>
        <v>0</v>
      </c>
      <c r="O50" s="1928">
        <v>9.9000000000000997E-3</v>
      </c>
      <c r="P50" s="1929" t="e">
        <f>($O$9*36)/((($N$8-$O50)/12)*(36-N50)*'Product Data'!$P$23)</f>
        <v>#N/A</v>
      </c>
    </row>
    <row r="51" spans="2:16" x14ac:dyDescent="0.25">
      <c r="B51" s="1927">
        <f t="shared" si="4"/>
        <v>0</v>
      </c>
      <c r="C51" s="1928">
        <v>9.8000000000001003E-3</v>
      </c>
      <c r="D51" s="1929" t="e">
        <f>($C$9*36)/((($B$8-$C51)/12)*(36-B51)*'Product Data'!$P$23)</f>
        <v>#N/A</v>
      </c>
      <c r="F51" s="1927">
        <f t="shared" si="5"/>
        <v>0</v>
      </c>
      <c r="G51" s="1928">
        <v>9.8000000000001003E-3</v>
      </c>
      <c r="H51" s="1929" t="e">
        <f>($G$9*36)/((($F$8-$G51)/12)*(36-F51)*'Product Data'!$P$23)</f>
        <v>#N/A</v>
      </c>
      <c r="J51" s="1927">
        <f t="shared" si="6"/>
        <v>0</v>
      </c>
      <c r="K51" s="1928">
        <v>9.8000000000001003E-3</v>
      </c>
      <c r="L51" s="1929" t="e">
        <f>($K$9*36)/((($J$8-$K51)/12)*(36-J51)*'Product Data'!$P$23)</f>
        <v>#N/A</v>
      </c>
      <c r="N51" s="1927">
        <f t="shared" si="7"/>
        <v>0</v>
      </c>
      <c r="O51" s="2392">
        <v>9.8000000000001003E-3</v>
      </c>
      <c r="P51" s="1929" t="e">
        <f>($O$9*36)/((($N$8-$O51)/12)*(36-N51)*'Product Data'!$P$23)</f>
        <v>#N/A</v>
      </c>
    </row>
    <row r="52" spans="2:16" x14ac:dyDescent="0.25">
      <c r="B52" s="1927">
        <f t="shared" si="4"/>
        <v>0</v>
      </c>
      <c r="C52" s="1928">
        <v>9.7000000000000992E-3</v>
      </c>
      <c r="D52" s="1929" t="e">
        <f>($C$9*36)/((($B$8-$C52)/12)*(36-B52)*'Product Data'!$P$23)</f>
        <v>#N/A</v>
      </c>
      <c r="F52" s="1927">
        <f t="shared" si="5"/>
        <v>0</v>
      </c>
      <c r="G52" s="1928">
        <v>9.7000000000000992E-3</v>
      </c>
      <c r="H52" s="1929" t="e">
        <f>($G$9*36)/((($F$8-$G52)/12)*(36-F52)*'Product Data'!$P$23)</f>
        <v>#N/A</v>
      </c>
      <c r="J52" s="1927">
        <f t="shared" si="6"/>
        <v>0</v>
      </c>
      <c r="K52" s="1928">
        <v>9.7000000000000992E-3</v>
      </c>
      <c r="L52" s="1929" t="e">
        <f>($K$9*36)/((($J$8-$K52)/12)*(36-J52)*'Product Data'!$P$23)</f>
        <v>#N/A</v>
      </c>
      <c r="N52" s="1927">
        <f t="shared" si="7"/>
        <v>0</v>
      </c>
      <c r="O52" s="1928">
        <v>9.7000000000000992E-3</v>
      </c>
      <c r="P52" s="1929" t="e">
        <f>($O$9*36)/((($N$8-$O52)/12)*(36-N52)*'Product Data'!$P$23)</f>
        <v>#N/A</v>
      </c>
    </row>
    <row r="53" spans="2:16" x14ac:dyDescent="0.25">
      <c r="B53" s="1927">
        <f t="shared" si="4"/>
        <v>0</v>
      </c>
      <c r="C53" s="1928">
        <v>9.6000000000000998E-3</v>
      </c>
      <c r="D53" s="1929" t="e">
        <f>($C$9*36)/((($B$8-$C53)/12)*(36-B53)*'Product Data'!$P$23)</f>
        <v>#N/A</v>
      </c>
      <c r="F53" s="1927">
        <f t="shared" si="5"/>
        <v>0</v>
      </c>
      <c r="G53" s="1928">
        <v>9.6000000000000998E-3</v>
      </c>
      <c r="H53" s="1929" t="e">
        <f>($G$9*36)/((($F$8-$G53)/12)*(36-F53)*'Product Data'!$P$23)</f>
        <v>#N/A</v>
      </c>
      <c r="J53" s="1927">
        <f t="shared" si="6"/>
        <v>0</v>
      </c>
      <c r="K53" s="1928">
        <v>9.6000000000000998E-3</v>
      </c>
      <c r="L53" s="1929" t="e">
        <f>($K$9*36)/((($J$8-$K53)/12)*(36-J53)*'Product Data'!$P$23)</f>
        <v>#N/A</v>
      </c>
      <c r="N53" s="1927">
        <f t="shared" si="7"/>
        <v>0</v>
      </c>
      <c r="O53" s="1928">
        <v>9.6000000000000998E-3</v>
      </c>
      <c r="P53" s="1929" t="e">
        <f>($O$9*36)/((($N$8-$O53)/12)*(36-N53)*'Product Data'!$P$23)</f>
        <v>#N/A</v>
      </c>
    </row>
    <row r="54" spans="2:16" x14ac:dyDescent="0.25">
      <c r="B54" s="1927">
        <f t="shared" si="4"/>
        <v>0</v>
      </c>
      <c r="C54" s="1928">
        <v>9.5000000000001004E-3</v>
      </c>
      <c r="D54" s="1929" t="e">
        <f>($C$9*36)/((($B$8-$C54)/12)*(36-B54)*'Product Data'!$P$23)</f>
        <v>#N/A</v>
      </c>
      <c r="F54" s="1927">
        <f t="shared" si="5"/>
        <v>0</v>
      </c>
      <c r="G54" s="1928">
        <v>9.5000000000001004E-3</v>
      </c>
      <c r="H54" s="1929" t="e">
        <f>($G$9*36)/((($F$8-$G54)/12)*(36-F54)*'Product Data'!$P$23)</f>
        <v>#N/A</v>
      </c>
      <c r="J54" s="1927">
        <f t="shared" si="6"/>
        <v>0</v>
      </c>
      <c r="K54" s="1928">
        <v>9.5000000000001004E-3</v>
      </c>
      <c r="L54" s="1929" t="e">
        <f>($K$9*36)/((($J$8-$K54)/12)*(36-J54)*'Product Data'!$P$23)</f>
        <v>#N/A</v>
      </c>
      <c r="N54" s="1927">
        <f t="shared" si="7"/>
        <v>0</v>
      </c>
      <c r="O54" s="2392">
        <v>9.5000000000001004E-3</v>
      </c>
      <c r="P54" s="1929" t="e">
        <f>($O$9*36)/((($N$8-$O54)/12)*(36-N54)*'Product Data'!$P$23)</f>
        <v>#N/A</v>
      </c>
    </row>
    <row r="55" spans="2:16" x14ac:dyDescent="0.25">
      <c r="B55" s="1927">
        <f t="shared" si="4"/>
        <v>0</v>
      </c>
      <c r="C55" s="1928">
        <v>9.4000000000000992E-3</v>
      </c>
      <c r="D55" s="1929" t="e">
        <f>($C$9*36)/((($B$8-$C55)/12)*(36-B55)*'Product Data'!$P$23)</f>
        <v>#N/A</v>
      </c>
      <c r="F55" s="1927">
        <f t="shared" si="5"/>
        <v>0</v>
      </c>
      <c r="G55" s="1928">
        <v>9.4000000000000992E-3</v>
      </c>
      <c r="H55" s="1929" t="e">
        <f>($G$9*36)/((($F$8-$G55)/12)*(36-F55)*'Product Data'!$P$23)</f>
        <v>#N/A</v>
      </c>
      <c r="J55" s="1927">
        <f t="shared" si="6"/>
        <v>0</v>
      </c>
      <c r="K55" s="1928">
        <v>9.4000000000000992E-3</v>
      </c>
      <c r="L55" s="1929" t="e">
        <f>($K$9*36)/((($J$8-$K55)/12)*(36-J55)*'Product Data'!$P$23)</f>
        <v>#N/A</v>
      </c>
      <c r="N55" s="1927">
        <f t="shared" si="7"/>
        <v>0</v>
      </c>
      <c r="O55" s="1928">
        <v>9.4000000000000992E-3</v>
      </c>
      <c r="P55" s="1929" t="e">
        <f>($O$9*36)/((($N$8-$O55)/12)*(36-N55)*'Product Data'!$P$23)</f>
        <v>#N/A</v>
      </c>
    </row>
    <row r="56" spans="2:16" x14ac:dyDescent="0.25">
      <c r="B56" s="1927">
        <f t="shared" si="4"/>
        <v>0</v>
      </c>
      <c r="C56" s="1928">
        <v>9.3000000000000999E-3</v>
      </c>
      <c r="D56" s="1929" t="e">
        <f>($C$9*36)/((($B$8-$C56)/12)*(36-B56)*'Product Data'!$P$23)</f>
        <v>#N/A</v>
      </c>
      <c r="F56" s="1927">
        <f t="shared" si="5"/>
        <v>0</v>
      </c>
      <c r="G56" s="1928">
        <v>9.3000000000000999E-3</v>
      </c>
      <c r="H56" s="1929" t="e">
        <f>($G$9*36)/((($F$8-$G56)/12)*(36-F56)*'Product Data'!$P$23)</f>
        <v>#N/A</v>
      </c>
      <c r="J56" s="1927">
        <f t="shared" si="6"/>
        <v>0</v>
      </c>
      <c r="K56" s="1928">
        <v>9.3000000000000999E-3</v>
      </c>
      <c r="L56" s="1929" t="e">
        <f>($K$9*36)/((($J$8-$K56)/12)*(36-J56)*'Product Data'!$P$23)</f>
        <v>#N/A</v>
      </c>
      <c r="N56" s="1927">
        <f t="shared" si="7"/>
        <v>0</v>
      </c>
      <c r="O56" s="1928">
        <v>9.3000000000000999E-3</v>
      </c>
      <c r="P56" s="1929" t="e">
        <f>($O$9*36)/((($N$8-$O56)/12)*(36-N56)*'Product Data'!$P$23)</f>
        <v>#N/A</v>
      </c>
    </row>
    <row r="57" spans="2:16" x14ac:dyDescent="0.25">
      <c r="B57" s="1927">
        <f t="shared" si="4"/>
        <v>0</v>
      </c>
      <c r="C57" s="1928">
        <v>9.2000000000001005E-3</v>
      </c>
      <c r="D57" s="1929" t="e">
        <f>($C$9*36)/((($B$8-$C57)/12)*(36-B57)*'Product Data'!$P$23)</f>
        <v>#N/A</v>
      </c>
      <c r="F57" s="1927">
        <f t="shared" si="5"/>
        <v>0</v>
      </c>
      <c r="G57" s="1928">
        <v>9.2000000000001005E-3</v>
      </c>
      <c r="H57" s="1929" t="e">
        <f>($G$9*36)/((($F$8-$G57)/12)*(36-F57)*'Product Data'!$P$23)</f>
        <v>#N/A</v>
      </c>
      <c r="J57" s="1927">
        <f t="shared" si="6"/>
        <v>0</v>
      </c>
      <c r="K57" s="1928">
        <v>9.2000000000001005E-3</v>
      </c>
      <c r="L57" s="1929" t="e">
        <f>($K$9*36)/((($J$8-$K57)/12)*(36-J57)*'Product Data'!$P$23)</f>
        <v>#N/A</v>
      </c>
      <c r="N57" s="1927">
        <f t="shared" si="7"/>
        <v>0</v>
      </c>
      <c r="O57" s="2392">
        <v>9.2000000000001005E-3</v>
      </c>
      <c r="P57" s="1929" t="e">
        <f>($O$9*36)/((($N$8-$O57)/12)*(36-N57)*'Product Data'!$P$23)</f>
        <v>#N/A</v>
      </c>
    </row>
    <row r="58" spans="2:16" x14ac:dyDescent="0.25">
      <c r="B58" s="1927">
        <f t="shared" si="4"/>
        <v>0</v>
      </c>
      <c r="C58" s="1928">
        <v>9.1000000000000993E-3</v>
      </c>
      <c r="D58" s="1929" t="e">
        <f>($C$9*36)/((($B$8-$C58)/12)*(36-B58)*'Product Data'!$P$23)</f>
        <v>#N/A</v>
      </c>
      <c r="F58" s="1927">
        <f t="shared" si="5"/>
        <v>0</v>
      </c>
      <c r="G58" s="1928">
        <v>9.1000000000000993E-3</v>
      </c>
      <c r="H58" s="1929" t="e">
        <f>($G$9*36)/((($F$8-$G58)/12)*(36-F58)*'Product Data'!$P$23)</f>
        <v>#N/A</v>
      </c>
      <c r="J58" s="1927">
        <f t="shared" si="6"/>
        <v>0</v>
      </c>
      <c r="K58" s="1928">
        <v>9.1000000000000993E-3</v>
      </c>
      <c r="L58" s="1929" t="e">
        <f>($K$9*36)/((($J$8-$K58)/12)*(36-J58)*'Product Data'!$P$23)</f>
        <v>#N/A</v>
      </c>
      <c r="N58" s="1927">
        <f t="shared" si="7"/>
        <v>0</v>
      </c>
      <c r="O58" s="1928">
        <v>9.1000000000000993E-3</v>
      </c>
      <c r="P58" s="1929" t="e">
        <f>($O$9*36)/((($N$8-$O58)/12)*(36-N58)*'Product Data'!$P$23)</f>
        <v>#N/A</v>
      </c>
    </row>
    <row r="59" spans="2:16" x14ac:dyDescent="0.25">
      <c r="B59" s="1927">
        <f t="shared" si="4"/>
        <v>0</v>
      </c>
      <c r="C59" s="1928">
        <v>9.0000000000000999E-3</v>
      </c>
      <c r="D59" s="1929" t="e">
        <f>($C$9*36)/((($B$8-$C59)/12)*(36-B59)*'Product Data'!$P$23)</f>
        <v>#N/A</v>
      </c>
      <c r="F59" s="1927">
        <f t="shared" si="5"/>
        <v>0</v>
      </c>
      <c r="G59" s="1928">
        <v>9.0000000000000999E-3</v>
      </c>
      <c r="H59" s="1929" t="e">
        <f>($G$9*36)/((($F$8-$G59)/12)*(36-F59)*'Product Data'!$P$23)</f>
        <v>#N/A</v>
      </c>
      <c r="J59" s="1927">
        <f t="shared" si="6"/>
        <v>0</v>
      </c>
      <c r="K59" s="1928">
        <v>9.0000000000000999E-3</v>
      </c>
      <c r="L59" s="1929" t="e">
        <f>($K$9*36)/((($J$8-$K59)/12)*(36-J59)*'Product Data'!$P$23)</f>
        <v>#N/A</v>
      </c>
      <c r="N59" s="1927">
        <f t="shared" si="7"/>
        <v>0</v>
      </c>
      <c r="O59" s="1928">
        <v>9.0000000000000999E-3</v>
      </c>
      <c r="P59" s="1929" t="e">
        <f>($O$9*36)/((($N$8-$O59)/12)*(36-N59)*'Product Data'!$P$23)</f>
        <v>#N/A</v>
      </c>
    </row>
    <row r="60" spans="2:16" x14ac:dyDescent="0.25">
      <c r="B60" s="1927">
        <f t="shared" si="4"/>
        <v>0</v>
      </c>
      <c r="C60" s="1928">
        <v>8.9000000000001005E-3</v>
      </c>
      <c r="D60" s="1929" t="e">
        <f>($C$9*36)/((($B$8-$C60)/12)*(36-B60)*'Product Data'!$P$23)</f>
        <v>#N/A</v>
      </c>
      <c r="F60" s="1927">
        <f t="shared" si="5"/>
        <v>0</v>
      </c>
      <c r="G60" s="1928">
        <v>8.9000000000001005E-3</v>
      </c>
      <c r="H60" s="1929" t="e">
        <f>($G$9*36)/((($F$8-$G60)/12)*(36-F60)*'Product Data'!$P$23)</f>
        <v>#N/A</v>
      </c>
      <c r="J60" s="1927">
        <f t="shared" si="6"/>
        <v>0</v>
      </c>
      <c r="K60" s="1928">
        <v>8.9000000000001005E-3</v>
      </c>
      <c r="L60" s="1929" t="e">
        <f>($K$9*36)/((($J$8-$K60)/12)*(36-J60)*'Product Data'!$P$23)</f>
        <v>#N/A</v>
      </c>
      <c r="N60" s="1927">
        <f t="shared" si="7"/>
        <v>0</v>
      </c>
      <c r="O60" s="2392">
        <v>8.9000000000001005E-3</v>
      </c>
      <c r="P60" s="1929" t="e">
        <f>($O$9*36)/((($N$8-$O60)/12)*(36-N60)*'Product Data'!$P$23)</f>
        <v>#N/A</v>
      </c>
    </row>
    <row r="61" spans="2:16" x14ac:dyDescent="0.25">
      <c r="B61" s="1927">
        <f t="shared" si="4"/>
        <v>0</v>
      </c>
      <c r="C61" s="1928">
        <v>8.8000000000000994E-3</v>
      </c>
      <c r="D61" s="1929" t="e">
        <f>($C$9*36)/((($B$8-$C61)/12)*(36-B61)*'Product Data'!$P$23)</f>
        <v>#N/A</v>
      </c>
      <c r="F61" s="1927">
        <f t="shared" si="5"/>
        <v>0</v>
      </c>
      <c r="G61" s="1928">
        <v>8.8000000000000994E-3</v>
      </c>
      <c r="H61" s="1929" t="e">
        <f>($G$9*36)/((($F$8-$G61)/12)*(36-F61)*'Product Data'!$P$23)</f>
        <v>#N/A</v>
      </c>
      <c r="J61" s="1927">
        <f t="shared" si="6"/>
        <v>0</v>
      </c>
      <c r="K61" s="1928">
        <v>8.8000000000000994E-3</v>
      </c>
      <c r="L61" s="1929" t="e">
        <f>($K$9*36)/((($J$8-$K61)/12)*(36-J61)*'Product Data'!$P$23)</f>
        <v>#N/A</v>
      </c>
      <c r="N61" s="1927">
        <f t="shared" si="7"/>
        <v>0</v>
      </c>
      <c r="O61" s="1928">
        <v>8.8000000000000994E-3</v>
      </c>
      <c r="P61" s="1929" t="e">
        <f>($O$9*36)/((($N$8-$O61)/12)*(36-N61)*'Product Data'!$P$23)</f>
        <v>#N/A</v>
      </c>
    </row>
    <row r="62" spans="2:16" x14ac:dyDescent="0.25">
      <c r="B62" s="1927">
        <f t="shared" si="4"/>
        <v>0</v>
      </c>
      <c r="C62" s="1928">
        <v>8.7000000000001E-3</v>
      </c>
      <c r="D62" s="1929" t="e">
        <f>($C$9*36)/((($B$8-$C62)/12)*(36-B62)*'Product Data'!$P$23)</f>
        <v>#N/A</v>
      </c>
      <c r="F62" s="1927">
        <f t="shared" si="5"/>
        <v>0</v>
      </c>
      <c r="G62" s="1928">
        <v>8.7000000000001E-3</v>
      </c>
      <c r="H62" s="1929" t="e">
        <f>($G$9*36)/((($F$8-$G62)/12)*(36-F62)*'Product Data'!$P$23)</f>
        <v>#N/A</v>
      </c>
      <c r="J62" s="1927">
        <f t="shared" si="6"/>
        <v>0</v>
      </c>
      <c r="K62" s="1928">
        <v>8.7000000000001E-3</v>
      </c>
      <c r="L62" s="1929" t="e">
        <f>($K$9*36)/((($J$8-$K62)/12)*(36-J62)*'Product Data'!$P$23)</f>
        <v>#N/A</v>
      </c>
      <c r="N62" s="1927">
        <f t="shared" si="7"/>
        <v>0</v>
      </c>
      <c r="O62" s="1928">
        <v>8.7000000000001E-3</v>
      </c>
      <c r="P62" s="1929" t="e">
        <f>($O$9*36)/((($N$8-$O62)/12)*(36-N62)*'Product Data'!$P$23)</f>
        <v>#N/A</v>
      </c>
    </row>
    <row r="63" spans="2:16" x14ac:dyDescent="0.25">
      <c r="B63" s="1927">
        <f t="shared" si="4"/>
        <v>0</v>
      </c>
      <c r="C63" s="1928">
        <v>8.6000000000001006E-3</v>
      </c>
      <c r="D63" s="1929" t="e">
        <f>($C$9*36)/((($B$8-$C63)/12)*(36-B63)*'Product Data'!$P$23)</f>
        <v>#N/A</v>
      </c>
      <c r="F63" s="1927">
        <f t="shared" si="5"/>
        <v>0</v>
      </c>
      <c r="G63" s="1928">
        <v>8.6000000000001006E-3</v>
      </c>
      <c r="H63" s="1929" t="e">
        <f>($G$9*36)/((($F$8-$G63)/12)*(36-F63)*'Product Data'!$P$23)</f>
        <v>#N/A</v>
      </c>
      <c r="J63" s="1927">
        <f t="shared" si="6"/>
        <v>0</v>
      </c>
      <c r="K63" s="1928">
        <v>8.6000000000001006E-3</v>
      </c>
      <c r="L63" s="1929" t="e">
        <f>($K$9*36)/((($J$8-$K63)/12)*(36-J63)*'Product Data'!$P$23)</f>
        <v>#N/A</v>
      </c>
      <c r="N63" s="1927">
        <f t="shared" si="7"/>
        <v>0</v>
      </c>
      <c r="O63" s="2392">
        <v>8.6000000000001006E-3</v>
      </c>
      <c r="P63" s="1929" t="e">
        <f>($O$9*36)/((($N$8-$O63)/12)*(36-N63)*'Product Data'!$P$23)</f>
        <v>#N/A</v>
      </c>
    </row>
    <row r="64" spans="2:16" x14ac:dyDescent="0.25">
      <c r="B64" s="1927">
        <f t="shared" si="4"/>
        <v>0</v>
      </c>
      <c r="C64" s="1928">
        <v>8.5000000000000995E-3</v>
      </c>
      <c r="D64" s="1929" t="e">
        <f>($C$9*36)/((($B$8-$C64)/12)*(36-B64)*'Product Data'!$P$23)</f>
        <v>#N/A</v>
      </c>
      <c r="F64" s="1927">
        <f t="shared" si="5"/>
        <v>0</v>
      </c>
      <c r="G64" s="1928">
        <v>8.5000000000000995E-3</v>
      </c>
      <c r="H64" s="1929" t="e">
        <f>($G$9*36)/((($F$8-$G64)/12)*(36-F64)*'Product Data'!$P$23)</f>
        <v>#N/A</v>
      </c>
      <c r="J64" s="1927">
        <f t="shared" si="6"/>
        <v>0</v>
      </c>
      <c r="K64" s="1928">
        <v>8.5000000000000995E-3</v>
      </c>
      <c r="L64" s="1929" t="e">
        <f>($K$9*36)/((($J$8-$K64)/12)*(36-J64)*'Product Data'!$P$23)</f>
        <v>#N/A</v>
      </c>
      <c r="N64" s="1927">
        <f t="shared" si="7"/>
        <v>0</v>
      </c>
      <c r="O64" s="1928">
        <v>8.5000000000000995E-3</v>
      </c>
      <c r="P64" s="1929" t="e">
        <f>($O$9*36)/((($N$8-$O64)/12)*(36-N64)*'Product Data'!$P$23)</f>
        <v>#N/A</v>
      </c>
    </row>
    <row r="65" spans="2:16" x14ac:dyDescent="0.25">
      <c r="B65" s="1927">
        <f t="shared" si="4"/>
        <v>0</v>
      </c>
      <c r="C65" s="1928">
        <v>8.4000000000001001E-3</v>
      </c>
      <c r="D65" s="1929" t="e">
        <f>($C$9*36)/((($B$8-$C65)/12)*(36-B65)*'Product Data'!$P$23)</f>
        <v>#N/A</v>
      </c>
      <c r="F65" s="1927">
        <f t="shared" si="5"/>
        <v>0</v>
      </c>
      <c r="G65" s="1928">
        <v>8.4000000000001001E-3</v>
      </c>
      <c r="H65" s="1929" t="e">
        <f>($G$9*36)/((($F$8-$G65)/12)*(36-F65)*'Product Data'!$P$23)</f>
        <v>#N/A</v>
      </c>
      <c r="J65" s="1927">
        <f t="shared" si="6"/>
        <v>0</v>
      </c>
      <c r="K65" s="1928">
        <v>8.4000000000001001E-3</v>
      </c>
      <c r="L65" s="1929" t="e">
        <f>($K$9*36)/((($J$8-$K65)/12)*(36-J65)*'Product Data'!$P$23)</f>
        <v>#N/A</v>
      </c>
      <c r="N65" s="1927">
        <f t="shared" si="7"/>
        <v>0</v>
      </c>
      <c r="O65" s="1928">
        <v>8.4000000000001001E-3</v>
      </c>
      <c r="P65" s="1929" t="e">
        <f>($O$9*36)/((($N$8-$O65)/12)*(36-N65)*'Product Data'!$P$23)</f>
        <v>#N/A</v>
      </c>
    </row>
    <row r="66" spans="2:16" x14ac:dyDescent="0.25">
      <c r="B66" s="1927">
        <f t="shared" si="4"/>
        <v>0</v>
      </c>
      <c r="C66" s="1928">
        <v>8.3000000000001007E-3</v>
      </c>
      <c r="D66" s="1929" t="e">
        <f>($C$9*36)/((($B$8-$C66)/12)*(36-B66)*'Product Data'!$P$23)</f>
        <v>#N/A</v>
      </c>
      <c r="F66" s="1927">
        <f t="shared" si="5"/>
        <v>0</v>
      </c>
      <c r="G66" s="1928">
        <v>8.3000000000001007E-3</v>
      </c>
      <c r="H66" s="1929" t="e">
        <f>($G$9*36)/((($F$8-$G66)/12)*(36-F66)*'Product Data'!$P$23)</f>
        <v>#N/A</v>
      </c>
      <c r="J66" s="1927">
        <f t="shared" si="6"/>
        <v>0</v>
      </c>
      <c r="K66" s="1928">
        <v>8.3000000000001007E-3</v>
      </c>
      <c r="L66" s="1929" t="e">
        <f>($K$9*36)/((($J$8-$K66)/12)*(36-J66)*'Product Data'!$P$23)</f>
        <v>#N/A</v>
      </c>
      <c r="N66" s="1927">
        <f t="shared" si="7"/>
        <v>0</v>
      </c>
      <c r="O66" s="2392">
        <v>8.3000000000001007E-3</v>
      </c>
      <c r="P66" s="1929" t="e">
        <f>($O$9*36)/((($N$8-$O66)/12)*(36-N66)*'Product Data'!$P$23)</f>
        <v>#N/A</v>
      </c>
    </row>
    <row r="67" spans="2:16" x14ac:dyDescent="0.25">
      <c r="B67" s="1927">
        <f t="shared" si="4"/>
        <v>0</v>
      </c>
      <c r="C67" s="1928">
        <v>8.2000000000000996E-3</v>
      </c>
      <c r="D67" s="1929" t="e">
        <f>($C$9*36)/((($B$8-$C67)/12)*(36-B67)*'Product Data'!$P$23)</f>
        <v>#N/A</v>
      </c>
      <c r="F67" s="1927">
        <f t="shared" si="5"/>
        <v>0</v>
      </c>
      <c r="G67" s="1928">
        <v>8.2000000000000996E-3</v>
      </c>
      <c r="H67" s="1929" t="e">
        <f>($G$9*36)/((($F$8-$G67)/12)*(36-F67)*'Product Data'!$P$23)</f>
        <v>#N/A</v>
      </c>
      <c r="J67" s="1927">
        <f t="shared" si="6"/>
        <v>0</v>
      </c>
      <c r="K67" s="1928">
        <v>8.2000000000000996E-3</v>
      </c>
      <c r="L67" s="1929" t="e">
        <f>($K$9*36)/((($J$8-$K67)/12)*(36-J67)*'Product Data'!$P$23)</f>
        <v>#N/A</v>
      </c>
      <c r="N67" s="1927">
        <f t="shared" si="7"/>
        <v>0</v>
      </c>
      <c r="O67" s="1928">
        <v>8.2000000000000996E-3</v>
      </c>
      <c r="P67" s="1929" t="e">
        <f>($O$9*36)/((($N$8-$O67)/12)*(36-N67)*'Product Data'!$P$23)</f>
        <v>#N/A</v>
      </c>
    </row>
    <row r="68" spans="2:16" x14ac:dyDescent="0.25">
      <c r="B68" s="1927">
        <f t="shared" si="4"/>
        <v>0</v>
      </c>
      <c r="C68" s="1928">
        <v>8.1000000000001002E-3</v>
      </c>
      <c r="D68" s="1929" t="e">
        <f>($C$9*36)/((($B$8-$C68)/12)*(36-B68)*'Product Data'!$P$23)</f>
        <v>#N/A</v>
      </c>
      <c r="F68" s="1927">
        <f t="shared" si="5"/>
        <v>0</v>
      </c>
      <c r="G68" s="1928">
        <v>8.1000000000001002E-3</v>
      </c>
      <c r="H68" s="1929" t="e">
        <f>($G$9*36)/((($F$8-$G68)/12)*(36-F68)*'Product Data'!$P$23)</f>
        <v>#N/A</v>
      </c>
      <c r="J68" s="1927">
        <f t="shared" si="6"/>
        <v>0</v>
      </c>
      <c r="K68" s="1928">
        <v>8.1000000000001002E-3</v>
      </c>
      <c r="L68" s="1929" t="e">
        <f>($K$9*36)/((($J$8-$K68)/12)*(36-J68)*'Product Data'!$P$23)</f>
        <v>#N/A</v>
      </c>
      <c r="N68" s="1927">
        <f t="shared" si="7"/>
        <v>0</v>
      </c>
      <c r="O68" s="1928">
        <v>8.1000000000001002E-3</v>
      </c>
      <c r="P68" s="1929" t="e">
        <f>($O$9*36)/((($N$8-$O68)/12)*(36-N68)*'Product Data'!$P$23)</f>
        <v>#N/A</v>
      </c>
    </row>
    <row r="69" spans="2:16" x14ac:dyDescent="0.25">
      <c r="B69" s="1927">
        <f t="shared" si="4"/>
        <v>0</v>
      </c>
      <c r="C69" s="1928">
        <v>8.0000000000001008E-3</v>
      </c>
      <c r="D69" s="1929" t="e">
        <f>($C$9*36)/((($B$8-$C69)/12)*(36-B69)*'Product Data'!$P$23)</f>
        <v>#N/A</v>
      </c>
      <c r="F69" s="1927">
        <f t="shared" si="5"/>
        <v>0</v>
      </c>
      <c r="G69" s="1928">
        <v>8.0000000000001008E-3</v>
      </c>
      <c r="H69" s="1929" t="e">
        <f>($G$9*36)/((($F$8-$G69)/12)*(36-F69)*'Product Data'!$P$23)</f>
        <v>#N/A</v>
      </c>
      <c r="J69" s="1927">
        <f t="shared" si="6"/>
        <v>0</v>
      </c>
      <c r="K69" s="1928">
        <v>8.0000000000001008E-3</v>
      </c>
      <c r="L69" s="1929" t="e">
        <f>($K$9*36)/((($J$8-$K69)/12)*(36-J69)*'Product Data'!$P$23)</f>
        <v>#N/A</v>
      </c>
      <c r="N69" s="1927">
        <f t="shared" si="7"/>
        <v>0</v>
      </c>
      <c r="O69" s="2392">
        <v>8.0000000000001008E-3</v>
      </c>
      <c r="P69" s="1929" t="e">
        <f>($O$9*36)/((($N$8-$O69)/12)*(36-N69)*'Product Data'!$P$23)</f>
        <v>#N/A</v>
      </c>
    </row>
    <row r="70" spans="2:16" x14ac:dyDescent="0.25">
      <c r="B70" s="1927">
        <f t="shared" si="4"/>
        <v>0</v>
      </c>
      <c r="C70" s="1928">
        <v>7.9000000000000997E-3</v>
      </c>
      <c r="D70" s="1929" t="e">
        <f>($C$9*36)/((($B$8-$C70)/12)*(36-B70)*'Product Data'!$P$23)</f>
        <v>#N/A</v>
      </c>
      <c r="F70" s="1927">
        <f t="shared" si="5"/>
        <v>0</v>
      </c>
      <c r="G70" s="1928">
        <v>7.9000000000000997E-3</v>
      </c>
      <c r="H70" s="1929" t="e">
        <f>($G$9*36)/((($F$8-$G70)/12)*(36-F70)*'Product Data'!$P$23)</f>
        <v>#N/A</v>
      </c>
      <c r="J70" s="1927">
        <f t="shared" si="6"/>
        <v>0</v>
      </c>
      <c r="K70" s="1928">
        <v>7.9000000000000997E-3</v>
      </c>
      <c r="L70" s="1929" t="e">
        <f>($K$9*36)/((($J$8-$K70)/12)*(36-J70)*'Product Data'!$P$23)</f>
        <v>#N/A</v>
      </c>
      <c r="N70" s="1927">
        <f t="shared" si="7"/>
        <v>0</v>
      </c>
      <c r="O70" s="1928">
        <v>7.9000000000000997E-3</v>
      </c>
      <c r="P70" s="1929" t="e">
        <f>($O$9*36)/((($N$8-$O70)/12)*(36-N70)*'Product Data'!$P$23)</f>
        <v>#N/A</v>
      </c>
    </row>
    <row r="71" spans="2:16" x14ac:dyDescent="0.25">
      <c r="B71" s="1927">
        <f t="shared" si="4"/>
        <v>0</v>
      </c>
      <c r="C71" s="1928">
        <v>7.8000000000001003E-3</v>
      </c>
      <c r="D71" s="1929" t="e">
        <f>($C$9*36)/((($B$8-$C71)/12)*(36-B71)*'Product Data'!$P$23)</f>
        <v>#N/A</v>
      </c>
      <c r="F71" s="1927">
        <f t="shared" si="5"/>
        <v>0</v>
      </c>
      <c r="G71" s="1928">
        <v>7.8000000000001003E-3</v>
      </c>
      <c r="H71" s="1929" t="e">
        <f>($G$9*36)/((($F$8-$G71)/12)*(36-F71)*'Product Data'!$P$23)</f>
        <v>#N/A</v>
      </c>
      <c r="J71" s="1927">
        <f t="shared" si="6"/>
        <v>0</v>
      </c>
      <c r="K71" s="1928">
        <v>7.8000000000001003E-3</v>
      </c>
      <c r="L71" s="1929" t="e">
        <f>($K$9*36)/((($J$8-$K71)/12)*(36-J71)*'Product Data'!$P$23)</f>
        <v>#N/A</v>
      </c>
      <c r="N71" s="1927">
        <f t="shared" si="7"/>
        <v>0</v>
      </c>
      <c r="O71" s="1928">
        <v>7.8000000000001003E-3</v>
      </c>
      <c r="P71" s="1929" t="e">
        <f>($O$9*36)/((($N$8-$O71)/12)*(36-N71)*'Product Data'!$P$23)</f>
        <v>#N/A</v>
      </c>
    </row>
    <row r="72" spans="2:16" x14ac:dyDescent="0.25">
      <c r="B72" s="1927">
        <f t="shared" si="4"/>
        <v>0</v>
      </c>
      <c r="C72" s="1928">
        <v>7.7000000000001E-3</v>
      </c>
      <c r="D72" s="1929" t="e">
        <f>($C$9*36)/((($B$8-$C72)/12)*(36-B72)*'Product Data'!$P$23)</f>
        <v>#N/A</v>
      </c>
      <c r="F72" s="1927">
        <f t="shared" si="5"/>
        <v>0</v>
      </c>
      <c r="G72" s="1928">
        <v>7.7000000000001E-3</v>
      </c>
      <c r="H72" s="1929" t="e">
        <f>($G$9*36)/((($F$8-$G72)/12)*(36-F72)*'Product Data'!$P$23)</f>
        <v>#N/A</v>
      </c>
      <c r="J72" s="1927">
        <f t="shared" si="6"/>
        <v>0</v>
      </c>
      <c r="K72" s="1928">
        <v>7.7000000000001E-3</v>
      </c>
      <c r="L72" s="1929" t="e">
        <f>($K$9*36)/((($J$8-$K72)/12)*(36-J72)*'Product Data'!$P$23)</f>
        <v>#N/A</v>
      </c>
      <c r="N72" s="1927">
        <f t="shared" si="7"/>
        <v>0</v>
      </c>
      <c r="O72" s="2392">
        <v>7.7000000000001E-3</v>
      </c>
      <c r="P72" s="1929" t="e">
        <f>($O$9*36)/((($N$8-$O72)/12)*(36-N72)*'Product Data'!$P$23)</f>
        <v>#N/A</v>
      </c>
    </row>
    <row r="73" spans="2:16" x14ac:dyDescent="0.25">
      <c r="B73" s="1927">
        <f t="shared" si="4"/>
        <v>0</v>
      </c>
      <c r="C73" s="1928">
        <v>7.6000000000000997E-3</v>
      </c>
      <c r="D73" s="1929" t="e">
        <f>($C$9*36)/((($B$8-$C73)/12)*(36-B73)*'Product Data'!$P$23)</f>
        <v>#N/A</v>
      </c>
      <c r="F73" s="1927">
        <f t="shared" si="5"/>
        <v>0</v>
      </c>
      <c r="G73" s="1928">
        <v>7.6000000000000997E-3</v>
      </c>
      <c r="H73" s="1929" t="e">
        <f>($G$9*36)/((($F$8-$G73)/12)*(36-F73)*'Product Data'!$P$23)</f>
        <v>#N/A</v>
      </c>
      <c r="J73" s="1927">
        <f t="shared" si="6"/>
        <v>0</v>
      </c>
      <c r="K73" s="1928">
        <v>7.6000000000000997E-3</v>
      </c>
      <c r="L73" s="1929" t="e">
        <f>($K$9*36)/((($J$8-$K73)/12)*(36-J73)*'Product Data'!$P$23)</f>
        <v>#N/A</v>
      </c>
      <c r="N73" s="1927">
        <f t="shared" si="7"/>
        <v>0</v>
      </c>
      <c r="O73" s="1928">
        <v>7.6000000000000997E-3</v>
      </c>
      <c r="P73" s="1929" t="e">
        <f>($O$9*36)/((($N$8-$O73)/12)*(36-N73)*'Product Data'!$P$23)</f>
        <v>#N/A</v>
      </c>
    </row>
    <row r="74" spans="2:16" x14ac:dyDescent="0.25">
      <c r="B74" s="1927">
        <f t="shared" si="4"/>
        <v>0</v>
      </c>
      <c r="C74" s="1928">
        <v>7.5000000000001003E-3</v>
      </c>
      <c r="D74" s="1929" t="e">
        <f>($C$9*36)/((($B$8-$C74)/12)*(36-B74)*'Product Data'!$P$23)</f>
        <v>#N/A</v>
      </c>
      <c r="F74" s="1927">
        <f t="shared" si="5"/>
        <v>0</v>
      </c>
      <c r="G74" s="1928">
        <v>7.5000000000001003E-3</v>
      </c>
      <c r="H74" s="1929" t="e">
        <f>($G$9*36)/((($F$8-$G74)/12)*(36-F74)*'Product Data'!$P$23)</f>
        <v>#N/A</v>
      </c>
      <c r="J74" s="1927">
        <f t="shared" si="6"/>
        <v>0</v>
      </c>
      <c r="K74" s="1928">
        <v>7.5000000000001003E-3</v>
      </c>
      <c r="L74" s="1929" t="e">
        <f>($K$9*36)/((($J$8-$K74)/12)*(36-J74)*'Product Data'!$P$23)</f>
        <v>#N/A</v>
      </c>
      <c r="N74" s="1927">
        <f t="shared" si="7"/>
        <v>0</v>
      </c>
      <c r="O74" s="1928">
        <v>7.5000000000001003E-3</v>
      </c>
      <c r="P74" s="1929" t="e">
        <f>($O$9*36)/((($N$8-$O74)/12)*(36-N74)*'Product Data'!$P$23)</f>
        <v>#N/A</v>
      </c>
    </row>
    <row r="75" spans="2:16" x14ac:dyDescent="0.25">
      <c r="B75" s="1927">
        <f t="shared" si="4"/>
        <v>0</v>
      </c>
      <c r="C75" s="1928">
        <v>7.4000000000001001E-3</v>
      </c>
      <c r="D75" s="1929" t="e">
        <f>($C$9*36)/((($B$8-$C75)/12)*(36-B75)*'Product Data'!$P$23)</f>
        <v>#N/A</v>
      </c>
      <c r="F75" s="1927">
        <f t="shared" si="5"/>
        <v>0</v>
      </c>
      <c r="G75" s="1928">
        <v>7.4000000000001001E-3</v>
      </c>
      <c r="H75" s="1929" t="e">
        <f>($G$9*36)/((($F$8-$G75)/12)*(36-F75)*'Product Data'!$P$23)</f>
        <v>#N/A</v>
      </c>
      <c r="J75" s="1927">
        <f t="shared" si="6"/>
        <v>0</v>
      </c>
      <c r="K75" s="1928">
        <v>7.4000000000001001E-3</v>
      </c>
      <c r="L75" s="1929" t="e">
        <f>($K$9*36)/((($J$8-$K75)/12)*(36-J75)*'Product Data'!$P$23)</f>
        <v>#N/A</v>
      </c>
      <c r="N75" s="1927">
        <f t="shared" si="7"/>
        <v>0</v>
      </c>
      <c r="O75" s="2392">
        <v>7.4000000000001001E-3</v>
      </c>
      <c r="P75" s="1929" t="e">
        <f>($O$9*36)/((($N$8-$O75)/12)*(36-N75)*'Product Data'!$P$23)</f>
        <v>#N/A</v>
      </c>
    </row>
    <row r="76" spans="2:16" x14ac:dyDescent="0.25">
      <c r="B76" s="1927">
        <f t="shared" si="4"/>
        <v>0</v>
      </c>
      <c r="C76" s="1928">
        <v>7.3000000000000998E-3</v>
      </c>
      <c r="D76" s="1929" t="e">
        <f>($C$9*36)/((($B$8-$C76)/12)*(36-B76)*'Product Data'!$P$23)</f>
        <v>#N/A</v>
      </c>
      <c r="F76" s="1927">
        <f t="shared" si="5"/>
        <v>0</v>
      </c>
      <c r="G76" s="1928">
        <v>7.3000000000000998E-3</v>
      </c>
      <c r="H76" s="1929" t="e">
        <f>($G$9*36)/((($F$8-$G76)/12)*(36-F76)*'Product Data'!$P$23)</f>
        <v>#N/A</v>
      </c>
      <c r="J76" s="1927">
        <f t="shared" si="6"/>
        <v>0</v>
      </c>
      <c r="K76" s="1928">
        <v>7.3000000000000998E-3</v>
      </c>
      <c r="L76" s="1929" t="e">
        <f>($K$9*36)/((($J$8-$K76)/12)*(36-J76)*'Product Data'!$P$23)</f>
        <v>#N/A</v>
      </c>
      <c r="N76" s="1927">
        <f t="shared" si="7"/>
        <v>0</v>
      </c>
      <c r="O76" s="1928">
        <v>7.3000000000000998E-3</v>
      </c>
      <c r="P76" s="1929" t="e">
        <f>($O$9*36)/((($N$8-$O76)/12)*(36-N76)*'Product Data'!$P$23)</f>
        <v>#N/A</v>
      </c>
    </row>
    <row r="77" spans="2:16" x14ac:dyDescent="0.25">
      <c r="B77" s="1927">
        <f t="shared" si="4"/>
        <v>0</v>
      </c>
      <c r="C77" s="1928">
        <v>7.2000000000001004E-3</v>
      </c>
      <c r="D77" s="1929" t="e">
        <f>($C$9*36)/((($B$8-$C77)/12)*(36-B77)*'Product Data'!$P$23)</f>
        <v>#N/A</v>
      </c>
      <c r="F77" s="1927">
        <f t="shared" si="5"/>
        <v>0</v>
      </c>
      <c r="G77" s="1928">
        <v>7.2000000000001004E-3</v>
      </c>
      <c r="H77" s="1929" t="e">
        <f>($G$9*36)/((($F$8-$G77)/12)*(36-F77)*'Product Data'!$P$23)</f>
        <v>#N/A</v>
      </c>
      <c r="J77" s="1927">
        <f t="shared" si="6"/>
        <v>0</v>
      </c>
      <c r="K77" s="1928">
        <v>7.2000000000001004E-3</v>
      </c>
      <c r="L77" s="1929" t="e">
        <f>($K$9*36)/((($J$8-$K77)/12)*(36-J77)*'Product Data'!$P$23)</f>
        <v>#N/A</v>
      </c>
      <c r="N77" s="1927">
        <f t="shared" si="7"/>
        <v>0</v>
      </c>
      <c r="O77" s="1928">
        <v>7.2000000000001004E-3</v>
      </c>
      <c r="P77" s="1929" t="e">
        <f>($O$9*36)/((($N$8-$O77)/12)*(36-N77)*'Product Data'!$P$23)</f>
        <v>#N/A</v>
      </c>
    </row>
    <row r="78" spans="2:16" x14ac:dyDescent="0.25">
      <c r="B78" s="1927">
        <f t="shared" si="4"/>
        <v>0</v>
      </c>
      <c r="C78" s="1928">
        <v>7.1000000000001002E-3</v>
      </c>
      <c r="D78" s="1929" t="e">
        <f>($C$9*36)/((($B$8-$C78)/12)*(36-B78)*'Product Data'!$P$23)</f>
        <v>#N/A</v>
      </c>
      <c r="F78" s="1927">
        <f t="shared" si="5"/>
        <v>0</v>
      </c>
      <c r="G78" s="1928">
        <v>7.1000000000001002E-3</v>
      </c>
      <c r="H78" s="1929" t="e">
        <f>($G$9*36)/((($F$8-$G78)/12)*(36-F78)*'Product Data'!$P$23)</f>
        <v>#N/A</v>
      </c>
      <c r="J78" s="1927">
        <f t="shared" si="6"/>
        <v>0</v>
      </c>
      <c r="K78" s="1928">
        <v>7.1000000000001002E-3</v>
      </c>
      <c r="L78" s="1929" t="e">
        <f>($K$9*36)/((($J$8-$K78)/12)*(36-J78)*'Product Data'!$P$23)</f>
        <v>#N/A</v>
      </c>
      <c r="N78" s="1927">
        <f t="shared" si="7"/>
        <v>0</v>
      </c>
      <c r="O78" s="2392">
        <v>7.1000000000001002E-3</v>
      </c>
      <c r="P78" s="1929" t="e">
        <f>($O$9*36)/((($N$8-$O78)/12)*(36-N78)*'Product Data'!$P$23)</f>
        <v>#N/A</v>
      </c>
    </row>
    <row r="79" spans="2:16" x14ac:dyDescent="0.25">
      <c r="B79" s="1927">
        <f t="shared" si="4"/>
        <v>0</v>
      </c>
      <c r="C79" s="1928">
        <v>7.0000000000000999E-3</v>
      </c>
      <c r="D79" s="1929" t="e">
        <f>($C$9*36)/((($B$8-$C79)/12)*(36-B79)*'Product Data'!$P$23)</f>
        <v>#N/A</v>
      </c>
      <c r="F79" s="1927">
        <f t="shared" si="5"/>
        <v>0</v>
      </c>
      <c r="G79" s="1928">
        <v>7.0000000000000999E-3</v>
      </c>
      <c r="H79" s="1929" t="e">
        <f>($G$9*36)/((($F$8-$G79)/12)*(36-F79)*'Product Data'!$P$23)</f>
        <v>#N/A</v>
      </c>
      <c r="J79" s="1927">
        <f t="shared" si="6"/>
        <v>0</v>
      </c>
      <c r="K79" s="1928">
        <v>7.0000000000000999E-3</v>
      </c>
      <c r="L79" s="1929" t="e">
        <f>($K$9*36)/((($J$8-$K79)/12)*(36-J79)*'Product Data'!$P$23)</f>
        <v>#N/A</v>
      </c>
      <c r="N79" s="1927">
        <f t="shared" si="7"/>
        <v>0</v>
      </c>
      <c r="O79" s="1928">
        <v>7.0000000000000999E-3</v>
      </c>
      <c r="P79" s="1929" t="e">
        <f>($O$9*36)/((($N$8-$O79)/12)*(36-N79)*'Product Data'!$P$23)</f>
        <v>#N/A</v>
      </c>
    </row>
    <row r="80" spans="2:16" x14ac:dyDescent="0.25">
      <c r="B80" s="1927">
        <f t="shared" si="4"/>
        <v>0</v>
      </c>
      <c r="C80" s="1928">
        <v>6.9000000000000996E-3</v>
      </c>
      <c r="D80" s="1929" t="e">
        <f>($C$9*36)/((($B$8-$C80)/12)*(36-B80)*'Product Data'!$P$23)</f>
        <v>#N/A</v>
      </c>
      <c r="F80" s="1927">
        <f t="shared" si="5"/>
        <v>0</v>
      </c>
      <c r="G80" s="1928">
        <v>6.9000000000000996E-3</v>
      </c>
      <c r="H80" s="1929" t="e">
        <f>($G$9*36)/((($F$8-$G80)/12)*(36-F80)*'Product Data'!$P$23)</f>
        <v>#N/A</v>
      </c>
      <c r="J80" s="1927">
        <f t="shared" si="6"/>
        <v>0</v>
      </c>
      <c r="K80" s="1928">
        <v>6.9000000000000996E-3</v>
      </c>
      <c r="L80" s="1929" t="e">
        <f>($K$9*36)/((($J$8-$K80)/12)*(36-J80)*'Product Data'!$P$23)</f>
        <v>#N/A</v>
      </c>
      <c r="N80" s="1927">
        <f t="shared" si="7"/>
        <v>0</v>
      </c>
      <c r="O80" s="1928">
        <v>6.9000000000000996E-3</v>
      </c>
      <c r="P80" s="1929" t="e">
        <f>($O$9*36)/((($N$8-$O80)/12)*(36-N80)*'Product Data'!$P$23)</f>
        <v>#N/A</v>
      </c>
    </row>
    <row r="81" spans="2:16" x14ac:dyDescent="0.25">
      <c r="B81" s="1927">
        <f t="shared" si="4"/>
        <v>0</v>
      </c>
      <c r="C81" s="1928">
        <v>6.8000000000001002E-3</v>
      </c>
      <c r="D81" s="1929" t="e">
        <f>($C$9*36)/((($B$8-$C81)/12)*(36-B81)*'Product Data'!$P$23)</f>
        <v>#N/A</v>
      </c>
      <c r="F81" s="1927">
        <f t="shared" si="5"/>
        <v>0</v>
      </c>
      <c r="G81" s="1928">
        <v>6.8000000000001002E-3</v>
      </c>
      <c r="H81" s="1929" t="e">
        <f>($G$9*36)/((($F$8-$G81)/12)*(36-F81)*'Product Data'!$P$23)</f>
        <v>#N/A</v>
      </c>
      <c r="J81" s="1927">
        <f t="shared" si="6"/>
        <v>0</v>
      </c>
      <c r="K81" s="1928">
        <v>6.8000000000001002E-3</v>
      </c>
      <c r="L81" s="1929" t="e">
        <f>($K$9*36)/((($J$8-$K81)/12)*(36-J81)*'Product Data'!$P$23)</f>
        <v>#N/A</v>
      </c>
      <c r="N81" s="1927">
        <f t="shared" si="7"/>
        <v>0</v>
      </c>
      <c r="O81" s="2392">
        <v>6.8000000000001002E-3</v>
      </c>
      <c r="P81" s="1929" t="e">
        <f>($O$9*36)/((($N$8-$O81)/12)*(36-N81)*'Product Data'!$P$23)</f>
        <v>#N/A</v>
      </c>
    </row>
    <row r="82" spans="2:16" x14ac:dyDescent="0.25">
      <c r="B82" s="1927">
        <f t="shared" si="4"/>
        <v>0</v>
      </c>
      <c r="C82" s="1928">
        <v>6.7000000000001E-3</v>
      </c>
      <c r="D82" s="1929" t="e">
        <f>($C$9*36)/((($B$8-$C82)/12)*(36-B82)*'Product Data'!$P$23)</f>
        <v>#N/A</v>
      </c>
      <c r="F82" s="1927">
        <f t="shared" si="5"/>
        <v>0</v>
      </c>
      <c r="G82" s="1928">
        <v>6.7000000000001E-3</v>
      </c>
      <c r="H82" s="1929" t="e">
        <f>($G$9*36)/((($F$8-$G82)/12)*(36-F82)*'Product Data'!$P$23)</f>
        <v>#N/A</v>
      </c>
      <c r="J82" s="1927">
        <f t="shared" si="6"/>
        <v>0</v>
      </c>
      <c r="K82" s="1928">
        <v>6.7000000000001E-3</v>
      </c>
      <c r="L82" s="1929" t="e">
        <f>($K$9*36)/((($J$8-$K82)/12)*(36-J82)*'Product Data'!$P$23)</f>
        <v>#N/A</v>
      </c>
      <c r="N82" s="1927">
        <f t="shared" si="7"/>
        <v>0</v>
      </c>
      <c r="O82" s="1928">
        <v>6.7000000000001E-3</v>
      </c>
      <c r="P82" s="1929" t="e">
        <f>($O$9*36)/((($N$8-$O82)/12)*(36-N82)*'Product Data'!$P$23)</f>
        <v>#N/A</v>
      </c>
    </row>
    <row r="83" spans="2:16" x14ac:dyDescent="0.25">
      <c r="B83" s="1927">
        <f t="shared" si="4"/>
        <v>0</v>
      </c>
      <c r="C83" s="1928">
        <v>6.6000000000000997E-3</v>
      </c>
      <c r="D83" s="1929" t="e">
        <f>($C$9*36)/((($B$8-$C83)/12)*(36-B83)*'Product Data'!$P$23)</f>
        <v>#N/A</v>
      </c>
      <c r="F83" s="1927">
        <f t="shared" si="5"/>
        <v>0</v>
      </c>
      <c r="G83" s="1928">
        <v>6.6000000000000997E-3</v>
      </c>
      <c r="H83" s="1929" t="e">
        <f>($G$9*36)/((($F$8-$G83)/12)*(36-F83)*'Product Data'!$P$23)</f>
        <v>#N/A</v>
      </c>
      <c r="J83" s="1927">
        <f t="shared" si="6"/>
        <v>0</v>
      </c>
      <c r="K83" s="1928">
        <v>6.6000000000000997E-3</v>
      </c>
      <c r="L83" s="1929" t="e">
        <f>($K$9*36)/((($J$8-$K83)/12)*(36-J83)*'Product Data'!$P$23)</f>
        <v>#N/A</v>
      </c>
      <c r="N83" s="1927">
        <f t="shared" si="7"/>
        <v>0</v>
      </c>
      <c r="O83" s="1928">
        <v>6.6000000000000997E-3</v>
      </c>
      <c r="P83" s="1929" t="e">
        <f>($O$9*36)/((($N$8-$O83)/12)*(36-N83)*'Product Data'!$P$23)</f>
        <v>#N/A</v>
      </c>
    </row>
    <row r="84" spans="2:16" x14ac:dyDescent="0.25">
      <c r="B84" s="1927">
        <f t="shared" si="4"/>
        <v>0</v>
      </c>
      <c r="C84" s="1928">
        <v>6.5000000000001003E-3</v>
      </c>
      <c r="D84" s="1929" t="e">
        <f>($C$9*36)/((($B$8-$C84)/12)*(36-B84)*'Product Data'!$P$23)</f>
        <v>#N/A</v>
      </c>
      <c r="F84" s="1927">
        <f t="shared" si="5"/>
        <v>0</v>
      </c>
      <c r="G84" s="1928">
        <v>6.5000000000001003E-3</v>
      </c>
      <c r="H84" s="1929" t="e">
        <f>($G$9*36)/((($F$8-$G84)/12)*(36-F84)*'Product Data'!$P$23)</f>
        <v>#N/A</v>
      </c>
      <c r="J84" s="1927">
        <f t="shared" si="6"/>
        <v>0</v>
      </c>
      <c r="K84" s="1928">
        <v>6.5000000000001003E-3</v>
      </c>
      <c r="L84" s="1929" t="e">
        <f>($K$9*36)/((($J$8-$K84)/12)*(36-J84)*'Product Data'!$P$23)</f>
        <v>#N/A</v>
      </c>
      <c r="N84" s="1927">
        <f t="shared" si="7"/>
        <v>0</v>
      </c>
      <c r="O84" s="2392">
        <v>6.5000000000001003E-3</v>
      </c>
      <c r="P84" s="1929" t="e">
        <f>($O$9*36)/((($N$8-$O84)/12)*(36-N84)*'Product Data'!$P$23)</f>
        <v>#N/A</v>
      </c>
    </row>
    <row r="85" spans="2:16" x14ac:dyDescent="0.25">
      <c r="B85" s="1927">
        <f t="shared" si="4"/>
        <v>0</v>
      </c>
      <c r="C85" s="1928">
        <v>6.4000000000001001E-3</v>
      </c>
      <c r="D85" s="1929" t="e">
        <f>($C$9*36)/((($B$8-$C85)/12)*(36-B85)*'Product Data'!$P$23)</f>
        <v>#N/A</v>
      </c>
      <c r="F85" s="1927">
        <f t="shared" si="5"/>
        <v>0</v>
      </c>
      <c r="G85" s="1928">
        <v>6.4000000000001001E-3</v>
      </c>
      <c r="H85" s="1929" t="e">
        <f>($G$9*36)/((($F$8-$G85)/12)*(36-F85)*'Product Data'!$P$23)</f>
        <v>#N/A</v>
      </c>
      <c r="J85" s="1927">
        <f t="shared" si="6"/>
        <v>0</v>
      </c>
      <c r="K85" s="1928">
        <v>6.4000000000001001E-3</v>
      </c>
      <c r="L85" s="1929" t="e">
        <f>($K$9*36)/((($J$8-$K85)/12)*(36-J85)*'Product Data'!$P$23)</f>
        <v>#N/A</v>
      </c>
      <c r="N85" s="1927">
        <f t="shared" si="7"/>
        <v>0</v>
      </c>
      <c r="O85" s="1928">
        <v>6.4000000000001001E-3</v>
      </c>
      <c r="P85" s="1929" t="e">
        <f>($O$9*36)/((($N$8-$O85)/12)*(36-N85)*'Product Data'!$P$23)</f>
        <v>#N/A</v>
      </c>
    </row>
    <row r="86" spans="2:16" x14ac:dyDescent="0.25">
      <c r="B86" s="1927">
        <f t="shared" si="4"/>
        <v>0</v>
      </c>
      <c r="C86" s="1928">
        <v>6.3000000000000998E-3</v>
      </c>
      <c r="D86" s="1929" t="e">
        <f>($C$9*36)/((($B$8-$C86)/12)*(36-B86)*'Product Data'!$P$23)</f>
        <v>#N/A</v>
      </c>
      <c r="F86" s="1927">
        <f t="shared" si="5"/>
        <v>0</v>
      </c>
      <c r="G86" s="1928">
        <v>6.3000000000000998E-3</v>
      </c>
      <c r="H86" s="1929" t="e">
        <f>($G$9*36)/((($F$8-$G86)/12)*(36-F86)*'Product Data'!$P$23)</f>
        <v>#N/A</v>
      </c>
      <c r="J86" s="1927">
        <f t="shared" si="6"/>
        <v>0</v>
      </c>
      <c r="K86" s="1928">
        <v>6.3000000000000998E-3</v>
      </c>
      <c r="L86" s="1929" t="e">
        <f>($K$9*36)/((($J$8-$K86)/12)*(36-J86)*'Product Data'!$P$23)</f>
        <v>#N/A</v>
      </c>
      <c r="N86" s="1927">
        <f t="shared" si="7"/>
        <v>0</v>
      </c>
      <c r="O86" s="1928">
        <v>6.3000000000000998E-3</v>
      </c>
      <c r="P86" s="1929" t="e">
        <f>($O$9*36)/((($N$8-$O86)/12)*(36-N86)*'Product Data'!$P$23)</f>
        <v>#N/A</v>
      </c>
    </row>
    <row r="87" spans="2:16" x14ac:dyDescent="0.25">
      <c r="B87" s="1927">
        <f t="shared" si="4"/>
        <v>0</v>
      </c>
      <c r="C87" s="1928">
        <v>6.2000000000001004E-3</v>
      </c>
      <c r="D87" s="1929" t="e">
        <f>($C$9*36)/((($B$8-$C87)/12)*(36-B87)*'Product Data'!$P$23)</f>
        <v>#N/A</v>
      </c>
      <c r="F87" s="1927">
        <f t="shared" si="5"/>
        <v>0</v>
      </c>
      <c r="G87" s="1928">
        <v>6.2000000000001004E-3</v>
      </c>
      <c r="H87" s="1929" t="e">
        <f>($G$9*36)/((($F$8-$G87)/12)*(36-F87)*'Product Data'!$P$23)</f>
        <v>#N/A</v>
      </c>
      <c r="J87" s="1927">
        <f t="shared" si="6"/>
        <v>0</v>
      </c>
      <c r="K87" s="1928">
        <v>6.2000000000001004E-3</v>
      </c>
      <c r="L87" s="1929" t="e">
        <f>($K$9*36)/((($J$8-$K87)/12)*(36-J87)*'Product Data'!$P$23)</f>
        <v>#N/A</v>
      </c>
      <c r="N87" s="1927">
        <f t="shared" si="7"/>
        <v>0</v>
      </c>
      <c r="O87" s="2392">
        <v>6.2000000000001004E-3</v>
      </c>
      <c r="P87" s="1929" t="e">
        <f>($O$9*36)/((($N$8-$O87)/12)*(36-N87)*'Product Data'!$P$23)</f>
        <v>#N/A</v>
      </c>
    </row>
    <row r="88" spans="2:16" x14ac:dyDescent="0.25">
      <c r="B88" s="1927">
        <f t="shared" si="4"/>
        <v>0</v>
      </c>
      <c r="C88" s="1928">
        <v>6.1000000000001001E-3</v>
      </c>
      <c r="D88" s="1929" t="e">
        <f>($C$9*36)/((($B$8-$C88)/12)*(36-B88)*'Product Data'!$P$23)</f>
        <v>#N/A</v>
      </c>
      <c r="F88" s="1927">
        <f t="shared" si="5"/>
        <v>0</v>
      </c>
      <c r="G88" s="1928">
        <v>6.1000000000001001E-3</v>
      </c>
      <c r="H88" s="1929" t="e">
        <f>($G$9*36)/((($F$8-$G88)/12)*(36-F88)*'Product Data'!$P$23)</f>
        <v>#N/A</v>
      </c>
      <c r="J88" s="1927">
        <f t="shared" si="6"/>
        <v>0</v>
      </c>
      <c r="K88" s="1928">
        <v>6.1000000000001001E-3</v>
      </c>
      <c r="L88" s="1929" t="e">
        <f>($K$9*36)/((($J$8-$K88)/12)*(36-J88)*'Product Data'!$P$23)</f>
        <v>#N/A</v>
      </c>
      <c r="N88" s="1927">
        <f t="shared" si="7"/>
        <v>0</v>
      </c>
      <c r="O88" s="1928">
        <v>6.1000000000001001E-3</v>
      </c>
      <c r="P88" s="1929" t="e">
        <f>($O$9*36)/((($N$8-$O88)/12)*(36-N88)*'Product Data'!$P$23)</f>
        <v>#N/A</v>
      </c>
    </row>
    <row r="89" spans="2:16" x14ac:dyDescent="0.25">
      <c r="B89" s="1927">
        <f t="shared" si="4"/>
        <v>0</v>
      </c>
      <c r="C89" s="1928">
        <v>6.0000000000000999E-3</v>
      </c>
      <c r="D89" s="1929" t="e">
        <f>($C$9*36)/((($B$8-$C89)/12)*(36-B89)*'Product Data'!$P$23)</f>
        <v>#N/A</v>
      </c>
      <c r="F89" s="1927">
        <f t="shared" si="5"/>
        <v>0</v>
      </c>
      <c r="G89" s="1928">
        <v>6.0000000000000999E-3</v>
      </c>
      <c r="H89" s="1929" t="e">
        <f>($G$9*36)/((($F$8-$G89)/12)*(36-F89)*'Product Data'!$P$23)</f>
        <v>#N/A</v>
      </c>
      <c r="J89" s="1927">
        <f t="shared" si="6"/>
        <v>0</v>
      </c>
      <c r="K89" s="1928">
        <v>6.0000000000000999E-3</v>
      </c>
      <c r="L89" s="1929" t="e">
        <f>($K$9*36)/((($J$8-$K89)/12)*(36-J89)*'Product Data'!$P$23)</f>
        <v>#N/A</v>
      </c>
      <c r="N89" s="1927">
        <f t="shared" si="7"/>
        <v>0</v>
      </c>
      <c r="O89" s="1928">
        <v>6.0000000000000999E-3</v>
      </c>
      <c r="P89" s="1929" t="e">
        <f>($O$9*36)/((($N$8-$O89)/12)*(36-N89)*'Product Data'!$P$23)</f>
        <v>#N/A</v>
      </c>
    </row>
    <row r="90" spans="2:16" x14ac:dyDescent="0.25">
      <c r="B90" s="1927">
        <f t="shared" ref="B90:B149" si="8">B89</f>
        <v>0</v>
      </c>
      <c r="C90" s="1928">
        <v>5.9000000000000996E-3</v>
      </c>
      <c r="D90" s="1929" t="e">
        <f>($C$9*36)/((($B$8-$C90)/12)*(36-B90)*'Product Data'!$P$23)</f>
        <v>#N/A</v>
      </c>
      <c r="F90" s="1927">
        <f t="shared" ref="F90:F149" si="9">F89</f>
        <v>0</v>
      </c>
      <c r="G90" s="1928">
        <v>5.9000000000000996E-3</v>
      </c>
      <c r="H90" s="1929" t="e">
        <f>($G$9*36)/((($F$8-$G90)/12)*(36-F90)*'Product Data'!$P$23)</f>
        <v>#N/A</v>
      </c>
      <c r="J90" s="1927">
        <f t="shared" ref="J90:J149" si="10">J89</f>
        <v>0</v>
      </c>
      <c r="K90" s="1928">
        <v>5.9000000000000996E-3</v>
      </c>
      <c r="L90" s="1929" t="e">
        <f>($K$9*36)/((($J$8-$K90)/12)*(36-J90)*'Product Data'!$P$23)</f>
        <v>#N/A</v>
      </c>
      <c r="N90" s="1927">
        <f t="shared" ref="N90:N149" si="11">N89</f>
        <v>0</v>
      </c>
      <c r="O90" s="2392">
        <v>5.9000000000000996E-3</v>
      </c>
      <c r="P90" s="1929" t="e">
        <f>($O$9*36)/((($N$8-$O90)/12)*(36-N90)*'Product Data'!$P$23)</f>
        <v>#N/A</v>
      </c>
    </row>
    <row r="91" spans="2:16" x14ac:dyDescent="0.25">
      <c r="B91" s="1927">
        <f t="shared" si="8"/>
        <v>0</v>
      </c>
      <c r="C91" s="1928">
        <v>5.8000000000001002E-3</v>
      </c>
      <c r="D91" s="1929" t="e">
        <f>($C$9*36)/((($B$8-$C91)/12)*(36-B91)*'Product Data'!$P$23)</f>
        <v>#N/A</v>
      </c>
      <c r="F91" s="1927">
        <f t="shared" si="9"/>
        <v>0</v>
      </c>
      <c r="G91" s="1928">
        <v>5.8000000000001002E-3</v>
      </c>
      <c r="H91" s="1929" t="e">
        <f>($G$9*36)/((($F$8-$G91)/12)*(36-F91)*'Product Data'!$P$23)</f>
        <v>#N/A</v>
      </c>
      <c r="J91" s="1927">
        <f t="shared" si="10"/>
        <v>0</v>
      </c>
      <c r="K91" s="1928">
        <v>5.8000000000001002E-3</v>
      </c>
      <c r="L91" s="1929" t="e">
        <f>($K$9*36)/((($J$8-$K91)/12)*(36-J91)*'Product Data'!$P$23)</f>
        <v>#N/A</v>
      </c>
      <c r="N91" s="1927">
        <f t="shared" si="11"/>
        <v>0</v>
      </c>
      <c r="O91" s="1928">
        <v>5.8000000000001002E-3</v>
      </c>
      <c r="P91" s="1929" t="e">
        <f>($O$9*36)/((($N$8-$O91)/12)*(36-N91)*'Product Data'!$P$23)</f>
        <v>#N/A</v>
      </c>
    </row>
    <row r="92" spans="2:16" x14ac:dyDescent="0.25">
      <c r="B92" s="1927">
        <f t="shared" si="8"/>
        <v>0</v>
      </c>
      <c r="C92" s="1928">
        <v>5.7000000000001E-3</v>
      </c>
      <c r="D92" s="1929" t="e">
        <f>($C$9*36)/((($B$8-$C92)/12)*(36-B92)*'Product Data'!$P$23)</f>
        <v>#N/A</v>
      </c>
      <c r="F92" s="1927">
        <f t="shared" si="9"/>
        <v>0</v>
      </c>
      <c r="G92" s="1928">
        <v>5.7000000000001E-3</v>
      </c>
      <c r="H92" s="1929" t="e">
        <f>($G$9*36)/((($F$8-$G92)/12)*(36-F92)*'Product Data'!$P$23)</f>
        <v>#N/A</v>
      </c>
      <c r="J92" s="1927">
        <f t="shared" si="10"/>
        <v>0</v>
      </c>
      <c r="K92" s="1928">
        <v>5.7000000000001E-3</v>
      </c>
      <c r="L92" s="1929" t="e">
        <f>($K$9*36)/((($J$8-$K92)/12)*(36-J92)*'Product Data'!$P$23)</f>
        <v>#N/A</v>
      </c>
      <c r="N92" s="1927">
        <f t="shared" si="11"/>
        <v>0</v>
      </c>
      <c r="O92" s="1928">
        <v>5.7000000000001E-3</v>
      </c>
      <c r="P92" s="1929" t="e">
        <f>($O$9*36)/((($N$8-$O92)/12)*(36-N92)*'Product Data'!$P$23)</f>
        <v>#N/A</v>
      </c>
    </row>
    <row r="93" spans="2:16" x14ac:dyDescent="0.25">
      <c r="B93" s="1927">
        <f t="shared" si="8"/>
        <v>0</v>
      </c>
      <c r="C93" s="1928">
        <v>5.6000000000000997E-3</v>
      </c>
      <c r="D93" s="1929" t="e">
        <f>($C$9*36)/((($B$8-$C93)/12)*(36-B93)*'Product Data'!$P$23)</f>
        <v>#N/A</v>
      </c>
      <c r="F93" s="1927">
        <f t="shared" si="9"/>
        <v>0</v>
      </c>
      <c r="G93" s="1928">
        <v>5.6000000000000997E-3</v>
      </c>
      <c r="H93" s="1929" t="e">
        <f>($G$9*36)/((($F$8-$G93)/12)*(36-F93)*'Product Data'!$P$23)</f>
        <v>#N/A</v>
      </c>
      <c r="J93" s="1927">
        <f t="shared" si="10"/>
        <v>0</v>
      </c>
      <c r="K93" s="1928">
        <v>5.6000000000000997E-3</v>
      </c>
      <c r="L93" s="1929" t="e">
        <f>($K$9*36)/((($J$8-$K93)/12)*(36-J93)*'Product Data'!$P$23)</f>
        <v>#N/A</v>
      </c>
      <c r="N93" s="1927">
        <f t="shared" si="11"/>
        <v>0</v>
      </c>
      <c r="O93" s="2392">
        <v>5.6000000000000997E-3</v>
      </c>
      <c r="P93" s="1929" t="e">
        <f>($O$9*36)/((($N$8-$O93)/12)*(36-N93)*'Product Data'!$P$23)</f>
        <v>#N/A</v>
      </c>
    </row>
    <row r="94" spans="2:16" x14ac:dyDescent="0.25">
      <c r="B94" s="1927">
        <f t="shared" si="8"/>
        <v>0</v>
      </c>
      <c r="C94" s="1928">
        <v>5.5000000000001003E-3</v>
      </c>
      <c r="D94" s="1929" t="e">
        <f>($C$9*36)/((($B$8-$C94)/12)*(36-B94)*'Product Data'!$P$23)</f>
        <v>#N/A</v>
      </c>
      <c r="F94" s="1927">
        <f t="shared" si="9"/>
        <v>0</v>
      </c>
      <c r="G94" s="1928">
        <v>5.5000000000001003E-3</v>
      </c>
      <c r="H94" s="1929" t="e">
        <f>($G$9*36)/((($F$8-$G94)/12)*(36-F94)*'Product Data'!$P$23)</f>
        <v>#N/A</v>
      </c>
      <c r="J94" s="1927">
        <f t="shared" si="10"/>
        <v>0</v>
      </c>
      <c r="K94" s="1928">
        <v>5.5000000000001003E-3</v>
      </c>
      <c r="L94" s="1929" t="e">
        <f>($K$9*36)/((($J$8-$K94)/12)*(36-J94)*'Product Data'!$P$23)</f>
        <v>#N/A</v>
      </c>
      <c r="N94" s="1927">
        <f t="shared" si="11"/>
        <v>0</v>
      </c>
      <c r="O94" s="1928">
        <v>5.5000000000001003E-3</v>
      </c>
      <c r="P94" s="1929" t="e">
        <f>($O$9*36)/((($N$8-$O94)/12)*(36-N94)*'Product Data'!$P$23)</f>
        <v>#N/A</v>
      </c>
    </row>
    <row r="95" spans="2:16" x14ac:dyDescent="0.25">
      <c r="B95" s="1927">
        <f t="shared" si="8"/>
        <v>0</v>
      </c>
      <c r="C95" s="1928">
        <v>5.4000000000001E-3</v>
      </c>
      <c r="D95" s="1929" t="e">
        <f>($C$9*36)/((($B$8-$C95)/12)*(36-B95)*'Product Data'!$P$23)</f>
        <v>#N/A</v>
      </c>
      <c r="F95" s="1927">
        <f t="shared" si="9"/>
        <v>0</v>
      </c>
      <c r="G95" s="1928">
        <v>5.4000000000001E-3</v>
      </c>
      <c r="H95" s="1929" t="e">
        <f>($G$9*36)/((($F$8-$G95)/12)*(36-F95)*'Product Data'!$P$23)</f>
        <v>#N/A</v>
      </c>
      <c r="J95" s="1927">
        <f t="shared" si="10"/>
        <v>0</v>
      </c>
      <c r="K95" s="1928">
        <v>5.4000000000001E-3</v>
      </c>
      <c r="L95" s="1929" t="e">
        <f>($K$9*36)/((($J$8-$K95)/12)*(36-J95)*'Product Data'!$P$23)</f>
        <v>#N/A</v>
      </c>
      <c r="N95" s="1927">
        <f t="shared" si="11"/>
        <v>0</v>
      </c>
      <c r="O95" s="1928">
        <v>5.4000000000001E-3</v>
      </c>
      <c r="P95" s="1929" t="e">
        <f>($O$9*36)/((($N$8-$O95)/12)*(36-N95)*'Product Data'!$P$23)</f>
        <v>#N/A</v>
      </c>
    </row>
    <row r="96" spans="2:16" x14ac:dyDescent="0.25">
      <c r="B96" s="1927">
        <f t="shared" si="8"/>
        <v>0</v>
      </c>
      <c r="C96" s="1928">
        <v>5.3000000000000998E-3</v>
      </c>
      <c r="D96" s="1929" t="e">
        <f>($C$9*36)/((($B$8-$C96)/12)*(36-B96)*'Product Data'!$P$23)</f>
        <v>#N/A</v>
      </c>
      <c r="F96" s="1927">
        <f t="shared" si="9"/>
        <v>0</v>
      </c>
      <c r="G96" s="1928">
        <v>5.3000000000000998E-3</v>
      </c>
      <c r="H96" s="1929" t="e">
        <f>($G$9*36)/((($F$8-$G96)/12)*(36-F96)*'Product Data'!$P$23)</f>
        <v>#N/A</v>
      </c>
      <c r="J96" s="1927">
        <f t="shared" si="10"/>
        <v>0</v>
      </c>
      <c r="K96" s="1928">
        <v>5.3000000000000998E-3</v>
      </c>
      <c r="L96" s="1929" t="e">
        <f>($K$9*36)/((($J$8-$K96)/12)*(36-J96)*'Product Data'!$P$23)</f>
        <v>#N/A</v>
      </c>
      <c r="N96" s="1927">
        <f t="shared" si="11"/>
        <v>0</v>
      </c>
      <c r="O96" s="2392">
        <v>5.3000000000000998E-3</v>
      </c>
      <c r="P96" s="1929" t="e">
        <f>($O$9*36)/((($N$8-$O96)/12)*(36-N96)*'Product Data'!$P$23)</f>
        <v>#N/A</v>
      </c>
    </row>
    <row r="97" spans="2:16" x14ac:dyDescent="0.25">
      <c r="B97" s="1927">
        <f t="shared" si="8"/>
        <v>0</v>
      </c>
      <c r="C97" s="1928">
        <v>5.2000000000001004E-3</v>
      </c>
      <c r="D97" s="1929" t="e">
        <f>($C$9*36)/((($B$8-$C97)/12)*(36-B97)*'Product Data'!$P$23)</f>
        <v>#N/A</v>
      </c>
      <c r="F97" s="1927">
        <f t="shared" si="9"/>
        <v>0</v>
      </c>
      <c r="G97" s="1928">
        <v>5.2000000000001004E-3</v>
      </c>
      <c r="H97" s="1929" t="e">
        <f>($G$9*36)/((($F$8-$G97)/12)*(36-F97)*'Product Data'!$P$23)</f>
        <v>#N/A</v>
      </c>
      <c r="J97" s="1927">
        <f t="shared" si="10"/>
        <v>0</v>
      </c>
      <c r="K97" s="1928">
        <v>5.2000000000001004E-3</v>
      </c>
      <c r="L97" s="1929" t="e">
        <f>($K$9*36)/((($J$8-$K97)/12)*(36-J97)*'Product Data'!$P$23)</f>
        <v>#N/A</v>
      </c>
      <c r="N97" s="1927">
        <f t="shared" si="11"/>
        <v>0</v>
      </c>
      <c r="O97" s="1928">
        <v>5.2000000000001004E-3</v>
      </c>
      <c r="P97" s="1929" t="e">
        <f>($O$9*36)/((($N$8-$O97)/12)*(36-N97)*'Product Data'!$P$23)</f>
        <v>#N/A</v>
      </c>
    </row>
    <row r="98" spans="2:16" x14ac:dyDescent="0.25">
      <c r="B98" s="1927">
        <f t="shared" si="8"/>
        <v>0</v>
      </c>
      <c r="C98" s="1928">
        <v>5.1000000000001001E-3</v>
      </c>
      <c r="D98" s="1929" t="e">
        <f>($C$9*36)/((($B$8-$C98)/12)*(36-B98)*'Product Data'!$P$23)</f>
        <v>#N/A</v>
      </c>
      <c r="F98" s="1927">
        <f t="shared" si="9"/>
        <v>0</v>
      </c>
      <c r="G98" s="1928">
        <v>5.1000000000001001E-3</v>
      </c>
      <c r="H98" s="1929" t="e">
        <f>($G$9*36)/((($F$8-$G98)/12)*(36-F98)*'Product Data'!$P$23)</f>
        <v>#N/A</v>
      </c>
      <c r="J98" s="1927">
        <f t="shared" si="10"/>
        <v>0</v>
      </c>
      <c r="K98" s="1928">
        <v>5.1000000000001001E-3</v>
      </c>
      <c r="L98" s="1929" t="e">
        <f>($K$9*36)/((($J$8-$K98)/12)*(36-J98)*'Product Data'!$P$23)</f>
        <v>#N/A</v>
      </c>
      <c r="N98" s="1927">
        <f t="shared" si="11"/>
        <v>0</v>
      </c>
      <c r="O98" s="1928">
        <v>5.1000000000001001E-3</v>
      </c>
      <c r="P98" s="1929" t="e">
        <f>($O$9*36)/((($N$8-$O98)/12)*(36-N98)*'Product Data'!$P$23)</f>
        <v>#N/A</v>
      </c>
    </row>
    <row r="99" spans="2:16" x14ac:dyDescent="0.25">
      <c r="B99" s="1927">
        <f t="shared" si="8"/>
        <v>0</v>
      </c>
      <c r="C99" s="1928">
        <v>5.0000000000000999E-3</v>
      </c>
      <c r="D99" s="1929" t="e">
        <f>($C$9*36)/((($B$8-$C99)/12)*(36-B99)*'Product Data'!$P$23)</f>
        <v>#N/A</v>
      </c>
      <c r="F99" s="1927">
        <f t="shared" si="9"/>
        <v>0</v>
      </c>
      <c r="G99" s="1928">
        <v>5.0000000000000999E-3</v>
      </c>
      <c r="H99" s="1929" t="e">
        <f>($G$9*36)/((($F$8-$G99)/12)*(36-F99)*'Product Data'!$P$23)</f>
        <v>#N/A</v>
      </c>
      <c r="J99" s="1927">
        <f t="shared" si="10"/>
        <v>0</v>
      </c>
      <c r="K99" s="1928">
        <v>5.0000000000000999E-3</v>
      </c>
      <c r="L99" s="1929" t="e">
        <f>($K$9*36)/((($J$8-$K99)/12)*(36-J99)*'Product Data'!$P$23)</f>
        <v>#N/A</v>
      </c>
      <c r="N99" s="1927">
        <f t="shared" si="11"/>
        <v>0</v>
      </c>
      <c r="O99" s="2392">
        <v>5.0000000000000999E-3</v>
      </c>
      <c r="P99" s="1929" t="e">
        <f>($O$9*36)/((($N$8-$O99)/12)*(36-N99)*'Product Data'!$P$23)</f>
        <v>#N/A</v>
      </c>
    </row>
    <row r="100" spans="2:16" x14ac:dyDescent="0.25">
      <c r="B100" s="1927">
        <f t="shared" si="8"/>
        <v>0</v>
      </c>
      <c r="C100" s="1928">
        <v>4.9000000000000996E-3</v>
      </c>
      <c r="D100" s="1929" t="e">
        <f>($C$9*36)/((($B$8-$C100)/12)*(36-B100)*'Product Data'!$P$23)</f>
        <v>#N/A</v>
      </c>
      <c r="F100" s="1927">
        <f t="shared" si="9"/>
        <v>0</v>
      </c>
      <c r="G100" s="1928">
        <v>4.9000000000000996E-3</v>
      </c>
      <c r="H100" s="1929" t="e">
        <f>($G$9*36)/((($F$8-$G100)/12)*(36-F100)*'Product Data'!$P$23)</f>
        <v>#N/A</v>
      </c>
      <c r="J100" s="1927">
        <f t="shared" si="10"/>
        <v>0</v>
      </c>
      <c r="K100" s="1928">
        <v>4.9000000000000996E-3</v>
      </c>
      <c r="L100" s="1929" t="e">
        <f>($K$9*36)/((($J$8-$K100)/12)*(36-J100)*'Product Data'!$P$23)</f>
        <v>#N/A</v>
      </c>
      <c r="N100" s="1927">
        <f t="shared" si="11"/>
        <v>0</v>
      </c>
      <c r="O100" s="1928">
        <v>4.9000000000000996E-3</v>
      </c>
      <c r="P100" s="1929" t="e">
        <f>($O$9*36)/((($N$8-$O100)/12)*(36-N100)*'Product Data'!$P$23)</f>
        <v>#N/A</v>
      </c>
    </row>
    <row r="101" spans="2:16" x14ac:dyDescent="0.25">
      <c r="B101" s="1927">
        <f t="shared" si="8"/>
        <v>0</v>
      </c>
      <c r="C101" s="1928">
        <v>4.8000000000001002E-3</v>
      </c>
      <c r="D101" s="1929" t="e">
        <f>($C$9*36)/((($B$8-$C101)/12)*(36-B101)*'Product Data'!$P$23)</f>
        <v>#N/A</v>
      </c>
      <c r="F101" s="1927">
        <f t="shared" si="9"/>
        <v>0</v>
      </c>
      <c r="G101" s="1928">
        <v>4.8000000000001002E-3</v>
      </c>
      <c r="H101" s="1929" t="e">
        <f>($G$9*36)/((($F$8-$G101)/12)*(36-F101)*'Product Data'!$P$23)</f>
        <v>#N/A</v>
      </c>
      <c r="J101" s="1927">
        <f t="shared" si="10"/>
        <v>0</v>
      </c>
      <c r="K101" s="1928">
        <v>4.8000000000001002E-3</v>
      </c>
      <c r="L101" s="1929" t="e">
        <f>($K$9*36)/((($J$8-$K101)/12)*(36-J101)*'Product Data'!$P$23)</f>
        <v>#N/A</v>
      </c>
      <c r="N101" s="1927">
        <f t="shared" si="11"/>
        <v>0</v>
      </c>
      <c r="O101" s="1928">
        <v>4.8000000000001002E-3</v>
      </c>
      <c r="P101" s="1929" t="e">
        <f>($O$9*36)/((($N$8-$O101)/12)*(36-N101)*'Product Data'!$P$23)</f>
        <v>#N/A</v>
      </c>
    </row>
    <row r="102" spans="2:16" x14ac:dyDescent="0.25">
      <c r="B102" s="1927">
        <f t="shared" si="8"/>
        <v>0</v>
      </c>
      <c r="C102" s="1928">
        <v>4.7000000000000999E-3</v>
      </c>
      <c r="D102" s="1929" t="e">
        <f>($C$9*36)/((($B$8-$C102)/12)*(36-B102)*'Product Data'!$P$23)</f>
        <v>#N/A</v>
      </c>
      <c r="F102" s="1927">
        <f t="shared" si="9"/>
        <v>0</v>
      </c>
      <c r="G102" s="1928">
        <v>4.7000000000000999E-3</v>
      </c>
      <c r="H102" s="1929" t="e">
        <f>($G$9*36)/((($F$8-$G102)/12)*(36-F102)*'Product Data'!$P$23)</f>
        <v>#N/A</v>
      </c>
      <c r="J102" s="1927">
        <f t="shared" si="10"/>
        <v>0</v>
      </c>
      <c r="K102" s="1928">
        <v>4.7000000000000999E-3</v>
      </c>
      <c r="L102" s="1929" t="e">
        <f>($K$9*36)/((($J$8-$K102)/12)*(36-J102)*'Product Data'!$P$23)</f>
        <v>#N/A</v>
      </c>
      <c r="N102" s="1927">
        <f t="shared" si="11"/>
        <v>0</v>
      </c>
      <c r="O102" s="1928">
        <v>4.7000000000000999E-3</v>
      </c>
      <c r="P102" s="1929" t="e">
        <f>($O$9*36)/((($N$8-$O102)/12)*(36-N102)*'Product Data'!$P$23)</f>
        <v>#N/A</v>
      </c>
    </row>
    <row r="103" spans="2:16" x14ac:dyDescent="0.25">
      <c r="B103" s="1927">
        <f t="shared" si="8"/>
        <v>0</v>
      </c>
      <c r="C103" s="1928">
        <v>4.6000000000000997E-3</v>
      </c>
      <c r="D103" s="1929" t="e">
        <f>($C$9*36)/((($B$8-$C103)/12)*(36-B103)*'Product Data'!$P$23)</f>
        <v>#N/A</v>
      </c>
      <c r="F103" s="1927">
        <f t="shared" si="9"/>
        <v>0</v>
      </c>
      <c r="G103" s="1928">
        <v>4.6000000000000997E-3</v>
      </c>
      <c r="H103" s="1929" t="e">
        <f>($G$9*36)/((($F$8-$G103)/12)*(36-F103)*'Product Data'!$P$23)</f>
        <v>#N/A</v>
      </c>
      <c r="J103" s="1927">
        <f t="shared" si="10"/>
        <v>0</v>
      </c>
      <c r="K103" s="1928">
        <v>4.6000000000000997E-3</v>
      </c>
      <c r="L103" s="1929" t="e">
        <f>($K$9*36)/((($J$8-$K103)/12)*(36-J103)*'Product Data'!$P$23)</f>
        <v>#N/A</v>
      </c>
      <c r="N103" s="1927">
        <f t="shared" si="11"/>
        <v>0</v>
      </c>
      <c r="O103" s="1928">
        <v>4.6000000000000997E-3</v>
      </c>
      <c r="P103" s="1929" t="e">
        <f>($O$9*36)/((($N$8-$O103)/12)*(36-N103)*'Product Data'!$P$23)</f>
        <v>#N/A</v>
      </c>
    </row>
    <row r="104" spans="2:16" x14ac:dyDescent="0.25">
      <c r="B104" s="1927">
        <f t="shared" si="8"/>
        <v>0</v>
      </c>
      <c r="C104" s="1928">
        <v>4.5000000000001003E-3</v>
      </c>
      <c r="D104" s="1929" t="e">
        <f>($C$9*36)/((($B$8-$C104)/12)*(36-B104)*'Product Data'!$P$23)</f>
        <v>#N/A</v>
      </c>
      <c r="F104" s="1927">
        <f t="shared" si="9"/>
        <v>0</v>
      </c>
      <c r="G104" s="1928">
        <v>4.5000000000001003E-3</v>
      </c>
      <c r="H104" s="1929" t="e">
        <f>($G$9*36)/((($F$8-$G104)/12)*(36-F104)*'Product Data'!$P$23)</f>
        <v>#N/A</v>
      </c>
      <c r="J104" s="1927">
        <f t="shared" si="10"/>
        <v>0</v>
      </c>
      <c r="K104" s="1928">
        <v>4.5000000000001003E-3</v>
      </c>
      <c r="L104" s="1929" t="e">
        <f>($K$9*36)/((($J$8-$K104)/12)*(36-J104)*'Product Data'!$P$23)</f>
        <v>#N/A</v>
      </c>
      <c r="N104" s="1927">
        <f t="shared" si="11"/>
        <v>0</v>
      </c>
      <c r="O104" s="1928">
        <v>4.5000000000001003E-3</v>
      </c>
      <c r="P104" s="1929" t="e">
        <f>($O$9*36)/((($N$8-$O104)/12)*(36-N104)*'Product Data'!$P$23)</f>
        <v>#N/A</v>
      </c>
    </row>
    <row r="105" spans="2:16" x14ac:dyDescent="0.25">
      <c r="B105" s="1927">
        <f t="shared" si="8"/>
        <v>0</v>
      </c>
      <c r="C105" s="1928">
        <v>4.4000000000001E-3</v>
      </c>
      <c r="D105" s="1929" t="e">
        <f>($C$9*36)/((($B$8-$C105)/12)*(36-B105)*'Product Data'!$P$23)</f>
        <v>#N/A</v>
      </c>
      <c r="F105" s="1927">
        <f t="shared" si="9"/>
        <v>0</v>
      </c>
      <c r="G105" s="1928">
        <v>4.4000000000001E-3</v>
      </c>
      <c r="H105" s="1929" t="e">
        <f>($G$9*36)/((($F$8-$G105)/12)*(36-F105)*'Product Data'!$P$23)</f>
        <v>#N/A</v>
      </c>
      <c r="J105" s="1927">
        <f t="shared" si="10"/>
        <v>0</v>
      </c>
      <c r="K105" s="1928">
        <v>4.4000000000001E-3</v>
      </c>
      <c r="L105" s="1929" t="e">
        <f>($K$9*36)/((($J$8-$K105)/12)*(36-J105)*'Product Data'!$P$23)</f>
        <v>#N/A</v>
      </c>
      <c r="N105" s="1927">
        <f t="shared" si="11"/>
        <v>0</v>
      </c>
      <c r="O105" s="1928">
        <v>4.4000000000001E-3</v>
      </c>
      <c r="P105" s="1929" t="e">
        <f>($O$9*36)/((($N$8-$O105)/12)*(36-N105)*'Product Data'!$P$23)</f>
        <v>#N/A</v>
      </c>
    </row>
    <row r="106" spans="2:16" x14ac:dyDescent="0.25">
      <c r="B106" s="1927">
        <f t="shared" si="8"/>
        <v>0</v>
      </c>
      <c r="C106" s="1928">
        <v>4.3000000000000997E-3</v>
      </c>
      <c r="D106" s="1929" t="e">
        <f>($C$9*36)/((($B$8-$C106)/12)*(36-B106)*'Product Data'!$P$23)</f>
        <v>#N/A</v>
      </c>
      <c r="F106" s="1927">
        <f t="shared" si="9"/>
        <v>0</v>
      </c>
      <c r="G106" s="1928">
        <v>4.3000000000000997E-3</v>
      </c>
      <c r="H106" s="1929" t="e">
        <f>($G$9*36)/((($F$8-$G106)/12)*(36-F106)*'Product Data'!$P$23)</f>
        <v>#N/A</v>
      </c>
      <c r="J106" s="1927">
        <f t="shared" si="10"/>
        <v>0</v>
      </c>
      <c r="K106" s="1928">
        <v>4.3000000000000997E-3</v>
      </c>
      <c r="L106" s="1929" t="e">
        <f>($K$9*36)/((($J$8-$K106)/12)*(36-J106)*'Product Data'!$P$23)</f>
        <v>#N/A</v>
      </c>
      <c r="N106" s="1927">
        <f t="shared" si="11"/>
        <v>0</v>
      </c>
      <c r="O106" s="1928">
        <v>4.3000000000000997E-3</v>
      </c>
      <c r="P106" s="1929" t="e">
        <f>($O$9*36)/((($N$8-$O106)/12)*(36-N106)*'Product Data'!$P$23)</f>
        <v>#N/A</v>
      </c>
    </row>
    <row r="107" spans="2:16" x14ac:dyDescent="0.25">
      <c r="B107" s="1927">
        <f t="shared" si="8"/>
        <v>0</v>
      </c>
      <c r="C107" s="1928">
        <v>4.2000000000001004E-3</v>
      </c>
      <c r="D107" s="1929" t="e">
        <f>($C$9*36)/((($B$8-$C107)/12)*(36-B107)*'Product Data'!$P$23)</f>
        <v>#N/A</v>
      </c>
      <c r="F107" s="1927">
        <f t="shared" si="9"/>
        <v>0</v>
      </c>
      <c r="G107" s="1928">
        <v>4.2000000000001004E-3</v>
      </c>
      <c r="H107" s="1929" t="e">
        <f>($G$9*36)/((($F$8-$G107)/12)*(36-F107)*'Product Data'!$P$23)</f>
        <v>#N/A</v>
      </c>
      <c r="J107" s="1927">
        <f t="shared" si="10"/>
        <v>0</v>
      </c>
      <c r="K107" s="1928">
        <v>4.2000000000001004E-3</v>
      </c>
      <c r="L107" s="1929" t="e">
        <f>($K$9*36)/((($J$8-$K107)/12)*(36-J107)*'Product Data'!$P$23)</f>
        <v>#N/A</v>
      </c>
      <c r="N107" s="1927">
        <f t="shared" si="11"/>
        <v>0</v>
      </c>
      <c r="O107" s="1928">
        <v>4.2000000000001004E-3</v>
      </c>
      <c r="P107" s="1929" t="e">
        <f>($O$9*36)/((($N$8-$O107)/12)*(36-N107)*'Product Data'!$P$23)</f>
        <v>#N/A</v>
      </c>
    </row>
    <row r="108" spans="2:16" x14ac:dyDescent="0.25">
      <c r="B108" s="1927">
        <f t="shared" si="8"/>
        <v>0</v>
      </c>
      <c r="C108" s="1928">
        <v>4.1000000000001001E-3</v>
      </c>
      <c r="D108" s="1929" t="e">
        <f>($C$9*36)/((($B$8-$C108)/12)*(36-B108)*'Product Data'!$P$23)</f>
        <v>#N/A</v>
      </c>
      <c r="F108" s="1927">
        <f t="shared" si="9"/>
        <v>0</v>
      </c>
      <c r="G108" s="1928">
        <v>4.1000000000001001E-3</v>
      </c>
      <c r="H108" s="1929" t="e">
        <f>($G$9*36)/((($F$8-$G108)/12)*(36-F108)*'Product Data'!$P$23)</f>
        <v>#N/A</v>
      </c>
      <c r="J108" s="1927">
        <f t="shared" si="10"/>
        <v>0</v>
      </c>
      <c r="K108" s="1928">
        <v>4.1000000000001001E-3</v>
      </c>
      <c r="L108" s="1929" t="e">
        <f>($K$9*36)/((($J$8-$K108)/12)*(36-J108)*'Product Data'!$P$23)</f>
        <v>#N/A</v>
      </c>
      <c r="N108" s="1927">
        <f t="shared" si="11"/>
        <v>0</v>
      </c>
      <c r="O108" s="1928">
        <v>4.1000000000001001E-3</v>
      </c>
      <c r="P108" s="1929" t="e">
        <f>($O$9*36)/((($N$8-$O108)/12)*(36-N108)*'Product Data'!$P$23)</f>
        <v>#N/A</v>
      </c>
    </row>
    <row r="109" spans="2:16" x14ac:dyDescent="0.25">
      <c r="B109" s="1927">
        <f t="shared" si="8"/>
        <v>0</v>
      </c>
      <c r="C109" s="1928">
        <v>4.0000000000000998E-3</v>
      </c>
      <c r="D109" s="1929" t="e">
        <f>($C$9*36)/((($B$8-$C109)/12)*(36-B109)*'Product Data'!$P$23)</f>
        <v>#N/A</v>
      </c>
      <c r="F109" s="1927">
        <f t="shared" si="9"/>
        <v>0</v>
      </c>
      <c r="G109" s="1928">
        <v>4.0000000000000998E-3</v>
      </c>
      <c r="H109" s="1929" t="e">
        <f>($G$9*36)/((($F$8-$G109)/12)*(36-F109)*'Product Data'!$P$23)</f>
        <v>#N/A</v>
      </c>
      <c r="J109" s="1927">
        <f t="shared" si="10"/>
        <v>0</v>
      </c>
      <c r="K109" s="1928">
        <v>4.0000000000000998E-3</v>
      </c>
      <c r="L109" s="1929" t="e">
        <f>($K$9*36)/((($J$8-$K109)/12)*(36-J109)*'Product Data'!$P$23)</f>
        <v>#N/A</v>
      </c>
      <c r="N109" s="1927">
        <f t="shared" si="11"/>
        <v>0</v>
      </c>
      <c r="O109" s="1928">
        <v>4.0000000000000998E-3</v>
      </c>
      <c r="P109" s="1929" t="e">
        <f>($O$9*36)/((($N$8-$O109)/12)*(36-N109)*'Product Data'!$P$23)</f>
        <v>#N/A</v>
      </c>
    </row>
    <row r="110" spans="2:16" x14ac:dyDescent="0.25">
      <c r="B110" s="1927">
        <f t="shared" si="8"/>
        <v>0</v>
      </c>
      <c r="C110" s="1928">
        <v>3.9000000000001E-3</v>
      </c>
      <c r="D110" s="1929" t="e">
        <f>($C$9*36)/((($B$8-$C110)/12)*(36-B110)*'Product Data'!$P$23)</f>
        <v>#N/A</v>
      </c>
      <c r="F110" s="1927">
        <f t="shared" si="9"/>
        <v>0</v>
      </c>
      <c r="G110" s="1928">
        <v>3.9000000000001E-3</v>
      </c>
      <c r="H110" s="1929" t="e">
        <f>($G$9*36)/((($F$8-$G110)/12)*(36-F110)*'Product Data'!$P$23)</f>
        <v>#N/A</v>
      </c>
      <c r="J110" s="1927">
        <f t="shared" si="10"/>
        <v>0</v>
      </c>
      <c r="K110" s="1928">
        <v>3.9000000000001E-3</v>
      </c>
      <c r="L110" s="1929" t="e">
        <f>($K$9*36)/((($J$8-$K110)/12)*(36-J110)*'Product Data'!$P$23)</f>
        <v>#N/A</v>
      </c>
      <c r="N110" s="1927">
        <f t="shared" si="11"/>
        <v>0</v>
      </c>
      <c r="O110" s="1928">
        <v>3.9000000000001E-3</v>
      </c>
      <c r="P110" s="1929" t="e">
        <f>($O$9*36)/((($N$8-$O110)/12)*(36-N110)*'Product Data'!$P$23)</f>
        <v>#N/A</v>
      </c>
    </row>
    <row r="111" spans="2:16" x14ac:dyDescent="0.25">
      <c r="B111" s="1927">
        <f t="shared" si="8"/>
        <v>0</v>
      </c>
      <c r="C111" s="1928">
        <v>3.8000000000001002E-3</v>
      </c>
      <c r="D111" s="1929" t="e">
        <f>($C$9*36)/((($B$8-$C111)/12)*(36-B111)*'Product Data'!$P$23)</f>
        <v>#N/A</v>
      </c>
      <c r="F111" s="1927">
        <f t="shared" si="9"/>
        <v>0</v>
      </c>
      <c r="G111" s="1928">
        <v>3.8000000000001002E-3</v>
      </c>
      <c r="H111" s="1929" t="e">
        <f>($G$9*36)/((($F$8-$G111)/12)*(36-F111)*'Product Data'!$P$23)</f>
        <v>#N/A</v>
      </c>
      <c r="J111" s="1927">
        <f t="shared" si="10"/>
        <v>0</v>
      </c>
      <c r="K111" s="1928">
        <v>3.8000000000001002E-3</v>
      </c>
      <c r="L111" s="1929" t="e">
        <f>($K$9*36)/((($J$8-$K111)/12)*(36-J111)*'Product Data'!$P$23)</f>
        <v>#N/A</v>
      </c>
      <c r="N111" s="1927">
        <f t="shared" si="11"/>
        <v>0</v>
      </c>
      <c r="O111" s="1928">
        <v>3.8000000000001002E-3</v>
      </c>
      <c r="P111" s="1929" t="e">
        <f>($O$9*36)/((($N$8-$O111)/12)*(36-N111)*'Product Data'!$P$23)</f>
        <v>#N/A</v>
      </c>
    </row>
    <row r="112" spans="2:16" x14ac:dyDescent="0.25">
      <c r="B112" s="1927">
        <f t="shared" si="8"/>
        <v>0</v>
      </c>
      <c r="C112" s="1928">
        <v>3.7000000000000999E-3</v>
      </c>
      <c r="D112" s="1929" t="e">
        <f>($C$9*36)/((($B$8-$C112)/12)*(36-B112)*'Product Data'!$P$23)</f>
        <v>#N/A</v>
      </c>
      <c r="F112" s="1927">
        <f t="shared" si="9"/>
        <v>0</v>
      </c>
      <c r="G112" s="1928">
        <v>3.7000000000000999E-3</v>
      </c>
      <c r="H112" s="1929" t="e">
        <f>($G$9*36)/((($F$8-$G112)/12)*(36-F112)*'Product Data'!$P$23)</f>
        <v>#N/A</v>
      </c>
      <c r="J112" s="1927">
        <f t="shared" si="10"/>
        <v>0</v>
      </c>
      <c r="K112" s="1928">
        <v>3.7000000000000999E-3</v>
      </c>
      <c r="L112" s="1929" t="e">
        <f>($K$9*36)/((($J$8-$K112)/12)*(36-J112)*'Product Data'!$P$23)</f>
        <v>#N/A</v>
      </c>
      <c r="N112" s="1927">
        <f t="shared" si="11"/>
        <v>0</v>
      </c>
      <c r="O112" s="1928">
        <v>3.7000000000000999E-3</v>
      </c>
      <c r="P112" s="1929" t="e">
        <f>($O$9*36)/((($N$8-$O112)/12)*(36-N112)*'Product Data'!$P$23)</f>
        <v>#N/A</v>
      </c>
    </row>
    <row r="113" spans="2:16" x14ac:dyDescent="0.25">
      <c r="B113" s="1927">
        <f t="shared" si="8"/>
        <v>0</v>
      </c>
      <c r="C113" s="1928">
        <v>3.6000000000001001E-3</v>
      </c>
      <c r="D113" s="1929" t="e">
        <f>($C$9*36)/((($B$8-$C113)/12)*(36-B113)*'Product Data'!$P$23)</f>
        <v>#N/A</v>
      </c>
      <c r="F113" s="1927">
        <f t="shared" si="9"/>
        <v>0</v>
      </c>
      <c r="G113" s="1928">
        <v>3.6000000000001001E-3</v>
      </c>
      <c r="H113" s="1929" t="e">
        <f>($G$9*36)/((($F$8-$G113)/12)*(36-F113)*'Product Data'!$P$23)</f>
        <v>#N/A</v>
      </c>
      <c r="J113" s="1927">
        <f t="shared" si="10"/>
        <v>0</v>
      </c>
      <c r="K113" s="1928">
        <v>3.6000000000001001E-3</v>
      </c>
      <c r="L113" s="1929" t="e">
        <f>($K$9*36)/((($J$8-$K113)/12)*(36-J113)*'Product Data'!$P$23)</f>
        <v>#N/A</v>
      </c>
      <c r="N113" s="1927">
        <f t="shared" si="11"/>
        <v>0</v>
      </c>
      <c r="O113" s="1928">
        <v>3.6000000000001001E-3</v>
      </c>
      <c r="P113" s="1929" t="e">
        <f>($O$9*36)/((($N$8-$O113)/12)*(36-N113)*'Product Data'!$P$23)</f>
        <v>#N/A</v>
      </c>
    </row>
    <row r="114" spans="2:16" x14ac:dyDescent="0.25">
      <c r="B114" s="1927">
        <f t="shared" si="8"/>
        <v>0</v>
      </c>
      <c r="C114" s="1928">
        <v>3.5000000000000998E-3</v>
      </c>
      <c r="D114" s="1929" t="e">
        <f>($C$9*36)/((($B$8-$C114)/12)*(36-B114)*'Product Data'!$P$23)</f>
        <v>#N/A</v>
      </c>
      <c r="F114" s="1927">
        <f t="shared" si="9"/>
        <v>0</v>
      </c>
      <c r="G114" s="1928">
        <v>3.5000000000000998E-3</v>
      </c>
      <c r="H114" s="1929" t="e">
        <f>($G$9*36)/((($F$8-$G114)/12)*(36-F114)*'Product Data'!$P$23)</f>
        <v>#N/A</v>
      </c>
      <c r="J114" s="1927">
        <f t="shared" si="10"/>
        <v>0</v>
      </c>
      <c r="K114" s="1928">
        <v>3.5000000000000998E-3</v>
      </c>
      <c r="L114" s="1929" t="e">
        <f>($K$9*36)/((($J$8-$K114)/12)*(36-J114)*'Product Data'!$P$23)</f>
        <v>#N/A</v>
      </c>
      <c r="N114" s="1927">
        <f t="shared" si="11"/>
        <v>0</v>
      </c>
      <c r="O114" s="1928">
        <v>3.5000000000000998E-3</v>
      </c>
      <c r="P114" s="1929" t="e">
        <f>($O$9*36)/((($N$8-$O114)/12)*(36-N114)*'Product Data'!$P$23)</f>
        <v>#N/A</v>
      </c>
    </row>
    <row r="115" spans="2:16" x14ac:dyDescent="0.25">
      <c r="B115" s="1927">
        <f t="shared" si="8"/>
        <v>0</v>
      </c>
      <c r="C115" s="1928">
        <v>3.4000000000001E-3</v>
      </c>
      <c r="D115" s="1929" t="e">
        <f>($C$9*36)/((($B$8-$C115)/12)*(36-B115)*'Product Data'!$P$23)</f>
        <v>#N/A</v>
      </c>
      <c r="F115" s="1927">
        <f t="shared" si="9"/>
        <v>0</v>
      </c>
      <c r="G115" s="1928">
        <v>3.4000000000001E-3</v>
      </c>
      <c r="H115" s="1929" t="e">
        <f>($G$9*36)/((($F$8-$G115)/12)*(36-F115)*'Product Data'!$P$23)</f>
        <v>#N/A</v>
      </c>
      <c r="J115" s="1927">
        <f t="shared" si="10"/>
        <v>0</v>
      </c>
      <c r="K115" s="1928">
        <v>3.4000000000001E-3</v>
      </c>
      <c r="L115" s="1929" t="e">
        <f>($K$9*36)/((($J$8-$K115)/12)*(36-J115)*'Product Data'!$P$23)</f>
        <v>#N/A</v>
      </c>
      <c r="N115" s="1927">
        <f t="shared" si="11"/>
        <v>0</v>
      </c>
      <c r="O115" s="1928">
        <v>3.4000000000001E-3</v>
      </c>
      <c r="P115" s="1929" t="e">
        <f>($O$9*36)/((($N$8-$O115)/12)*(36-N115)*'Product Data'!$P$23)</f>
        <v>#N/A</v>
      </c>
    </row>
    <row r="116" spans="2:16" x14ac:dyDescent="0.25">
      <c r="B116" s="1927">
        <f t="shared" si="8"/>
        <v>0</v>
      </c>
      <c r="C116" s="1928">
        <v>3.3000000000001002E-3</v>
      </c>
      <c r="D116" s="1929" t="e">
        <f>($C$9*36)/((($B$8-$C116)/12)*(36-B116)*'Product Data'!$P$23)</f>
        <v>#N/A</v>
      </c>
      <c r="F116" s="1927">
        <f t="shared" si="9"/>
        <v>0</v>
      </c>
      <c r="G116" s="1928">
        <v>3.3000000000001002E-3</v>
      </c>
      <c r="H116" s="1929" t="e">
        <f>($G$9*36)/((($F$8-$G116)/12)*(36-F116)*'Product Data'!$P$23)</f>
        <v>#N/A</v>
      </c>
      <c r="J116" s="1927">
        <f t="shared" si="10"/>
        <v>0</v>
      </c>
      <c r="K116" s="1928">
        <v>3.3000000000001002E-3</v>
      </c>
      <c r="L116" s="1929" t="e">
        <f>($K$9*36)/((($J$8-$K116)/12)*(36-J116)*'Product Data'!$P$23)</f>
        <v>#N/A</v>
      </c>
      <c r="N116" s="1927">
        <f t="shared" si="11"/>
        <v>0</v>
      </c>
      <c r="O116" s="1928">
        <v>3.3000000000001002E-3</v>
      </c>
      <c r="P116" s="1929" t="e">
        <f>($O$9*36)/((($N$8-$O116)/12)*(36-N116)*'Product Data'!$P$23)</f>
        <v>#N/A</v>
      </c>
    </row>
    <row r="117" spans="2:16" x14ac:dyDescent="0.25">
      <c r="B117" s="1927">
        <f t="shared" si="8"/>
        <v>0</v>
      </c>
      <c r="C117" s="1928">
        <v>3.2000000000000999E-3</v>
      </c>
      <c r="D117" s="1929" t="e">
        <f>($C$9*36)/((($B$8-$C117)/12)*(36-B117)*'Product Data'!$P$23)</f>
        <v>#N/A</v>
      </c>
      <c r="F117" s="1927">
        <f t="shared" si="9"/>
        <v>0</v>
      </c>
      <c r="G117" s="1928">
        <v>3.2000000000000999E-3</v>
      </c>
      <c r="H117" s="1929" t="e">
        <f>($G$9*36)/((($F$8-$G117)/12)*(36-F117)*'Product Data'!$P$23)</f>
        <v>#N/A</v>
      </c>
      <c r="J117" s="1927">
        <f t="shared" si="10"/>
        <v>0</v>
      </c>
      <c r="K117" s="1928">
        <v>3.2000000000000999E-3</v>
      </c>
      <c r="L117" s="1929" t="e">
        <f>($K$9*36)/((($J$8-$K117)/12)*(36-J117)*'Product Data'!$P$23)</f>
        <v>#N/A</v>
      </c>
      <c r="N117" s="1927">
        <f t="shared" si="11"/>
        <v>0</v>
      </c>
      <c r="O117" s="1928">
        <v>3.2000000000000999E-3</v>
      </c>
      <c r="P117" s="1929" t="e">
        <f>($O$9*36)/((($N$8-$O117)/12)*(36-N117)*'Product Data'!$P$23)</f>
        <v>#N/A</v>
      </c>
    </row>
    <row r="118" spans="2:16" x14ac:dyDescent="0.25">
      <c r="B118" s="1927">
        <f t="shared" si="8"/>
        <v>0</v>
      </c>
      <c r="C118" s="1928">
        <v>3.1000000000001001E-3</v>
      </c>
      <c r="D118" s="1929" t="e">
        <f>($C$9*36)/((($B$8-$C118)/12)*(36-B118)*'Product Data'!$P$23)</f>
        <v>#N/A</v>
      </c>
      <c r="F118" s="1927">
        <f t="shared" si="9"/>
        <v>0</v>
      </c>
      <c r="G118" s="1928">
        <v>3.1000000000001001E-3</v>
      </c>
      <c r="H118" s="1929" t="e">
        <f>($G$9*36)/((($F$8-$G118)/12)*(36-F118)*'Product Data'!$P$23)</f>
        <v>#N/A</v>
      </c>
      <c r="J118" s="1927">
        <f t="shared" si="10"/>
        <v>0</v>
      </c>
      <c r="K118" s="1928">
        <v>3.1000000000001001E-3</v>
      </c>
      <c r="L118" s="1929" t="e">
        <f>($K$9*36)/((($J$8-$K118)/12)*(36-J118)*'Product Data'!$P$23)</f>
        <v>#N/A</v>
      </c>
      <c r="N118" s="1927">
        <f t="shared" si="11"/>
        <v>0</v>
      </c>
      <c r="O118" s="1928">
        <v>3.1000000000001001E-3</v>
      </c>
      <c r="P118" s="1929" t="e">
        <f>($O$9*36)/((($N$8-$O118)/12)*(36-N118)*'Product Data'!$P$23)</f>
        <v>#N/A</v>
      </c>
    </row>
    <row r="119" spans="2:16" x14ac:dyDescent="0.25">
      <c r="B119" s="1927">
        <f t="shared" si="8"/>
        <v>0</v>
      </c>
      <c r="C119" s="1928">
        <v>3.0000000000000998E-3</v>
      </c>
      <c r="D119" s="1929" t="e">
        <f>($C$9*36)/((($B$8-$C119)/12)*(36-B119)*'Product Data'!$P$23)</f>
        <v>#N/A</v>
      </c>
      <c r="F119" s="1927">
        <f t="shared" si="9"/>
        <v>0</v>
      </c>
      <c r="G119" s="1928">
        <v>3.0000000000000998E-3</v>
      </c>
      <c r="H119" s="1929" t="e">
        <f>($G$9*36)/((($F$8-$G119)/12)*(36-F119)*'Product Data'!$P$23)</f>
        <v>#N/A</v>
      </c>
      <c r="J119" s="1927">
        <f t="shared" si="10"/>
        <v>0</v>
      </c>
      <c r="K119" s="1928">
        <v>3.0000000000000998E-3</v>
      </c>
      <c r="L119" s="1929" t="e">
        <f>($K$9*36)/((($J$8-$K119)/12)*(36-J119)*'Product Data'!$P$23)</f>
        <v>#N/A</v>
      </c>
      <c r="N119" s="1927">
        <f t="shared" si="11"/>
        <v>0</v>
      </c>
      <c r="O119" s="1928">
        <v>3.0000000000000998E-3</v>
      </c>
      <c r="P119" s="1929" t="e">
        <f>($O$9*36)/((($N$8-$O119)/12)*(36-N119)*'Product Data'!$P$23)</f>
        <v>#N/A</v>
      </c>
    </row>
    <row r="120" spans="2:16" x14ac:dyDescent="0.25">
      <c r="B120" s="1927">
        <f t="shared" si="8"/>
        <v>0</v>
      </c>
      <c r="C120" s="1928">
        <v>2.9000000000001E-3</v>
      </c>
      <c r="D120" s="1929" t="e">
        <f>($C$9*36)/((($B$8-$C120)/12)*(36-B120)*'Product Data'!$P$23)</f>
        <v>#N/A</v>
      </c>
      <c r="F120" s="1927">
        <f t="shared" si="9"/>
        <v>0</v>
      </c>
      <c r="G120" s="1928">
        <v>2.9000000000001E-3</v>
      </c>
      <c r="H120" s="1929" t="e">
        <f>($G$9*36)/((($F$8-$G120)/12)*(36-F120)*'Product Data'!$P$23)</f>
        <v>#N/A</v>
      </c>
      <c r="J120" s="1927">
        <f t="shared" si="10"/>
        <v>0</v>
      </c>
      <c r="K120" s="1928">
        <v>2.9000000000001E-3</v>
      </c>
      <c r="L120" s="1929" t="e">
        <f>($K$9*36)/((($J$8-$K120)/12)*(36-J120)*'Product Data'!$P$23)</f>
        <v>#N/A</v>
      </c>
      <c r="N120" s="1927">
        <f t="shared" si="11"/>
        <v>0</v>
      </c>
      <c r="O120" s="1928">
        <v>2.9000000000001E-3</v>
      </c>
      <c r="P120" s="1929" t="e">
        <f>($O$9*36)/((($N$8-$O120)/12)*(36-N120)*'Product Data'!$P$23)</f>
        <v>#N/A</v>
      </c>
    </row>
    <row r="121" spans="2:16" x14ac:dyDescent="0.25">
      <c r="B121" s="1927">
        <f t="shared" si="8"/>
        <v>0</v>
      </c>
      <c r="C121" s="1928">
        <v>2.8000000000001002E-3</v>
      </c>
      <c r="D121" s="1929" t="e">
        <f>($C$9*36)/((($B$8-$C121)/12)*(36-B121)*'Product Data'!$P$23)</f>
        <v>#N/A</v>
      </c>
      <c r="F121" s="1927">
        <f t="shared" si="9"/>
        <v>0</v>
      </c>
      <c r="G121" s="1928">
        <v>2.8000000000001002E-3</v>
      </c>
      <c r="H121" s="1929" t="e">
        <f>($G$9*36)/((($F$8-$G121)/12)*(36-F121)*'Product Data'!$P$23)</f>
        <v>#N/A</v>
      </c>
      <c r="J121" s="1927">
        <f t="shared" si="10"/>
        <v>0</v>
      </c>
      <c r="K121" s="1928">
        <v>2.8000000000001002E-3</v>
      </c>
      <c r="L121" s="1929" t="e">
        <f>($K$9*36)/((($J$8-$K121)/12)*(36-J121)*'Product Data'!$P$23)</f>
        <v>#N/A</v>
      </c>
      <c r="N121" s="1927">
        <f t="shared" si="11"/>
        <v>0</v>
      </c>
      <c r="O121" s="1928">
        <v>2.8000000000001002E-3</v>
      </c>
      <c r="P121" s="1929" t="e">
        <f>($O$9*36)/((($N$8-$O121)/12)*(36-N121)*'Product Data'!$P$23)</f>
        <v>#N/A</v>
      </c>
    </row>
    <row r="122" spans="2:16" x14ac:dyDescent="0.25">
      <c r="B122" s="1927">
        <f t="shared" si="8"/>
        <v>0</v>
      </c>
      <c r="C122" s="1928">
        <v>2.7000000000000999E-3</v>
      </c>
      <c r="D122" s="1929" t="e">
        <f>($C$9*36)/((($B$8-$C122)/12)*(36-B122)*'Product Data'!$P$23)</f>
        <v>#N/A</v>
      </c>
      <c r="F122" s="1927">
        <f t="shared" si="9"/>
        <v>0</v>
      </c>
      <c r="G122" s="1928">
        <v>2.7000000000000999E-3</v>
      </c>
      <c r="H122" s="1929" t="e">
        <f>($G$9*36)/((($F$8-$G122)/12)*(36-F122)*'Product Data'!$P$23)</f>
        <v>#N/A</v>
      </c>
      <c r="J122" s="1927">
        <f t="shared" si="10"/>
        <v>0</v>
      </c>
      <c r="K122" s="1928">
        <v>2.7000000000000999E-3</v>
      </c>
      <c r="L122" s="1929" t="e">
        <f>($K$9*36)/((($J$8-$K122)/12)*(36-J122)*'Product Data'!$P$23)</f>
        <v>#N/A</v>
      </c>
      <c r="N122" s="1927">
        <f t="shared" si="11"/>
        <v>0</v>
      </c>
      <c r="O122" s="1928">
        <v>2.7000000000000999E-3</v>
      </c>
      <c r="P122" s="1929" t="e">
        <f>($O$9*36)/((($N$8-$O122)/12)*(36-N122)*'Product Data'!$P$23)</f>
        <v>#N/A</v>
      </c>
    </row>
    <row r="123" spans="2:16" x14ac:dyDescent="0.25">
      <c r="B123" s="1927">
        <f t="shared" si="8"/>
        <v>0</v>
      </c>
      <c r="C123" s="1928">
        <v>2.6000000000001001E-3</v>
      </c>
      <c r="D123" s="1929" t="e">
        <f>($C$9*36)/((($B$8-$C123)/12)*(36-B123)*'Product Data'!$P$23)</f>
        <v>#N/A</v>
      </c>
      <c r="F123" s="1927">
        <f t="shared" si="9"/>
        <v>0</v>
      </c>
      <c r="G123" s="1928">
        <v>2.6000000000001001E-3</v>
      </c>
      <c r="H123" s="1929" t="e">
        <f>($G$9*36)/((($F$8-$G123)/12)*(36-F123)*'Product Data'!$P$23)</f>
        <v>#N/A</v>
      </c>
      <c r="J123" s="1927">
        <f t="shared" si="10"/>
        <v>0</v>
      </c>
      <c r="K123" s="1928">
        <v>2.6000000000001001E-3</v>
      </c>
      <c r="L123" s="1929" t="e">
        <f>($K$9*36)/((($J$8-$K123)/12)*(36-J123)*'Product Data'!$P$23)</f>
        <v>#N/A</v>
      </c>
      <c r="N123" s="1927">
        <f t="shared" si="11"/>
        <v>0</v>
      </c>
      <c r="O123" s="1928">
        <v>2.6000000000001001E-3</v>
      </c>
      <c r="P123" s="1929" t="e">
        <f>($O$9*36)/((($N$8-$O123)/12)*(36-N123)*'Product Data'!$P$23)</f>
        <v>#N/A</v>
      </c>
    </row>
    <row r="124" spans="2:16" x14ac:dyDescent="0.25">
      <c r="B124" s="1927">
        <f t="shared" si="8"/>
        <v>0</v>
      </c>
      <c r="C124" s="1928">
        <v>2.5000000000000998E-3</v>
      </c>
      <c r="D124" s="1929" t="e">
        <f>($C$9*36)/((($B$8-$C124)/12)*(36-B124)*'Product Data'!$P$23)</f>
        <v>#N/A</v>
      </c>
      <c r="F124" s="1927">
        <f t="shared" si="9"/>
        <v>0</v>
      </c>
      <c r="G124" s="1928">
        <v>2.5000000000000998E-3</v>
      </c>
      <c r="H124" s="1929" t="e">
        <f>($G$9*36)/((($F$8-$G124)/12)*(36-F124)*'Product Data'!$P$23)</f>
        <v>#N/A</v>
      </c>
      <c r="J124" s="1927">
        <f t="shared" si="10"/>
        <v>0</v>
      </c>
      <c r="K124" s="1928">
        <v>2.5000000000000998E-3</v>
      </c>
      <c r="L124" s="1929" t="e">
        <f>($K$9*36)/((($J$8-$K124)/12)*(36-J124)*'Product Data'!$P$23)</f>
        <v>#N/A</v>
      </c>
      <c r="N124" s="1927">
        <f t="shared" si="11"/>
        <v>0</v>
      </c>
      <c r="O124" s="1928">
        <v>2.5000000000000998E-3</v>
      </c>
      <c r="P124" s="1929" t="e">
        <f>($O$9*36)/((($N$8-$O124)/12)*(36-N124)*'Product Data'!$P$23)</f>
        <v>#N/A</v>
      </c>
    </row>
    <row r="125" spans="2:16" x14ac:dyDescent="0.25">
      <c r="B125" s="1927">
        <f t="shared" si="8"/>
        <v>0</v>
      </c>
      <c r="C125" s="1928">
        <v>2.4000000000001E-3</v>
      </c>
      <c r="D125" s="1929" t="e">
        <f>($C$9*36)/((($B$8-$C125)/12)*(36-B125)*'Product Data'!$P$23)</f>
        <v>#N/A</v>
      </c>
      <c r="F125" s="1927">
        <f t="shared" si="9"/>
        <v>0</v>
      </c>
      <c r="G125" s="1928">
        <v>2.4000000000001E-3</v>
      </c>
      <c r="H125" s="1929" t="e">
        <f>($G$9*36)/((($F$8-$G125)/12)*(36-F125)*'Product Data'!$P$23)</f>
        <v>#N/A</v>
      </c>
      <c r="J125" s="1927">
        <f t="shared" si="10"/>
        <v>0</v>
      </c>
      <c r="K125" s="1928">
        <v>2.4000000000001E-3</v>
      </c>
      <c r="L125" s="1929" t="e">
        <f>($K$9*36)/((($J$8-$K125)/12)*(36-J125)*'Product Data'!$P$23)</f>
        <v>#N/A</v>
      </c>
      <c r="N125" s="1927">
        <f t="shared" si="11"/>
        <v>0</v>
      </c>
      <c r="O125" s="1928">
        <v>2.4000000000001E-3</v>
      </c>
      <c r="P125" s="1929" t="e">
        <f>($O$9*36)/((($N$8-$O125)/12)*(36-N125)*'Product Data'!$P$23)</f>
        <v>#N/A</v>
      </c>
    </row>
    <row r="126" spans="2:16" x14ac:dyDescent="0.25">
      <c r="B126" s="1927">
        <f t="shared" si="8"/>
        <v>0</v>
      </c>
      <c r="C126" s="1928">
        <v>2.3000000000001001E-3</v>
      </c>
      <c r="D126" s="1929" t="e">
        <f>($C$9*36)/((($B$8-$C126)/12)*(36-B126)*'Product Data'!$P$23)</f>
        <v>#N/A</v>
      </c>
      <c r="F126" s="1927">
        <f t="shared" si="9"/>
        <v>0</v>
      </c>
      <c r="G126" s="1928">
        <v>2.3000000000001001E-3</v>
      </c>
      <c r="H126" s="1929" t="e">
        <f>($G$9*36)/((($F$8-$G126)/12)*(36-F126)*'Product Data'!$P$23)</f>
        <v>#N/A</v>
      </c>
      <c r="J126" s="1927">
        <f t="shared" si="10"/>
        <v>0</v>
      </c>
      <c r="K126" s="1928">
        <v>2.3000000000001001E-3</v>
      </c>
      <c r="L126" s="1929" t="e">
        <f>($K$9*36)/((($J$8-$K126)/12)*(36-J126)*'Product Data'!$P$23)</f>
        <v>#N/A</v>
      </c>
      <c r="N126" s="1927">
        <f t="shared" si="11"/>
        <v>0</v>
      </c>
      <c r="O126" s="1928">
        <v>2.3000000000001001E-3</v>
      </c>
      <c r="P126" s="1929" t="e">
        <f>($O$9*36)/((($N$8-$O126)/12)*(36-N126)*'Product Data'!$P$23)</f>
        <v>#N/A</v>
      </c>
    </row>
    <row r="127" spans="2:16" x14ac:dyDescent="0.25">
      <c r="B127" s="1927">
        <f t="shared" si="8"/>
        <v>0</v>
      </c>
      <c r="C127" s="1928">
        <v>2.2000000000000999E-3</v>
      </c>
      <c r="D127" s="1929" t="e">
        <f>($C$9*36)/((($B$8-$C127)/12)*(36-B127)*'Product Data'!$P$23)</f>
        <v>#N/A</v>
      </c>
      <c r="F127" s="1927">
        <f t="shared" si="9"/>
        <v>0</v>
      </c>
      <c r="G127" s="1928">
        <v>2.2000000000000999E-3</v>
      </c>
      <c r="H127" s="1929" t="e">
        <f>($G$9*36)/((($F$8-$G127)/12)*(36-F127)*'Product Data'!$P$23)</f>
        <v>#N/A</v>
      </c>
      <c r="J127" s="1927">
        <f t="shared" si="10"/>
        <v>0</v>
      </c>
      <c r="K127" s="1928">
        <v>2.2000000000000999E-3</v>
      </c>
      <c r="L127" s="1929" t="e">
        <f>($K$9*36)/((($J$8-$K127)/12)*(36-J127)*'Product Data'!$P$23)</f>
        <v>#N/A</v>
      </c>
      <c r="N127" s="1927">
        <f t="shared" si="11"/>
        <v>0</v>
      </c>
      <c r="O127" s="1928">
        <v>2.2000000000000999E-3</v>
      </c>
      <c r="P127" s="1929" t="e">
        <f>($O$9*36)/((($N$8-$O127)/12)*(36-N127)*'Product Data'!$P$23)</f>
        <v>#N/A</v>
      </c>
    </row>
    <row r="128" spans="2:16" x14ac:dyDescent="0.25">
      <c r="B128" s="1927">
        <f t="shared" si="8"/>
        <v>0</v>
      </c>
      <c r="C128" s="1928">
        <v>2.1000000000001001E-3</v>
      </c>
      <c r="D128" s="1929" t="e">
        <f>($C$9*36)/((($B$8-$C128)/12)*(36-B128)*'Product Data'!$P$23)</f>
        <v>#N/A</v>
      </c>
      <c r="F128" s="1927">
        <f t="shared" si="9"/>
        <v>0</v>
      </c>
      <c r="G128" s="1928">
        <v>2.1000000000001001E-3</v>
      </c>
      <c r="H128" s="1929" t="e">
        <f>($G$9*36)/((($F$8-$G128)/12)*(36-F128)*'Product Data'!$P$23)</f>
        <v>#N/A</v>
      </c>
      <c r="J128" s="1927">
        <f t="shared" si="10"/>
        <v>0</v>
      </c>
      <c r="K128" s="1928">
        <v>2.1000000000001001E-3</v>
      </c>
      <c r="L128" s="1929" t="e">
        <f>($K$9*36)/((($J$8-$K128)/12)*(36-J128)*'Product Data'!$P$23)</f>
        <v>#N/A</v>
      </c>
      <c r="N128" s="1927">
        <f t="shared" si="11"/>
        <v>0</v>
      </c>
      <c r="O128" s="1928">
        <v>2.1000000000001001E-3</v>
      </c>
      <c r="P128" s="1929" t="e">
        <f>($O$9*36)/((($N$8-$O128)/12)*(36-N128)*'Product Data'!$P$23)</f>
        <v>#N/A</v>
      </c>
    </row>
    <row r="129" spans="2:16" x14ac:dyDescent="0.25">
      <c r="B129" s="1927">
        <f t="shared" si="8"/>
        <v>0</v>
      </c>
      <c r="C129" s="1928">
        <v>2.0000000000000998E-3</v>
      </c>
      <c r="D129" s="1929" t="e">
        <f>($C$9*36)/((($B$8-$C129)/12)*(36-B129)*'Product Data'!$P$23)</f>
        <v>#N/A</v>
      </c>
      <c r="F129" s="1927">
        <f t="shared" si="9"/>
        <v>0</v>
      </c>
      <c r="G129" s="1928">
        <v>2.0000000000000998E-3</v>
      </c>
      <c r="H129" s="1929" t="e">
        <f>($G$9*36)/((($F$8-$G129)/12)*(36-F129)*'Product Data'!$P$23)</f>
        <v>#N/A</v>
      </c>
      <c r="J129" s="1927">
        <f t="shared" si="10"/>
        <v>0</v>
      </c>
      <c r="K129" s="1928">
        <v>2.0000000000000998E-3</v>
      </c>
      <c r="L129" s="1929" t="e">
        <f>($K$9*36)/((($J$8-$K129)/12)*(36-J129)*'Product Data'!$P$23)</f>
        <v>#N/A</v>
      </c>
      <c r="N129" s="1927">
        <f t="shared" si="11"/>
        <v>0</v>
      </c>
      <c r="O129" s="1928">
        <v>2.0000000000000998E-3</v>
      </c>
      <c r="P129" s="1929" t="e">
        <f>($O$9*36)/((($N$8-$O129)/12)*(36-N129)*'Product Data'!$P$23)</f>
        <v>#N/A</v>
      </c>
    </row>
    <row r="130" spans="2:16" x14ac:dyDescent="0.25">
      <c r="B130" s="1927">
        <f t="shared" si="8"/>
        <v>0</v>
      </c>
      <c r="C130" s="1928">
        <v>1.9000000000001E-3</v>
      </c>
      <c r="D130" s="1929" t="e">
        <f>($C$9*36)/((($B$8-$C130)/12)*(36-B130)*'Product Data'!$P$23)</f>
        <v>#N/A</v>
      </c>
      <c r="F130" s="1927">
        <f t="shared" si="9"/>
        <v>0</v>
      </c>
      <c r="G130" s="1928">
        <v>1.9000000000001E-3</v>
      </c>
      <c r="H130" s="1929" t="e">
        <f>($G$9*36)/((($F$8-$G130)/12)*(36-F130)*'Product Data'!$P$23)</f>
        <v>#N/A</v>
      </c>
      <c r="J130" s="1927">
        <f t="shared" si="10"/>
        <v>0</v>
      </c>
      <c r="K130" s="1928">
        <v>1.9000000000001E-3</v>
      </c>
      <c r="L130" s="1929" t="e">
        <f>($K$9*36)/((($J$8-$K130)/12)*(36-J130)*'Product Data'!$P$23)</f>
        <v>#N/A</v>
      </c>
      <c r="N130" s="1927">
        <f t="shared" si="11"/>
        <v>0</v>
      </c>
      <c r="O130" s="1928">
        <v>1.9000000000001E-3</v>
      </c>
      <c r="P130" s="1929" t="e">
        <f>($O$9*36)/((($N$8-$O130)/12)*(36-N130)*'Product Data'!$P$23)</f>
        <v>#N/A</v>
      </c>
    </row>
    <row r="131" spans="2:16" x14ac:dyDescent="0.25">
      <c r="B131" s="1927">
        <f t="shared" si="8"/>
        <v>0</v>
      </c>
      <c r="C131" s="1928">
        <v>1.8000000000000999E-3</v>
      </c>
      <c r="D131" s="1929" t="e">
        <f>($C$9*36)/((($B$8-$C131)/12)*(36-B131)*'Product Data'!$P$23)</f>
        <v>#N/A</v>
      </c>
      <c r="F131" s="1927">
        <f t="shared" si="9"/>
        <v>0</v>
      </c>
      <c r="G131" s="1928">
        <v>1.8000000000000999E-3</v>
      </c>
      <c r="H131" s="1929" t="e">
        <f>($G$9*36)/((($F$8-$G131)/12)*(36-F131)*'Product Data'!$P$23)</f>
        <v>#N/A</v>
      </c>
      <c r="J131" s="1927">
        <f t="shared" si="10"/>
        <v>0</v>
      </c>
      <c r="K131" s="1928">
        <v>1.8000000000000999E-3</v>
      </c>
      <c r="L131" s="1929" t="e">
        <f>($K$9*36)/((($J$8-$K131)/12)*(36-J131)*'Product Data'!$P$23)</f>
        <v>#N/A</v>
      </c>
      <c r="N131" s="1927">
        <f t="shared" si="11"/>
        <v>0</v>
      </c>
      <c r="O131" s="1928">
        <v>1.8000000000000999E-3</v>
      </c>
      <c r="P131" s="1929" t="e">
        <f>($O$9*36)/((($N$8-$O131)/12)*(36-N131)*'Product Data'!$P$23)</f>
        <v>#N/A</v>
      </c>
    </row>
    <row r="132" spans="2:16" x14ac:dyDescent="0.25">
      <c r="B132" s="1927">
        <f t="shared" si="8"/>
        <v>0</v>
      </c>
      <c r="C132" s="1928">
        <v>1.7000000000001001E-3</v>
      </c>
      <c r="D132" s="1929" t="e">
        <f>($C$9*36)/((($B$8-$C132)/12)*(36-B132)*'Product Data'!$P$23)</f>
        <v>#N/A</v>
      </c>
      <c r="F132" s="1927">
        <f t="shared" si="9"/>
        <v>0</v>
      </c>
      <c r="G132" s="1928">
        <v>1.7000000000001001E-3</v>
      </c>
      <c r="H132" s="1929" t="e">
        <f>($G$9*36)/((($F$8-$G132)/12)*(36-F132)*'Product Data'!$P$23)</f>
        <v>#N/A</v>
      </c>
      <c r="J132" s="1927">
        <f t="shared" si="10"/>
        <v>0</v>
      </c>
      <c r="K132" s="1928">
        <v>1.7000000000001001E-3</v>
      </c>
      <c r="L132" s="1929" t="e">
        <f>($K$9*36)/((($J$8-$K132)/12)*(36-J132)*'Product Data'!$P$23)</f>
        <v>#N/A</v>
      </c>
      <c r="N132" s="1927">
        <f t="shared" si="11"/>
        <v>0</v>
      </c>
      <c r="O132" s="1928">
        <v>1.7000000000001001E-3</v>
      </c>
      <c r="P132" s="1929" t="e">
        <f>($O$9*36)/((($N$8-$O132)/12)*(36-N132)*'Product Data'!$P$23)</f>
        <v>#N/A</v>
      </c>
    </row>
    <row r="133" spans="2:16" x14ac:dyDescent="0.25">
      <c r="B133" s="1927">
        <f t="shared" si="8"/>
        <v>0</v>
      </c>
      <c r="C133" s="1928">
        <v>1.6000000000001E-3</v>
      </c>
      <c r="D133" s="1929" t="e">
        <f>($C$9*36)/((($B$8-$C133)/12)*(36-B133)*'Product Data'!$P$23)</f>
        <v>#N/A</v>
      </c>
      <c r="F133" s="1927">
        <f t="shared" si="9"/>
        <v>0</v>
      </c>
      <c r="G133" s="1928">
        <v>1.6000000000001E-3</v>
      </c>
      <c r="H133" s="1929" t="e">
        <f>($G$9*36)/((($F$8-$G133)/12)*(36-F133)*'Product Data'!$P$23)</f>
        <v>#N/A</v>
      </c>
      <c r="J133" s="1927">
        <f t="shared" si="10"/>
        <v>0</v>
      </c>
      <c r="K133" s="1928">
        <v>1.6000000000001E-3</v>
      </c>
      <c r="L133" s="1929" t="e">
        <f>($K$9*36)/((($J$8-$K133)/12)*(36-J133)*'Product Data'!$P$23)</f>
        <v>#N/A</v>
      </c>
      <c r="N133" s="1927">
        <f t="shared" si="11"/>
        <v>0</v>
      </c>
      <c r="O133" s="1928">
        <v>1.6000000000001E-3</v>
      </c>
      <c r="P133" s="1929" t="e">
        <f>($O$9*36)/((($N$8-$O133)/12)*(36-N133)*'Product Data'!$P$23)</f>
        <v>#N/A</v>
      </c>
    </row>
    <row r="134" spans="2:16" x14ac:dyDescent="0.25">
      <c r="B134" s="1927">
        <f t="shared" si="8"/>
        <v>0</v>
      </c>
      <c r="C134" s="1928">
        <v>1.5000000000001E-3</v>
      </c>
      <c r="D134" s="1929" t="e">
        <f>($C$9*36)/((($B$8-$C134)/12)*(36-B134)*'Product Data'!$P$23)</f>
        <v>#N/A</v>
      </c>
      <c r="F134" s="1927">
        <f t="shared" si="9"/>
        <v>0</v>
      </c>
      <c r="G134" s="1928">
        <v>1.5000000000001E-3</v>
      </c>
      <c r="H134" s="1929" t="e">
        <f>($G$9*36)/((($F$8-$G134)/12)*(36-F134)*'Product Data'!$P$23)</f>
        <v>#N/A</v>
      </c>
      <c r="J134" s="1927">
        <f t="shared" si="10"/>
        <v>0</v>
      </c>
      <c r="K134" s="1928">
        <v>1.5000000000001E-3</v>
      </c>
      <c r="L134" s="1929" t="e">
        <f>($K$9*36)/((($J$8-$K134)/12)*(36-J134)*'Product Data'!$P$23)</f>
        <v>#N/A</v>
      </c>
      <c r="N134" s="1927">
        <f t="shared" si="11"/>
        <v>0</v>
      </c>
      <c r="O134" s="1928">
        <v>1.5000000000001E-3</v>
      </c>
      <c r="P134" s="1929" t="e">
        <f>($O$9*36)/((($N$8-$O134)/12)*(36-N134)*'Product Data'!$P$23)</f>
        <v>#N/A</v>
      </c>
    </row>
    <row r="135" spans="2:16" x14ac:dyDescent="0.25">
      <c r="B135" s="1927">
        <f t="shared" si="8"/>
        <v>0</v>
      </c>
      <c r="C135" s="1928">
        <v>1.4000000000000999E-3</v>
      </c>
      <c r="D135" s="1929" t="e">
        <f>($C$9*36)/((($B$8-$C135)/12)*(36-B135)*'Product Data'!$P$23)</f>
        <v>#N/A</v>
      </c>
      <c r="F135" s="1927">
        <f t="shared" si="9"/>
        <v>0</v>
      </c>
      <c r="G135" s="1928">
        <v>1.4000000000000999E-3</v>
      </c>
      <c r="H135" s="1929" t="e">
        <f>($G$9*36)/((($F$8-$G135)/12)*(36-F135)*'Product Data'!$P$23)</f>
        <v>#N/A</v>
      </c>
      <c r="J135" s="1927">
        <f t="shared" si="10"/>
        <v>0</v>
      </c>
      <c r="K135" s="1928">
        <v>1.4000000000000999E-3</v>
      </c>
      <c r="L135" s="1929" t="e">
        <f>($K$9*36)/((($J$8-$K135)/12)*(36-J135)*'Product Data'!$P$23)</f>
        <v>#N/A</v>
      </c>
      <c r="N135" s="1927">
        <f t="shared" si="11"/>
        <v>0</v>
      </c>
      <c r="O135" s="1928">
        <v>1.4000000000000999E-3</v>
      </c>
      <c r="P135" s="1929" t="e">
        <f>($O$9*36)/((($N$8-$O135)/12)*(36-N135)*'Product Data'!$P$23)</f>
        <v>#N/A</v>
      </c>
    </row>
    <row r="136" spans="2:16" x14ac:dyDescent="0.25">
      <c r="B136" s="1927">
        <f t="shared" si="8"/>
        <v>0</v>
      </c>
      <c r="C136" s="1928">
        <v>1.3000000000000999E-3</v>
      </c>
      <c r="D136" s="1929" t="e">
        <f>($C$9*36)/((($B$8-$C136)/12)*(36-B136)*'Product Data'!$P$23)</f>
        <v>#N/A</v>
      </c>
      <c r="F136" s="1927">
        <f t="shared" si="9"/>
        <v>0</v>
      </c>
      <c r="G136" s="1928">
        <v>1.3000000000000999E-3</v>
      </c>
      <c r="H136" s="1929" t="e">
        <f>($G$9*36)/((($F$8-$G136)/12)*(36-F136)*'Product Data'!$P$23)</f>
        <v>#N/A</v>
      </c>
      <c r="J136" s="1927">
        <f t="shared" si="10"/>
        <v>0</v>
      </c>
      <c r="K136" s="1928">
        <v>1.3000000000000999E-3</v>
      </c>
      <c r="L136" s="1929" t="e">
        <f>($K$9*36)/((($J$8-$K136)/12)*(36-J136)*'Product Data'!$P$23)</f>
        <v>#N/A</v>
      </c>
      <c r="N136" s="1927">
        <f t="shared" si="11"/>
        <v>0</v>
      </c>
      <c r="O136" s="1928">
        <v>1.3000000000000999E-3</v>
      </c>
      <c r="P136" s="1929" t="e">
        <f>($O$9*36)/((($N$8-$O136)/12)*(36-N136)*'Product Data'!$P$23)</f>
        <v>#N/A</v>
      </c>
    </row>
    <row r="137" spans="2:16" x14ac:dyDescent="0.25">
      <c r="B137" s="1927">
        <f t="shared" si="8"/>
        <v>0</v>
      </c>
      <c r="C137" s="1928">
        <v>1.2000000000001001E-3</v>
      </c>
      <c r="D137" s="1929" t="e">
        <f>($C$9*36)/((($B$8-$C137)/12)*(36-B137)*'Product Data'!$P$23)</f>
        <v>#N/A</v>
      </c>
      <c r="F137" s="1927">
        <f t="shared" si="9"/>
        <v>0</v>
      </c>
      <c r="G137" s="1928">
        <v>1.2000000000001001E-3</v>
      </c>
      <c r="H137" s="1929" t="e">
        <f>($G$9*36)/((($F$8-$G137)/12)*(36-F137)*'Product Data'!$P$23)</f>
        <v>#N/A</v>
      </c>
      <c r="J137" s="1927">
        <f t="shared" si="10"/>
        <v>0</v>
      </c>
      <c r="K137" s="1928">
        <v>1.2000000000001001E-3</v>
      </c>
      <c r="L137" s="1929" t="e">
        <f>($K$9*36)/((($J$8-$K137)/12)*(36-J137)*'Product Data'!$P$23)</f>
        <v>#N/A</v>
      </c>
      <c r="N137" s="1927">
        <f t="shared" si="11"/>
        <v>0</v>
      </c>
      <c r="O137" s="1928">
        <v>1.2000000000001001E-3</v>
      </c>
      <c r="P137" s="1929" t="e">
        <f>($O$9*36)/((($N$8-$O137)/12)*(36-N137)*'Product Data'!$P$23)</f>
        <v>#N/A</v>
      </c>
    </row>
    <row r="138" spans="2:16" x14ac:dyDescent="0.25">
      <c r="B138" s="1927">
        <f t="shared" si="8"/>
        <v>0</v>
      </c>
      <c r="C138" s="1928">
        <v>1.1000000000001E-3</v>
      </c>
      <c r="D138" s="1929" t="e">
        <f>($C$9*36)/((($B$8-$C138)/12)*(36-B138)*'Product Data'!$P$23)</f>
        <v>#N/A</v>
      </c>
      <c r="F138" s="1927">
        <f t="shared" si="9"/>
        <v>0</v>
      </c>
      <c r="G138" s="1928">
        <v>1.1000000000001E-3</v>
      </c>
      <c r="H138" s="1929" t="e">
        <f>($G$9*36)/((($F$8-$G138)/12)*(36-F138)*'Product Data'!$P$23)</f>
        <v>#N/A</v>
      </c>
      <c r="J138" s="1927">
        <f t="shared" si="10"/>
        <v>0</v>
      </c>
      <c r="K138" s="1928">
        <v>1.1000000000001E-3</v>
      </c>
      <c r="L138" s="1929" t="e">
        <f>($K$9*36)/((($J$8-$K138)/12)*(36-J138)*'Product Data'!$P$23)</f>
        <v>#N/A</v>
      </c>
      <c r="N138" s="1927">
        <f t="shared" si="11"/>
        <v>0</v>
      </c>
      <c r="O138" s="1928">
        <v>1.1000000000001E-3</v>
      </c>
      <c r="P138" s="1929" t="e">
        <f>($O$9*36)/((($N$8-$O138)/12)*(36-N138)*'Product Data'!$P$23)</f>
        <v>#N/A</v>
      </c>
    </row>
    <row r="139" spans="2:16" x14ac:dyDescent="0.25">
      <c r="B139" s="1927">
        <f t="shared" si="8"/>
        <v>0</v>
      </c>
      <c r="C139" s="1928">
        <v>1.0000000000001E-3</v>
      </c>
      <c r="D139" s="1929" t="e">
        <f>($C$9*36)/((($B$8-$C139)/12)*(36-B139)*'Product Data'!$P$23)</f>
        <v>#N/A</v>
      </c>
      <c r="F139" s="1927">
        <f t="shared" si="9"/>
        <v>0</v>
      </c>
      <c r="G139" s="1928">
        <v>1.0000000000001E-3</v>
      </c>
      <c r="H139" s="1929" t="e">
        <f>($G$9*36)/((($F$8-$G139)/12)*(36-F139)*'Product Data'!$P$23)</f>
        <v>#N/A</v>
      </c>
      <c r="J139" s="1927">
        <f t="shared" si="10"/>
        <v>0</v>
      </c>
      <c r="K139" s="1928">
        <v>1.0000000000001E-3</v>
      </c>
      <c r="L139" s="1929" t="e">
        <f>($K$9*36)/((($J$8-$K139)/12)*(36-J139)*'Product Data'!$P$23)</f>
        <v>#N/A</v>
      </c>
      <c r="N139" s="1927">
        <f t="shared" si="11"/>
        <v>0</v>
      </c>
      <c r="O139" s="1928">
        <v>1.0000000000001E-3</v>
      </c>
      <c r="P139" s="1929" t="e">
        <f>($O$9*36)/((($N$8-$O139)/12)*(36-N139)*'Product Data'!$P$23)</f>
        <v>#N/A</v>
      </c>
    </row>
    <row r="140" spans="2:16" x14ac:dyDescent="0.25">
      <c r="B140" s="1927">
        <f t="shared" si="8"/>
        <v>0</v>
      </c>
      <c r="C140" s="1928">
        <v>9.00000000000102E-4</v>
      </c>
      <c r="D140" s="1929" t="e">
        <f>($C$9*36)/((($B$8-$C140)/12)*(36-B140)*'Product Data'!$P$23)</f>
        <v>#N/A</v>
      </c>
      <c r="F140" s="1927">
        <f t="shared" si="9"/>
        <v>0</v>
      </c>
      <c r="G140" s="1928">
        <v>9.00000000000102E-4</v>
      </c>
      <c r="H140" s="1929" t="e">
        <f>($G$9*36)/((($F$8-$G140)/12)*(36-F140)*'Product Data'!$P$23)</f>
        <v>#N/A</v>
      </c>
      <c r="J140" s="1927">
        <f t="shared" si="10"/>
        <v>0</v>
      </c>
      <c r="K140" s="1928">
        <v>9.00000000000102E-4</v>
      </c>
      <c r="L140" s="1929" t="e">
        <f>($K$9*36)/((($J$8-$K140)/12)*(36-J140)*'Product Data'!$P$23)</f>
        <v>#N/A</v>
      </c>
      <c r="N140" s="1927">
        <f t="shared" si="11"/>
        <v>0</v>
      </c>
      <c r="O140" s="1928">
        <v>9.00000000000102E-4</v>
      </c>
      <c r="P140" s="1929" t="e">
        <f>($O$9*36)/((($N$8-$O140)/12)*(36-N140)*'Product Data'!$P$23)</f>
        <v>#N/A</v>
      </c>
    </row>
    <row r="141" spans="2:16" x14ac:dyDescent="0.25">
      <c r="B141" s="1927">
        <f t="shared" si="8"/>
        <v>0</v>
      </c>
      <c r="C141" s="1928">
        <v>8.0000000000009903E-4</v>
      </c>
      <c r="D141" s="1929" t="e">
        <f>($C$9*36)/((($B$8-$C141)/12)*(36-B141)*'Product Data'!$P$23)</f>
        <v>#N/A</v>
      </c>
      <c r="F141" s="1927">
        <f t="shared" si="9"/>
        <v>0</v>
      </c>
      <c r="G141" s="1928">
        <v>8.0000000000009903E-4</v>
      </c>
      <c r="H141" s="1929" t="e">
        <f>($G$9*36)/((($F$8-$G141)/12)*(36-F141)*'Product Data'!$P$23)</f>
        <v>#N/A</v>
      </c>
      <c r="J141" s="1927">
        <f t="shared" si="10"/>
        <v>0</v>
      </c>
      <c r="K141" s="1928">
        <v>8.0000000000009903E-4</v>
      </c>
      <c r="L141" s="1929" t="e">
        <f>($K$9*36)/((($J$8-$K141)/12)*(36-J141)*'Product Data'!$P$23)</f>
        <v>#N/A</v>
      </c>
      <c r="N141" s="1927">
        <f t="shared" si="11"/>
        <v>0</v>
      </c>
      <c r="O141" s="1928">
        <v>8.0000000000009903E-4</v>
      </c>
      <c r="P141" s="1929" t="e">
        <f>($O$9*36)/((($N$8-$O141)/12)*(36-N141)*'Product Data'!$P$23)</f>
        <v>#N/A</v>
      </c>
    </row>
    <row r="142" spans="2:16" x14ac:dyDescent="0.25">
      <c r="B142" s="1927">
        <f t="shared" si="8"/>
        <v>0</v>
      </c>
      <c r="C142" s="1928">
        <v>7.0000000000009996E-4</v>
      </c>
      <c r="D142" s="1929" t="e">
        <f>($C$9*36)/((($B$8-$C142)/12)*(36-B142)*'Product Data'!$P$23)</f>
        <v>#N/A</v>
      </c>
      <c r="F142" s="1927">
        <f t="shared" si="9"/>
        <v>0</v>
      </c>
      <c r="G142" s="1928">
        <v>7.0000000000009996E-4</v>
      </c>
      <c r="H142" s="1929" t="e">
        <f>($G$9*36)/((($F$8-$G142)/12)*(36-F142)*'Product Data'!$P$23)</f>
        <v>#N/A</v>
      </c>
      <c r="J142" s="1927">
        <f t="shared" si="10"/>
        <v>0</v>
      </c>
      <c r="K142" s="1928">
        <v>7.0000000000009996E-4</v>
      </c>
      <c r="L142" s="1929" t="e">
        <f>($K$9*36)/((($J$8-$K142)/12)*(36-J142)*'Product Data'!$P$23)</f>
        <v>#N/A</v>
      </c>
      <c r="N142" s="1927">
        <f t="shared" si="11"/>
        <v>0</v>
      </c>
      <c r="O142" s="1928">
        <v>7.0000000000009996E-4</v>
      </c>
      <c r="P142" s="1929" t="e">
        <f>($O$9*36)/((($N$8-$O142)/12)*(36-N142)*'Product Data'!$P$23)</f>
        <v>#N/A</v>
      </c>
    </row>
    <row r="143" spans="2:16" x14ac:dyDescent="0.25">
      <c r="B143" s="1927">
        <f t="shared" si="8"/>
        <v>0</v>
      </c>
      <c r="C143" s="1928">
        <v>6.0000000000010002E-4</v>
      </c>
      <c r="D143" s="1929" t="e">
        <f>($C$9*36)/((($B$8-$C143)/12)*(36-B143)*'Product Data'!$P$23)</f>
        <v>#N/A</v>
      </c>
      <c r="F143" s="1927">
        <f t="shared" si="9"/>
        <v>0</v>
      </c>
      <c r="G143" s="1928">
        <v>6.0000000000010002E-4</v>
      </c>
      <c r="H143" s="1929" t="e">
        <f>($G$9*36)/((($F$8-$G143)/12)*(36-F143)*'Product Data'!$P$23)</f>
        <v>#N/A</v>
      </c>
      <c r="J143" s="1927">
        <f t="shared" si="10"/>
        <v>0</v>
      </c>
      <c r="K143" s="1928">
        <v>6.0000000000010002E-4</v>
      </c>
      <c r="L143" s="1929" t="e">
        <f>($K$9*36)/((($J$8-$K143)/12)*(36-J143)*'Product Data'!$P$23)</f>
        <v>#N/A</v>
      </c>
      <c r="N143" s="1927">
        <f t="shared" si="11"/>
        <v>0</v>
      </c>
      <c r="O143" s="1928">
        <v>6.0000000000010002E-4</v>
      </c>
      <c r="P143" s="1929" t="e">
        <f>($O$9*36)/((($N$8-$O143)/12)*(36-N143)*'Product Data'!$P$23)</f>
        <v>#N/A</v>
      </c>
    </row>
    <row r="144" spans="2:16" x14ac:dyDescent="0.25">
      <c r="B144" s="1927">
        <f t="shared" si="8"/>
        <v>0</v>
      </c>
      <c r="C144" s="1928">
        <v>5.0000000000010095E-4</v>
      </c>
      <c r="D144" s="1929" t="e">
        <f>($C$9*36)/((($B$8-$C144)/12)*(36-B144)*'Product Data'!$P$23)</f>
        <v>#N/A</v>
      </c>
      <c r="F144" s="1927">
        <f t="shared" si="9"/>
        <v>0</v>
      </c>
      <c r="G144" s="1928">
        <v>5.0000000000010095E-4</v>
      </c>
      <c r="H144" s="1929" t="e">
        <f>($G$9*36)/((($F$8-$G144)/12)*(36-F144)*'Product Data'!$P$23)</f>
        <v>#N/A</v>
      </c>
      <c r="J144" s="1927">
        <f t="shared" si="10"/>
        <v>0</v>
      </c>
      <c r="K144" s="1928">
        <v>5.0000000000010095E-4</v>
      </c>
      <c r="L144" s="1929" t="e">
        <f>($K$9*36)/((($J$8-$K144)/12)*(36-J144)*'Product Data'!$P$23)</f>
        <v>#N/A</v>
      </c>
      <c r="N144" s="1927">
        <f t="shared" si="11"/>
        <v>0</v>
      </c>
      <c r="O144" s="1928">
        <v>5.0000000000010095E-4</v>
      </c>
      <c r="P144" s="1929" t="e">
        <f>($O$9*36)/((($N$8-$O144)/12)*(36-N144)*'Product Data'!$P$23)</f>
        <v>#N/A</v>
      </c>
    </row>
    <row r="145" spans="2:16" x14ac:dyDescent="0.25">
      <c r="B145" s="1927">
        <f t="shared" si="8"/>
        <v>0</v>
      </c>
      <c r="C145" s="1928">
        <v>4.0000000000010199E-4</v>
      </c>
      <c r="D145" s="1929" t="e">
        <f>($C$9*36)/((($B$8-$C145)/12)*(36-B145)*'Product Data'!$P$23)</f>
        <v>#N/A</v>
      </c>
      <c r="F145" s="1927">
        <f t="shared" si="9"/>
        <v>0</v>
      </c>
      <c r="G145" s="1928">
        <v>4.0000000000010199E-4</v>
      </c>
      <c r="H145" s="1929" t="e">
        <f>($G$9*36)/((($F$8-$G145)/12)*(36-F145)*'Product Data'!$P$23)</f>
        <v>#N/A</v>
      </c>
      <c r="J145" s="1927">
        <f t="shared" si="10"/>
        <v>0</v>
      </c>
      <c r="K145" s="1928">
        <v>4.0000000000010199E-4</v>
      </c>
      <c r="L145" s="1929" t="e">
        <f>($K$9*36)/((($J$8-$K145)/12)*(36-J145)*'Product Data'!$P$23)</f>
        <v>#N/A</v>
      </c>
      <c r="N145" s="1927">
        <f t="shared" si="11"/>
        <v>0</v>
      </c>
      <c r="O145" s="1928">
        <v>4.0000000000010199E-4</v>
      </c>
      <c r="P145" s="1929" t="e">
        <f>($O$9*36)/((($N$8-$O145)/12)*(36-N145)*'Product Data'!$P$23)</f>
        <v>#N/A</v>
      </c>
    </row>
    <row r="146" spans="2:16" x14ac:dyDescent="0.25">
      <c r="B146" s="1927">
        <f t="shared" si="8"/>
        <v>0</v>
      </c>
      <c r="C146" s="1928">
        <v>3.0000000000009902E-4</v>
      </c>
      <c r="D146" s="1929" t="e">
        <f>($C$9*36)/((($B$8-$C146)/12)*(36-B146)*'Product Data'!$P$23)</f>
        <v>#N/A</v>
      </c>
      <c r="F146" s="1927">
        <f t="shared" si="9"/>
        <v>0</v>
      </c>
      <c r="G146" s="1928">
        <v>3.0000000000009902E-4</v>
      </c>
      <c r="H146" s="1929" t="e">
        <f>($G$9*36)/((($F$8-$G146)/12)*(36-F146)*'Product Data'!$P$23)</f>
        <v>#N/A</v>
      </c>
      <c r="J146" s="1927">
        <f t="shared" si="10"/>
        <v>0</v>
      </c>
      <c r="K146" s="1928">
        <v>3.0000000000009902E-4</v>
      </c>
      <c r="L146" s="1929" t="e">
        <f>($K$9*36)/((($J$8-$K146)/12)*(36-J146)*'Product Data'!$P$23)</f>
        <v>#N/A</v>
      </c>
      <c r="N146" s="1927">
        <f t="shared" si="11"/>
        <v>0</v>
      </c>
      <c r="O146" s="1928">
        <v>3.0000000000009902E-4</v>
      </c>
      <c r="P146" s="1929" t="e">
        <f>($O$9*36)/((($N$8-$O146)/12)*(36-N146)*'Product Data'!$P$23)</f>
        <v>#N/A</v>
      </c>
    </row>
    <row r="147" spans="2:16" x14ac:dyDescent="0.25">
      <c r="B147" s="1927">
        <f t="shared" si="8"/>
        <v>0</v>
      </c>
      <c r="C147" s="1928">
        <v>2.00000000000099E-4</v>
      </c>
      <c r="D147" s="1929" t="e">
        <f>($C$9*36)/((($B$8-$C147)/12)*(36-B147)*'Product Data'!$P$23)</f>
        <v>#N/A</v>
      </c>
      <c r="F147" s="1927">
        <f t="shared" si="9"/>
        <v>0</v>
      </c>
      <c r="G147" s="1928">
        <v>2.00000000000099E-4</v>
      </c>
      <c r="H147" s="1929" t="e">
        <f>($G$9*36)/((($F$8-$G147)/12)*(36-F147)*'Product Data'!$P$23)</f>
        <v>#N/A</v>
      </c>
      <c r="J147" s="1927">
        <f t="shared" si="10"/>
        <v>0</v>
      </c>
      <c r="K147" s="1928">
        <v>2.00000000000099E-4</v>
      </c>
      <c r="L147" s="1929" t="e">
        <f>($K$9*36)/((($J$8-$K147)/12)*(36-J147)*'Product Data'!$P$23)</f>
        <v>#N/A</v>
      </c>
      <c r="N147" s="1927">
        <f t="shared" si="11"/>
        <v>0</v>
      </c>
      <c r="O147" s="1928">
        <v>2.00000000000099E-4</v>
      </c>
      <c r="P147" s="1929" t="e">
        <f>($O$9*36)/((($N$8-$O147)/12)*(36-N147)*'Product Data'!$P$23)</f>
        <v>#N/A</v>
      </c>
    </row>
    <row r="148" spans="2:16" x14ac:dyDescent="0.25">
      <c r="B148" s="1927">
        <f t="shared" si="8"/>
        <v>0</v>
      </c>
      <c r="C148" s="1928">
        <v>1.000000000001E-4</v>
      </c>
      <c r="D148" s="1929" t="e">
        <f>($C$9*36)/((($B$8-$C148)/12)*(36-B148)*'Product Data'!$P$23)</f>
        <v>#N/A</v>
      </c>
      <c r="F148" s="1927">
        <f t="shared" si="9"/>
        <v>0</v>
      </c>
      <c r="G148" s="1928">
        <v>1.000000000001E-4</v>
      </c>
      <c r="H148" s="1929" t="e">
        <f>($G$9*36)/((($F$8-$G148)/12)*(36-F148)*'Product Data'!$P$23)</f>
        <v>#N/A</v>
      </c>
      <c r="J148" s="1927">
        <f t="shared" si="10"/>
        <v>0</v>
      </c>
      <c r="K148" s="1928">
        <v>1.000000000001E-4</v>
      </c>
      <c r="L148" s="1929" t="e">
        <f>($K$9*36)/((($J$8-$K148)/12)*(36-J148)*'Product Data'!$P$23)</f>
        <v>#N/A</v>
      </c>
      <c r="N148" s="1927">
        <f t="shared" si="11"/>
        <v>0</v>
      </c>
      <c r="O148" s="1928">
        <v>1.000000000001E-4</v>
      </c>
      <c r="P148" s="1929" t="e">
        <f>($O$9*36)/((($N$8-$O148)/12)*(36-N148)*'Product Data'!$P$23)</f>
        <v>#N/A</v>
      </c>
    </row>
    <row r="149" spans="2:16" x14ac:dyDescent="0.25">
      <c r="B149" s="2431">
        <f t="shared" si="8"/>
        <v>0</v>
      </c>
      <c r="C149" s="2432">
        <v>1.00613961606655E-16</v>
      </c>
      <c r="D149" s="1929" t="e">
        <f>($C$9*36)/((($B$8-$C149)/12)*(36-B149)*'Product Data'!$P$23)</f>
        <v>#N/A</v>
      </c>
      <c r="F149" s="2431">
        <f t="shared" si="9"/>
        <v>0</v>
      </c>
      <c r="G149" s="2432">
        <v>1.00613961606655E-16</v>
      </c>
      <c r="H149" s="1929" t="e">
        <f>($G$9*36)/((($F$8-$G149)/12)*(36-F149)*'Product Data'!$P$23)</f>
        <v>#N/A</v>
      </c>
      <c r="J149" s="2431">
        <f t="shared" si="10"/>
        <v>0</v>
      </c>
      <c r="K149" s="2432">
        <v>1.00613961606655E-16</v>
      </c>
      <c r="L149" s="1929" t="e">
        <f>($K$9*36)/((($J$8-$K149)/12)*(36-J149)*'Product Data'!$P$23)</f>
        <v>#N/A</v>
      </c>
      <c r="N149" s="2431">
        <f t="shared" si="11"/>
        <v>0</v>
      </c>
      <c r="O149" s="2432">
        <v>1.00613961606655E-16</v>
      </c>
      <c r="P149" s="1929" t="e">
        <f>($O$9*36)/((($N$8-$O149)/12)*(36-N149)*'Product Data'!$P$23)</f>
        <v>#N/A</v>
      </c>
    </row>
    <row r="150" spans="2:16" x14ac:dyDescent="0.25">
      <c r="C150" s="2260"/>
      <c r="D150" s="2259"/>
      <c r="G150" s="2260"/>
      <c r="H150" s="2259"/>
      <c r="K150" s="2260"/>
      <c r="L150" s="2259"/>
      <c r="O150" s="2260"/>
      <c r="P150" s="2259"/>
    </row>
    <row r="151" spans="2:16" x14ac:dyDescent="0.25">
      <c r="C151" s="2260"/>
      <c r="D151" s="2259"/>
      <c r="G151" s="2260"/>
      <c r="H151" s="2259"/>
      <c r="K151" s="2260"/>
      <c r="L151" s="2259"/>
      <c r="O151" s="2260"/>
      <c r="P151" s="2259"/>
    </row>
    <row r="152" spans="2:16" x14ac:dyDescent="0.25">
      <c r="C152" s="2260"/>
      <c r="D152" s="2259"/>
      <c r="G152" s="2260"/>
      <c r="H152" s="2259"/>
      <c r="K152" s="2260"/>
      <c r="L152" s="2259"/>
      <c r="O152" s="2260"/>
      <c r="P152" s="2259"/>
    </row>
    <row r="153" spans="2:16" x14ac:dyDescent="0.25">
      <c r="C153" s="2260"/>
      <c r="D153" s="2259"/>
      <c r="G153" s="2260"/>
      <c r="H153" s="2259"/>
      <c r="K153" s="2260"/>
      <c r="L153" s="2259"/>
      <c r="O153" s="2260"/>
      <c r="P153" s="2259"/>
    </row>
    <row r="154" spans="2:16" x14ac:dyDescent="0.25">
      <c r="C154" s="2260"/>
      <c r="D154" s="2259"/>
      <c r="G154" s="2260"/>
      <c r="H154" s="2259"/>
      <c r="K154" s="2260"/>
      <c r="L154" s="2259"/>
      <c r="O154" s="2260"/>
      <c r="P154" s="2259"/>
    </row>
    <row r="155" spans="2:16" x14ac:dyDescent="0.25">
      <c r="C155" s="2260"/>
      <c r="D155" s="2259"/>
      <c r="G155" s="2260"/>
      <c r="H155" s="2259"/>
      <c r="K155" s="2260"/>
      <c r="L155" s="2259"/>
      <c r="O155" s="2260"/>
      <c r="P155" s="2259"/>
    </row>
    <row r="156" spans="2:16" x14ac:dyDescent="0.25">
      <c r="C156" s="2260"/>
      <c r="D156" s="2259"/>
      <c r="G156" s="2260"/>
      <c r="H156" s="2259"/>
      <c r="K156" s="2260"/>
      <c r="L156" s="2259"/>
      <c r="O156" s="2260"/>
      <c r="P156" s="2259"/>
    </row>
    <row r="157" spans="2:16" x14ac:dyDescent="0.25">
      <c r="C157" s="2260"/>
      <c r="D157" s="2259"/>
      <c r="G157" s="2260"/>
      <c r="H157" s="2259"/>
      <c r="K157" s="2260"/>
      <c r="L157" s="2259"/>
      <c r="O157" s="2260"/>
      <c r="P157" s="2259"/>
    </row>
    <row r="158" spans="2:16" x14ac:dyDescent="0.25">
      <c r="C158" s="2260"/>
      <c r="D158" s="2259"/>
      <c r="G158" s="2260"/>
      <c r="H158" s="2259"/>
      <c r="K158" s="2260"/>
      <c r="L158" s="2259"/>
      <c r="O158" s="2260"/>
      <c r="P158" s="2259"/>
    </row>
    <row r="159" spans="2:16" x14ac:dyDescent="0.25">
      <c r="C159" s="2260"/>
      <c r="D159" s="2259"/>
      <c r="G159" s="2260"/>
      <c r="H159" s="2259"/>
      <c r="K159" s="2260"/>
      <c r="L159" s="2259"/>
      <c r="O159" s="2260"/>
      <c r="P159" s="2259"/>
    </row>
    <row r="160" spans="2:16" x14ac:dyDescent="0.25">
      <c r="C160" s="2260"/>
      <c r="D160" s="2259"/>
      <c r="G160" s="2260"/>
      <c r="H160" s="2259"/>
      <c r="K160" s="2260"/>
      <c r="L160" s="2259"/>
      <c r="O160" s="2260"/>
      <c r="P160" s="2259"/>
    </row>
    <row r="161" spans="3:16" x14ac:dyDescent="0.25">
      <c r="C161" s="2260"/>
      <c r="D161" s="2259"/>
      <c r="G161" s="2260"/>
      <c r="H161" s="2259"/>
      <c r="K161" s="2260"/>
      <c r="L161" s="2259"/>
      <c r="O161" s="2260"/>
      <c r="P161" s="2259"/>
    </row>
    <row r="162" spans="3:16" x14ac:dyDescent="0.25">
      <c r="C162" s="2260"/>
      <c r="D162" s="2259"/>
      <c r="G162" s="2260"/>
      <c r="H162" s="2259"/>
      <c r="K162" s="2260"/>
      <c r="L162" s="2259"/>
      <c r="O162" s="2260"/>
      <c r="P162" s="2259"/>
    </row>
    <row r="163" spans="3:16" x14ac:dyDescent="0.25">
      <c r="C163" s="2260"/>
      <c r="D163" s="2259"/>
      <c r="G163" s="2260"/>
      <c r="H163" s="2259"/>
      <c r="K163" s="2260"/>
      <c r="L163" s="2259"/>
      <c r="O163" s="2260"/>
      <c r="P163" s="2259"/>
    </row>
    <row r="164" spans="3:16" x14ac:dyDescent="0.25">
      <c r="C164" s="2260"/>
      <c r="D164" s="2259"/>
      <c r="G164" s="2260"/>
      <c r="H164" s="2259"/>
      <c r="K164" s="2260"/>
      <c r="L164" s="2259"/>
      <c r="O164" s="2260"/>
      <c r="P164" s="2259"/>
    </row>
    <row r="165" spans="3:16" x14ac:dyDescent="0.25">
      <c r="C165" s="2260"/>
      <c r="D165" s="2259"/>
      <c r="G165" s="2260"/>
      <c r="H165" s="2259"/>
      <c r="K165" s="2260"/>
      <c r="L165" s="2259"/>
      <c r="O165" s="2260"/>
      <c r="P165" s="2259"/>
    </row>
    <row r="166" spans="3:16" x14ac:dyDescent="0.25">
      <c r="C166" s="2260"/>
      <c r="D166" s="2259"/>
      <c r="G166" s="2260"/>
      <c r="H166" s="2259"/>
      <c r="K166" s="2260"/>
      <c r="L166" s="2259"/>
      <c r="O166" s="2260"/>
      <c r="P166" s="2259"/>
    </row>
    <row r="167" spans="3:16" x14ac:dyDescent="0.25">
      <c r="C167" s="2260"/>
      <c r="D167" s="2259"/>
      <c r="G167" s="2260"/>
      <c r="H167" s="2259"/>
      <c r="K167" s="2260"/>
      <c r="L167" s="2259"/>
      <c r="O167" s="2260"/>
      <c r="P167" s="2259"/>
    </row>
    <row r="168" spans="3:16" x14ac:dyDescent="0.25">
      <c r="C168" s="2260"/>
      <c r="D168" s="2259"/>
      <c r="G168" s="2260"/>
      <c r="H168" s="2259"/>
      <c r="K168" s="2260"/>
      <c r="L168" s="2259"/>
      <c r="O168" s="2260"/>
      <c r="P168" s="2259"/>
    </row>
    <row r="169" spans="3:16" x14ac:dyDescent="0.25">
      <c r="C169" s="2260"/>
      <c r="D169" s="2259"/>
      <c r="G169" s="2260"/>
      <c r="H169" s="2259"/>
      <c r="K169" s="2260"/>
      <c r="L169" s="2259"/>
      <c r="O169" s="2260"/>
      <c r="P169" s="2259"/>
    </row>
    <row r="170" spans="3:16" x14ac:dyDescent="0.25">
      <c r="C170" s="2260"/>
      <c r="D170" s="2259"/>
      <c r="G170" s="2260"/>
      <c r="H170" s="2259"/>
      <c r="K170" s="2260"/>
      <c r="L170" s="2259"/>
      <c r="O170" s="2260"/>
      <c r="P170" s="2259"/>
    </row>
    <row r="171" spans="3:16" x14ac:dyDescent="0.25">
      <c r="C171" s="2260"/>
      <c r="D171" s="2259"/>
      <c r="G171" s="2260"/>
      <c r="H171" s="2259"/>
      <c r="K171" s="2260"/>
      <c r="L171" s="2259"/>
      <c r="O171" s="2260"/>
      <c r="P171" s="2259"/>
    </row>
    <row r="172" spans="3:16" x14ac:dyDescent="0.25">
      <c r="C172" s="2260"/>
      <c r="D172" s="2259"/>
      <c r="G172" s="2260"/>
      <c r="H172" s="2259"/>
      <c r="K172" s="2260"/>
      <c r="L172" s="2259"/>
      <c r="O172" s="2260"/>
      <c r="P172" s="2259"/>
    </row>
    <row r="173" spans="3:16" x14ac:dyDescent="0.25">
      <c r="C173" s="2260"/>
      <c r="D173" s="2259"/>
      <c r="G173" s="2260"/>
      <c r="H173" s="2259"/>
      <c r="K173" s="2260"/>
      <c r="L173" s="2259"/>
      <c r="O173" s="2260"/>
      <c r="P173" s="2259"/>
    </row>
    <row r="174" spans="3:16" x14ac:dyDescent="0.25">
      <c r="C174" s="2260"/>
      <c r="D174" s="2259"/>
      <c r="G174" s="2260"/>
      <c r="H174" s="2259"/>
      <c r="K174" s="2260"/>
      <c r="L174" s="2259"/>
      <c r="O174" s="2260"/>
      <c r="P174" s="2259"/>
    </row>
    <row r="175" spans="3:16" x14ac:dyDescent="0.25">
      <c r="C175" s="2260"/>
      <c r="D175" s="2259"/>
      <c r="G175" s="2260"/>
      <c r="H175" s="2259"/>
      <c r="K175" s="2260"/>
      <c r="L175" s="2259"/>
      <c r="O175" s="2260"/>
      <c r="P175" s="2259"/>
    </row>
    <row r="176" spans="3:16" x14ac:dyDescent="0.25">
      <c r="C176" s="2260"/>
      <c r="D176" s="2259"/>
      <c r="G176" s="2260"/>
      <c r="H176" s="2259"/>
      <c r="K176" s="2260"/>
      <c r="L176" s="2259"/>
      <c r="O176" s="2260"/>
      <c r="P176" s="2259"/>
    </row>
    <row r="177" spans="3:16" x14ac:dyDescent="0.25">
      <c r="C177" s="2260"/>
      <c r="D177" s="2259"/>
      <c r="G177" s="2260"/>
      <c r="H177" s="2259"/>
      <c r="K177" s="2260"/>
      <c r="L177" s="2259"/>
      <c r="O177" s="2260"/>
      <c r="P177" s="2259"/>
    </row>
    <row r="178" spans="3:16" x14ac:dyDescent="0.25">
      <c r="C178" s="2260"/>
      <c r="D178" s="2259"/>
      <c r="G178" s="2260"/>
      <c r="H178" s="2259"/>
      <c r="K178" s="2260"/>
      <c r="L178" s="2259"/>
      <c r="O178" s="2260"/>
      <c r="P178" s="2259"/>
    </row>
    <row r="179" spans="3:16" x14ac:dyDescent="0.25">
      <c r="C179" s="2260"/>
      <c r="D179" s="2259"/>
      <c r="G179" s="2260"/>
      <c r="H179" s="2259"/>
      <c r="K179" s="2260"/>
      <c r="L179" s="2259"/>
      <c r="O179" s="2260"/>
      <c r="P179" s="2259"/>
    </row>
    <row r="180" spans="3:16" x14ac:dyDescent="0.25">
      <c r="C180" s="2260"/>
      <c r="D180" s="2259"/>
      <c r="G180" s="2260"/>
      <c r="H180" s="2259"/>
      <c r="K180" s="2260"/>
      <c r="L180" s="2259"/>
      <c r="O180" s="2260"/>
      <c r="P180" s="2259"/>
    </row>
    <row r="181" spans="3:16" x14ac:dyDescent="0.25">
      <c r="C181" s="2260"/>
      <c r="D181" s="2259"/>
      <c r="G181" s="2260"/>
      <c r="H181" s="2259"/>
      <c r="K181" s="2260"/>
      <c r="L181" s="2259"/>
      <c r="O181" s="2260"/>
      <c r="P181" s="2259"/>
    </row>
    <row r="182" spans="3:16" x14ac:dyDescent="0.25">
      <c r="C182" s="2260"/>
      <c r="D182" s="2259"/>
      <c r="G182" s="2260"/>
      <c r="H182" s="2259"/>
      <c r="K182" s="2260"/>
      <c r="L182" s="2259"/>
      <c r="O182" s="2260"/>
      <c r="P182" s="2259"/>
    </row>
    <row r="183" spans="3:16" x14ac:dyDescent="0.25">
      <c r="C183" s="2260"/>
      <c r="D183" s="2259"/>
      <c r="G183" s="2260"/>
      <c r="H183" s="2259"/>
      <c r="K183" s="2260"/>
      <c r="L183" s="2259"/>
      <c r="O183" s="2260"/>
      <c r="P183" s="2259"/>
    </row>
    <row r="184" spans="3:16" x14ac:dyDescent="0.25">
      <c r="C184" s="2260"/>
      <c r="D184" s="2259"/>
      <c r="G184" s="2260"/>
      <c r="H184" s="2259"/>
      <c r="K184" s="2260"/>
      <c r="L184" s="2259"/>
      <c r="O184" s="2260"/>
      <c r="P184" s="2259"/>
    </row>
    <row r="185" spans="3:16" x14ac:dyDescent="0.25">
      <c r="C185" s="2260"/>
      <c r="D185" s="2259"/>
      <c r="G185" s="2260"/>
      <c r="H185" s="2259"/>
      <c r="K185" s="2260"/>
      <c r="L185" s="2259"/>
      <c r="O185" s="2260"/>
      <c r="P185" s="2259"/>
    </row>
    <row r="186" spans="3:16" x14ac:dyDescent="0.25">
      <c r="C186" s="2260"/>
      <c r="D186" s="2259"/>
      <c r="G186" s="2260"/>
      <c r="H186" s="2259"/>
      <c r="K186" s="2260"/>
      <c r="L186" s="2259"/>
      <c r="O186" s="2260"/>
      <c r="P186" s="2259"/>
    </row>
    <row r="187" spans="3:16" x14ac:dyDescent="0.25">
      <c r="C187" s="2260"/>
      <c r="D187" s="2259"/>
      <c r="G187" s="2260"/>
      <c r="H187" s="2259"/>
      <c r="K187" s="2260"/>
      <c r="L187" s="2259"/>
      <c r="O187" s="2260"/>
      <c r="P187" s="2259"/>
    </row>
    <row r="188" spans="3:16" x14ac:dyDescent="0.25">
      <c r="C188" s="2260"/>
      <c r="D188" s="2259"/>
      <c r="G188" s="2260"/>
      <c r="H188" s="2259"/>
      <c r="K188" s="2260"/>
      <c r="L188" s="2259"/>
      <c r="O188" s="2260"/>
      <c r="P188" s="2259"/>
    </row>
    <row r="189" spans="3:16" x14ac:dyDescent="0.25">
      <c r="C189" s="2260"/>
      <c r="D189" s="2259"/>
      <c r="G189" s="2260"/>
      <c r="H189" s="2259"/>
      <c r="K189" s="2260"/>
      <c r="L189" s="2259"/>
      <c r="O189" s="2260"/>
      <c r="P189" s="2259"/>
    </row>
    <row r="190" spans="3:16" x14ac:dyDescent="0.25">
      <c r="C190" s="2260"/>
      <c r="D190" s="2259"/>
      <c r="G190" s="2260"/>
      <c r="H190" s="2259"/>
      <c r="K190" s="2260"/>
      <c r="L190" s="2259"/>
      <c r="O190" s="2260"/>
      <c r="P190" s="2259"/>
    </row>
    <row r="191" spans="3:16" x14ac:dyDescent="0.25">
      <c r="C191" s="2260"/>
      <c r="D191" s="2259"/>
      <c r="G191" s="2260"/>
      <c r="H191" s="2259"/>
      <c r="K191" s="2260"/>
      <c r="L191" s="2259"/>
      <c r="O191" s="2260"/>
      <c r="P191" s="2259"/>
    </row>
    <row r="192" spans="3:16" x14ac:dyDescent="0.25">
      <c r="C192" s="2260"/>
      <c r="D192" s="2259"/>
      <c r="G192" s="2260"/>
      <c r="H192" s="2259"/>
      <c r="K192" s="2260"/>
      <c r="L192" s="2259"/>
      <c r="O192" s="2260"/>
      <c r="P192" s="2259"/>
    </row>
    <row r="193" spans="3:16" x14ac:dyDescent="0.25">
      <c r="C193" s="2260"/>
      <c r="D193" s="2259"/>
      <c r="G193" s="2260"/>
      <c r="H193" s="2259"/>
      <c r="K193" s="2260"/>
      <c r="L193" s="2259"/>
      <c r="O193" s="2260"/>
      <c r="P193" s="2259"/>
    </row>
    <row r="194" spans="3:16" x14ac:dyDescent="0.25">
      <c r="C194" s="2260"/>
      <c r="D194" s="2259"/>
      <c r="G194" s="2260"/>
      <c r="H194" s="2259"/>
      <c r="K194" s="2260"/>
      <c r="L194" s="2259"/>
      <c r="O194" s="2260"/>
      <c r="P194" s="2259"/>
    </row>
    <row r="195" spans="3:16" x14ac:dyDescent="0.25">
      <c r="C195" s="2260"/>
      <c r="D195" s="2259"/>
      <c r="G195" s="2260"/>
      <c r="H195" s="2259"/>
      <c r="K195" s="2260"/>
      <c r="L195" s="2259"/>
      <c r="O195" s="2260"/>
      <c r="P195" s="2259"/>
    </row>
    <row r="196" spans="3:16" x14ac:dyDescent="0.25">
      <c r="C196" s="2260"/>
      <c r="D196" s="2259"/>
      <c r="G196" s="2260"/>
      <c r="H196" s="2259"/>
      <c r="K196" s="2260"/>
      <c r="L196" s="2259"/>
      <c r="O196" s="2260"/>
      <c r="P196" s="2259"/>
    </row>
    <row r="197" spans="3:16" x14ac:dyDescent="0.25">
      <c r="C197" s="2260"/>
      <c r="D197" s="2259"/>
      <c r="G197" s="2260"/>
      <c r="H197" s="2259"/>
      <c r="K197" s="2260"/>
      <c r="L197" s="2259"/>
      <c r="O197" s="2260"/>
      <c r="P197" s="2259"/>
    </row>
    <row r="198" spans="3:16" x14ac:dyDescent="0.25">
      <c r="C198" s="2260"/>
      <c r="D198" s="2259"/>
      <c r="G198" s="2260"/>
      <c r="H198" s="2259"/>
      <c r="K198" s="2260"/>
      <c r="L198" s="2259"/>
      <c r="O198" s="2260"/>
      <c r="P198" s="2259"/>
    </row>
    <row r="199" spans="3:16" x14ac:dyDescent="0.25">
      <c r="C199" s="2260"/>
      <c r="D199" s="2259"/>
      <c r="G199" s="2260"/>
      <c r="H199" s="2259"/>
      <c r="K199" s="2260"/>
      <c r="L199" s="2259"/>
      <c r="O199" s="2260"/>
      <c r="P199" s="2259"/>
    </row>
    <row r="200" spans="3:16" x14ac:dyDescent="0.25">
      <c r="C200" s="2260"/>
      <c r="D200" s="2259"/>
      <c r="G200" s="2260"/>
      <c r="H200" s="2259"/>
      <c r="K200" s="2260"/>
      <c r="L200" s="2259"/>
      <c r="O200" s="2260"/>
      <c r="P200" s="2259"/>
    </row>
    <row r="201" spans="3:16" x14ac:dyDescent="0.25">
      <c r="C201" s="2260"/>
      <c r="D201" s="2259"/>
      <c r="G201" s="2260"/>
      <c r="H201" s="2259"/>
      <c r="K201" s="2260"/>
      <c r="L201" s="2259"/>
      <c r="O201" s="2260"/>
      <c r="P201" s="2259"/>
    </row>
    <row r="202" spans="3:16" x14ac:dyDescent="0.25">
      <c r="C202" s="2260"/>
      <c r="D202" s="2259"/>
      <c r="G202" s="2260"/>
      <c r="H202" s="2259"/>
      <c r="K202" s="2260"/>
      <c r="L202" s="2259"/>
      <c r="O202" s="2260"/>
      <c r="P202" s="2259"/>
    </row>
    <row r="203" spans="3:16" x14ac:dyDescent="0.25">
      <c r="C203" s="2260"/>
      <c r="D203" s="2259"/>
      <c r="G203" s="2260"/>
      <c r="H203" s="2259"/>
      <c r="K203" s="2260"/>
      <c r="L203" s="2259"/>
      <c r="O203" s="2260"/>
      <c r="P203" s="2259"/>
    </row>
    <row r="204" spans="3:16" x14ac:dyDescent="0.25">
      <c r="C204" s="2260"/>
      <c r="D204" s="2259"/>
      <c r="G204" s="2260"/>
      <c r="H204" s="2259"/>
      <c r="K204" s="2260"/>
      <c r="L204" s="2259"/>
      <c r="O204" s="2260"/>
      <c r="P204" s="2259"/>
    </row>
    <row r="205" spans="3:16" x14ac:dyDescent="0.25">
      <c r="C205" s="2260"/>
      <c r="D205" s="2259"/>
      <c r="G205" s="2260"/>
      <c r="H205" s="2259"/>
      <c r="K205" s="2260"/>
      <c r="L205" s="2259"/>
      <c r="O205" s="2260"/>
      <c r="P205" s="2259"/>
    </row>
    <row r="206" spans="3:16" x14ac:dyDescent="0.25">
      <c r="C206" s="2260"/>
      <c r="D206" s="2259"/>
      <c r="G206" s="2260"/>
      <c r="H206" s="2259"/>
      <c r="K206" s="2260"/>
      <c r="L206" s="2259"/>
      <c r="O206" s="2260"/>
      <c r="P206" s="2259"/>
    </row>
    <row r="207" spans="3:16" x14ac:dyDescent="0.25">
      <c r="C207" s="2260"/>
      <c r="D207" s="2259"/>
      <c r="G207" s="2260"/>
      <c r="H207" s="2259"/>
      <c r="K207" s="2260"/>
      <c r="L207" s="2259"/>
      <c r="O207" s="2260"/>
      <c r="P207" s="2259"/>
    </row>
    <row r="208" spans="3:16" x14ac:dyDescent="0.25">
      <c r="C208" s="2260"/>
      <c r="D208" s="2259"/>
      <c r="G208" s="2260"/>
      <c r="H208" s="2259"/>
      <c r="K208" s="2260"/>
      <c r="L208" s="2259"/>
      <c r="O208" s="2260"/>
      <c r="P208" s="2259"/>
    </row>
    <row r="209" spans="3:16" x14ac:dyDescent="0.25">
      <c r="C209" s="2260"/>
      <c r="D209" s="2259"/>
      <c r="G209" s="2260"/>
      <c r="H209" s="2259"/>
      <c r="K209" s="2260"/>
      <c r="L209" s="2259"/>
      <c r="O209" s="2260"/>
      <c r="P209" s="2259"/>
    </row>
    <row r="210" spans="3:16" x14ac:dyDescent="0.25">
      <c r="C210" s="2260"/>
      <c r="D210" s="2259"/>
      <c r="G210" s="2260"/>
      <c r="H210" s="2259"/>
      <c r="K210" s="2260"/>
      <c r="L210" s="2259"/>
      <c r="O210" s="2260"/>
      <c r="P210" s="2259"/>
    </row>
    <row r="211" spans="3:16" x14ac:dyDescent="0.25">
      <c r="C211" s="2260"/>
      <c r="D211" s="2259"/>
      <c r="G211" s="2260"/>
      <c r="H211" s="2259"/>
      <c r="K211" s="2260"/>
      <c r="L211" s="2259"/>
      <c r="O211" s="2260"/>
      <c r="P211" s="2259"/>
    </row>
    <row r="212" spans="3:16" x14ac:dyDescent="0.25">
      <c r="C212" s="2260"/>
      <c r="D212" s="2259"/>
      <c r="G212" s="2260"/>
      <c r="H212" s="2259"/>
      <c r="K212" s="2260"/>
      <c r="L212" s="2259"/>
      <c r="O212" s="2260"/>
      <c r="P212" s="2259"/>
    </row>
    <row r="213" spans="3:16" x14ac:dyDescent="0.25">
      <c r="C213" s="2260"/>
      <c r="D213" s="2259"/>
      <c r="G213" s="2260"/>
      <c r="H213" s="2259"/>
      <c r="K213" s="2260"/>
      <c r="L213" s="2259"/>
      <c r="O213" s="2260"/>
      <c r="P213" s="2259"/>
    </row>
    <row r="214" spans="3:16" x14ac:dyDescent="0.25">
      <c r="C214" s="2260"/>
      <c r="D214" s="2259"/>
      <c r="G214" s="2260"/>
      <c r="H214" s="2259"/>
      <c r="K214" s="2260"/>
      <c r="L214" s="2259"/>
      <c r="O214" s="2260"/>
      <c r="P214" s="2259"/>
    </row>
    <row r="215" spans="3:16" x14ac:dyDescent="0.25">
      <c r="C215" s="2260"/>
      <c r="D215" s="2259"/>
      <c r="G215" s="2260"/>
      <c r="H215" s="2259"/>
      <c r="K215" s="2260"/>
      <c r="L215" s="2259"/>
      <c r="O215" s="2260"/>
      <c r="P215" s="2259"/>
    </row>
    <row r="216" spans="3:16" x14ac:dyDescent="0.25">
      <c r="C216" s="2260"/>
      <c r="D216" s="2259"/>
      <c r="G216" s="2260"/>
      <c r="H216" s="2259"/>
      <c r="K216" s="2260"/>
      <c r="L216" s="2259"/>
      <c r="O216" s="2260"/>
      <c r="P216" s="2259"/>
    </row>
    <row r="217" spans="3:16" x14ac:dyDescent="0.25">
      <c r="C217" s="2260"/>
      <c r="D217" s="2259"/>
      <c r="G217" s="2260"/>
      <c r="H217" s="2259"/>
      <c r="K217" s="2260"/>
      <c r="L217" s="2259"/>
      <c r="O217" s="2260"/>
      <c r="P217" s="2259"/>
    </row>
    <row r="218" spans="3:16" x14ac:dyDescent="0.25">
      <c r="C218" s="2260"/>
      <c r="D218" s="2259"/>
      <c r="G218" s="2260"/>
      <c r="H218" s="2259"/>
      <c r="K218" s="2260"/>
      <c r="L218" s="2259"/>
      <c r="O218" s="2260"/>
      <c r="P218" s="2259"/>
    </row>
    <row r="219" spans="3:16" x14ac:dyDescent="0.25">
      <c r="C219" s="2260"/>
      <c r="D219" s="2259"/>
      <c r="G219" s="2260"/>
      <c r="H219" s="2259"/>
      <c r="K219" s="2260"/>
      <c r="L219" s="2259"/>
      <c r="O219" s="2260"/>
      <c r="P219" s="2259"/>
    </row>
    <row r="220" spans="3:16" x14ac:dyDescent="0.25">
      <c r="C220" s="2260"/>
      <c r="D220" s="2259"/>
      <c r="G220" s="2260"/>
      <c r="H220" s="2259"/>
      <c r="K220" s="2260"/>
      <c r="L220" s="2259"/>
      <c r="O220" s="2260"/>
      <c r="P220" s="2259"/>
    </row>
    <row r="221" spans="3:16" x14ac:dyDescent="0.25">
      <c r="C221" s="2260"/>
      <c r="D221" s="2259"/>
      <c r="G221" s="2260"/>
      <c r="H221" s="2259"/>
      <c r="K221" s="2260"/>
      <c r="L221" s="2259"/>
      <c r="O221" s="2260"/>
      <c r="P221" s="2259"/>
    </row>
    <row r="222" spans="3:16" x14ac:dyDescent="0.25">
      <c r="C222" s="2260"/>
      <c r="D222" s="2259"/>
      <c r="G222" s="2260"/>
      <c r="H222" s="2259"/>
      <c r="K222" s="2260"/>
      <c r="L222" s="2259"/>
      <c r="O222" s="2260"/>
      <c r="P222" s="2259"/>
    </row>
    <row r="223" spans="3:16" x14ac:dyDescent="0.25">
      <c r="C223" s="2260"/>
      <c r="D223" s="2259"/>
      <c r="G223" s="2260"/>
      <c r="H223" s="2259"/>
      <c r="K223" s="2260"/>
      <c r="L223" s="2259"/>
      <c r="O223" s="2260"/>
      <c r="P223" s="2259"/>
    </row>
    <row r="224" spans="3:16" x14ac:dyDescent="0.25">
      <c r="C224" s="2260"/>
      <c r="D224" s="2259"/>
      <c r="G224" s="2260"/>
      <c r="H224" s="2259"/>
      <c r="K224" s="2260"/>
      <c r="L224" s="2259"/>
      <c r="O224" s="2260"/>
      <c r="P224" s="2259"/>
    </row>
  </sheetData>
  <mergeCells count="14">
    <mergeCell ref="N2:P2"/>
    <mergeCell ref="N3:P4"/>
    <mergeCell ref="R13:S13"/>
    <mergeCell ref="U8:U9"/>
    <mergeCell ref="R9:T9"/>
    <mergeCell ref="R10:S10"/>
    <mergeCell ref="R11:S11"/>
    <mergeCell ref="R12:S12"/>
    <mergeCell ref="B2:D2"/>
    <mergeCell ref="F2:H2"/>
    <mergeCell ref="J2:L2"/>
    <mergeCell ref="B3:D4"/>
    <mergeCell ref="F3:H4"/>
    <mergeCell ref="J3:L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12B9F-98FD-4784-B1B2-962DF5CD9885}">
  <sheetPr codeName="Sheet12">
    <tabColor rgb="FFFF0000"/>
  </sheetPr>
  <dimension ref="A1:W224"/>
  <sheetViews>
    <sheetView topLeftCell="E7" zoomScale="80" zoomScaleNormal="80" workbookViewId="0">
      <selection activeCell="V33" sqref="V33"/>
    </sheetView>
  </sheetViews>
  <sheetFormatPr defaultRowHeight="15" x14ac:dyDescent="0.25"/>
  <cols>
    <col min="1" max="1" width="11.5703125" style="1" customWidth="1"/>
    <col min="2" max="2" width="23" style="1558" customWidth="1"/>
    <col min="3" max="4" width="17" style="1558" customWidth="1"/>
    <col min="5" max="5" width="4.28515625" style="1" customWidth="1"/>
    <col min="6" max="6" width="23" style="1558" customWidth="1"/>
    <col min="7" max="8" width="17" style="1558" customWidth="1"/>
    <col min="9" max="9" width="4.28515625" style="1" customWidth="1"/>
    <col min="10" max="10" width="23" style="1558" customWidth="1"/>
    <col min="11" max="12" width="17" style="1558" customWidth="1"/>
    <col min="13" max="13" width="2.85546875" style="1" customWidth="1"/>
    <col min="14" max="14" width="23" style="1558" customWidth="1"/>
    <col min="15" max="16" width="17" style="1558" customWidth="1"/>
    <col min="17" max="17" width="2.85546875" style="1" customWidth="1"/>
    <col min="18" max="20" width="22.85546875" style="1" customWidth="1"/>
    <col min="21" max="22" width="28.85546875" style="1" customWidth="1"/>
    <col min="23" max="23" width="12.85546875" style="1" bestFit="1" customWidth="1"/>
    <col min="24" max="16384" width="9.140625" style="1"/>
  </cols>
  <sheetData>
    <row r="1" spans="1:23" ht="77.25" customHeight="1" thickBot="1" x14ac:dyDescent="0.3">
      <c r="G1" s="1943" t="s">
        <v>436</v>
      </c>
      <c r="J1" s="1942"/>
      <c r="K1" s="1942"/>
      <c r="L1" s="1941" t="s">
        <v>437</v>
      </c>
      <c r="N1" s="1942"/>
      <c r="O1" s="1942"/>
      <c r="P1" s="1941"/>
    </row>
    <row r="2" spans="1:23" ht="35.25" customHeight="1" thickBot="1" x14ac:dyDescent="0.3">
      <c r="B2" s="3521" t="s">
        <v>438</v>
      </c>
      <c r="C2" s="3522"/>
      <c r="D2" s="3523"/>
      <c r="F2" s="3524" t="s">
        <v>439</v>
      </c>
      <c r="G2" s="3525"/>
      <c r="H2" s="3526"/>
      <c r="J2" s="3527" t="s">
        <v>440</v>
      </c>
      <c r="K2" s="3528"/>
      <c r="L2" s="3529"/>
      <c r="N2" s="3536" t="s">
        <v>3818</v>
      </c>
      <c r="O2" s="3537"/>
      <c r="P2" s="3538"/>
    </row>
    <row r="3" spans="1:23" ht="32.25" customHeight="1" x14ac:dyDescent="0.25">
      <c r="B3" s="3530" t="e">
        <f>IF(T10&gt;0,R15&amp;IF(T7&lt;T10,"
"&amp;R16,""),R14)</f>
        <v>#N/A</v>
      </c>
      <c r="C3" s="3531"/>
      <c r="D3" s="3532"/>
      <c r="F3" s="3530" t="e">
        <f>IF(T11&gt;0,R19&amp;IF(T7&lt;T11,"
"&amp;R20,""),R18)</f>
        <v>#N/A</v>
      </c>
      <c r="G3" s="3531"/>
      <c r="H3" s="3532"/>
      <c r="J3" s="3530" t="e">
        <f>IF(T12&gt;0,R23&amp;IF(T7&lt;T12,"
"&amp;R24,""),R22)</f>
        <v>#N/A</v>
      </c>
      <c r="K3" s="3531"/>
      <c r="L3" s="3532"/>
      <c r="N3" s="3530" t="e">
        <f>IF(T13&gt;0,R26&amp;IF(T4&lt;T13,"
"&amp;R27,""),R25)</f>
        <v>#N/A</v>
      </c>
      <c r="O3" s="3531"/>
      <c r="P3" s="3532"/>
      <c r="R3" s="898" t="s">
        <v>441</v>
      </c>
    </row>
    <row r="4" spans="1:23" ht="32.25" customHeight="1" thickBot="1" x14ac:dyDescent="0.3">
      <c r="B4" s="3533"/>
      <c r="C4" s="3534"/>
      <c r="D4" s="3535"/>
      <c r="F4" s="3533"/>
      <c r="G4" s="3534"/>
      <c r="H4" s="3535"/>
      <c r="J4" s="3533"/>
      <c r="K4" s="3534"/>
      <c r="L4" s="3535"/>
      <c r="N4" s="3533"/>
      <c r="O4" s="3534"/>
      <c r="P4" s="3535"/>
      <c r="R4" s="1927" t="s">
        <v>442</v>
      </c>
      <c r="S4" s="1933">
        <v>0.2</v>
      </c>
      <c r="T4" s="1929">
        <f>'BTL Calculator'!V9*S7</f>
        <v>0</v>
      </c>
      <c r="U4" s="1926">
        <f>T5-'BTL Calculator'!O80</f>
        <v>0</v>
      </c>
      <c r="V4" s="1926"/>
    </row>
    <row r="5" spans="1:23" ht="18.75" thickBot="1" x14ac:dyDescent="0.3">
      <c r="R5" s="1927" t="s">
        <v>442</v>
      </c>
      <c r="S5" s="1933">
        <v>0.2</v>
      </c>
      <c r="T5" s="1929">
        <f>'BTL Calculator'!V9*S7</f>
        <v>0</v>
      </c>
      <c r="U5" s="1926">
        <f>T5-'BTL Calculator'!F80</f>
        <v>0</v>
      </c>
      <c r="V5" s="1926"/>
    </row>
    <row r="6" spans="1:23" ht="18.75" thickBot="1" x14ac:dyDescent="0.3">
      <c r="B6" s="1944" t="s">
        <v>443</v>
      </c>
      <c r="C6" s="1947" t="str">
        <f>IF(B24&gt;-1,B24&amp;"m Rolled","")</f>
        <v>0m Rolled</v>
      </c>
      <c r="D6" s="1945">
        <f>IF(C6="","",_xlfn.MINIFS(C24:C224,D24:D224,"&gt;="&amp;D8))</f>
        <v>1.00613961606655E-16</v>
      </c>
      <c r="F6" s="1944" t="s">
        <v>443</v>
      </c>
      <c r="G6" s="1947" t="str">
        <f>IF(F24&gt;-1,F24&amp;"m Rolled","")</f>
        <v>0m Rolled</v>
      </c>
      <c r="H6" s="1945">
        <f>IF(G6="","",_xlfn.MINIFS(G24:G224,H24:H224,"&gt;="&amp;H8))</f>
        <v>1.00613961606655E-16</v>
      </c>
      <c r="J6" s="1944" t="s">
        <v>443</v>
      </c>
      <c r="K6" s="1947" t="str">
        <f>IF(J24&gt;-1,J24&amp;"m Rolled","")</f>
        <v>0m Rolled</v>
      </c>
      <c r="L6" s="1945">
        <f>IF(K6="","",_xlfn.MINIFS(K24:K224,L24:L224,"&gt;="&amp;L8))</f>
        <v>1.00613961606655E-16</v>
      </c>
      <c r="N6" s="1944" t="s">
        <v>443</v>
      </c>
      <c r="O6" s="1947" t="str">
        <f>IF(N24&gt;-1,N24&amp;"m Rolled","")</f>
        <v>0m Rolled</v>
      </c>
      <c r="P6" s="1945">
        <f>IF(O6="","",_xlfn.MINIFS(O24:O224,P24:P224,"&gt;="&amp;P8))</f>
        <v>1.00613961606655E-16</v>
      </c>
      <c r="R6" s="1927" t="s">
        <v>442</v>
      </c>
      <c r="S6" s="1933">
        <v>0.2</v>
      </c>
      <c r="T6" s="1929">
        <f>'BTL Calculator'!V9*S7</f>
        <v>0</v>
      </c>
      <c r="U6" s="1926">
        <f>T6-'BTL Calculator'!I80</f>
        <v>0</v>
      </c>
      <c r="V6" s="1926"/>
    </row>
    <row r="7" spans="1:23" ht="18" x14ac:dyDescent="0.25">
      <c r="C7" s="1"/>
      <c r="D7" s="1"/>
      <c r="G7" s="1"/>
      <c r="H7" s="1"/>
      <c r="K7" s="1"/>
      <c r="L7" s="1"/>
      <c r="O7" s="1"/>
      <c r="P7" s="1"/>
      <c r="R7" s="1927" t="s">
        <v>442</v>
      </c>
      <c r="S7" s="1933">
        <v>0.2</v>
      </c>
      <c r="T7" s="1929">
        <f>'BTL Calculator'!V9*S7</f>
        <v>0</v>
      </c>
      <c r="U7" s="1926">
        <f>T7-'BTL Calculator'!L80</f>
        <v>0</v>
      </c>
      <c r="V7" s="1926"/>
    </row>
    <row r="8" spans="1:23" x14ac:dyDescent="0.25">
      <c r="A8" s="2338" t="str">
        <f>Product_Selected</f>
        <v>1) Standard</v>
      </c>
      <c r="B8" s="1928" t="e">
        <f>VLOOKUP(A8,R31:U34,4,0)</f>
        <v>#N/A</v>
      </c>
      <c r="C8" s="1928">
        <v>1.2500000000000001E-2</v>
      </c>
      <c r="D8" s="1929" t="e">
        <f>Property_Value*VLOOKUP(A8,R31:W34,6,0)</f>
        <v>#N/A</v>
      </c>
      <c r="F8" s="1928" t="e">
        <f>VLOOKUP(A8,R31:T34,3,0)</f>
        <v>#N/A</v>
      </c>
      <c r="G8" s="1928">
        <v>1.2500000000000001E-2</v>
      </c>
      <c r="H8" s="1929" t="e">
        <f>Property_Value*VLOOKUP(A8,R31:W34,6,0)</f>
        <v>#N/A</v>
      </c>
      <c r="J8" s="1928" t="e">
        <f>VLOOKUP(A8,R31:S34,2,0)</f>
        <v>#N/A</v>
      </c>
      <c r="K8" s="1928">
        <v>1.2500000000000001E-2</v>
      </c>
      <c r="L8" s="1929" t="e">
        <f>Property_Value*VLOOKUP(A8,R31:W34,6,0)</f>
        <v>#N/A</v>
      </c>
      <c r="N8" s="1928" t="e">
        <f>VLOOKUP(A8,R31:X34,5,0)</f>
        <v>#N/A</v>
      </c>
      <c r="O8" s="1928">
        <v>1.2500000000000001E-2</v>
      </c>
      <c r="P8" s="1929" t="e">
        <f>Property_Value*VLOOKUP(A8,R31:Y34,6,0)</f>
        <v>#N/A</v>
      </c>
      <c r="R8" s="1558"/>
      <c r="S8" s="1558"/>
      <c r="T8" s="1936"/>
      <c r="U8" s="3540" t="s">
        <v>444</v>
      </c>
      <c r="V8" s="2636"/>
    </row>
    <row r="9" spans="1:23" ht="15.75" thickBot="1" x14ac:dyDescent="0.3">
      <c r="B9" s="1936" t="e">
        <f>D8-(D8*D6/12)*24-((B8-D6)/12*B24*D8)-(D8*U30)</f>
        <v>#N/A</v>
      </c>
      <c r="C9" s="1929">
        <f>IF('BTL Calculator'!V5="3 Year Fixed",'KB_CRITERIA AND CALCULATION '!AO90/36,IF('BTL Calculator'!V5="5 Year Fixed",'KB_CRITERIA AND CALCULATION '!AO90/60,'KB_CRITERIA AND CALCULATION '!AO90/24))</f>
        <v>0</v>
      </c>
      <c r="D9" s="1558">
        <f>'BTL Calculator'!$V$9</f>
        <v>0</v>
      </c>
      <c r="F9" s="1936" t="e">
        <f>H8-(H8*H6/12)*24-((F8-H6)/12*F24*H8)-(H8*T30)</f>
        <v>#N/A</v>
      </c>
      <c r="G9" s="1929">
        <f>IF('BTL Calculator'!V5="3 Year Fixed",'KB_CRITERIA AND CALCULATION '!AO90/36,IF('BTL Calculator'!V5="5 Year Fixed",'KB_CRITERIA AND CALCULATION '!AO90/60,'KB_CRITERIA AND CALCULATION '!AO90/24))</f>
        <v>0</v>
      </c>
      <c r="H9" s="1558">
        <f>'BTL Calculator'!$V$9</f>
        <v>0</v>
      </c>
      <c r="J9" s="1936" t="e">
        <f>L8-(L8*L6/12)*24-((J8-L6)/12*J24*L8)-(L8*S30)</f>
        <v>#N/A</v>
      </c>
      <c r="K9" s="1929">
        <f>IF('BTL Calculator'!V5="3 Year Fixed",'KB_CRITERIA AND CALCULATION '!AO90/36,IF('BTL Calculator'!V5="5 Year Fixed",'KB_CRITERIA AND CALCULATION '!AO90/60,'KB_CRITERIA AND CALCULATION '!AO90/24))</f>
        <v>0</v>
      </c>
      <c r="L9" s="1558">
        <f>'BTL Calculator'!$V$9</f>
        <v>0</v>
      </c>
      <c r="N9" s="2249" t="e">
        <f>P8-(P8*P6/12)*60-((N8-P6)/12*N24*P8)-(P8*V30)</f>
        <v>#N/A</v>
      </c>
      <c r="O9" s="1929">
        <f>IF('BTL Calculator'!V5="3 Year Fixed",'KB_CRITERIA AND CALCULATION '!AO90/36,IF('BTL Calculator'!V5="5 Year Fixed",'KB_CRITERIA AND CALCULATION '!AO90/60,'KB_CRITERIA AND CALCULATION '!AO90/24))</f>
        <v>0</v>
      </c>
      <c r="P9" s="1558">
        <f>'BTL Calculator'!$V$9</f>
        <v>0</v>
      </c>
      <c r="R9" s="3542"/>
      <c r="S9" s="3542"/>
      <c r="T9" s="3542"/>
      <c r="U9" s="3541"/>
      <c r="V9" s="2636"/>
    </row>
    <row r="10" spans="1:23" ht="15.75" thickBot="1" x14ac:dyDescent="0.3">
      <c r="B10" s="1936" t="e">
        <f>IF(T7&lt;T10,U10,B9)</f>
        <v>#N/A</v>
      </c>
      <c r="C10" s="1936"/>
      <c r="F10" s="1936" t="e">
        <f>IF(T7&lt;T11,U11,F9)</f>
        <v>#N/A</v>
      </c>
      <c r="J10" s="1936" t="e">
        <f>IF(T7&lt;T12,U12,J9)</f>
        <v>#N/A</v>
      </c>
      <c r="N10" s="2249" t="e">
        <f>IF(T4&lt;T13,U13,N9)</f>
        <v>#N/A</v>
      </c>
      <c r="R10" s="3543" t="s">
        <v>445</v>
      </c>
      <c r="S10" s="3544"/>
      <c r="T10" s="1938" t="e">
        <f>((D8-C21)*(((($B$8-'KB Model Suggestions Fixed 2yr'!$C$8)/12)*(24-'KB Model Suggestions Fixed 2yr'!$B$21)*'Product Data'!$P$23)))/24</f>
        <v>#N/A</v>
      </c>
      <c r="U10" s="1929" t="e">
        <f>(($C$9+U5)*24)/((($B$8-'KB Model Suggestions Fixed 2yr'!$C$8)/12)*(24-'KB Model Suggestions Fixed 2yr'!$B$21)*'Product Data'!$P$23)</f>
        <v>#N/A</v>
      </c>
      <c r="V10" s="1929"/>
      <c r="W10" s="1934" t="e">
        <f>((D8-(($D$9*24)/((($B$8-'KB Model Suggestions Fixed 2yr'!$C$8)/12)*(24-'KB Model Suggestions Fixed 2yr'!$B$21)*'Product Data'!$P$23)))*(((($B$8-'KB Model Suggestions Fixed 2yr'!$C$8)/12)*(24-'KB Model Suggestions Fixed 2yr'!$B$21)*'Product Data'!$P$23)))/24</f>
        <v>#N/A</v>
      </c>
    </row>
    <row r="11" spans="1:23" ht="15.75" thickBot="1" x14ac:dyDescent="0.3">
      <c r="B11" s="1937" t="s">
        <v>446</v>
      </c>
      <c r="C11" s="1937" t="s">
        <v>293</v>
      </c>
      <c r="D11" s="1937" t="s">
        <v>447</v>
      </c>
      <c r="F11" s="1937" t="s">
        <v>446</v>
      </c>
      <c r="G11" s="1937" t="s">
        <v>293</v>
      </c>
      <c r="H11" s="1937" t="s">
        <v>447</v>
      </c>
      <c r="J11" s="1937" t="s">
        <v>446</v>
      </c>
      <c r="K11" s="1937" t="s">
        <v>293</v>
      </c>
      <c r="L11" s="1937" t="s">
        <v>447</v>
      </c>
      <c r="N11" s="1937" t="s">
        <v>446</v>
      </c>
      <c r="O11" s="1937" t="s">
        <v>293</v>
      </c>
      <c r="P11" s="1937" t="s">
        <v>447</v>
      </c>
      <c r="R11" s="3545" t="s">
        <v>448</v>
      </c>
      <c r="S11" s="3546"/>
      <c r="T11" s="1939" t="e">
        <f>((H8-G21)*(((($F$8-'KB Model Suggestions Fixed 2yr'!$G$8)/12)*(24-'KB Model Suggestions Fixed 2yr'!$F$21)*'Product Data'!$P$23)))/24</f>
        <v>#N/A</v>
      </c>
      <c r="U11" s="1929" t="e">
        <f>(($G$9+U6)*24)/((($F$8-'KB Model Suggestions Fixed 2yr'!$G$8)/12)*(24-'KB Model Suggestions Fixed 2yr'!F21)*'Product Data'!$P$23)</f>
        <v>#N/A</v>
      </c>
      <c r="V11" s="1929"/>
      <c r="W11" s="1934" t="e">
        <f>((H8-(($H$9*24)/((($F$8-'KB Model Suggestions Fixed 2yr'!$G$8)/12)*(24-'KB Model Suggestions Fixed 2yr'!F21)*'Product Data'!$P$23)))*(((($F$8-'KB Model Suggestions Fixed 2yr'!$G$8)/12)*(24-'KB Model Suggestions Fixed 2yr'!$F$21)*'Product Data'!$P$23)))/24</f>
        <v>#N/A</v>
      </c>
    </row>
    <row r="12" spans="1:23" ht="15.75" thickBot="1" x14ac:dyDescent="0.3">
      <c r="B12" s="1927">
        <v>0</v>
      </c>
      <c r="C12" s="1929" t="e">
        <f>($C$9*24)/((($B$8-$C$8)/12)*(24-B12)*'Product Data'!$P$23)</f>
        <v>#N/A</v>
      </c>
      <c r="D12" s="1930" t="e">
        <f t="shared" ref="D12:D21" si="0">$D$8/C12</f>
        <v>#N/A</v>
      </c>
      <c r="F12" s="1927">
        <v>0</v>
      </c>
      <c r="G12" s="1929" t="e">
        <f>($G$9*24)/((($F$8-$G$8)/12)*(24-F12)*'Product Data'!$P$23)</f>
        <v>#N/A</v>
      </c>
      <c r="H12" s="1930" t="e">
        <f t="shared" ref="H12:H21" si="1">$D$8/G12</f>
        <v>#N/A</v>
      </c>
      <c r="J12" s="1927">
        <v>0</v>
      </c>
      <c r="K12" s="1929" t="e">
        <f>($K$9*24)/((($J$8-$K$8)/12)*(24-J12)*'Product Data'!$P$23)</f>
        <v>#N/A</v>
      </c>
      <c r="L12" s="1930" t="e">
        <f t="shared" ref="L12:L21" si="2">$D$8/K12</f>
        <v>#N/A</v>
      </c>
      <c r="N12" s="1927">
        <v>0</v>
      </c>
      <c r="O12" s="1929" t="e">
        <f>($O$9*24)/((($N$8-$O$8)/12)*(24-N12)*'Product Data'!$P$23)</f>
        <v>#N/A</v>
      </c>
      <c r="P12" s="1930" t="e">
        <f t="shared" ref="P12:P21" si="3">$D$8/O12</f>
        <v>#N/A</v>
      </c>
      <c r="R12" s="3547" t="s">
        <v>449</v>
      </c>
      <c r="S12" s="3549"/>
      <c r="T12" s="1940" t="e">
        <f>((L8-K21)*(((($J$8-'KB Model Suggestions Fixed 2yr'!$K$8)/12)*(24-'KB Model Suggestions Fixed 2yr'!$J$21)*'Product Data'!$P$23)))/24</f>
        <v>#N/A</v>
      </c>
      <c r="U12" s="1929" t="e">
        <f>(($K$9+U7)*24)/((($J$8-'KB Model Suggestions Fixed 2yr'!$K$8)/12)*(24-'KB Model Suggestions Fixed 2yr'!J21)*'Product Data'!$P$23)</f>
        <v>#N/A</v>
      </c>
      <c r="V12" s="1929"/>
      <c r="W12" s="1934" t="e">
        <f>((L8-(($L$9*24)/((($J$8-'KB Model Suggestions Fixed 2yr'!$K$8)/12)*(24-'KB Model Suggestions Fixed 2yr'!J21)*'Product Data'!$P$23)))*(((($J$8-'KB Model Suggestions Fixed 2yr'!$K$8)/12)*(24-'KB Model Suggestions Fixed 2yr'!$J$21)*'Product Data'!$P$23)))/24</f>
        <v>#N/A</v>
      </c>
    </row>
    <row r="13" spans="1:23" ht="15.75" thickBot="1" x14ac:dyDescent="0.3">
      <c r="B13" s="1927">
        <v>1</v>
      </c>
      <c r="C13" s="1929" t="e">
        <f>($C$9*24)/((($B$8-$C$8)/12)*(24-B13)*'Product Data'!$P$23)</f>
        <v>#N/A</v>
      </c>
      <c r="D13" s="1930" t="e">
        <f t="shared" si="0"/>
        <v>#N/A</v>
      </c>
      <c r="F13" s="1927">
        <v>1</v>
      </c>
      <c r="G13" s="1929" t="e">
        <f>($G$9*24)/((($F$8-$G$8)/12)*(24-F13)*'Product Data'!$P$23)</f>
        <v>#N/A</v>
      </c>
      <c r="H13" s="1930" t="e">
        <f t="shared" si="1"/>
        <v>#N/A</v>
      </c>
      <c r="J13" s="1927">
        <v>1</v>
      </c>
      <c r="K13" s="1929" t="e">
        <f>($K$9*24)/((($J$8-$K$8)/12)*(24-J13)*'Product Data'!$P$23)</f>
        <v>#N/A</v>
      </c>
      <c r="L13" s="1930" t="e">
        <f t="shared" si="2"/>
        <v>#N/A</v>
      </c>
      <c r="N13" s="1927">
        <v>1</v>
      </c>
      <c r="O13" s="1929" t="e">
        <f>($O$9*24)/((($N$8-$O$8)/12)*(24-N13)*'Product Data'!$P$23)</f>
        <v>#N/A</v>
      </c>
      <c r="P13" s="1930" t="e">
        <f t="shared" si="3"/>
        <v>#N/A</v>
      </c>
      <c r="R13" s="3550" t="s">
        <v>3819</v>
      </c>
      <c r="S13" s="3551"/>
      <c r="T13" s="2685" t="e">
        <f>((P8-O21)*(((($N$8-'KB Model Suggestions Fixed 2yr'!$O$8)/12)*(24-'KB Model Suggestions Fixed 2yr'!$N$21)*'Product Data'!$P$23)))/24</f>
        <v>#N/A</v>
      </c>
      <c r="U13" s="1929" t="e">
        <f>(($O$9+U4)*24)/((($N$8-'KB Model Suggestions Fixed 2yr'!$O$8)/12)*(24-'KB Model Suggestions Fixed 2yr'!N21)*'Product Data'!$P$23)</f>
        <v>#N/A</v>
      </c>
      <c r="V13" s="1929"/>
      <c r="W13" s="1934" t="e">
        <f>((P8-(($P$9*24)/((($N$8-'KB Model Suggestions Fixed 2yr'!$O$8)/12)*(24-'KB Model Suggestions Fixed 2yr'!N21)*'Product Data'!$P$23)))*(((($N$8-'KB Model Suggestions Fixed 2yr'!$O$8)/12)*(24-'KB Model Suggestions Fixed 2yr'!$N$21)*'Product Data'!$P$23)))/24</f>
        <v>#N/A</v>
      </c>
    </row>
    <row r="14" spans="1:23" x14ac:dyDescent="0.25">
      <c r="B14" s="1927">
        <v>2</v>
      </c>
      <c r="C14" s="1929" t="e">
        <f>($C$9*24)/((($B$8-$C$8)/12)*(24-B14)*'Product Data'!$P$23)</f>
        <v>#N/A</v>
      </c>
      <c r="D14" s="1930" t="e">
        <f t="shared" si="0"/>
        <v>#N/A</v>
      </c>
      <c r="F14" s="1927">
        <v>2</v>
      </c>
      <c r="G14" s="1929" t="e">
        <f>($G$9*24)/((($F$8-$G$8)/12)*(24-F14)*'Product Data'!$P$23)</f>
        <v>#N/A</v>
      </c>
      <c r="H14" s="1930" t="e">
        <f t="shared" si="1"/>
        <v>#N/A</v>
      </c>
      <c r="J14" s="1927">
        <v>2</v>
      </c>
      <c r="K14" s="1929" t="e">
        <f>($K$9*24)/((($J$8-$K$8)/12)*(24-J14)*'Product Data'!$P$23)</f>
        <v>#N/A</v>
      </c>
      <c r="L14" s="1930" t="e">
        <f t="shared" si="2"/>
        <v>#N/A</v>
      </c>
      <c r="N14" s="1927">
        <v>2</v>
      </c>
      <c r="O14" s="1929" t="e">
        <f>($O$9*24)/((($N$8-$O$8)/12)*(24-N14)*'Product Data'!$P$23)</f>
        <v>#N/A</v>
      </c>
      <c r="P14" s="1930" t="e">
        <f t="shared" si="3"/>
        <v>#N/A</v>
      </c>
      <c r="R14" s="1" t="str">
        <f>"Max LTV possible with no Top Slice "&amp; C6 &amp; IF(B24&gt;-1,IF(D6&gt;-1," &amp; ","")&amp;TEXT(D6,"0.00%")&amp;" Deferred","")</f>
        <v>Max LTV possible with no Top Slice 0m Rolled &amp; 0.00% Deferred</v>
      </c>
      <c r="T14" s="1926"/>
    </row>
    <row r="15" spans="1:23" x14ac:dyDescent="0.25">
      <c r="B15" s="1927">
        <v>3</v>
      </c>
      <c r="C15" s="1929" t="e">
        <f>($C$9*24)/((($B$8-$C$8)/12)*(24-B15)*'Product Data'!$P$23)</f>
        <v>#N/A</v>
      </c>
      <c r="D15" s="1930" t="e">
        <f t="shared" si="0"/>
        <v>#N/A</v>
      </c>
      <c r="F15" s="1927">
        <v>3</v>
      </c>
      <c r="G15" s="1929" t="e">
        <f>($G$9*24)/((($F$8-$G$8)/12)*(24-F15)*'Product Data'!$P$23)</f>
        <v>#N/A</v>
      </c>
      <c r="H15" s="1930" t="e">
        <f t="shared" si="1"/>
        <v>#N/A</v>
      </c>
      <c r="J15" s="1927">
        <v>3</v>
      </c>
      <c r="K15" s="1929" t="e">
        <f>($K$9*24)/((($J$8-$K$8)/12)*(24-J15)*'Product Data'!$P$23)</f>
        <v>#N/A</v>
      </c>
      <c r="L15" s="1930" t="e">
        <f t="shared" si="2"/>
        <v>#N/A</v>
      </c>
      <c r="N15" s="1927">
        <v>3</v>
      </c>
      <c r="O15" s="1929" t="e">
        <f>($O$9*24)/((($N$8-$O$8)/12)*(24-N15)*'Product Data'!$P$23)</f>
        <v>#N/A</v>
      </c>
      <c r="P15" s="1930" t="e">
        <f t="shared" si="3"/>
        <v>#N/A</v>
      </c>
      <c r="R15" s="1" t="e">
        <f>"For Max LTV Gross loan, need Top Slice of "&amp;TEXT(W10,"£0,00")&amp;"pcm (+ max Roll/Defer). "</f>
        <v>#N/A</v>
      </c>
    </row>
    <row r="16" spans="1:23" x14ac:dyDescent="0.25">
      <c r="B16" s="1927">
        <v>4</v>
      </c>
      <c r="C16" s="1929" t="e">
        <f>($C$9*24)/((($B$8-$C$8)/12)*(24-B16)*'Product Data'!$P$23)</f>
        <v>#N/A</v>
      </c>
      <c r="D16" s="1930" t="e">
        <f t="shared" si="0"/>
        <v>#N/A</v>
      </c>
      <c r="F16" s="1927">
        <v>4</v>
      </c>
      <c r="G16" s="1929" t="e">
        <f>($G$9*24)/((($F$8-$G$8)/12)*(24-F16)*'Product Data'!$P$23)</f>
        <v>#N/A</v>
      </c>
      <c r="H16" s="1930" t="e">
        <f t="shared" si="1"/>
        <v>#N/A</v>
      </c>
      <c r="J16" s="1927">
        <v>4</v>
      </c>
      <c r="K16" s="1929" t="e">
        <f>($K$9*24)/((($J$8-$K$8)/12)*(24-J16)*'Product Data'!$P$23)</f>
        <v>#N/A</v>
      </c>
      <c r="L16" s="1930" t="e">
        <f t="shared" si="2"/>
        <v>#N/A</v>
      </c>
      <c r="N16" s="1927">
        <v>4</v>
      </c>
      <c r="O16" s="1929" t="e">
        <f>($O$9*24)/((($N$8-$O$8)/12)*(24-N16)*'Product Data'!$P$23)</f>
        <v>#N/A</v>
      </c>
      <c r="P16" s="1930" t="e">
        <f t="shared" si="3"/>
        <v>#N/A</v>
      </c>
      <c r="R16" s="1" t="e">
        <f>" However, Top slice capped @ "&amp;TEXT(T7,"£0,0")&amp;" pcm, giving Max Gross Loan of "&amp;TEXT(U10,"£###,###")</f>
        <v>#N/A</v>
      </c>
    </row>
    <row r="17" spans="2:23" x14ac:dyDescent="0.25">
      <c r="B17" s="1927">
        <v>5</v>
      </c>
      <c r="C17" s="1929" t="e">
        <f>($C$9*24)/((($B$8-$C$8)/12)*(24-B17)*'Product Data'!$P$23)</f>
        <v>#N/A</v>
      </c>
      <c r="D17" s="1930" t="e">
        <f t="shared" si="0"/>
        <v>#N/A</v>
      </c>
      <c r="F17" s="1927">
        <v>5</v>
      </c>
      <c r="G17" s="1929" t="e">
        <f>($G$9*24)/((($F$8-$G$8)/12)*(24-F17)*'Product Data'!$P$23)</f>
        <v>#N/A</v>
      </c>
      <c r="H17" s="1930" t="e">
        <f t="shared" si="1"/>
        <v>#N/A</v>
      </c>
      <c r="J17" s="1927">
        <v>5</v>
      </c>
      <c r="K17" s="1929" t="e">
        <f>($K$9*24)/((($J$8-$K$8)/12)*(24-J17)*'Product Data'!$P$23)</f>
        <v>#N/A</v>
      </c>
      <c r="L17" s="1930" t="e">
        <f t="shared" si="2"/>
        <v>#N/A</v>
      </c>
      <c r="N17" s="1927">
        <v>5</v>
      </c>
      <c r="O17" s="1929" t="e">
        <f>($O$9*24)/((($N$8-$O$8)/12)*(24-N17)*'Product Data'!$P$23)</f>
        <v>#N/A</v>
      </c>
      <c r="P17" s="1930" t="e">
        <f t="shared" si="3"/>
        <v>#N/A</v>
      </c>
    </row>
    <row r="18" spans="2:23" x14ac:dyDescent="0.25">
      <c r="B18" s="1927">
        <v>6</v>
      </c>
      <c r="C18" s="1929" t="e">
        <f>($C$9*24)/((($B$8-$C$8)/12)*(24-B18)*'Product Data'!$P$23)</f>
        <v>#N/A</v>
      </c>
      <c r="D18" s="1930" t="e">
        <f t="shared" si="0"/>
        <v>#N/A</v>
      </c>
      <c r="F18" s="1927">
        <v>6</v>
      </c>
      <c r="G18" s="1929" t="e">
        <f>($G$9*24)/((($F$8-$G$8)/12)*(24-F18)*'Product Data'!$P$23)</f>
        <v>#N/A</v>
      </c>
      <c r="H18" s="1930" t="e">
        <f t="shared" si="1"/>
        <v>#N/A</v>
      </c>
      <c r="J18" s="1927">
        <v>6</v>
      </c>
      <c r="K18" s="1929" t="e">
        <f>($K$9*24)/((($J$8-$K$8)/12)*(24-J18)*'Product Data'!$P$23)</f>
        <v>#N/A</v>
      </c>
      <c r="L18" s="1930" t="e">
        <f t="shared" si="2"/>
        <v>#N/A</v>
      </c>
      <c r="N18" s="1927">
        <v>6</v>
      </c>
      <c r="O18" s="1929" t="e">
        <f>($O$9*24)/((($N$8-$O$8)/12)*(24-N18)*'Product Data'!$P$23)</f>
        <v>#N/A</v>
      </c>
      <c r="P18" s="1930" t="e">
        <f t="shared" si="3"/>
        <v>#N/A</v>
      </c>
      <c r="R18" s="1" t="str">
        <f>"Max LTV possible with no Top Slice "&amp; G6 &amp; IF(F24&gt;-1,IF(H6&gt;-1," &amp; ","")&amp;TEXT(H6,"0.00%")&amp;" Deferred","")</f>
        <v>Max LTV possible with no Top Slice 0m Rolled &amp; 0.00% Deferred</v>
      </c>
    </row>
    <row r="19" spans="2:23" x14ac:dyDescent="0.25">
      <c r="B19" s="1927">
        <v>7</v>
      </c>
      <c r="C19" s="1929" t="e">
        <f>($C$9*24)/((($B$8-$C$8)/12)*(24-B19)*'Product Data'!$P$23)</f>
        <v>#N/A</v>
      </c>
      <c r="D19" s="1930" t="e">
        <f t="shared" si="0"/>
        <v>#N/A</v>
      </c>
      <c r="F19" s="1927">
        <v>7</v>
      </c>
      <c r="G19" s="1929" t="e">
        <f>($G$9*24)/((($F$8-$G$8)/12)*(24-F19)*'Product Data'!$P$23)</f>
        <v>#N/A</v>
      </c>
      <c r="H19" s="1930" t="e">
        <f t="shared" si="1"/>
        <v>#N/A</v>
      </c>
      <c r="J19" s="1927">
        <v>7</v>
      </c>
      <c r="K19" s="1929" t="e">
        <f>($K$9*24)/((($J$8-$K$8)/12)*(24-J19)*'Product Data'!$P$23)</f>
        <v>#N/A</v>
      </c>
      <c r="L19" s="1930" t="e">
        <f t="shared" si="2"/>
        <v>#N/A</v>
      </c>
      <c r="N19" s="1927">
        <v>7</v>
      </c>
      <c r="O19" s="1929" t="e">
        <f>($O$9*24)/((($N$8-$O$8)/12)*(24-N19)*'Product Data'!$P$23)</f>
        <v>#N/A</v>
      </c>
      <c r="P19" s="1930" t="e">
        <f t="shared" si="3"/>
        <v>#N/A</v>
      </c>
      <c r="R19" s="1" t="e">
        <f>"For Max LTV Gross loan, need Top Slice of "&amp;TEXT(W11,"£0,00")&amp;"pcm (+ max Roll/Defer). "</f>
        <v>#N/A</v>
      </c>
    </row>
    <row r="20" spans="2:23" x14ac:dyDescent="0.25">
      <c r="B20" s="1927">
        <v>8</v>
      </c>
      <c r="C20" s="1929" t="e">
        <f>($C$9*24)/((($B$8-$C$8)/12)*(24-B20)*'Product Data'!$P$23)</f>
        <v>#N/A</v>
      </c>
      <c r="D20" s="1930" t="e">
        <f t="shared" si="0"/>
        <v>#N/A</v>
      </c>
      <c r="F20" s="1927">
        <v>8</v>
      </c>
      <c r="G20" s="1929" t="e">
        <f>($G$9*24)/((($F$8-$G$8)/12)*(24-F20)*'Product Data'!$P$23)</f>
        <v>#N/A</v>
      </c>
      <c r="H20" s="1930" t="e">
        <f t="shared" si="1"/>
        <v>#N/A</v>
      </c>
      <c r="J20" s="1927">
        <v>8</v>
      </c>
      <c r="K20" s="1929" t="e">
        <f>($K$9*24)/((($J$8-$K$8)/12)*(24-J20)*'Product Data'!$P$23)</f>
        <v>#N/A</v>
      </c>
      <c r="L20" s="1930" t="e">
        <f t="shared" si="2"/>
        <v>#N/A</v>
      </c>
      <c r="N20" s="1927">
        <v>8</v>
      </c>
      <c r="O20" s="1929" t="e">
        <f>($O$9*24)/((($N$8-$O$8)/12)*(24-N20)*'Product Data'!$P$23)</f>
        <v>#N/A</v>
      </c>
      <c r="P20" s="1930" t="e">
        <f t="shared" si="3"/>
        <v>#N/A</v>
      </c>
      <c r="R20" s="1" t="e">
        <f>" However, Top slice capped @ "&amp;TEXT(T7,"£0,0")&amp;" pcm, giving Max Gross Loan of "&amp;TEXT(U11,"£###,###")</f>
        <v>#N/A</v>
      </c>
    </row>
    <row r="21" spans="2:23" x14ac:dyDescent="0.25">
      <c r="B21" s="1927">
        <v>9</v>
      </c>
      <c r="C21" s="1929" t="e">
        <f>($C$9*24)/((($B$8-$C$8)/12)*(24-B21)*'Product Data'!$P$23)</f>
        <v>#N/A</v>
      </c>
      <c r="D21" s="1930" t="e">
        <f t="shared" si="0"/>
        <v>#N/A</v>
      </c>
      <c r="F21" s="1927">
        <v>9</v>
      </c>
      <c r="G21" s="1929" t="e">
        <f>($G$9*24)/((($F$8-$G$8)/12)*(24-F21)*'Product Data'!$P$23)</f>
        <v>#N/A</v>
      </c>
      <c r="H21" s="1930" t="e">
        <f t="shared" si="1"/>
        <v>#N/A</v>
      </c>
      <c r="J21" s="1927">
        <v>9</v>
      </c>
      <c r="K21" s="1929" t="e">
        <f>($K$9*24)/((($J$8-$K$8)/12)*(24-J21)*'Product Data'!$P$23)</f>
        <v>#N/A</v>
      </c>
      <c r="L21" s="1930" t="e">
        <f t="shared" si="2"/>
        <v>#N/A</v>
      </c>
      <c r="N21" s="1927">
        <v>9</v>
      </c>
      <c r="O21" s="1929" t="e">
        <f>($O$9*24)/((($N$8-$O$8)/12)*(24-N21)*'Product Data'!$P$23)</f>
        <v>#N/A</v>
      </c>
      <c r="P21" s="1930" t="e">
        <f t="shared" si="3"/>
        <v>#N/A</v>
      </c>
    </row>
    <row r="22" spans="2:23" x14ac:dyDescent="0.25">
      <c r="R22" s="1" t="str">
        <f>"Max LTV possible with no Top Slice "&amp; K6 &amp; IF(J24&gt;-1,IF(L6&gt;-1," &amp; ","")&amp;TEXT(L6,"0.00%")&amp;" Deferred","")</f>
        <v>Max LTV possible with no Top Slice 0m Rolled &amp; 0.00% Deferred</v>
      </c>
    </row>
    <row r="23" spans="2:23" x14ac:dyDescent="0.25">
      <c r="B23" s="1937" t="s">
        <v>450</v>
      </c>
      <c r="C23" s="1937" t="s">
        <v>451</v>
      </c>
      <c r="D23" s="1937" t="s">
        <v>452</v>
      </c>
      <c r="F23" s="1937" t="s">
        <v>450</v>
      </c>
      <c r="G23" s="1937" t="s">
        <v>451</v>
      </c>
      <c r="H23" s="1937" t="s">
        <v>452</v>
      </c>
      <c r="J23" s="1937" t="s">
        <v>450</v>
      </c>
      <c r="K23" s="1937" t="s">
        <v>451</v>
      </c>
      <c r="L23" s="1937" t="s">
        <v>452</v>
      </c>
      <c r="N23" s="1937" t="s">
        <v>450</v>
      </c>
      <c r="O23" s="1937" t="s">
        <v>451</v>
      </c>
      <c r="P23" s="1937" t="s">
        <v>452</v>
      </c>
      <c r="R23" s="1" t="e">
        <f>"For Max LTV Gross loan, need Top Slice of "&amp;TEXT(W12,"£0,00")&amp;"pcm (+ max Roll/Defer). "</f>
        <v>#N/A</v>
      </c>
    </row>
    <row r="24" spans="2:23" x14ac:dyDescent="0.25">
      <c r="B24" s="1927">
        <f>_xlfn.MINIFS(B12:B21,D12:D21,"&lt;="&amp;100%)</f>
        <v>0</v>
      </c>
      <c r="C24" s="2392">
        <v>1.2500000000000001E-2</v>
      </c>
      <c r="D24" s="1931" t="e">
        <f>($C$9*24)/((($B$8-$C24)/12)*(24-B24)*'Product Data'!$P$23)</f>
        <v>#N/A</v>
      </c>
      <c r="F24" s="1927">
        <f>_xlfn.MINIFS(F12:F21,H12:H21,"&lt;="&amp;100%)</f>
        <v>0</v>
      </c>
      <c r="G24" s="2392">
        <v>1.2500000000000001E-2</v>
      </c>
      <c r="H24" s="1931" t="e">
        <f>($G$9*24)/((($F$8-$G24)/12)*(24-F24)*'Product Data'!$P$23)</f>
        <v>#N/A</v>
      </c>
      <c r="J24" s="1927">
        <f>_xlfn.MINIFS(J12:J21,L12:L21,"&lt;="&amp;100%)</f>
        <v>0</v>
      </c>
      <c r="K24" s="2392">
        <v>1.2500000000000001E-2</v>
      </c>
      <c r="L24" s="1931" t="e">
        <f>($K$9*24)/((($J$8-$K24)/12)*(24-J24)*'Product Data'!$P$23)</f>
        <v>#N/A</v>
      </c>
      <c r="N24" s="1927">
        <f>_xlfn.MINIFS(N12:N21,P12:P21,"&lt;="&amp;100%)</f>
        <v>0</v>
      </c>
      <c r="O24" s="2392">
        <v>1.2500000000000001E-2</v>
      </c>
      <c r="P24" s="1929" t="e">
        <f>($O$9*24)/((($N$8-$O24)/12)*(24-N24)*'Product Data'!$P$23)</f>
        <v>#N/A</v>
      </c>
      <c r="R24" s="1" t="e">
        <f>" However, Top slice capped @ "&amp;TEXT(T7,"£0,0")&amp;" pcm, giving Max Gross Loan of "&amp;TEXT(U12,"£###,###")</f>
        <v>#N/A</v>
      </c>
    </row>
    <row r="25" spans="2:23" x14ac:dyDescent="0.25">
      <c r="B25" s="1927">
        <f>B24</f>
        <v>0</v>
      </c>
      <c r="C25" s="1928">
        <v>1.24E-2</v>
      </c>
      <c r="D25" s="1931" t="e">
        <f>($C$9*24)/((($B$8-$C25)/12)*(24-B25)*'Product Data'!$P$23)</f>
        <v>#N/A</v>
      </c>
      <c r="F25" s="1927">
        <f>F24</f>
        <v>0</v>
      </c>
      <c r="G25" s="1928">
        <v>1.24E-2</v>
      </c>
      <c r="H25" s="1931" t="e">
        <f>($G$9*24)/((($F$8-$G25)/12)*(24-F25)*'Product Data'!$P$23)</f>
        <v>#N/A</v>
      </c>
      <c r="J25" s="1927">
        <f>J24</f>
        <v>0</v>
      </c>
      <c r="K25" s="1928">
        <v>1.24E-2</v>
      </c>
      <c r="L25" s="1931" t="e">
        <f>($K$9*24)/((($J$8-$K25)/12)*(24-J25)*'Product Data'!$P$23)</f>
        <v>#N/A</v>
      </c>
      <c r="N25" s="1927">
        <f>N24</f>
        <v>0</v>
      </c>
      <c r="O25" s="1928">
        <v>1.24E-2</v>
      </c>
      <c r="P25" s="1929" t="e">
        <f>($O$9*24)/((($N$8-$O25)/12)*(24-N25)*'Product Data'!$P$23)</f>
        <v>#N/A</v>
      </c>
      <c r="R25" s="1" t="str">
        <f>"Max LTV possible with no Top Slice "&amp; O6 &amp; IF(N24&gt;-1,IF(P6&gt;-1," &amp; ","")&amp;TEXT(P6,"0.00%")&amp;" Deferred","")</f>
        <v>Max LTV possible with no Top Slice 0m Rolled &amp; 0.00% Deferred</v>
      </c>
    </row>
    <row r="26" spans="2:23" x14ac:dyDescent="0.25">
      <c r="B26" s="1927">
        <f t="shared" ref="B26:B89" si="4">B25</f>
        <v>0</v>
      </c>
      <c r="C26" s="1928">
        <v>1.2300000000000101E-2</v>
      </c>
      <c r="D26" s="1931" t="e">
        <f>($C$9*24)/((($B$8-$C26)/12)*(24-B26)*'Product Data'!$P$23)</f>
        <v>#N/A</v>
      </c>
      <c r="F26" s="1927">
        <f t="shared" ref="F26:F89" si="5">F25</f>
        <v>0</v>
      </c>
      <c r="G26" s="1928">
        <v>1.2300000000000101E-2</v>
      </c>
      <c r="H26" s="1931" t="e">
        <f>($G$9*24)/((($F$8-$G26)/12)*(24-F26)*'Product Data'!$P$23)</f>
        <v>#N/A</v>
      </c>
      <c r="J26" s="1927">
        <f t="shared" ref="J26:J89" si="6">J25</f>
        <v>0</v>
      </c>
      <c r="K26" s="1928">
        <v>1.2300000000000101E-2</v>
      </c>
      <c r="L26" s="1931" t="e">
        <f>($K$9*24)/((($J$8-$K26)/12)*(24-J26)*'Product Data'!$P$23)</f>
        <v>#N/A</v>
      </c>
      <c r="N26" s="1927">
        <f t="shared" ref="N26:N89" si="7">N25</f>
        <v>0</v>
      </c>
      <c r="O26" s="1928">
        <v>1.2300000000000101E-2</v>
      </c>
      <c r="P26" s="1929" t="e">
        <f>($O$9*24)/((($N$8-$O26)/12)*(24-N26)*'Product Data'!$P$23)</f>
        <v>#N/A</v>
      </c>
      <c r="R26" s="1" t="e">
        <f>"For Max LTV Gross loan, need Top Slice of "&amp;TEXT(W13,"£0,00")&amp;"pcm (+ max Roll/Defer). "</f>
        <v>#N/A</v>
      </c>
    </row>
    <row r="27" spans="2:23" x14ac:dyDescent="0.25">
      <c r="B27" s="1927">
        <f t="shared" si="4"/>
        <v>0</v>
      </c>
      <c r="C27" s="1928">
        <v>1.22000000000001E-2</v>
      </c>
      <c r="D27" s="1931" t="e">
        <f>($C$9*24)/((($B$8-$C27)/12)*(24-B27)*'Product Data'!$P$23)</f>
        <v>#N/A</v>
      </c>
      <c r="F27" s="1927">
        <f t="shared" si="5"/>
        <v>0</v>
      </c>
      <c r="G27" s="1928">
        <v>1.22000000000001E-2</v>
      </c>
      <c r="H27" s="1931" t="e">
        <f>($G$9*24)/((($F$8-$G27)/12)*(24-F27)*'Product Data'!$P$23)</f>
        <v>#N/A</v>
      </c>
      <c r="J27" s="1927">
        <f t="shared" si="6"/>
        <v>0</v>
      </c>
      <c r="K27" s="1928">
        <v>1.22000000000001E-2</v>
      </c>
      <c r="L27" s="1931" t="e">
        <f>($K$9*24)/((($J$8-$K27)/12)*(24-J27)*'Product Data'!$P$23)</f>
        <v>#N/A</v>
      </c>
      <c r="N27" s="1927">
        <f t="shared" si="7"/>
        <v>0</v>
      </c>
      <c r="O27" s="2392">
        <v>1.22000000000001E-2</v>
      </c>
      <c r="P27" s="1929" t="e">
        <f>($O$9*24)/((($N$8-$O27)/12)*(24-N27)*'Product Data'!$P$23)</f>
        <v>#N/A</v>
      </c>
      <c r="R27" s="1" t="e">
        <f>" However, Top slice capped @ "&amp;TEXT(T4,"£0,0")&amp;" pcm, giving Max Gross Loan of "&amp;TEXT(U13,"£###,###")</f>
        <v>#N/A</v>
      </c>
    </row>
    <row r="28" spans="2:23" x14ac:dyDescent="0.25">
      <c r="B28" s="1927">
        <f t="shared" si="4"/>
        <v>0</v>
      </c>
      <c r="C28" s="1928">
        <v>1.21E-2</v>
      </c>
      <c r="D28" s="1931" t="e">
        <f>($C$9*24)/((($B$8-$C28)/12)*(24-B28)*'Product Data'!$P$23)</f>
        <v>#N/A</v>
      </c>
      <c r="F28" s="1927">
        <f t="shared" si="5"/>
        <v>0</v>
      </c>
      <c r="G28" s="1928">
        <v>1.21E-2</v>
      </c>
      <c r="H28" s="1931" t="e">
        <f>($G$9*24)/((($F$8-$G28)/12)*(24-F28)*'Product Data'!$P$23)</f>
        <v>#N/A</v>
      </c>
      <c r="J28" s="1927">
        <f t="shared" si="6"/>
        <v>0</v>
      </c>
      <c r="K28" s="1928">
        <v>1.21E-2</v>
      </c>
      <c r="L28" s="1931" t="e">
        <f>($K$9*24)/((($J$8-$K28)/12)*(24-J28)*'Product Data'!$P$23)</f>
        <v>#N/A</v>
      </c>
      <c r="N28" s="1927">
        <f t="shared" si="7"/>
        <v>0</v>
      </c>
      <c r="O28" s="1928">
        <v>1.21E-2</v>
      </c>
      <c r="P28" s="1929" t="e">
        <f>($O$9*24)/((($N$8-$O28)/12)*(24-N28)*'Product Data'!$P$23)</f>
        <v>#N/A</v>
      </c>
    </row>
    <row r="29" spans="2:23" x14ac:dyDescent="0.25">
      <c r="B29" s="1927">
        <f t="shared" si="4"/>
        <v>0</v>
      </c>
      <c r="C29" s="1928">
        <v>1.2000000000000101E-2</v>
      </c>
      <c r="D29" s="1931" t="e">
        <f>($C$9*24)/((($B$8-$C29)/12)*(24-B29)*'Product Data'!$P$23)</f>
        <v>#N/A</v>
      </c>
      <c r="F29" s="1927">
        <f t="shared" si="5"/>
        <v>0</v>
      </c>
      <c r="G29" s="1928">
        <v>1.2000000000000101E-2</v>
      </c>
      <c r="H29" s="1931" t="e">
        <f>($G$9*24)/((($F$8-$G29)/12)*(24-F29)*'Product Data'!$P$23)</f>
        <v>#N/A</v>
      </c>
      <c r="J29" s="1927">
        <f t="shared" si="6"/>
        <v>0</v>
      </c>
      <c r="K29" s="1928">
        <v>1.2000000000000101E-2</v>
      </c>
      <c r="L29" s="1931" t="e">
        <f>($K$9*24)/((($J$8-$K29)/12)*(24-J29)*'Product Data'!$P$23)</f>
        <v>#N/A</v>
      </c>
      <c r="N29" s="1927">
        <f t="shared" si="7"/>
        <v>0</v>
      </c>
      <c r="O29" s="1928">
        <v>1.2000000000000101E-2</v>
      </c>
      <c r="P29" s="1929" t="e">
        <f>($O$9*24)/((($N$8-$O29)/12)*(24-N29)*'Product Data'!$P$23)</f>
        <v>#N/A</v>
      </c>
      <c r="R29" s="1927" t="s">
        <v>453</v>
      </c>
      <c r="S29" s="1927" t="s">
        <v>454</v>
      </c>
      <c r="T29" s="2335"/>
      <c r="U29" s="2335"/>
      <c r="V29" s="2286"/>
    </row>
    <row r="30" spans="2:23" x14ac:dyDescent="0.25">
      <c r="B30" s="1927">
        <f t="shared" si="4"/>
        <v>0</v>
      </c>
      <c r="C30" s="1928">
        <v>1.19000000000001E-2</v>
      </c>
      <c r="D30" s="1931" t="e">
        <f>($C$9*24)/((($B$8-$C30)/12)*(24-B30)*'Product Data'!$P$23)</f>
        <v>#N/A</v>
      </c>
      <c r="F30" s="1927">
        <f t="shared" si="5"/>
        <v>0</v>
      </c>
      <c r="G30" s="1928">
        <v>1.19000000000001E-2</v>
      </c>
      <c r="H30" s="1931" t="e">
        <f>($G$9*24)/((($F$8-$G30)/12)*(24-F30)*'Product Data'!$P$23)</f>
        <v>#N/A</v>
      </c>
      <c r="J30" s="1927">
        <f t="shared" si="6"/>
        <v>0</v>
      </c>
      <c r="K30" s="1928">
        <v>1.19000000000001E-2</v>
      </c>
      <c r="L30" s="1931" t="e">
        <f>($K$9*24)/((($J$8-$K30)/12)*(24-J30)*'Product Data'!$P$23)</f>
        <v>#N/A</v>
      </c>
      <c r="N30" s="1927">
        <f t="shared" si="7"/>
        <v>0</v>
      </c>
      <c r="O30" s="2392">
        <v>1.19000000000001E-2</v>
      </c>
      <c r="P30" s="1929" t="e">
        <f>($O$9*24)/((($N$8-$O30)/12)*(24-N30)*'Product Data'!$P$23)</f>
        <v>#N/A</v>
      </c>
      <c r="R30" s="1927"/>
      <c r="S30" s="1928">
        <f>+IF('BTL Calculator'!V3="Retention ",0.015,0.02)</f>
        <v>0.02</v>
      </c>
      <c r="T30" s="2337">
        <f>+IF('BTL Calculator'!V3="Retention ",0.035,0.04)</f>
        <v>0.04</v>
      </c>
      <c r="U30" s="2337">
        <f>+IF('BTL Calculator'!V3="Retention ",0.055,0.06)</f>
        <v>0.06</v>
      </c>
      <c r="V30" s="2337">
        <v>0.03</v>
      </c>
      <c r="W30" s="1927" t="s">
        <v>455</v>
      </c>
    </row>
    <row r="31" spans="2:23" x14ac:dyDescent="0.25">
      <c r="B31" s="1927">
        <f t="shared" si="4"/>
        <v>0</v>
      </c>
      <c r="C31" s="1928">
        <v>1.18000000000001E-2</v>
      </c>
      <c r="D31" s="1931" t="e">
        <f>($C$9*24)/((($B$8-$C31)/12)*(24-B31)*'Product Data'!$P$23)</f>
        <v>#N/A</v>
      </c>
      <c r="F31" s="1927">
        <f t="shared" si="5"/>
        <v>0</v>
      </c>
      <c r="G31" s="1928">
        <v>1.18000000000001E-2</v>
      </c>
      <c r="H31" s="1931" t="e">
        <f>($G$9*24)/((($F$8-$G31)/12)*(24-F31)*'Product Data'!$P$23)</f>
        <v>#N/A</v>
      </c>
      <c r="J31" s="1927">
        <f t="shared" si="6"/>
        <v>0</v>
      </c>
      <c r="K31" s="1928">
        <v>1.18000000000001E-2</v>
      </c>
      <c r="L31" s="1931" t="e">
        <f>($K$9*24)/((($J$8-$K31)/12)*(24-J31)*'Product Data'!$P$23)</f>
        <v>#N/A</v>
      </c>
      <c r="N31" s="1927">
        <f t="shared" si="7"/>
        <v>0</v>
      </c>
      <c r="O31" s="1928">
        <v>1.18000000000001E-2</v>
      </c>
      <c r="P31" s="1929" t="e">
        <f>($O$9*24)/((($N$8-$O31)/12)*(24-N31)*'Product Data'!$P$23)</f>
        <v>#N/A</v>
      </c>
      <c r="R31" s="1927" t="s">
        <v>432</v>
      </c>
      <c r="S31" s="1928">
        <f>IF(AND('BTL Calculator'!V3="Retention ",'BTL Calculator'!X3=0.75),'Product Data'!K190,
IF(AND('BTL Calculator'!V3="Retention ",'BTL Calculator'!X3=0.65),'Product Data'!K212,
'Product Data'!C60))</f>
        <v>7.8899999999999998E-2</v>
      </c>
      <c r="T31" s="2337">
        <f>IF(AND('BTL Calculator'!V3="Retention ",'BTL Calculator'!X3=0.75),'Product Data'!K195,
IF(AND('BTL Calculator'!V3="Retention ",'BTL Calculator'!X3=0.65),'Product Data'!K217,
'Product Data'!C66))</f>
        <v>6.7900000000000002E-2</v>
      </c>
      <c r="U31" s="2337">
        <f>IF(AND('BTL Calculator'!V3 = "Retention ",'BTL Calculator'!X3=0.75),'Product Data'!K200,
IF(AND('BTL Calculator'!V3 = "Retention ",'BTL Calculator'!X3=0.65),'Product Data'!K222,
'Product Data'!C72))</f>
        <v>5.8899999999999994E-2</v>
      </c>
      <c r="V31" s="2337">
        <f>IF(AND('BTL Calculator'!V3 = "Retention ",'BTL Calculator'!X3=0.75),'Product Data'!K205,
IF(AND('BTL Calculator'!V3 = "Retention ",'BTL Calculator'!X3=0.65),'Product Data'!K227,
'Product Data'!C78))</f>
        <v>7.3899999999999993E-2</v>
      </c>
      <c r="W31" s="1932">
        <f>+IF(AND('BTL Calculator'!V3 = "Retention ",'BTL Calculator'!X3=0.75),0.75,
IF(AND('BTL Calculator'!V3 = "Retention ",'BTL Calculator'!X3=0.65),0.65,0.75))</f>
        <v>0.75</v>
      </c>
    </row>
    <row r="32" spans="2:23" x14ac:dyDescent="0.25">
      <c r="B32" s="1927">
        <f t="shared" si="4"/>
        <v>0</v>
      </c>
      <c r="C32" s="1928">
        <v>1.1700000000000099E-2</v>
      </c>
      <c r="D32" s="1931" t="e">
        <f>($C$9*24)/((($B$8-$C32)/12)*(24-B32)*'Product Data'!$P$23)</f>
        <v>#N/A</v>
      </c>
      <c r="F32" s="1927">
        <f t="shared" si="5"/>
        <v>0</v>
      </c>
      <c r="G32" s="1928">
        <v>1.1700000000000099E-2</v>
      </c>
      <c r="H32" s="1931" t="e">
        <f>($G$9*24)/((($F$8-$G32)/12)*(24-F32)*'Product Data'!$P$23)</f>
        <v>#N/A</v>
      </c>
      <c r="J32" s="1927">
        <f t="shared" si="6"/>
        <v>0</v>
      </c>
      <c r="K32" s="1928">
        <v>1.1700000000000099E-2</v>
      </c>
      <c r="L32" s="1931" t="e">
        <f>($K$9*24)/((($J$8-$K32)/12)*(24-J32)*'Product Data'!$P$23)</f>
        <v>#N/A</v>
      </c>
      <c r="N32" s="1927">
        <f t="shared" si="7"/>
        <v>0</v>
      </c>
      <c r="O32" s="1928">
        <v>1.1700000000000099E-2</v>
      </c>
      <c r="P32" s="1929" t="e">
        <f>($O$9*24)/((($N$8-$O32)/12)*(24-N32)*'Product Data'!$P$23)</f>
        <v>#N/A</v>
      </c>
      <c r="R32" s="1927" t="s">
        <v>433</v>
      </c>
      <c r="S32" s="1928">
        <f>IF(AND('BTL Calculator'!V3 = "Retention ",'BTL Calculator'!X3=0.75),'Product Data'!K191,
IF(AND('BTL Calculator'!V3="Retention ",'BTL Calculator'!X3=0.65),'Product Data'!K213,
'Product Data'!C61))</f>
        <v>8.3900000000000002E-2</v>
      </c>
      <c r="T32" s="2337">
        <f>IF(AND('BTL Calculator'!V3 = "Retention ",'BTL Calculator'!X3=0.75),'Product Data'!K196,
IF(AND('BTL Calculator'!V3="Retention ",'BTL Calculator'!X3=0.65),'Product Data'!K218,
'Product Data'!C67))</f>
        <v>7.2900000000000006E-2</v>
      </c>
      <c r="U32" s="2337">
        <f>IF(AND('BTL Calculator'!V3="Retention ",'BTL Calculator'!X3=0.75),'Product Data'!K201,
IF(AND('BTL Calculator'!V3="Retention ",'BTL Calculator'!X3=0.65),'Product Data'!K223,
'Product Data'!C73))</f>
        <v>6.3899999999999998E-2</v>
      </c>
      <c r="V32" s="2337">
        <f>IF(AND('BTL Calculator'!V3="Retention ",'BTL Calculator'!X3=0.75),'Product Data'!K206,
IF(AND('BTL Calculator'!V3="Retention ",'BTL Calculator'!X3=0.65),'Product Data'!K228,
'Product Data'!C79))</f>
        <v>7.8899999999999998E-2</v>
      </c>
      <c r="W32" s="1932">
        <f>+IF(AND('BTL Calculator'!V3 = "Retention ",'BTL Calculator'!X3=0.75),0.75,
IF(AND('BTL Calculator'!V3 = "Retention ",'BTL Calculator'!X3=0.65),0.65,0.75))</f>
        <v>0.75</v>
      </c>
    </row>
    <row r="33" spans="2:23" x14ac:dyDescent="0.25">
      <c r="B33" s="1927">
        <f t="shared" si="4"/>
        <v>0</v>
      </c>
      <c r="C33" s="1928">
        <v>1.16000000000001E-2</v>
      </c>
      <c r="D33" s="1931" t="e">
        <f>($C$9*24)/((($B$8-$C33)/12)*(24-B33)*'Product Data'!$P$23)</f>
        <v>#N/A</v>
      </c>
      <c r="F33" s="1927">
        <f t="shared" si="5"/>
        <v>0</v>
      </c>
      <c r="G33" s="1928">
        <v>1.16000000000001E-2</v>
      </c>
      <c r="H33" s="1931" t="e">
        <f>($G$9*24)/((($F$8-$G33)/12)*(24-F33)*'Product Data'!$P$23)</f>
        <v>#N/A</v>
      </c>
      <c r="J33" s="1927">
        <f t="shared" si="6"/>
        <v>0</v>
      </c>
      <c r="K33" s="1928">
        <v>1.16000000000001E-2</v>
      </c>
      <c r="L33" s="1931" t="e">
        <f>($K$9*24)/((($J$8-$K33)/12)*(24-J33)*'Product Data'!$P$23)</f>
        <v>#N/A</v>
      </c>
      <c r="N33" s="1927">
        <f t="shared" si="7"/>
        <v>0</v>
      </c>
      <c r="O33" s="2392">
        <v>1.16000000000001E-2</v>
      </c>
      <c r="P33" s="1929" t="e">
        <f>($O$9*24)/((($N$8-$O33)/12)*(24-N33)*'Product Data'!$P$23)</f>
        <v>#N/A</v>
      </c>
      <c r="R33" s="1927" t="s">
        <v>434</v>
      </c>
      <c r="S33" s="1928">
        <f>IF(AND('BTL Calculator'!V3 = "Retention ",'BTL Calculator'!X3=0.75),'Product Data'!K192,
IF(AND('BTL Calculator'!V3="Retention ",'BTL Calculator'!X3=0.65),'Product Data'!K214,
'Product Data'!C62))</f>
        <v>8.7899999999999992E-2</v>
      </c>
      <c r="T33" s="2337">
        <f>IF(AND('BTL Calculator'!V3 = "Retention ",'BTL Calculator'!X3=0.75),'Product Data'!K197,
IF(AND('BTL Calculator'!V3="Retention ",'BTL Calculator'!X3=0.65),'Product Data'!K219,
'Product Data'!C68))</f>
        <v>7.690000000000001E-2</v>
      </c>
      <c r="U33" s="2337">
        <f>IF(AND('BTL Calculator'!V3 = "Retention ",'BTL Calculator'!X3=0.75),'Product Data'!K202,
IF(AND('BTL Calculator'!V3 = "Retention ",'BTL Calculator'!X3=0.65),'Product Data'!K224,
'Product Data'!C74))</f>
        <v>6.7900000000000002E-2</v>
      </c>
      <c r="V33" s="2337">
        <f>IF(AND('BTL Calculator'!V3 = "Retention ",'BTL Calculator'!X3=0.75),'Product Data'!K207,
IF(AND('BTL Calculator'!V3 = "Retention ",'BTL Calculator'!X3=0.65),'Product Data'!K229,
'Product Data'!C80))</f>
        <v>8.2899999999999988E-2</v>
      </c>
      <c r="W33" s="1932">
        <f>+IF(AND('BTL Calculator'!V3 = "Retention ",'BTL Calculator'!X3=0.75),0.75,
IF(AND('BTL Calculator'!V3 = "Retention ",'BTL Calculator'!X3=0.65),0.65,0.75))</f>
        <v>0.75</v>
      </c>
    </row>
    <row r="34" spans="2:23" x14ac:dyDescent="0.25">
      <c r="B34" s="1927">
        <f t="shared" si="4"/>
        <v>0</v>
      </c>
      <c r="C34" s="1928">
        <v>1.15000000000001E-2</v>
      </c>
      <c r="D34" s="1931" t="e">
        <f>($C$9*24)/((($B$8-$C34)/12)*(24-B34)*'Product Data'!$P$23)</f>
        <v>#N/A</v>
      </c>
      <c r="F34" s="1927">
        <f t="shared" si="5"/>
        <v>0</v>
      </c>
      <c r="G34" s="1928">
        <v>1.15000000000001E-2</v>
      </c>
      <c r="H34" s="1931" t="e">
        <f>($G$9*24)/((($F$8-$G34)/12)*(24-F34)*'Product Data'!$P$23)</f>
        <v>#N/A</v>
      </c>
      <c r="J34" s="1927">
        <f t="shared" si="6"/>
        <v>0</v>
      </c>
      <c r="K34" s="1928">
        <v>1.15000000000001E-2</v>
      </c>
      <c r="L34" s="1931" t="e">
        <f>($K$9*24)/((($J$8-$K34)/12)*(24-J34)*'Product Data'!$P$23)</f>
        <v>#N/A</v>
      </c>
      <c r="N34" s="1927">
        <f t="shared" si="7"/>
        <v>0</v>
      </c>
      <c r="O34" s="1928">
        <v>1.15000000000001E-2</v>
      </c>
      <c r="P34" s="1929" t="e">
        <f>($O$9*24)/((($N$8-$O34)/12)*(24-N34)*'Product Data'!$P$23)</f>
        <v>#N/A</v>
      </c>
      <c r="R34" s="1927"/>
      <c r="S34" s="1928"/>
      <c r="T34" s="2337"/>
      <c r="U34" s="2337"/>
      <c r="V34" s="2337"/>
      <c r="W34" s="1932"/>
    </row>
    <row r="35" spans="2:23" x14ac:dyDescent="0.25">
      <c r="B35" s="1927">
        <f t="shared" si="4"/>
        <v>0</v>
      </c>
      <c r="C35" s="1928">
        <v>1.1400000000000099E-2</v>
      </c>
      <c r="D35" s="1931" t="e">
        <f>($C$9*24)/((($B$8-$C35)/12)*(24-B35)*'Product Data'!$P$23)</f>
        <v>#N/A</v>
      </c>
      <c r="F35" s="1927">
        <f t="shared" si="5"/>
        <v>0</v>
      </c>
      <c r="G35" s="1928">
        <v>1.1400000000000099E-2</v>
      </c>
      <c r="H35" s="1931" t="e">
        <f>($G$9*24)/((($F$8-$G35)/12)*(24-F35)*'Product Data'!$P$23)</f>
        <v>#N/A</v>
      </c>
      <c r="J35" s="1927">
        <f t="shared" si="6"/>
        <v>0</v>
      </c>
      <c r="K35" s="1928">
        <v>1.1400000000000099E-2</v>
      </c>
      <c r="L35" s="1931" t="e">
        <f>($K$9*24)/((($J$8-$K35)/12)*(24-J35)*'Product Data'!$P$23)</f>
        <v>#N/A</v>
      </c>
      <c r="N35" s="1927">
        <f t="shared" si="7"/>
        <v>0</v>
      </c>
      <c r="O35" s="1928">
        <v>1.1400000000000099E-2</v>
      </c>
      <c r="P35" s="1929" t="e">
        <f>($O$9*24)/((($N$8-$O35)/12)*(24-N35)*'Product Data'!$P$23)</f>
        <v>#N/A</v>
      </c>
    </row>
    <row r="36" spans="2:23" x14ac:dyDescent="0.25">
      <c r="B36" s="1927">
        <f t="shared" si="4"/>
        <v>0</v>
      </c>
      <c r="C36" s="1928">
        <v>1.1299999999999999E-2</v>
      </c>
      <c r="D36" s="1931" t="e">
        <f>($C$9*24)/((($B$8-$C36)/12)*(24-B36)*'Product Data'!$P$23)</f>
        <v>#N/A</v>
      </c>
      <c r="F36" s="1927">
        <f t="shared" si="5"/>
        <v>0</v>
      </c>
      <c r="G36" s="1928">
        <v>1.1299999999999999E-2</v>
      </c>
      <c r="H36" s="1931" t="e">
        <f>($G$9*24)/((($F$8-$G36)/12)*(24-F36)*'Product Data'!$P$23)</f>
        <v>#N/A</v>
      </c>
      <c r="J36" s="1927">
        <f t="shared" si="6"/>
        <v>0</v>
      </c>
      <c r="K36" s="1928">
        <v>1.1299999999999999E-2</v>
      </c>
      <c r="L36" s="1931" t="e">
        <f>($K$9*24)/((($J$8-$K36)/12)*(24-J36)*'Product Data'!$P$23)</f>
        <v>#N/A</v>
      </c>
      <c r="N36" s="1927">
        <f t="shared" si="7"/>
        <v>0</v>
      </c>
      <c r="O36" s="2392">
        <v>1.1299999999999999E-2</v>
      </c>
      <c r="P36" s="1929" t="e">
        <f>($O$9*24)/((($N$8-$O36)/12)*(24-N36)*'Product Data'!$P$23)</f>
        <v>#N/A</v>
      </c>
    </row>
    <row r="37" spans="2:23" x14ac:dyDescent="0.25">
      <c r="B37" s="1927">
        <f t="shared" si="4"/>
        <v>0</v>
      </c>
      <c r="C37" s="1928">
        <v>1.1200000000000101E-2</v>
      </c>
      <c r="D37" s="1931" t="e">
        <f>($C$9*24)/((($B$8-$C37)/12)*(24-B37)*'Product Data'!$P$23)</f>
        <v>#N/A</v>
      </c>
      <c r="F37" s="1927">
        <f t="shared" si="5"/>
        <v>0</v>
      </c>
      <c r="G37" s="1928">
        <v>1.1200000000000101E-2</v>
      </c>
      <c r="H37" s="1931" t="e">
        <f>($G$9*24)/((($F$8-$G37)/12)*(24-F37)*'Product Data'!$P$23)</f>
        <v>#N/A</v>
      </c>
      <c r="J37" s="1927">
        <f t="shared" si="6"/>
        <v>0</v>
      </c>
      <c r="K37" s="1928">
        <v>1.1200000000000101E-2</v>
      </c>
      <c r="L37" s="1931" t="e">
        <f>($K$9*24)/((($J$8-$K37)/12)*(24-J37)*'Product Data'!$P$23)</f>
        <v>#N/A</v>
      </c>
      <c r="N37" s="1927">
        <f t="shared" si="7"/>
        <v>0</v>
      </c>
      <c r="O37" s="1928">
        <v>1.1200000000000101E-2</v>
      </c>
      <c r="P37" s="1929" t="e">
        <f>($O$9*24)/((($N$8-$O37)/12)*(24-N37)*'Product Data'!$P$23)</f>
        <v>#N/A</v>
      </c>
    </row>
    <row r="38" spans="2:23" x14ac:dyDescent="0.25">
      <c r="B38" s="1927">
        <f t="shared" si="4"/>
        <v>0</v>
      </c>
      <c r="C38" s="1928">
        <v>1.1100000000000099E-2</v>
      </c>
      <c r="D38" s="1931" t="e">
        <f>($C$9*24)/((($B$8-$C38)/12)*(24-B38)*'Product Data'!$P$23)</f>
        <v>#N/A</v>
      </c>
      <c r="F38" s="1927">
        <f t="shared" si="5"/>
        <v>0</v>
      </c>
      <c r="G38" s="1928">
        <v>1.1100000000000099E-2</v>
      </c>
      <c r="H38" s="1931" t="e">
        <f>($G$9*24)/((($F$8-$G38)/12)*(24-F38)*'Product Data'!$P$23)</f>
        <v>#N/A</v>
      </c>
      <c r="J38" s="1927">
        <f t="shared" si="6"/>
        <v>0</v>
      </c>
      <c r="K38" s="1928">
        <v>1.1100000000000099E-2</v>
      </c>
      <c r="L38" s="1931" t="e">
        <f>($K$9*24)/((($J$8-$K38)/12)*(24-J38)*'Product Data'!$P$23)</f>
        <v>#N/A</v>
      </c>
      <c r="N38" s="1927">
        <f t="shared" si="7"/>
        <v>0</v>
      </c>
      <c r="O38" s="1928">
        <v>1.1100000000000099E-2</v>
      </c>
      <c r="P38" s="1929" t="e">
        <f>($O$9*24)/((($N$8-$O38)/12)*(24-N38)*'Product Data'!$P$23)</f>
        <v>#N/A</v>
      </c>
    </row>
    <row r="39" spans="2:23" x14ac:dyDescent="0.25">
      <c r="B39" s="1927">
        <f t="shared" si="4"/>
        <v>0</v>
      </c>
      <c r="C39" s="1928">
        <v>1.0999999999999999E-2</v>
      </c>
      <c r="D39" s="1931" t="e">
        <f>($C$9*24)/((($B$8-$C39)/12)*(24-B39)*'Product Data'!$P$23)</f>
        <v>#N/A</v>
      </c>
      <c r="F39" s="1927">
        <f t="shared" si="5"/>
        <v>0</v>
      </c>
      <c r="G39" s="1928">
        <v>1.0999999999999999E-2</v>
      </c>
      <c r="H39" s="1931" t="e">
        <f>($G$9*24)/((($F$8-$G39)/12)*(24-F39)*'Product Data'!$P$23)</f>
        <v>#N/A</v>
      </c>
      <c r="J39" s="1927">
        <f t="shared" si="6"/>
        <v>0</v>
      </c>
      <c r="K39" s="1928">
        <v>1.0999999999999999E-2</v>
      </c>
      <c r="L39" s="1931" t="e">
        <f>($K$9*24)/((($J$8-$K39)/12)*(24-J39)*'Product Data'!$P$23)</f>
        <v>#N/A</v>
      </c>
      <c r="N39" s="1927">
        <f t="shared" si="7"/>
        <v>0</v>
      </c>
      <c r="O39" s="2392">
        <v>1.0999999999999999E-2</v>
      </c>
      <c r="P39" s="1929" t="e">
        <f>($O$9*24)/((($N$8-$O39)/12)*(24-N39)*'Product Data'!$P$23)</f>
        <v>#N/A</v>
      </c>
    </row>
    <row r="40" spans="2:23" x14ac:dyDescent="0.25">
      <c r="B40" s="1927">
        <f t="shared" si="4"/>
        <v>0</v>
      </c>
      <c r="C40" s="1928">
        <v>1.0900000000000101E-2</v>
      </c>
      <c r="D40" s="1931" t="e">
        <f>($C$9*24)/((($B$8-$C40)/12)*(24-B40)*'Product Data'!$P$23)</f>
        <v>#N/A</v>
      </c>
      <c r="F40" s="1927">
        <f t="shared" si="5"/>
        <v>0</v>
      </c>
      <c r="G40" s="1928">
        <v>1.0900000000000101E-2</v>
      </c>
      <c r="H40" s="1931" t="e">
        <f>($G$9*24)/((($F$8-$G40)/12)*(24-F40)*'Product Data'!$P$23)</f>
        <v>#N/A</v>
      </c>
      <c r="J40" s="1927">
        <f t="shared" si="6"/>
        <v>0</v>
      </c>
      <c r="K40" s="1928">
        <v>1.0900000000000101E-2</v>
      </c>
      <c r="L40" s="1931" t="e">
        <f>($K$9*24)/((($J$8-$K40)/12)*(24-J40)*'Product Data'!$P$23)</f>
        <v>#N/A</v>
      </c>
      <c r="N40" s="1927">
        <f t="shared" si="7"/>
        <v>0</v>
      </c>
      <c r="O40" s="1928">
        <v>1.0900000000000101E-2</v>
      </c>
      <c r="P40" s="1929" t="e">
        <f>($O$9*24)/((($N$8-$O40)/12)*(24-N40)*'Product Data'!$P$23)</f>
        <v>#N/A</v>
      </c>
    </row>
    <row r="41" spans="2:23" x14ac:dyDescent="0.25">
      <c r="B41" s="1927">
        <f t="shared" si="4"/>
        <v>0</v>
      </c>
      <c r="C41" s="1928">
        <v>1.0800000000000099E-2</v>
      </c>
      <c r="D41" s="1931" t="e">
        <f>($C$9*24)/((($B$8-$C41)/12)*(24-B41)*'Product Data'!$P$23)</f>
        <v>#N/A</v>
      </c>
      <c r="F41" s="1927">
        <f t="shared" si="5"/>
        <v>0</v>
      </c>
      <c r="G41" s="1928">
        <v>1.0800000000000099E-2</v>
      </c>
      <c r="H41" s="1931" t="e">
        <f>($G$9*24)/((($F$8-$G41)/12)*(24-F41)*'Product Data'!$P$23)</f>
        <v>#N/A</v>
      </c>
      <c r="J41" s="1927">
        <f t="shared" si="6"/>
        <v>0</v>
      </c>
      <c r="K41" s="1928">
        <v>1.0800000000000099E-2</v>
      </c>
      <c r="L41" s="1931" t="e">
        <f>($K$9*24)/((($J$8-$K41)/12)*(24-J41)*'Product Data'!$P$23)</f>
        <v>#N/A</v>
      </c>
      <c r="N41" s="1927">
        <f t="shared" si="7"/>
        <v>0</v>
      </c>
      <c r="O41" s="1928">
        <v>1.0800000000000099E-2</v>
      </c>
      <c r="P41" s="1929" t="e">
        <f>($O$9*24)/((($N$8-$O41)/12)*(24-N41)*'Product Data'!$P$23)</f>
        <v>#N/A</v>
      </c>
    </row>
    <row r="42" spans="2:23" x14ac:dyDescent="0.25">
      <c r="B42" s="1927">
        <f t="shared" si="4"/>
        <v>0</v>
      </c>
      <c r="C42" s="1928">
        <v>1.07000000000001E-2</v>
      </c>
      <c r="D42" s="1931" t="e">
        <f>($C$9*24)/((($B$8-$C42)/12)*(24-B42)*'Product Data'!$P$23)</f>
        <v>#N/A</v>
      </c>
      <c r="F42" s="1927">
        <f t="shared" si="5"/>
        <v>0</v>
      </c>
      <c r="G42" s="1928">
        <v>1.07000000000001E-2</v>
      </c>
      <c r="H42" s="1931" t="e">
        <f>($G$9*24)/((($F$8-$G42)/12)*(24-F42)*'Product Data'!$P$23)</f>
        <v>#N/A</v>
      </c>
      <c r="J42" s="1927">
        <f t="shared" si="6"/>
        <v>0</v>
      </c>
      <c r="K42" s="1928">
        <v>1.07000000000001E-2</v>
      </c>
      <c r="L42" s="1931" t="e">
        <f>($K$9*24)/((($J$8-$K42)/12)*(24-J42)*'Product Data'!$P$23)</f>
        <v>#N/A</v>
      </c>
      <c r="N42" s="1927">
        <f t="shared" si="7"/>
        <v>0</v>
      </c>
      <c r="O42" s="2392">
        <v>1.07000000000001E-2</v>
      </c>
      <c r="P42" s="1929" t="e">
        <f>($O$9*24)/((($N$8-$O42)/12)*(24-N42)*'Product Data'!$P$23)</f>
        <v>#N/A</v>
      </c>
    </row>
    <row r="43" spans="2:23" x14ac:dyDescent="0.25">
      <c r="B43" s="1927">
        <f t="shared" si="4"/>
        <v>0</v>
      </c>
      <c r="C43" s="1928">
        <v>1.0600000000000101E-2</v>
      </c>
      <c r="D43" s="1931" t="e">
        <f>($C$9*24)/((($B$8-$C43)/12)*(24-B43)*'Product Data'!$P$23)</f>
        <v>#N/A</v>
      </c>
      <c r="F43" s="1927">
        <f t="shared" si="5"/>
        <v>0</v>
      </c>
      <c r="G43" s="1928">
        <v>1.0600000000000101E-2</v>
      </c>
      <c r="H43" s="1931" t="e">
        <f>($G$9*24)/((($F$8-$G43)/12)*(24-F43)*'Product Data'!$P$23)</f>
        <v>#N/A</v>
      </c>
      <c r="J43" s="1927">
        <f t="shared" si="6"/>
        <v>0</v>
      </c>
      <c r="K43" s="1928">
        <v>1.0600000000000101E-2</v>
      </c>
      <c r="L43" s="1931" t="e">
        <f>($K$9*24)/((($J$8-$K43)/12)*(24-J43)*'Product Data'!$P$23)</f>
        <v>#N/A</v>
      </c>
      <c r="N43" s="1927">
        <f t="shared" si="7"/>
        <v>0</v>
      </c>
      <c r="O43" s="1928">
        <v>1.0600000000000101E-2</v>
      </c>
      <c r="P43" s="1929" t="e">
        <f>($O$9*24)/((($N$8-$O43)/12)*(24-N43)*'Product Data'!$P$23)</f>
        <v>#N/A</v>
      </c>
    </row>
    <row r="44" spans="2:23" x14ac:dyDescent="0.25">
      <c r="B44" s="1927">
        <f t="shared" si="4"/>
        <v>0</v>
      </c>
      <c r="C44" s="1928">
        <v>1.05000000000001E-2</v>
      </c>
      <c r="D44" s="1931" t="e">
        <f>($C$9*24)/((($B$8-$C44)/12)*(24-B44)*'Product Data'!$P$23)</f>
        <v>#N/A</v>
      </c>
      <c r="F44" s="1927">
        <f t="shared" si="5"/>
        <v>0</v>
      </c>
      <c r="G44" s="1928">
        <v>1.05000000000001E-2</v>
      </c>
      <c r="H44" s="1931" t="e">
        <f>($G$9*24)/((($F$8-$G44)/12)*(24-F44)*'Product Data'!$P$23)</f>
        <v>#N/A</v>
      </c>
      <c r="J44" s="1927">
        <f t="shared" si="6"/>
        <v>0</v>
      </c>
      <c r="K44" s="1928">
        <v>1.05000000000001E-2</v>
      </c>
      <c r="L44" s="1931" t="e">
        <f>($K$9*24)/((($J$8-$K44)/12)*(24-J44)*'Product Data'!$P$23)</f>
        <v>#N/A</v>
      </c>
      <c r="N44" s="1927">
        <f t="shared" si="7"/>
        <v>0</v>
      </c>
      <c r="O44" s="1928">
        <v>1.05000000000001E-2</v>
      </c>
      <c r="P44" s="1929" t="e">
        <f>($O$9*24)/((($N$8-$O44)/12)*(24-N44)*'Product Data'!$P$23)</f>
        <v>#N/A</v>
      </c>
    </row>
    <row r="45" spans="2:23" x14ac:dyDescent="0.25">
      <c r="B45" s="1927">
        <f t="shared" si="4"/>
        <v>0</v>
      </c>
      <c r="C45" s="1928">
        <v>1.04000000000001E-2</v>
      </c>
      <c r="D45" s="1931" t="e">
        <f>($C$9*24)/((($B$8-$C45)/12)*(24-B45)*'Product Data'!$P$23)</f>
        <v>#N/A</v>
      </c>
      <c r="F45" s="1927">
        <f t="shared" si="5"/>
        <v>0</v>
      </c>
      <c r="G45" s="1928">
        <v>1.04000000000001E-2</v>
      </c>
      <c r="H45" s="1931" t="e">
        <f>($G$9*24)/((($F$8-$G45)/12)*(24-F45)*'Product Data'!$P$23)</f>
        <v>#N/A</v>
      </c>
      <c r="J45" s="1927">
        <f t="shared" si="6"/>
        <v>0</v>
      </c>
      <c r="K45" s="1928">
        <v>1.04000000000001E-2</v>
      </c>
      <c r="L45" s="1931" t="e">
        <f>($K$9*24)/((($J$8-$K45)/12)*(24-J45)*'Product Data'!$P$23)</f>
        <v>#N/A</v>
      </c>
      <c r="N45" s="1927">
        <f t="shared" si="7"/>
        <v>0</v>
      </c>
      <c r="O45" s="2392">
        <v>1.04000000000001E-2</v>
      </c>
      <c r="P45" s="1929" t="e">
        <f>($O$9*24)/((($N$8-$O45)/12)*(24-N45)*'Product Data'!$P$23)</f>
        <v>#N/A</v>
      </c>
    </row>
    <row r="46" spans="2:23" x14ac:dyDescent="0.25">
      <c r="B46" s="1927">
        <f t="shared" si="4"/>
        <v>0</v>
      </c>
      <c r="C46" s="1928">
        <v>1.0300000000000101E-2</v>
      </c>
      <c r="D46" s="1931" t="e">
        <f>($C$9*24)/((($B$8-$C46)/12)*(24-B46)*'Product Data'!$P$23)</f>
        <v>#N/A</v>
      </c>
      <c r="F46" s="1927">
        <f t="shared" si="5"/>
        <v>0</v>
      </c>
      <c r="G46" s="1928">
        <v>1.0300000000000101E-2</v>
      </c>
      <c r="H46" s="1931" t="e">
        <f>($G$9*24)/((($F$8-$G46)/12)*(24-F46)*'Product Data'!$P$23)</f>
        <v>#N/A</v>
      </c>
      <c r="J46" s="1927">
        <f t="shared" si="6"/>
        <v>0</v>
      </c>
      <c r="K46" s="1928">
        <v>1.0300000000000101E-2</v>
      </c>
      <c r="L46" s="1931" t="e">
        <f>($K$9*24)/((($J$8-$K46)/12)*(24-J46)*'Product Data'!$P$23)</f>
        <v>#N/A</v>
      </c>
      <c r="N46" s="1927">
        <f t="shared" si="7"/>
        <v>0</v>
      </c>
      <c r="O46" s="1928">
        <v>1.0300000000000101E-2</v>
      </c>
      <c r="P46" s="1929" t="e">
        <f>($O$9*24)/((($N$8-$O46)/12)*(24-N46)*'Product Data'!$P$23)</f>
        <v>#N/A</v>
      </c>
    </row>
    <row r="47" spans="2:23" x14ac:dyDescent="0.25">
      <c r="B47" s="1927">
        <f t="shared" si="4"/>
        <v>0</v>
      </c>
      <c r="C47" s="1928">
        <v>1.02000000000001E-2</v>
      </c>
      <c r="D47" s="1931" t="e">
        <f>($C$9*24)/((($B$8-$C47)/12)*(24-B47)*'Product Data'!$P$23)</f>
        <v>#N/A</v>
      </c>
      <c r="F47" s="1927">
        <f t="shared" si="5"/>
        <v>0</v>
      </c>
      <c r="G47" s="1928">
        <v>1.02000000000001E-2</v>
      </c>
      <c r="H47" s="1931" t="e">
        <f>($G$9*24)/((($F$8-$G47)/12)*(24-F47)*'Product Data'!$P$23)</f>
        <v>#N/A</v>
      </c>
      <c r="J47" s="1927">
        <f t="shared" si="6"/>
        <v>0</v>
      </c>
      <c r="K47" s="1928">
        <v>1.02000000000001E-2</v>
      </c>
      <c r="L47" s="1931" t="e">
        <f>($K$9*24)/((($J$8-$K47)/12)*(24-J47)*'Product Data'!$P$23)</f>
        <v>#N/A</v>
      </c>
      <c r="N47" s="1927">
        <f t="shared" si="7"/>
        <v>0</v>
      </c>
      <c r="O47" s="1928">
        <v>1.02000000000001E-2</v>
      </c>
      <c r="P47" s="1929" t="e">
        <f>($O$9*24)/((($N$8-$O47)/12)*(24-N47)*'Product Data'!$P$23)</f>
        <v>#N/A</v>
      </c>
    </row>
    <row r="48" spans="2:23" x14ac:dyDescent="0.25">
      <c r="B48" s="1927">
        <f t="shared" si="4"/>
        <v>0</v>
      </c>
      <c r="C48" s="1928">
        <v>1.01000000000001E-2</v>
      </c>
      <c r="D48" s="1931" t="e">
        <f>($C$9*24)/((($B$8-$C48)/12)*(24-B48)*'Product Data'!$P$23)</f>
        <v>#N/A</v>
      </c>
      <c r="F48" s="1927">
        <f t="shared" si="5"/>
        <v>0</v>
      </c>
      <c r="G48" s="1928">
        <v>1.01000000000001E-2</v>
      </c>
      <c r="H48" s="1931" t="e">
        <f>($G$9*24)/((($F$8-$G48)/12)*(24-F48)*'Product Data'!$P$23)</f>
        <v>#N/A</v>
      </c>
      <c r="J48" s="1927">
        <f t="shared" si="6"/>
        <v>0</v>
      </c>
      <c r="K48" s="1928">
        <v>1.01000000000001E-2</v>
      </c>
      <c r="L48" s="1931" t="e">
        <f>($K$9*24)/((($J$8-$K48)/12)*(24-J48)*'Product Data'!$P$23)</f>
        <v>#N/A</v>
      </c>
      <c r="N48" s="1927">
        <f t="shared" si="7"/>
        <v>0</v>
      </c>
      <c r="O48" s="2392">
        <v>1.01000000000001E-2</v>
      </c>
      <c r="P48" s="1929" t="e">
        <f>($O$9*24)/((($N$8-$O48)/12)*(24-N48)*'Product Data'!$P$23)</f>
        <v>#N/A</v>
      </c>
    </row>
    <row r="49" spans="2:16" x14ac:dyDescent="0.25">
      <c r="B49" s="1927">
        <f t="shared" si="4"/>
        <v>0</v>
      </c>
      <c r="C49" s="1928">
        <v>1.0000000000000101E-2</v>
      </c>
      <c r="D49" s="1931" t="e">
        <f>($C$9*24)/((($B$8-$C49)/12)*(24-B49)*'Product Data'!$P$23)</f>
        <v>#N/A</v>
      </c>
      <c r="F49" s="1927">
        <f t="shared" si="5"/>
        <v>0</v>
      </c>
      <c r="G49" s="1928">
        <v>1.0000000000000101E-2</v>
      </c>
      <c r="H49" s="1931" t="e">
        <f>($G$9*24)/((($F$8-$G49)/12)*(24-F49)*'Product Data'!$P$23)</f>
        <v>#N/A</v>
      </c>
      <c r="J49" s="1927">
        <f t="shared" si="6"/>
        <v>0</v>
      </c>
      <c r="K49" s="1928">
        <v>1.0000000000000101E-2</v>
      </c>
      <c r="L49" s="1931" t="e">
        <f>($K$9*24)/((($J$8-$K49)/12)*(24-J49)*'Product Data'!$P$23)</f>
        <v>#N/A</v>
      </c>
      <c r="N49" s="1927">
        <f t="shared" si="7"/>
        <v>0</v>
      </c>
      <c r="O49" s="1928">
        <v>1.0000000000000101E-2</v>
      </c>
      <c r="P49" s="1929" t="e">
        <f>($O$9*24)/((($N$8-$O49)/12)*(24-N49)*'Product Data'!$P$23)</f>
        <v>#N/A</v>
      </c>
    </row>
    <row r="50" spans="2:16" x14ac:dyDescent="0.25">
      <c r="B50" s="1927">
        <f t="shared" si="4"/>
        <v>0</v>
      </c>
      <c r="C50" s="1928">
        <v>9.9000000000000997E-3</v>
      </c>
      <c r="D50" s="1931" t="e">
        <f>($C$9*24)/((($B$8-$C50)/12)*(24-B50)*'Product Data'!$P$23)</f>
        <v>#N/A</v>
      </c>
      <c r="F50" s="1927">
        <f t="shared" si="5"/>
        <v>0</v>
      </c>
      <c r="G50" s="1928">
        <v>9.9000000000000997E-3</v>
      </c>
      <c r="H50" s="1931" t="e">
        <f>($G$9*24)/((($F$8-$G50)/12)*(24-F50)*'Product Data'!$P$23)</f>
        <v>#N/A</v>
      </c>
      <c r="J50" s="1927">
        <f t="shared" si="6"/>
        <v>0</v>
      </c>
      <c r="K50" s="1928">
        <v>9.9000000000000997E-3</v>
      </c>
      <c r="L50" s="1931" t="e">
        <f>($K$9*24)/((($J$8-$K50)/12)*(24-J50)*'Product Data'!$P$23)</f>
        <v>#N/A</v>
      </c>
      <c r="N50" s="1927">
        <f t="shared" si="7"/>
        <v>0</v>
      </c>
      <c r="O50" s="1928">
        <v>9.9000000000000997E-3</v>
      </c>
      <c r="P50" s="1929" t="e">
        <f>($O$9*24)/((($N$8-$O50)/12)*(24-N50)*'Product Data'!$P$23)</f>
        <v>#N/A</v>
      </c>
    </row>
    <row r="51" spans="2:16" x14ac:dyDescent="0.25">
      <c r="B51" s="1927">
        <f t="shared" si="4"/>
        <v>0</v>
      </c>
      <c r="C51" s="1928">
        <v>9.8000000000001003E-3</v>
      </c>
      <c r="D51" s="1931" t="e">
        <f>($C$9*24)/((($B$8-$C51)/12)*(24-B51)*'Product Data'!$P$23)</f>
        <v>#N/A</v>
      </c>
      <c r="F51" s="1927">
        <f t="shared" si="5"/>
        <v>0</v>
      </c>
      <c r="G51" s="1928">
        <v>9.8000000000001003E-3</v>
      </c>
      <c r="H51" s="1931" t="e">
        <f>($G$9*24)/((($F$8-$G51)/12)*(24-F51)*'Product Data'!$P$23)</f>
        <v>#N/A</v>
      </c>
      <c r="J51" s="1927">
        <f t="shared" si="6"/>
        <v>0</v>
      </c>
      <c r="K51" s="1928">
        <v>9.8000000000001003E-3</v>
      </c>
      <c r="L51" s="1931" t="e">
        <f>($K$9*24)/((($J$8-$K51)/12)*(24-J51)*'Product Data'!$P$23)</f>
        <v>#N/A</v>
      </c>
      <c r="N51" s="1927">
        <f t="shared" si="7"/>
        <v>0</v>
      </c>
      <c r="O51" s="2392">
        <v>9.8000000000001003E-3</v>
      </c>
      <c r="P51" s="1929" t="e">
        <f>($O$9*24)/((($N$8-$O51)/12)*(24-N51)*'Product Data'!$P$23)</f>
        <v>#N/A</v>
      </c>
    </row>
    <row r="52" spans="2:16" x14ac:dyDescent="0.25">
      <c r="B52" s="1927">
        <f t="shared" si="4"/>
        <v>0</v>
      </c>
      <c r="C52" s="1928">
        <v>9.7000000000000992E-3</v>
      </c>
      <c r="D52" s="1931" t="e">
        <f>($C$9*24)/((($B$8-$C52)/12)*(24-B52)*'Product Data'!$P$23)</f>
        <v>#N/A</v>
      </c>
      <c r="F52" s="1927">
        <f t="shared" si="5"/>
        <v>0</v>
      </c>
      <c r="G52" s="1928">
        <v>9.7000000000000992E-3</v>
      </c>
      <c r="H52" s="1931" t="e">
        <f>($G$9*24)/((($F$8-$G52)/12)*(24-F52)*'Product Data'!$P$23)</f>
        <v>#N/A</v>
      </c>
      <c r="J52" s="1927">
        <f t="shared" si="6"/>
        <v>0</v>
      </c>
      <c r="K52" s="1928">
        <v>9.7000000000000992E-3</v>
      </c>
      <c r="L52" s="1931" t="e">
        <f>($K$9*24)/((($J$8-$K52)/12)*(24-J52)*'Product Data'!$P$23)</f>
        <v>#N/A</v>
      </c>
      <c r="N52" s="1927">
        <f t="shared" si="7"/>
        <v>0</v>
      </c>
      <c r="O52" s="1928">
        <v>9.7000000000000992E-3</v>
      </c>
      <c r="P52" s="1929" t="e">
        <f>($O$9*24)/((($N$8-$O52)/12)*(24-N52)*'Product Data'!$P$23)</f>
        <v>#N/A</v>
      </c>
    </row>
    <row r="53" spans="2:16" x14ac:dyDescent="0.25">
      <c r="B53" s="1927">
        <f t="shared" si="4"/>
        <v>0</v>
      </c>
      <c r="C53" s="1928">
        <v>9.6000000000000998E-3</v>
      </c>
      <c r="D53" s="1931" t="e">
        <f>($C$9*24)/((($B$8-$C53)/12)*(24-B53)*'Product Data'!$P$23)</f>
        <v>#N/A</v>
      </c>
      <c r="F53" s="1927">
        <f t="shared" si="5"/>
        <v>0</v>
      </c>
      <c r="G53" s="1928">
        <v>9.6000000000000998E-3</v>
      </c>
      <c r="H53" s="1931" t="e">
        <f>($G$9*24)/((($F$8-$G53)/12)*(24-F53)*'Product Data'!$P$23)</f>
        <v>#N/A</v>
      </c>
      <c r="J53" s="1927">
        <f t="shared" si="6"/>
        <v>0</v>
      </c>
      <c r="K53" s="1928">
        <v>9.6000000000000998E-3</v>
      </c>
      <c r="L53" s="1931" t="e">
        <f>($K$9*24)/((($J$8-$K53)/12)*(24-J53)*'Product Data'!$P$23)</f>
        <v>#N/A</v>
      </c>
      <c r="N53" s="1927">
        <f t="shared" si="7"/>
        <v>0</v>
      </c>
      <c r="O53" s="1928">
        <v>9.6000000000000998E-3</v>
      </c>
      <c r="P53" s="1929" t="e">
        <f>($O$9*24)/((($N$8-$O53)/12)*(24-N53)*'Product Data'!$P$23)</f>
        <v>#N/A</v>
      </c>
    </row>
    <row r="54" spans="2:16" x14ac:dyDescent="0.25">
      <c r="B54" s="1927">
        <f t="shared" si="4"/>
        <v>0</v>
      </c>
      <c r="C54" s="1928">
        <v>9.5000000000001004E-3</v>
      </c>
      <c r="D54" s="1931" t="e">
        <f>($C$9*24)/((($B$8-$C54)/12)*(24-B54)*'Product Data'!$P$23)</f>
        <v>#N/A</v>
      </c>
      <c r="F54" s="1927">
        <f t="shared" si="5"/>
        <v>0</v>
      </c>
      <c r="G54" s="1928">
        <v>9.5000000000001004E-3</v>
      </c>
      <c r="H54" s="1931" t="e">
        <f>($G$9*24)/((($F$8-$G54)/12)*(24-F54)*'Product Data'!$P$23)</f>
        <v>#N/A</v>
      </c>
      <c r="J54" s="1927">
        <f t="shared" si="6"/>
        <v>0</v>
      </c>
      <c r="K54" s="1928">
        <v>9.5000000000001004E-3</v>
      </c>
      <c r="L54" s="1931" t="e">
        <f>($K$9*24)/((($J$8-$K54)/12)*(24-J54)*'Product Data'!$P$23)</f>
        <v>#N/A</v>
      </c>
      <c r="N54" s="1927">
        <f t="shared" si="7"/>
        <v>0</v>
      </c>
      <c r="O54" s="2392">
        <v>9.5000000000001004E-3</v>
      </c>
      <c r="P54" s="1929" t="e">
        <f>($O$9*24)/((($N$8-$O54)/12)*(24-N54)*'Product Data'!$P$23)</f>
        <v>#N/A</v>
      </c>
    </row>
    <row r="55" spans="2:16" x14ac:dyDescent="0.25">
      <c r="B55" s="1927">
        <f t="shared" si="4"/>
        <v>0</v>
      </c>
      <c r="C55" s="1928">
        <v>9.4000000000000992E-3</v>
      </c>
      <c r="D55" s="1931" t="e">
        <f>($C$9*24)/((($B$8-$C55)/12)*(24-B55)*'Product Data'!$P$23)</f>
        <v>#N/A</v>
      </c>
      <c r="F55" s="1927">
        <f t="shared" si="5"/>
        <v>0</v>
      </c>
      <c r="G55" s="1928">
        <v>9.4000000000000992E-3</v>
      </c>
      <c r="H55" s="1931" t="e">
        <f>($G$9*24)/((($F$8-$G55)/12)*(24-F55)*'Product Data'!$P$23)</f>
        <v>#N/A</v>
      </c>
      <c r="J55" s="1927">
        <f t="shared" si="6"/>
        <v>0</v>
      </c>
      <c r="K55" s="1928">
        <v>9.4000000000000992E-3</v>
      </c>
      <c r="L55" s="1931" t="e">
        <f>($K$9*24)/((($J$8-$K55)/12)*(24-J55)*'Product Data'!$P$23)</f>
        <v>#N/A</v>
      </c>
      <c r="N55" s="1927">
        <f t="shared" si="7"/>
        <v>0</v>
      </c>
      <c r="O55" s="1928">
        <v>9.4000000000000992E-3</v>
      </c>
      <c r="P55" s="1929" t="e">
        <f>($O$9*24)/((($N$8-$O55)/12)*(24-N55)*'Product Data'!$P$23)</f>
        <v>#N/A</v>
      </c>
    </row>
    <row r="56" spans="2:16" x14ac:dyDescent="0.25">
      <c r="B56" s="1927">
        <f t="shared" si="4"/>
        <v>0</v>
      </c>
      <c r="C56" s="1928">
        <v>9.3000000000000999E-3</v>
      </c>
      <c r="D56" s="1931" t="e">
        <f>($C$9*24)/((($B$8-$C56)/12)*(24-B56)*'Product Data'!$P$23)</f>
        <v>#N/A</v>
      </c>
      <c r="F56" s="1927">
        <f t="shared" si="5"/>
        <v>0</v>
      </c>
      <c r="G56" s="1928">
        <v>9.3000000000000999E-3</v>
      </c>
      <c r="H56" s="1931" t="e">
        <f>($G$9*24)/((($F$8-$G56)/12)*(24-F56)*'Product Data'!$P$23)</f>
        <v>#N/A</v>
      </c>
      <c r="J56" s="1927">
        <f t="shared" si="6"/>
        <v>0</v>
      </c>
      <c r="K56" s="1928">
        <v>9.3000000000000999E-3</v>
      </c>
      <c r="L56" s="1931" t="e">
        <f>($K$9*24)/((($J$8-$K56)/12)*(24-J56)*'Product Data'!$P$23)</f>
        <v>#N/A</v>
      </c>
      <c r="N56" s="1927">
        <f t="shared" si="7"/>
        <v>0</v>
      </c>
      <c r="O56" s="1928">
        <v>9.3000000000000999E-3</v>
      </c>
      <c r="P56" s="1929" t="e">
        <f>($O$9*24)/((($N$8-$O56)/12)*(24-N56)*'Product Data'!$P$23)</f>
        <v>#N/A</v>
      </c>
    </row>
    <row r="57" spans="2:16" x14ac:dyDescent="0.25">
      <c r="B57" s="1927">
        <f t="shared" si="4"/>
        <v>0</v>
      </c>
      <c r="C57" s="1928">
        <v>9.2000000000001005E-3</v>
      </c>
      <c r="D57" s="1931" t="e">
        <f>($C$9*24)/((($B$8-$C57)/12)*(24-B57)*'Product Data'!$P$23)</f>
        <v>#N/A</v>
      </c>
      <c r="F57" s="1927">
        <f t="shared" si="5"/>
        <v>0</v>
      </c>
      <c r="G57" s="1928">
        <v>9.2000000000001005E-3</v>
      </c>
      <c r="H57" s="1931" t="e">
        <f>($G$9*24)/((($F$8-$G57)/12)*(24-F57)*'Product Data'!$P$23)</f>
        <v>#N/A</v>
      </c>
      <c r="J57" s="1927">
        <f t="shared" si="6"/>
        <v>0</v>
      </c>
      <c r="K57" s="1928">
        <v>9.2000000000001005E-3</v>
      </c>
      <c r="L57" s="1931" t="e">
        <f>($K$9*24)/((($J$8-$K57)/12)*(24-J57)*'Product Data'!$P$23)</f>
        <v>#N/A</v>
      </c>
      <c r="N57" s="1927">
        <f t="shared" si="7"/>
        <v>0</v>
      </c>
      <c r="O57" s="2392">
        <v>9.2000000000001005E-3</v>
      </c>
      <c r="P57" s="1929" t="e">
        <f>($O$9*24)/((($N$8-$O57)/12)*(24-N57)*'Product Data'!$P$23)</f>
        <v>#N/A</v>
      </c>
    </row>
    <row r="58" spans="2:16" x14ac:dyDescent="0.25">
      <c r="B58" s="1927">
        <f t="shared" si="4"/>
        <v>0</v>
      </c>
      <c r="C58" s="1928">
        <v>9.1000000000000993E-3</v>
      </c>
      <c r="D58" s="1931" t="e">
        <f>($C$9*24)/((($B$8-$C58)/12)*(24-B58)*'Product Data'!$P$23)</f>
        <v>#N/A</v>
      </c>
      <c r="F58" s="1927">
        <f t="shared" si="5"/>
        <v>0</v>
      </c>
      <c r="G58" s="1928">
        <v>9.1000000000000993E-3</v>
      </c>
      <c r="H58" s="1931" t="e">
        <f>($G$9*24)/((($F$8-$G58)/12)*(24-F58)*'Product Data'!$P$23)</f>
        <v>#N/A</v>
      </c>
      <c r="J58" s="1927">
        <f t="shared" si="6"/>
        <v>0</v>
      </c>
      <c r="K58" s="1928">
        <v>9.1000000000000993E-3</v>
      </c>
      <c r="L58" s="1931" t="e">
        <f>($K$9*24)/((($J$8-$K58)/12)*(24-J58)*'Product Data'!$P$23)</f>
        <v>#N/A</v>
      </c>
      <c r="N58" s="1927">
        <f t="shared" si="7"/>
        <v>0</v>
      </c>
      <c r="O58" s="1928">
        <v>9.1000000000000993E-3</v>
      </c>
      <c r="P58" s="1929" t="e">
        <f>($O$9*24)/((($N$8-$O58)/12)*(24-N58)*'Product Data'!$P$23)</f>
        <v>#N/A</v>
      </c>
    </row>
    <row r="59" spans="2:16" x14ac:dyDescent="0.25">
      <c r="B59" s="1927">
        <f t="shared" si="4"/>
        <v>0</v>
      </c>
      <c r="C59" s="1928">
        <v>9.0000000000000999E-3</v>
      </c>
      <c r="D59" s="1931" t="e">
        <f>($C$9*24)/((($B$8-$C59)/12)*(24-B59)*'Product Data'!$P$23)</f>
        <v>#N/A</v>
      </c>
      <c r="F59" s="1927">
        <f t="shared" si="5"/>
        <v>0</v>
      </c>
      <c r="G59" s="1928">
        <v>9.0000000000000999E-3</v>
      </c>
      <c r="H59" s="1931" t="e">
        <f>($G$9*24)/((($F$8-$G59)/12)*(24-F59)*'Product Data'!$P$23)</f>
        <v>#N/A</v>
      </c>
      <c r="J59" s="1927">
        <f t="shared" si="6"/>
        <v>0</v>
      </c>
      <c r="K59" s="1928">
        <v>9.0000000000000999E-3</v>
      </c>
      <c r="L59" s="1931" t="e">
        <f>($K$9*24)/((($J$8-$K59)/12)*(24-J59)*'Product Data'!$P$23)</f>
        <v>#N/A</v>
      </c>
      <c r="N59" s="1927">
        <f t="shared" si="7"/>
        <v>0</v>
      </c>
      <c r="O59" s="1928">
        <v>9.0000000000000999E-3</v>
      </c>
      <c r="P59" s="1929" t="e">
        <f>($O$9*24)/((($N$8-$O59)/12)*(24-N59)*'Product Data'!$P$23)</f>
        <v>#N/A</v>
      </c>
    </row>
    <row r="60" spans="2:16" x14ac:dyDescent="0.25">
      <c r="B60" s="1927">
        <f t="shared" si="4"/>
        <v>0</v>
      </c>
      <c r="C60" s="1928">
        <v>8.9000000000001005E-3</v>
      </c>
      <c r="D60" s="1931" t="e">
        <f>($C$9*24)/((($B$8-$C60)/12)*(24-B60)*'Product Data'!$P$23)</f>
        <v>#N/A</v>
      </c>
      <c r="F60" s="1927">
        <f t="shared" si="5"/>
        <v>0</v>
      </c>
      <c r="G60" s="1928">
        <v>8.9000000000001005E-3</v>
      </c>
      <c r="H60" s="1931" t="e">
        <f>($G$9*24)/((($F$8-$G60)/12)*(24-F60)*'Product Data'!$P$23)</f>
        <v>#N/A</v>
      </c>
      <c r="J60" s="1927">
        <f t="shared" si="6"/>
        <v>0</v>
      </c>
      <c r="K60" s="1928">
        <v>8.9000000000001005E-3</v>
      </c>
      <c r="L60" s="1931" t="e">
        <f>($K$9*24)/((($J$8-$K60)/12)*(24-J60)*'Product Data'!$P$23)</f>
        <v>#N/A</v>
      </c>
      <c r="N60" s="1927">
        <f t="shared" si="7"/>
        <v>0</v>
      </c>
      <c r="O60" s="2392">
        <v>8.9000000000001005E-3</v>
      </c>
      <c r="P60" s="1929" t="e">
        <f>($O$9*24)/((($N$8-$O60)/12)*(24-N60)*'Product Data'!$P$23)</f>
        <v>#N/A</v>
      </c>
    </row>
    <row r="61" spans="2:16" x14ac:dyDescent="0.25">
      <c r="B61" s="1927">
        <f t="shared" si="4"/>
        <v>0</v>
      </c>
      <c r="C61" s="1928">
        <v>8.8000000000000994E-3</v>
      </c>
      <c r="D61" s="1931" t="e">
        <f>($C$9*24)/((($B$8-$C61)/12)*(24-B61)*'Product Data'!$P$23)</f>
        <v>#N/A</v>
      </c>
      <c r="F61" s="1927">
        <f t="shared" si="5"/>
        <v>0</v>
      </c>
      <c r="G61" s="1928">
        <v>8.8000000000000994E-3</v>
      </c>
      <c r="H61" s="1931" t="e">
        <f>($G$9*24)/((($F$8-$G61)/12)*(24-F61)*'Product Data'!$P$23)</f>
        <v>#N/A</v>
      </c>
      <c r="J61" s="1927">
        <f t="shared" si="6"/>
        <v>0</v>
      </c>
      <c r="K61" s="1928">
        <v>8.8000000000000994E-3</v>
      </c>
      <c r="L61" s="1931" t="e">
        <f>($K$9*24)/((($J$8-$K61)/12)*(24-J61)*'Product Data'!$P$23)</f>
        <v>#N/A</v>
      </c>
      <c r="N61" s="1927">
        <f t="shared" si="7"/>
        <v>0</v>
      </c>
      <c r="O61" s="1928">
        <v>8.8000000000000994E-3</v>
      </c>
      <c r="P61" s="1929" t="e">
        <f>($O$9*24)/((($N$8-$O61)/12)*(24-N61)*'Product Data'!$P$23)</f>
        <v>#N/A</v>
      </c>
    </row>
    <row r="62" spans="2:16" x14ac:dyDescent="0.25">
      <c r="B62" s="1927">
        <f t="shared" si="4"/>
        <v>0</v>
      </c>
      <c r="C62" s="1928">
        <v>8.7000000000001E-3</v>
      </c>
      <c r="D62" s="1931" t="e">
        <f>($C$9*24)/((($B$8-$C62)/12)*(24-B62)*'Product Data'!$P$23)</f>
        <v>#N/A</v>
      </c>
      <c r="F62" s="1927">
        <f t="shared" si="5"/>
        <v>0</v>
      </c>
      <c r="G62" s="1928">
        <v>8.7000000000001E-3</v>
      </c>
      <c r="H62" s="1931" t="e">
        <f>($G$9*24)/((($F$8-$G62)/12)*(24-F62)*'Product Data'!$P$23)</f>
        <v>#N/A</v>
      </c>
      <c r="J62" s="1927">
        <f t="shared" si="6"/>
        <v>0</v>
      </c>
      <c r="K62" s="1928">
        <v>8.7000000000001E-3</v>
      </c>
      <c r="L62" s="1931" t="e">
        <f>($K$9*24)/((($J$8-$K62)/12)*(24-J62)*'Product Data'!$P$23)</f>
        <v>#N/A</v>
      </c>
      <c r="N62" s="1927">
        <f t="shared" si="7"/>
        <v>0</v>
      </c>
      <c r="O62" s="1928">
        <v>8.7000000000001E-3</v>
      </c>
      <c r="P62" s="1929" t="e">
        <f>($O$9*24)/((($N$8-$O62)/12)*(24-N62)*'Product Data'!$P$23)</f>
        <v>#N/A</v>
      </c>
    </row>
    <row r="63" spans="2:16" x14ac:dyDescent="0.25">
      <c r="B63" s="1927">
        <f t="shared" si="4"/>
        <v>0</v>
      </c>
      <c r="C63" s="1928">
        <v>8.6000000000001006E-3</v>
      </c>
      <c r="D63" s="1931" t="e">
        <f>($C$9*24)/((($B$8-$C63)/12)*(24-B63)*'Product Data'!$P$23)</f>
        <v>#N/A</v>
      </c>
      <c r="F63" s="1927">
        <f t="shared" si="5"/>
        <v>0</v>
      </c>
      <c r="G63" s="1928">
        <v>8.6000000000001006E-3</v>
      </c>
      <c r="H63" s="1931" t="e">
        <f>($G$9*24)/((($F$8-$G63)/12)*(24-F63)*'Product Data'!$P$23)</f>
        <v>#N/A</v>
      </c>
      <c r="J63" s="1927">
        <f t="shared" si="6"/>
        <v>0</v>
      </c>
      <c r="K63" s="1928">
        <v>8.6000000000001006E-3</v>
      </c>
      <c r="L63" s="1931" t="e">
        <f>($K$9*24)/((($J$8-$K63)/12)*(24-J63)*'Product Data'!$P$23)</f>
        <v>#N/A</v>
      </c>
      <c r="N63" s="1927">
        <f t="shared" si="7"/>
        <v>0</v>
      </c>
      <c r="O63" s="2392">
        <v>8.6000000000001006E-3</v>
      </c>
      <c r="P63" s="1929" t="e">
        <f>($O$9*24)/((($N$8-$O63)/12)*(24-N63)*'Product Data'!$P$23)</f>
        <v>#N/A</v>
      </c>
    </row>
    <row r="64" spans="2:16" x14ac:dyDescent="0.25">
      <c r="B64" s="1927">
        <f t="shared" si="4"/>
        <v>0</v>
      </c>
      <c r="C64" s="1928">
        <v>8.5000000000000995E-3</v>
      </c>
      <c r="D64" s="1931" t="e">
        <f>($C$9*24)/((($B$8-$C64)/12)*(24-B64)*'Product Data'!$P$23)</f>
        <v>#N/A</v>
      </c>
      <c r="F64" s="1927">
        <f t="shared" si="5"/>
        <v>0</v>
      </c>
      <c r="G64" s="1928">
        <v>8.5000000000000995E-3</v>
      </c>
      <c r="H64" s="1931" t="e">
        <f>($G$9*24)/((($F$8-$G64)/12)*(24-F64)*'Product Data'!$P$23)</f>
        <v>#N/A</v>
      </c>
      <c r="J64" s="1927">
        <f t="shared" si="6"/>
        <v>0</v>
      </c>
      <c r="K64" s="1928">
        <v>8.5000000000000995E-3</v>
      </c>
      <c r="L64" s="1931" t="e">
        <f>($K$9*24)/((($J$8-$K64)/12)*(24-J64)*'Product Data'!$P$23)</f>
        <v>#N/A</v>
      </c>
      <c r="N64" s="1927">
        <f t="shared" si="7"/>
        <v>0</v>
      </c>
      <c r="O64" s="1928">
        <v>8.5000000000000995E-3</v>
      </c>
      <c r="P64" s="1929" t="e">
        <f>($O$9*24)/((($N$8-$O64)/12)*(24-N64)*'Product Data'!$P$23)</f>
        <v>#N/A</v>
      </c>
    </row>
    <row r="65" spans="2:16" x14ac:dyDescent="0.25">
      <c r="B65" s="1927">
        <f t="shared" si="4"/>
        <v>0</v>
      </c>
      <c r="C65" s="1928">
        <v>8.4000000000001001E-3</v>
      </c>
      <c r="D65" s="1931" t="e">
        <f>($C$9*24)/((($B$8-$C65)/12)*(24-B65)*'Product Data'!$P$23)</f>
        <v>#N/A</v>
      </c>
      <c r="F65" s="1927">
        <f t="shared" si="5"/>
        <v>0</v>
      </c>
      <c r="G65" s="1928">
        <v>8.4000000000001001E-3</v>
      </c>
      <c r="H65" s="1931" t="e">
        <f>($G$9*24)/((($F$8-$G65)/12)*(24-F65)*'Product Data'!$P$23)</f>
        <v>#N/A</v>
      </c>
      <c r="J65" s="1927">
        <f t="shared" si="6"/>
        <v>0</v>
      </c>
      <c r="K65" s="1928">
        <v>8.4000000000001001E-3</v>
      </c>
      <c r="L65" s="1931" t="e">
        <f>($K$9*24)/((($J$8-$K65)/12)*(24-J65)*'Product Data'!$P$23)</f>
        <v>#N/A</v>
      </c>
      <c r="N65" s="1927">
        <f t="shared" si="7"/>
        <v>0</v>
      </c>
      <c r="O65" s="1928">
        <v>8.4000000000001001E-3</v>
      </c>
      <c r="P65" s="1929" t="e">
        <f>($O$9*24)/((($N$8-$O65)/12)*(24-N65)*'Product Data'!$P$23)</f>
        <v>#N/A</v>
      </c>
    </row>
    <row r="66" spans="2:16" x14ac:dyDescent="0.25">
      <c r="B66" s="1927">
        <f t="shared" si="4"/>
        <v>0</v>
      </c>
      <c r="C66" s="1928">
        <v>8.3000000000001007E-3</v>
      </c>
      <c r="D66" s="1931" t="e">
        <f>($C$9*24)/((($B$8-$C66)/12)*(24-B66)*'Product Data'!$P$23)</f>
        <v>#N/A</v>
      </c>
      <c r="F66" s="1927">
        <f t="shared" si="5"/>
        <v>0</v>
      </c>
      <c r="G66" s="1928">
        <v>8.3000000000001007E-3</v>
      </c>
      <c r="H66" s="1931" t="e">
        <f>($G$9*24)/((($F$8-$G66)/12)*(24-F66)*'Product Data'!$P$23)</f>
        <v>#N/A</v>
      </c>
      <c r="J66" s="1927">
        <f t="shared" si="6"/>
        <v>0</v>
      </c>
      <c r="K66" s="1928">
        <v>8.3000000000001007E-3</v>
      </c>
      <c r="L66" s="1931" t="e">
        <f>($K$9*24)/((($J$8-$K66)/12)*(24-J66)*'Product Data'!$P$23)</f>
        <v>#N/A</v>
      </c>
      <c r="N66" s="1927">
        <f t="shared" si="7"/>
        <v>0</v>
      </c>
      <c r="O66" s="2392">
        <v>8.3000000000001007E-3</v>
      </c>
      <c r="P66" s="1929" t="e">
        <f>($O$9*24)/((($N$8-$O66)/12)*(24-N66)*'Product Data'!$P$23)</f>
        <v>#N/A</v>
      </c>
    </row>
    <row r="67" spans="2:16" x14ac:dyDescent="0.25">
      <c r="B67" s="1927">
        <f t="shared" si="4"/>
        <v>0</v>
      </c>
      <c r="C67" s="1928">
        <v>8.2000000000000996E-3</v>
      </c>
      <c r="D67" s="1931" t="e">
        <f>($C$9*24)/((($B$8-$C67)/12)*(24-B67)*'Product Data'!$P$23)</f>
        <v>#N/A</v>
      </c>
      <c r="F67" s="1927">
        <f t="shared" si="5"/>
        <v>0</v>
      </c>
      <c r="G67" s="1928">
        <v>8.2000000000000996E-3</v>
      </c>
      <c r="H67" s="1931" t="e">
        <f>($G$9*24)/((($F$8-$G67)/12)*(24-F67)*'Product Data'!$P$23)</f>
        <v>#N/A</v>
      </c>
      <c r="J67" s="1927">
        <f t="shared" si="6"/>
        <v>0</v>
      </c>
      <c r="K67" s="1928">
        <v>8.2000000000000996E-3</v>
      </c>
      <c r="L67" s="1931" t="e">
        <f>($K$9*24)/((($J$8-$K67)/12)*(24-J67)*'Product Data'!$P$23)</f>
        <v>#N/A</v>
      </c>
      <c r="N67" s="1927">
        <f t="shared" si="7"/>
        <v>0</v>
      </c>
      <c r="O67" s="1928">
        <v>8.2000000000000996E-3</v>
      </c>
      <c r="P67" s="1929" t="e">
        <f>($O$9*24)/((($N$8-$O67)/12)*(24-N67)*'Product Data'!$P$23)</f>
        <v>#N/A</v>
      </c>
    </row>
    <row r="68" spans="2:16" x14ac:dyDescent="0.25">
      <c r="B68" s="1927">
        <f t="shared" si="4"/>
        <v>0</v>
      </c>
      <c r="C68" s="1928">
        <v>8.1000000000001002E-3</v>
      </c>
      <c r="D68" s="1931" t="e">
        <f>($C$9*24)/((($B$8-$C68)/12)*(24-B68)*'Product Data'!$P$23)</f>
        <v>#N/A</v>
      </c>
      <c r="F68" s="1927">
        <f t="shared" si="5"/>
        <v>0</v>
      </c>
      <c r="G68" s="1928">
        <v>8.1000000000001002E-3</v>
      </c>
      <c r="H68" s="1931" t="e">
        <f>($G$9*24)/((($F$8-$G68)/12)*(24-F68)*'Product Data'!$P$23)</f>
        <v>#N/A</v>
      </c>
      <c r="J68" s="1927">
        <f t="shared" si="6"/>
        <v>0</v>
      </c>
      <c r="K68" s="1928">
        <v>8.1000000000001002E-3</v>
      </c>
      <c r="L68" s="1931" t="e">
        <f>($K$9*24)/((($J$8-$K68)/12)*(24-J68)*'Product Data'!$P$23)</f>
        <v>#N/A</v>
      </c>
      <c r="N68" s="1927">
        <f t="shared" si="7"/>
        <v>0</v>
      </c>
      <c r="O68" s="1928">
        <v>8.1000000000001002E-3</v>
      </c>
      <c r="P68" s="1929" t="e">
        <f>($O$9*24)/((($N$8-$O68)/12)*(24-N68)*'Product Data'!$P$23)</f>
        <v>#N/A</v>
      </c>
    </row>
    <row r="69" spans="2:16" x14ac:dyDescent="0.25">
      <c r="B69" s="1927">
        <f t="shared" si="4"/>
        <v>0</v>
      </c>
      <c r="C69" s="1928">
        <v>8.0000000000001008E-3</v>
      </c>
      <c r="D69" s="1931" t="e">
        <f>($C$9*24)/((($B$8-$C69)/12)*(24-B69)*'Product Data'!$P$23)</f>
        <v>#N/A</v>
      </c>
      <c r="F69" s="1927">
        <f t="shared" si="5"/>
        <v>0</v>
      </c>
      <c r="G69" s="1928">
        <v>8.0000000000001008E-3</v>
      </c>
      <c r="H69" s="1931" t="e">
        <f>($G$9*24)/((($F$8-$G69)/12)*(24-F69)*'Product Data'!$P$23)</f>
        <v>#N/A</v>
      </c>
      <c r="J69" s="1927">
        <f t="shared" si="6"/>
        <v>0</v>
      </c>
      <c r="K69" s="1928">
        <v>8.0000000000001008E-3</v>
      </c>
      <c r="L69" s="1931" t="e">
        <f>($K$9*24)/((($J$8-$K69)/12)*(24-J69)*'Product Data'!$P$23)</f>
        <v>#N/A</v>
      </c>
      <c r="N69" s="1927">
        <f t="shared" si="7"/>
        <v>0</v>
      </c>
      <c r="O69" s="2392">
        <v>8.0000000000001008E-3</v>
      </c>
      <c r="P69" s="1929" t="e">
        <f>($O$9*24)/((($N$8-$O69)/12)*(24-N69)*'Product Data'!$P$23)</f>
        <v>#N/A</v>
      </c>
    </row>
    <row r="70" spans="2:16" x14ac:dyDescent="0.25">
      <c r="B70" s="1927">
        <f t="shared" si="4"/>
        <v>0</v>
      </c>
      <c r="C70" s="1928">
        <v>7.9000000000000997E-3</v>
      </c>
      <c r="D70" s="1931" t="e">
        <f>($C$9*24)/((($B$8-$C70)/12)*(24-B70)*'Product Data'!$P$23)</f>
        <v>#N/A</v>
      </c>
      <c r="F70" s="1927">
        <f t="shared" si="5"/>
        <v>0</v>
      </c>
      <c r="G70" s="1928">
        <v>7.9000000000000997E-3</v>
      </c>
      <c r="H70" s="1931" t="e">
        <f>($G$9*24)/((($F$8-$G70)/12)*(24-F70)*'Product Data'!$P$23)</f>
        <v>#N/A</v>
      </c>
      <c r="J70" s="1927">
        <f t="shared" si="6"/>
        <v>0</v>
      </c>
      <c r="K70" s="1928">
        <v>7.9000000000000997E-3</v>
      </c>
      <c r="L70" s="1931" t="e">
        <f>($K$9*24)/((($J$8-$K70)/12)*(24-J70)*'Product Data'!$P$23)</f>
        <v>#N/A</v>
      </c>
      <c r="N70" s="1927">
        <f t="shared" si="7"/>
        <v>0</v>
      </c>
      <c r="O70" s="1928">
        <v>7.9000000000000997E-3</v>
      </c>
      <c r="P70" s="1929" t="e">
        <f>($O$9*24)/((($N$8-$O70)/12)*(24-N70)*'Product Data'!$P$23)</f>
        <v>#N/A</v>
      </c>
    </row>
    <row r="71" spans="2:16" x14ac:dyDescent="0.25">
      <c r="B71" s="1927">
        <f t="shared" si="4"/>
        <v>0</v>
      </c>
      <c r="C71" s="1928">
        <v>7.8000000000001003E-3</v>
      </c>
      <c r="D71" s="1931" t="e">
        <f>($C$9*24)/((($B$8-$C71)/12)*(24-B71)*'Product Data'!$P$23)</f>
        <v>#N/A</v>
      </c>
      <c r="F71" s="1927">
        <f t="shared" si="5"/>
        <v>0</v>
      </c>
      <c r="G71" s="1928">
        <v>7.8000000000001003E-3</v>
      </c>
      <c r="H71" s="1931" t="e">
        <f>($G$9*24)/((($F$8-$G71)/12)*(24-F71)*'Product Data'!$P$23)</f>
        <v>#N/A</v>
      </c>
      <c r="J71" s="1927">
        <f t="shared" si="6"/>
        <v>0</v>
      </c>
      <c r="K71" s="1928">
        <v>7.8000000000001003E-3</v>
      </c>
      <c r="L71" s="1931" t="e">
        <f>($K$9*24)/((($J$8-$K71)/12)*(24-J71)*'Product Data'!$P$23)</f>
        <v>#N/A</v>
      </c>
      <c r="N71" s="1927">
        <f t="shared" si="7"/>
        <v>0</v>
      </c>
      <c r="O71" s="1928">
        <v>7.8000000000001003E-3</v>
      </c>
      <c r="P71" s="1929" t="e">
        <f>($O$9*24)/((($N$8-$O71)/12)*(24-N71)*'Product Data'!$P$23)</f>
        <v>#N/A</v>
      </c>
    </row>
    <row r="72" spans="2:16" x14ac:dyDescent="0.25">
      <c r="B72" s="1927">
        <f t="shared" si="4"/>
        <v>0</v>
      </c>
      <c r="C72" s="1928">
        <v>7.7000000000001E-3</v>
      </c>
      <c r="D72" s="1931" t="e">
        <f>($C$9*24)/((($B$8-$C72)/12)*(24-B72)*'Product Data'!$P$23)</f>
        <v>#N/A</v>
      </c>
      <c r="F72" s="1927">
        <f t="shared" si="5"/>
        <v>0</v>
      </c>
      <c r="G72" s="1928">
        <v>7.7000000000001E-3</v>
      </c>
      <c r="H72" s="1931" t="e">
        <f>($G$9*24)/((($F$8-$G72)/12)*(24-F72)*'Product Data'!$P$23)</f>
        <v>#N/A</v>
      </c>
      <c r="J72" s="1927">
        <f t="shared" si="6"/>
        <v>0</v>
      </c>
      <c r="K72" s="1928">
        <v>7.7000000000001E-3</v>
      </c>
      <c r="L72" s="1931" t="e">
        <f>($K$9*24)/((($J$8-$K72)/12)*(24-J72)*'Product Data'!$P$23)</f>
        <v>#N/A</v>
      </c>
      <c r="N72" s="1927">
        <f t="shared" si="7"/>
        <v>0</v>
      </c>
      <c r="O72" s="2392">
        <v>7.7000000000001E-3</v>
      </c>
      <c r="P72" s="1929" t="e">
        <f>($O$9*24)/((($N$8-$O72)/12)*(24-N72)*'Product Data'!$P$23)</f>
        <v>#N/A</v>
      </c>
    </row>
    <row r="73" spans="2:16" x14ac:dyDescent="0.25">
      <c r="B73" s="1927">
        <f t="shared" si="4"/>
        <v>0</v>
      </c>
      <c r="C73" s="1928">
        <v>7.6000000000000997E-3</v>
      </c>
      <c r="D73" s="1931" t="e">
        <f>($C$9*24)/((($B$8-$C73)/12)*(24-B73)*'Product Data'!$P$23)</f>
        <v>#N/A</v>
      </c>
      <c r="F73" s="1927">
        <f t="shared" si="5"/>
        <v>0</v>
      </c>
      <c r="G73" s="1928">
        <v>7.6000000000000997E-3</v>
      </c>
      <c r="H73" s="1931" t="e">
        <f>($G$9*24)/((($F$8-$G73)/12)*(24-F73)*'Product Data'!$P$23)</f>
        <v>#N/A</v>
      </c>
      <c r="J73" s="1927">
        <f t="shared" si="6"/>
        <v>0</v>
      </c>
      <c r="K73" s="1928">
        <v>7.6000000000000997E-3</v>
      </c>
      <c r="L73" s="1931" t="e">
        <f>($K$9*24)/((($J$8-$K73)/12)*(24-J73)*'Product Data'!$P$23)</f>
        <v>#N/A</v>
      </c>
      <c r="N73" s="1927">
        <f t="shared" si="7"/>
        <v>0</v>
      </c>
      <c r="O73" s="1928">
        <v>7.6000000000000997E-3</v>
      </c>
      <c r="P73" s="1929" t="e">
        <f>($O$9*24)/((($N$8-$O73)/12)*(24-N73)*'Product Data'!$P$23)</f>
        <v>#N/A</v>
      </c>
    </row>
    <row r="74" spans="2:16" x14ac:dyDescent="0.25">
      <c r="B74" s="1927">
        <f t="shared" si="4"/>
        <v>0</v>
      </c>
      <c r="C74" s="1928">
        <v>7.5000000000001003E-3</v>
      </c>
      <c r="D74" s="1931" t="e">
        <f>($C$9*24)/((($B$8-$C74)/12)*(24-B74)*'Product Data'!$P$23)</f>
        <v>#N/A</v>
      </c>
      <c r="F74" s="1927">
        <f t="shared" si="5"/>
        <v>0</v>
      </c>
      <c r="G74" s="1928">
        <v>7.5000000000001003E-3</v>
      </c>
      <c r="H74" s="1931" t="e">
        <f>($G$9*24)/((($F$8-$G74)/12)*(24-F74)*'Product Data'!$P$23)</f>
        <v>#N/A</v>
      </c>
      <c r="J74" s="1927">
        <f t="shared" si="6"/>
        <v>0</v>
      </c>
      <c r="K74" s="1928">
        <v>7.5000000000001003E-3</v>
      </c>
      <c r="L74" s="1931" t="e">
        <f>($K$9*24)/((($J$8-$K74)/12)*(24-J74)*'Product Data'!$P$23)</f>
        <v>#N/A</v>
      </c>
      <c r="N74" s="1927">
        <f t="shared" si="7"/>
        <v>0</v>
      </c>
      <c r="O74" s="1928">
        <v>7.5000000000001003E-3</v>
      </c>
      <c r="P74" s="1929" t="e">
        <f>($O$9*24)/((($N$8-$O74)/12)*(24-N74)*'Product Data'!$P$23)</f>
        <v>#N/A</v>
      </c>
    </row>
    <row r="75" spans="2:16" x14ac:dyDescent="0.25">
      <c r="B75" s="1927">
        <f t="shared" si="4"/>
        <v>0</v>
      </c>
      <c r="C75" s="1928">
        <v>7.4000000000001001E-3</v>
      </c>
      <c r="D75" s="1931" t="e">
        <f>($C$9*24)/((($B$8-$C75)/12)*(24-B75)*'Product Data'!$P$23)</f>
        <v>#N/A</v>
      </c>
      <c r="F75" s="1927">
        <f t="shared" si="5"/>
        <v>0</v>
      </c>
      <c r="G75" s="1928">
        <v>7.4000000000001001E-3</v>
      </c>
      <c r="H75" s="1931" t="e">
        <f>($G$9*24)/((($F$8-$G75)/12)*(24-F75)*'Product Data'!$P$23)</f>
        <v>#N/A</v>
      </c>
      <c r="J75" s="1927">
        <f t="shared" si="6"/>
        <v>0</v>
      </c>
      <c r="K75" s="1928">
        <v>7.4000000000001001E-3</v>
      </c>
      <c r="L75" s="1931" t="e">
        <f>($K$9*24)/((($J$8-$K75)/12)*(24-J75)*'Product Data'!$P$23)</f>
        <v>#N/A</v>
      </c>
      <c r="N75" s="1927">
        <f t="shared" si="7"/>
        <v>0</v>
      </c>
      <c r="O75" s="2392">
        <v>7.4000000000001001E-3</v>
      </c>
      <c r="P75" s="1929" t="e">
        <f>($O$9*24)/((($N$8-$O75)/12)*(24-N75)*'Product Data'!$P$23)</f>
        <v>#N/A</v>
      </c>
    </row>
    <row r="76" spans="2:16" x14ac:dyDescent="0.25">
      <c r="B76" s="1927">
        <f t="shared" si="4"/>
        <v>0</v>
      </c>
      <c r="C76" s="1928">
        <v>7.3000000000000998E-3</v>
      </c>
      <c r="D76" s="1931" t="e">
        <f>($C$9*24)/((($B$8-$C76)/12)*(24-B76)*'Product Data'!$P$23)</f>
        <v>#N/A</v>
      </c>
      <c r="F76" s="1927">
        <f t="shared" si="5"/>
        <v>0</v>
      </c>
      <c r="G76" s="1928">
        <v>7.3000000000000998E-3</v>
      </c>
      <c r="H76" s="1931" t="e">
        <f>($G$9*24)/((($F$8-$G76)/12)*(24-F76)*'Product Data'!$P$23)</f>
        <v>#N/A</v>
      </c>
      <c r="J76" s="1927">
        <f t="shared" si="6"/>
        <v>0</v>
      </c>
      <c r="K76" s="1928">
        <v>7.3000000000000998E-3</v>
      </c>
      <c r="L76" s="1931" t="e">
        <f>($K$9*24)/((($J$8-$K76)/12)*(24-J76)*'Product Data'!$P$23)</f>
        <v>#N/A</v>
      </c>
      <c r="N76" s="1927">
        <f t="shared" si="7"/>
        <v>0</v>
      </c>
      <c r="O76" s="1928">
        <v>7.3000000000000998E-3</v>
      </c>
      <c r="P76" s="1929" t="e">
        <f>($O$9*24)/((($N$8-$O76)/12)*(24-N76)*'Product Data'!$P$23)</f>
        <v>#N/A</v>
      </c>
    </row>
    <row r="77" spans="2:16" x14ac:dyDescent="0.25">
      <c r="B77" s="1927">
        <f t="shared" si="4"/>
        <v>0</v>
      </c>
      <c r="C77" s="1928">
        <v>7.2000000000001004E-3</v>
      </c>
      <c r="D77" s="1931" t="e">
        <f>($C$9*24)/((($B$8-$C77)/12)*(24-B77)*'Product Data'!$P$23)</f>
        <v>#N/A</v>
      </c>
      <c r="F77" s="1927">
        <f t="shared" si="5"/>
        <v>0</v>
      </c>
      <c r="G77" s="1928">
        <v>7.2000000000001004E-3</v>
      </c>
      <c r="H77" s="1931" t="e">
        <f>($G$9*24)/((($F$8-$G77)/12)*(24-F77)*'Product Data'!$P$23)</f>
        <v>#N/A</v>
      </c>
      <c r="J77" s="1927">
        <f t="shared" si="6"/>
        <v>0</v>
      </c>
      <c r="K77" s="1928">
        <v>7.2000000000001004E-3</v>
      </c>
      <c r="L77" s="1931" t="e">
        <f>($K$9*24)/((($J$8-$K77)/12)*(24-J77)*'Product Data'!$P$23)</f>
        <v>#N/A</v>
      </c>
      <c r="N77" s="1927">
        <f t="shared" si="7"/>
        <v>0</v>
      </c>
      <c r="O77" s="1928">
        <v>7.2000000000001004E-3</v>
      </c>
      <c r="P77" s="1929" t="e">
        <f>($O$9*24)/((($N$8-$O77)/12)*(24-N77)*'Product Data'!$P$23)</f>
        <v>#N/A</v>
      </c>
    </row>
    <row r="78" spans="2:16" x14ac:dyDescent="0.25">
      <c r="B78" s="1927">
        <f t="shared" si="4"/>
        <v>0</v>
      </c>
      <c r="C78" s="1928">
        <v>7.1000000000001002E-3</v>
      </c>
      <c r="D78" s="1931" t="e">
        <f>($C$9*24)/((($B$8-$C78)/12)*(24-B78)*'Product Data'!$P$23)</f>
        <v>#N/A</v>
      </c>
      <c r="F78" s="1927">
        <f t="shared" si="5"/>
        <v>0</v>
      </c>
      <c r="G78" s="1928">
        <v>7.1000000000001002E-3</v>
      </c>
      <c r="H78" s="1931" t="e">
        <f>($G$9*24)/((($F$8-$G78)/12)*(24-F78)*'Product Data'!$P$23)</f>
        <v>#N/A</v>
      </c>
      <c r="J78" s="1927">
        <f t="shared" si="6"/>
        <v>0</v>
      </c>
      <c r="K78" s="1928">
        <v>7.1000000000001002E-3</v>
      </c>
      <c r="L78" s="1931" t="e">
        <f>($K$9*24)/((($J$8-$K78)/12)*(24-J78)*'Product Data'!$P$23)</f>
        <v>#N/A</v>
      </c>
      <c r="N78" s="1927">
        <f t="shared" si="7"/>
        <v>0</v>
      </c>
      <c r="O78" s="2392">
        <v>7.1000000000001002E-3</v>
      </c>
      <c r="P78" s="1929" t="e">
        <f>($O$9*24)/((($N$8-$O78)/12)*(24-N78)*'Product Data'!$P$23)</f>
        <v>#N/A</v>
      </c>
    </row>
    <row r="79" spans="2:16" x14ac:dyDescent="0.25">
      <c r="B79" s="1927">
        <f t="shared" si="4"/>
        <v>0</v>
      </c>
      <c r="C79" s="1928">
        <v>7.0000000000000999E-3</v>
      </c>
      <c r="D79" s="1931" t="e">
        <f>($C$9*24)/((($B$8-$C79)/12)*(24-B79)*'Product Data'!$P$23)</f>
        <v>#N/A</v>
      </c>
      <c r="F79" s="1927">
        <f t="shared" si="5"/>
        <v>0</v>
      </c>
      <c r="G79" s="1928">
        <v>7.0000000000000999E-3</v>
      </c>
      <c r="H79" s="1931" t="e">
        <f>($G$9*24)/((($F$8-$G79)/12)*(24-F79)*'Product Data'!$P$23)</f>
        <v>#N/A</v>
      </c>
      <c r="J79" s="1927">
        <f t="shared" si="6"/>
        <v>0</v>
      </c>
      <c r="K79" s="1928">
        <v>7.0000000000000999E-3</v>
      </c>
      <c r="L79" s="1931" t="e">
        <f>($K$9*24)/((($J$8-$K79)/12)*(24-J79)*'Product Data'!$P$23)</f>
        <v>#N/A</v>
      </c>
      <c r="N79" s="1927">
        <f t="shared" si="7"/>
        <v>0</v>
      </c>
      <c r="O79" s="1928">
        <v>7.0000000000000999E-3</v>
      </c>
      <c r="P79" s="1929" t="e">
        <f>($O$9*24)/((($N$8-$O79)/12)*(24-N79)*'Product Data'!$P$23)</f>
        <v>#N/A</v>
      </c>
    </row>
    <row r="80" spans="2:16" x14ac:dyDescent="0.25">
      <c r="B80" s="1927">
        <f t="shared" si="4"/>
        <v>0</v>
      </c>
      <c r="C80" s="1928">
        <v>6.9000000000000996E-3</v>
      </c>
      <c r="D80" s="1931" t="e">
        <f>($C$9*24)/((($B$8-$C80)/12)*(24-B80)*'Product Data'!$P$23)</f>
        <v>#N/A</v>
      </c>
      <c r="F80" s="1927">
        <f t="shared" si="5"/>
        <v>0</v>
      </c>
      <c r="G80" s="1928">
        <v>6.9000000000000996E-3</v>
      </c>
      <c r="H80" s="1931" t="e">
        <f>($G$9*24)/((($F$8-$G80)/12)*(24-F80)*'Product Data'!$P$23)</f>
        <v>#N/A</v>
      </c>
      <c r="J80" s="1927">
        <f t="shared" si="6"/>
        <v>0</v>
      </c>
      <c r="K80" s="1928">
        <v>6.9000000000000996E-3</v>
      </c>
      <c r="L80" s="1931" t="e">
        <f>($K$9*24)/((($J$8-$K80)/12)*(24-J80)*'Product Data'!$P$23)</f>
        <v>#N/A</v>
      </c>
      <c r="N80" s="1927">
        <f t="shared" si="7"/>
        <v>0</v>
      </c>
      <c r="O80" s="1928">
        <v>6.9000000000000996E-3</v>
      </c>
      <c r="P80" s="1929" t="e">
        <f>($O$9*24)/((($N$8-$O80)/12)*(24-N80)*'Product Data'!$P$23)</f>
        <v>#N/A</v>
      </c>
    </row>
    <row r="81" spans="2:16" x14ac:dyDescent="0.25">
      <c r="B81" s="1927">
        <f t="shared" si="4"/>
        <v>0</v>
      </c>
      <c r="C81" s="1928">
        <v>6.8000000000001002E-3</v>
      </c>
      <c r="D81" s="1931" t="e">
        <f>($C$9*24)/((($B$8-$C81)/12)*(24-B81)*'Product Data'!$P$23)</f>
        <v>#N/A</v>
      </c>
      <c r="F81" s="1927">
        <f t="shared" si="5"/>
        <v>0</v>
      </c>
      <c r="G81" s="1928">
        <v>6.8000000000001002E-3</v>
      </c>
      <c r="H81" s="1931" t="e">
        <f>($G$9*24)/((($F$8-$G81)/12)*(24-F81)*'Product Data'!$P$23)</f>
        <v>#N/A</v>
      </c>
      <c r="J81" s="1927">
        <f t="shared" si="6"/>
        <v>0</v>
      </c>
      <c r="K81" s="1928">
        <v>6.8000000000001002E-3</v>
      </c>
      <c r="L81" s="1931" t="e">
        <f>($K$9*24)/((($J$8-$K81)/12)*(24-J81)*'Product Data'!$P$23)</f>
        <v>#N/A</v>
      </c>
      <c r="N81" s="1927">
        <f t="shared" si="7"/>
        <v>0</v>
      </c>
      <c r="O81" s="2392">
        <v>6.8000000000001002E-3</v>
      </c>
      <c r="P81" s="1929" t="e">
        <f>($O$9*24)/((($N$8-$O81)/12)*(24-N81)*'Product Data'!$P$23)</f>
        <v>#N/A</v>
      </c>
    </row>
    <row r="82" spans="2:16" x14ac:dyDescent="0.25">
      <c r="B82" s="1927">
        <f t="shared" si="4"/>
        <v>0</v>
      </c>
      <c r="C82" s="1928">
        <v>6.7000000000001E-3</v>
      </c>
      <c r="D82" s="1931" t="e">
        <f>($C$9*24)/((($B$8-$C82)/12)*(24-B82)*'Product Data'!$P$23)</f>
        <v>#N/A</v>
      </c>
      <c r="F82" s="1927">
        <f t="shared" si="5"/>
        <v>0</v>
      </c>
      <c r="G82" s="1928">
        <v>6.7000000000001E-3</v>
      </c>
      <c r="H82" s="1931" t="e">
        <f>($G$9*24)/((($F$8-$G82)/12)*(24-F82)*'Product Data'!$P$23)</f>
        <v>#N/A</v>
      </c>
      <c r="J82" s="1927">
        <f t="shared" si="6"/>
        <v>0</v>
      </c>
      <c r="K82" s="1928">
        <v>6.7000000000001E-3</v>
      </c>
      <c r="L82" s="1931" t="e">
        <f>($K$9*24)/((($J$8-$K82)/12)*(24-J82)*'Product Data'!$P$23)</f>
        <v>#N/A</v>
      </c>
      <c r="N82" s="1927">
        <f t="shared" si="7"/>
        <v>0</v>
      </c>
      <c r="O82" s="1928">
        <v>6.7000000000001E-3</v>
      </c>
      <c r="P82" s="1929" t="e">
        <f>($O$9*24)/((($N$8-$O82)/12)*(24-N82)*'Product Data'!$P$23)</f>
        <v>#N/A</v>
      </c>
    </row>
    <row r="83" spans="2:16" x14ac:dyDescent="0.25">
      <c r="B83" s="1927">
        <f t="shared" si="4"/>
        <v>0</v>
      </c>
      <c r="C83" s="1928">
        <v>6.6000000000000997E-3</v>
      </c>
      <c r="D83" s="1931" t="e">
        <f>($C$9*24)/((($B$8-$C83)/12)*(24-B83)*'Product Data'!$P$23)</f>
        <v>#N/A</v>
      </c>
      <c r="F83" s="1927">
        <f t="shared" si="5"/>
        <v>0</v>
      </c>
      <c r="G83" s="1928">
        <v>6.6000000000000997E-3</v>
      </c>
      <c r="H83" s="1931" t="e">
        <f>($G$9*24)/((($F$8-$G83)/12)*(24-F83)*'Product Data'!$P$23)</f>
        <v>#N/A</v>
      </c>
      <c r="J83" s="1927">
        <f t="shared" si="6"/>
        <v>0</v>
      </c>
      <c r="K83" s="1928">
        <v>6.6000000000000997E-3</v>
      </c>
      <c r="L83" s="1931" t="e">
        <f>($K$9*24)/((($J$8-$K83)/12)*(24-J83)*'Product Data'!$P$23)</f>
        <v>#N/A</v>
      </c>
      <c r="N83" s="1927">
        <f t="shared" si="7"/>
        <v>0</v>
      </c>
      <c r="O83" s="1928">
        <v>6.6000000000000997E-3</v>
      </c>
      <c r="P83" s="1929" t="e">
        <f>($O$9*24)/((($N$8-$O83)/12)*(24-N83)*'Product Data'!$P$23)</f>
        <v>#N/A</v>
      </c>
    </row>
    <row r="84" spans="2:16" x14ac:dyDescent="0.25">
      <c r="B84" s="1927">
        <f t="shared" si="4"/>
        <v>0</v>
      </c>
      <c r="C84" s="1928">
        <v>6.5000000000001003E-3</v>
      </c>
      <c r="D84" s="1931" t="e">
        <f>($C$9*24)/((($B$8-$C84)/12)*(24-B84)*'Product Data'!$P$23)</f>
        <v>#N/A</v>
      </c>
      <c r="F84" s="1927">
        <f t="shared" si="5"/>
        <v>0</v>
      </c>
      <c r="G84" s="1928">
        <v>6.5000000000001003E-3</v>
      </c>
      <c r="H84" s="1931" t="e">
        <f>($G$9*24)/((($F$8-$G84)/12)*(24-F84)*'Product Data'!$P$23)</f>
        <v>#N/A</v>
      </c>
      <c r="J84" s="1927">
        <f t="shared" si="6"/>
        <v>0</v>
      </c>
      <c r="K84" s="1928">
        <v>6.5000000000001003E-3</v>
      </c>
      <c r="L84" s="1931" t="e">
        <f>($K$9*24)/((($J$8-$K84)/12)*(24-J84)*'Product Data'!$P$23)</f>
        <v>#N/A</v>
      </c>
      <c r="N84" s="1927">
        <f t="shared" si="7"/>
        <v>0</v>
      </c>
      <c r="O84" s="2392">
        <v>6.5000000000001003E-3</v>
      </c>
      <c r="P84" s="1929" t="e">
        <f>($O$9*24)/((($N$8-$O84)/12)*(24-N84)*'Product Data'!$P$23)</f>
        <v>#N/A</v>
      </c>
    </row>
    <row r="85" spans="2:16" x14ac:dyDescent="0.25">
      <c r="B85" s="1927">
        <f t="shared" si="4"/>
        <v>0</v>
      </c>
      <c r="C85" s="1928">
        <v>6.4000000000001001E-3</v>
      </c>
      <c r="D85" s="1931" t="e">
        <f>($C$9*24)/((($B$8-$C85)/12)*(24-B85)*'Product Data'!$P$23)</f>
        <v>#N/A</v>
      </c>
      <c r="F85" s="1927">
        <f t="shared" si="5"/>
        <v>0</v>
      </c>
      <c r="G85" s="1928">
        <v>6.4000000000001001E-3</v>
      </c>
      <c r="H85" s="1931" t="e">
        <f>($G$9*24)/((($F$8-$G85)/12)*(24-F85)*'Product Data'!$P$23)</f>
        <v>#N/A</v>
      </c>
      <c r="J85" s="1927">
        <f t="shared" si="6"/>
        <v>0</v>
      </c>
      <c r="K85" s="1928">
        <v>6.4000000000001001E-3</v>
      </c>
      <c r="L85" s="1931" t="e">
        <f>($K$9*24)/((($J$8-$K85)/12)*(24-J85)*'Product Data'!$P$23)</f>
        <v>#N/A</v>
      </c>
      <c r="N85" s="1927">
        <f t="shared" si="7"/>
        <v>0</v>
      </c>
      <c r="O85" s="1928">
        <v>6.4000000000001001E-3</v>
      </c>
      <c r="P85" s="1929" t="e">
        <f>($O$9*24)/((($N$8-$O85)/12)*(24-N85)*'Product Data'!$P$23)</f>
        <v>#N/A</v>
      </c>
    </row>
    <row r="86" spans="2:16" x14ac:dyDescent="0.25">
      <c r="B86" s="1927">
        <f t="shared" si="4"/>
        <v>0</v>
      </c>
      <c r="C86" s="1928">
        <v>6.3000000000000998E-3</v>
      </c>
      <c r="D86" s="1931" t="e">
        <f>($C$9*24)/((($B$8-$C86)/12)*(24-B86)*'Product Data'!$P$23)</f>
        <v>#N/A</v>
      </c>
      <c r="F86" s="1927">
        <f t="shared" si="5"/>
        <v>0</v>
      </c>
      <c r="G86" s="1928">
        <v>6.3000000000000998E-3</v>
      </c>
      <c r="H86" s="1931" t="e">
        <f>($G$9*24)/((($F$8-$G86)/12)*(24-F86)*'Product Data'!$P$23)</f>
        <v>#N/A</v>
      </c>
      <c r="J86" s="1927">
        <f t="shared" si="6"/>
        <v>0</v>
      </c>
      <c r="K86" s="1928">
        <v>6.3000000000000998E-3</v>
      </c>
      <c r="L86" s="1931" t="e">
        <f>($K$9*24)/((($J$8-$K86)/12)*(24-J86)*'Product Data'!$P$23)</f>
        <v>#N/A</v>
      </c>
      <c r="N86" s="1927">
        <f t="shared" si="7"/>
        <v>0</v>
      </c>
      <c r="O86" s="1928">
        <v>6.3000000000000998E-3</v>
      </c>
      <c r="P86" s="1929" t="e">
        <f>($O$9*24)/((($N$8-$O86)/12)*(24-N86)*'Product Data'!$P$23)</f>
        <v>#N/A</v>
      </c>
    </row>
    <row r="87" spans="2:16" x14ac:dyDescent="0.25">
      <c r="B87" s="1927">
        <f t="shared" si="4"/>
        <v>0</v>
      </c>
      <c r="C87" s="1928">
        <v>6.2000000000001004E-3</v>
      </c>
      <c r="D87" s="1931" t="e">
        <f>($C$9*24)/((($B$8-$C87)/12)*(24-B87)*'Product Data'!$P$23)</f>
        <v>#N/A</v>
      </c>
      <c r="F87" s="1927">
        <f t="shared" si="5"/>
        <v>0</v>
      </c>
      <c r="G87" s="1928">
        <v>6.2000000000001004E-3</v>
      </c>
      <c r="H87" s="1931" t="e">
        <f>($G$9*24)/((($F$8-$G87)/12)*(24-F87)*'Product Data'!$P$23)</f>
        <v>#N/A</v>
      </c>
      <c r="J87" s="1927">
        <f t="shared" si="6"/>
        <v>0</v>
      </c>
      <c r="K87" s="1928">
        <v>6.2000000000001004E-3</v>
      </c>
      <c r="L87" s="1931" t="e">
        <f>($K$9*24)/((($J$8-$K87)/12)*(24-J87)*'Product Data'!$P$23)</f>
        <v>#N/A</v>
      </c>
      <c r="N87" s="1927">
        <f t="shared" si="7"/>
        <v>0</v>
      </c>
      <c r="O87" s="2392">
        <v>6.2000000000001004E-3</v>
      </c>
      <c r="P87" s="1929" t="e">
        <f>($O$9*24)/((($N$8-$O87)/12)*(24-N87)*'Product Data'!$P$23)</f>
        <v>#N/A</v>
      </c>
    </row>
    <row r="88" spans="2:16" x14ac:dyDescent="0.25">
      <c r="B88" s="1927">
        <f t="shared" si="4"/>
        <v>0</v>
      </c>
      <c r="C88" s="1928">
        <v>6.1000000000001001E-3</v>
      </c>
      <c r="D88" s="1931" t="e">
        <f>($C$9*24)/((($B$8-$C88)/12)*(24-B88)*'Product Data'!$P$23)</f>
        <v>#N/A</v>
      </c>
      <c r="F88" s="1927">
        <f t="shared" si="5"/>
        <v>0</v>
      </c>
      <c r="G88" s="1928">
        <v>6.1000000000001001E-3</v>
      </c>
      <c r="H88" s="1931" t="e">
        <f>($G$9*24)/((($F$8-$G88)/12)*(24-F88)*'Product Data'!$P$23)</f>
        <v>#N/A</v>
      </c>
      <c r="J88" s="1927">
        <f t="shared" si="6"/>
        <v>0</v>
      </c>
      <c r="K88" s="1928">
        <v>6.1000000000001001E-3</v>
      </c>
      <c r="L88" s="1931" t="e">
        <f>($K$9*24)/((($J$8-$K88)/12)*(24-J88)*'Product Data'!$P$23)</f>
        <v>#N/A</v>
      </c>
      <c r="N88" s="1927">
        <f t="shared" si="7"/>
        <v>0</v>
      </c>
      <c r="O88" s="1928">
        <v>6.1000000000001001E-3</v>
      </c>
      <c r="P88" s="1929" t="e">
        <f>($O$9*24)/((($N$8-$O88)/12)*(24-N88)*'Product Data'!$P$23)</f>
        <v>#N/A</v>
      </c>
    </row>
    <row r="89" spans="2:16" x14ac:dyDescent="0.25">
      <c r="B89" s="1927">
        <f t="shared" si="4"/>
        <v>0</v>
      </c>
      <c r="C89" s="1928">
        <v>6.0000000000000999E-3</v>
      </c>
      <c r="D89" s="1931" t="e">
        <f>($C$9*24)/((($B$8-$C89)/12)*(24-B89)*'Product Data'!$P$23)</f>
        <v>#N/A</v>
      </c>
      <c r="F89" s="1927">
        <f t="shared" si="5"/>
        <v>0</v>
      </c>
      <c r="G89" s="1928">
        <v>6.0000000000000999E-3</v>
      </c>
      <c r="H89" s="1931" t="e">
        <f>($G$9*24)/((($F$8-$G89)/12)*(24-F89)*'Product Data'!$P$23)</f>
        <v>#N/A</v>
      </c>
      <c r="J89" s="1927">
        <f t="shared" si="6"/>
        <v>0</v>
      </c>
      <c r="K89" s="1928">
        <v>6.0000000000000999E-3</v>
      </c>
      <c r="L89" s="1931" t="e">
        <f>($K$9*24)/((($J$8-$K89)/12)*(24-J89)*'Product Data'!$P$23)</f>
        <v>#N/A</v>
      </c>
      <c r="N89" s="1927">
        <f t="shared" si="7"/>
        <v>0</v>
      </c>
      <c r="O89" s="1928">
        <v>6.0000000000000999E-3</v>
      </c>
      <c r="P89" s="1929" t="e">
        <f>($O$9*24)/((($N$8-$O89)/12)*(24-N89)*'Product Data'!$P$23)</f>
        <v>#N/A</v>
      </c>
    </row>
    <row r="90" spans="2:16" x14ac:dyDescent="0.25">
      <c r="B90" s="1927">
        <f t="shared" ref="B90:B149" si="8">B89</f>
        <v>0</v>
      </c>
      <c r="C90" s="1928">
        <v>5.9000000000000996E-3</v>
      </c>
      <c r="D90" s="1931" t="e">
        <f>($C$9*24)/((($B$8-$C90)/12)*(24-B90)*'Product Data'!$P$23)</f>
        <v>#N/A</v>
      </c>
      <c r="F90" s="1927">
        <f t="shared" ref="F90:F149" si="9">F89</f>
        <v>0</v>
      </c>
      <c r="G90" s="1928">
        <v>5.9000000000000996E-3</v>
      </c>
      <c r="H90" s="1931" t="e">
        <f>($G$9*24)/((($F$8-$G90)/12)*(24-F90)*'Product Data'!$P$23)</f>
        <v>#N/A</v>
      </c>
      <c r="J90" s="1927">
        <f t="shared" ref="J90:J149" si="10">J89</f>
        <v>0</v>
      </c>
      <c r="K90" s="1928">
        <v>5.9000000000000996E-3</v>
      </c>
      <c r="L90" s="1931" t="e">
        <f>($K$9*24)/((($J$8-$K90)/12)*(24-J90)*'Product Data'!$P$23)</f>
        <v>#N/A</v>
      </c>
      <c r="N90" s="1927">
        <f t="shared" ref="N90:N149" si="11">N89</f>
        <v>0</v>
      </c>
      <c r="O90" s="2392">
        <v>5.9000000000000996E-3</v>
      </c>
      <c r="P90" s="1929" t="e">
        <f>($O$9*24)/((($N$8-$O90)/12)*(24-N90)*'Product Data'!$P$23)</f>
        <v>#N/A</v>
      </c>
    </row>
    <row r="91" spans="2:16" x14ac:dyDescent="0.25">
      <c r="B91" s="1927">
        <f t="shared" si="8"/>
        <v>0</v>
      </c>
      <c r="C91" s="1928">
        <v>5.8000000000001002E-3</v>
      </c>
      <c r="D91" s="1931" t="e">
        <f>($C$9*24)/((($B$8-$C91)/12)*(24-B91)*'Product Data'!$P$23)</f>
        <v>#N/A</v>
      </c>
      <c r="F91" s="1927">
        <f t="shared" si="9"/>
        <v>0</v>
      </c>
      <c r="G91" s="1928">
        <v>5.8000000000001002E-3</v>
      </c>
      <c r="H91" s="1931" t="e">
        <f>($G$9*24)/((($F$8-$G91)/12)*(24-F91)*'Product Data'!$P$23)</f>
        <v>#N/A</v>
      </c>
      <c r="J91" s="1927">
        <f t="shared" si="10"/>
        <v>0</v>
      </c>
      <c r="K91" s="1928">
        <v>5.8000000000001002E-3</v>
      </c>
      <c r="L91" s="1931" t="e">
        <f>($K$9*24)/((($J$8-$K91)/12)*(24-J91)*'Product Data'!$P$23)</f>
        <v>#N/A</v>
      </c>
      <c r="N91" s="1927">
        <f t="shared" si="11"/>
        <v>0</v>
      </c>
      <c r="O91" s="1928">
        <v>5.8000000000001002E-3</v>
      </c>
      <c r="P91" s="1929" t="e">
        <f>($O$9*24)/((($N$8-$O91)/12)*(24-N91)*'Product Data'!$P$23)</f>
        <v>#N/A</v>
      </c>
    </row>
    <row r="92" spans="2:16" x14ac:dyDescent="0.25">
      <c r="B92" s="1927">
        <f t="shared" si="8"/>
        <v>0</v>
      </c>
      <c r="C92" s="1928">
        <v>5.7000000000001E-3</v>
      </c>
      <c r="D92" s="1931" t="e">
        <f>($C$9*24)/((($B$8-$C92)/12)*(24-B92)*'Product Data'!$P$23)</f>
        <v>#N/A</v>
      </c>
      <c r="F92" s="1927">
        <f t="shared" si="9"/>
        <v>0</v>
      </c>
      <c r="G92" s="1928">
        <v>5.7000000000001E-3</v>
      </c>
      <c r="H92" s="1931" t="e">
        <f>($G$9*24)/((($F$8-$G92)/12)*(24-F92)*'Product Data'!$P$23)</f>
        <v>#N/A</v>
      </c>
      <c r="J92" s="1927">
        <f t="shared" si="10"/>
        <v>0</v>
      </c>
      <c r="K92" s="1928">
        <v>5.7000000000001E-3</v>
      </c>
      <c r="L92" s="1931" t="e">
        <f>($K$9*24)/((($J$8-$K92)/12)*(24-J92)*'Product Data'!$P$23)</f>
        <v>#N/A</v>
      </c>
      <c r="N92" s="1927">
        <f t="shared" si="11"/>
        <v>0</v>
      </c>
      <c r="O92" s="1928">
        <v>5.7000000000001E-3</v>
      </c>
      <c r="P92" s="1929" t="e">
        <f>($O$9*24)/((($N$8-$O92)/12)*(24-N92)*'Product Data'!$P$23)</f>
        <v>#N/A</v>
      </c>
    </row>
    <row r="93" spans="2:16" x14ac:dyDescent="0.25">
      <c r="B93" s="1927">
        <f t="shared" si="8"/>
        <v>0</v>
      </c>
      <c r="C93" s="1928">
        <v>5.6000000000000997E-3</v>
      </c>
      <c r="D93" s="1931" t="e">
        <f>($C$9*24)/((($B$8-$C93)/12)*(24-B93)*'Product Data'!$P$23)</f>
        <v>#N/A</v>
      </c>
      <c r="F93" s="1927">
        <f t="shared" si="9"/>
        <v>0</v>
      </c>
      <c r="G93" s="1928">
        <v>5.6000000000000997E-3</v>
      </c>
      <c r="H93" s="1931" t="e">
        <f>($G$9*24)/((($F$8-$G93)/12)*(24-F93)*'Product Data'!$P$23)</f>
        <v>#N/A</v>
      </c>
      <c r="J93" s="1927">
        <f t="shared" si="10"/>
        <v>0</v>
      </c>
      <c r="K93" s="1928">
        <v>5.6000000000000997E-3</v>
      </c>
      <c r="L93" s="1931" t="e">
        <f>($K$9*24)/((($J$8-$K93)/12)*(24-J93)*'Product Data'!$P$23)</f>
        <v>#N/A</v>
      </c>
      <c r="N93" s="1927">
        <f t="shared" si="11"/>
        <v>0</v>
      </c>
      <c r="O93" s="2392">
        <v>5.6000000000000997E-3</v>
      </c>
      <c r="P93" s="1929" t="e">
        <f>($O$9*24)/((($N$8-$O93)/12)*(24-N93)*'Product Data'!$P$23)</f>
        <v>#N/A</v>
      </c>
    </row>
    <row r="94" spans="2:16" x14ac:dyDescent="0.25">
      <c r="B94" s="1927">
        <f t="shared" si="8"/>
        <v>0</v>
      </c>
      <c r="C94" s="1928">
        <v>5.5000000000001003E-3</v>
      </c>
      <c r="D94" s="1931" t="e">
        <f>($C$9*24)/((($B$8-$C94)/12)*(24-B94)*'Product Data'!$P$23)</f>
        <v>#N/A</v>
      </c>
      <c r="F94" s="1927">
        <f t="shared" si="9"/>
        <v>0</v>
      </c>
      <c r="G94" s="1928">
        <v>5.5000000000001003E-3</v>
      </c>
      <c r="H94" s="1931" t="e">
        <f>($G$9*24)/((($F$8-$G94)/12)*(24-F94)*'Product Data'!$P$23)</f>
        <v>#N/A</v>
      </c>
      <c r="J94" s="1927">
        <f t="shared" si="10"/>
        <v>0</v>
      </c>
      <c r="K94" s="1928">
        <v>5.5000000000001003E-3</v>
      </c>
      <c r="L94" s="1931" t="e">
        <f>($K$9*24)/((($J$8-$K94)/12)*(24-J94)*'Product Data'!$P$23)</f>
        <v>#N/A</v>
      </c>
      <c r="N94" s="1927">
        <f t="shared" si="11"/>
        <v>0</v>
      </c>
      <c r="O94" s="1928">
        <v>5.5000000000001003E-3</v>
      </c>
      <c r="P94" s="1929" t="e">
        <f>($O$9*24)/((($N$8-$O94)/12)*(24-N94)*'Product Data'!$P$23)</f>
        <v>#N/A</v>
      </c>
    </row>
    <row r="95" spans="2:16" x14ac:dyDescent="0.25">
      <c r="B95" s="1927">
        <f t="shared" si="8"/>
        <v>0</v>
      </c>
      <c r="C95" s="1928">
        <v>5.4000000000001E-3</v>
      </c>
      <c r="D95" s="1931" t="e">
        <f>($C$9*24)/((($B$8-$C95)/12)*(24-B95)*'Product Data'!$P$23)</f>
        <v>#N/A</v>
      </c>
      <c r="F95" s="1927">
        <f t="shared" si="9"/>
        <v>0</v>
      </c>
      <c r="G95" s="1928">
        <v>5.4000000000001E-3</v>
      </c>
      <c r="H95" s="1931" t="e">
        <f>($G$9*24)/((($F$8-$G95)/12)*(24-F95)*'Product Data'!$P$23)</f>
        <v>#N/A</v>
      </c>
      <c r="J95" s="1927">
        <f t="shared" si="10"/>
        <v>0</v>
      </c>
      <c r="K95" s="1928">
        <v>5.4000000000001E-3</v>
      </c>
      <c r="L95" s="1931" t="e">
        <f>($K$9*24)/((($J$8-$K95)/12)*(24-J95)*'Product Data'!$P$23)</f>
        <v>#N/A</v>
      </c>
      <c r="N95" s="1927">
        <f t="shared" si="11"/>
        <v>0</v>
      </c>
      <c r="O95" s="1928">
        <v>5.4000000000001E-3</v>
      </c>
      <c r="P95" s="1929" t="e">
        <f>($O$9*24)/((($N$8-$O95)/12)*(24-N95)*'Product Data'!$P$23)</f>
        <v>#N/A</v>
      </c>
    </row>
    <row r="96" spans="2:16" x14ac:dyDescent="0.25">
      <c r="B96" s="1927">
        <f t="shared" si="8"/>
        <v>0</v>
      </c>
      <c r="C96" s="1928">
        <v>5.3000000000000998E-3</v>
      </c>
      <c r="D96" s="1931" t="e">
        <f>($C$9*24)/((($B$8-$C96)/12)*(24-B96)*'Product Data'!$P$23)</f>
        <v>#N/A</v>
      </c>
      <c r="F96" s="1927">
        <f t="shared" si="9"/>
        <v>0</v>
      </c>
      <c r="G96" s="1928">
        <v>5.3000000000000998E-3</v>
      </c>
      <c r="H96" s="1931" t="e">
        <f>($G$9*24)/((($F$8-$G96)/12)*(24-F96)*'Product Data'!$P$23)</f>
        <v>#N/A</v>
      </c>
      <c r="J96" s="1927">
        <f t="shared" si="10"/>
        <v>0</v>
      </c>
      <c r="K96" s="1928">
        <v>5.3000000000000998E-3</v>
      </c>
      <c r="L96" s="1931" t="e">
        <f>($K$9*24)/((($J$8-$K96)/12)*(24-J96)*'Product Data'!$P$23)</f>
        <v>#N/A</v>
      </c>
      <c r="N96" s="1927">
        <f t="shared" si="11"/>
        <v>0</v>
      </c>
      <c r="O96" s="2392">
        <v>5.3000000000000998E-3</v>
      </c>
      <c r="P96" s="1929" t="e">
        <f>($O$9*24)/((($N$8-$O96)/12)*(24-N96)*'Product Data'!$P$23)</f>
        <v>#N/A</v>
      </c>
    </row>
    <row r="97" spans="2:16" x14ac:dyDescent="0.25">
      <c r="B97" s="1927">
        <f t="shared" si="8"/>
        <v>0</v>
      </c>
      <c r="C97" s="1928">
        <v>5.2000000000001004E-3</v>
      </c>
      <c r="D97" s="1931" t="e">
        <f>($C$9*24)/((($B$8-$C97)/12)*(24-B97)*'Product Data'!$P$23)</f>
        <v>#N/A</v>
      </c>
      <c r="F97" s="1927">
        <f t="shared" si="9"/>
        <v>0</v>
      </c>
      <c r="G97" s="1928">
        <v>5.2000000000001004E-3</v>
      </c>
      <c r="H97" s="1931" t="e">
        <f>($G$9*24)/((($F$8-$G97)/12)*(24-F97)*'Product Data'!$P$23)</f>
        <v>#N/A</v>
      </c>
      <c r="J97" s="1927">
        <f t="shared" si="10"/>
        <v>0</v>
      </c>
      <c r="K97" s="1928">
        <v>5.2000000000001004E-3</v>
      </c>
      <c r="L97" s="1931" t="e">
        <f>($K$9*24)/((($J$8-$K97)/12)*(24-J97)*'Product Data'!$P$23)</f>
        <v>#N/A</v>
      </c>
      <c r="N97" s="1927">
        <f t="shared" si="11"/>
        <v>0</v>
      </c>
      <c r="O97" s="1928">
        <v>5.2000000000001004E-3</v>
      </c>
      <c r="P97" s="1929" t="e">
        <f>($O$9*24)/((($N$8-$O97)/12)*(24-N97)*'Product Data'!$P$23)</f>
        <v>#N/A</v>
      </c>
    </row>
    <row r="98" spans="2:16" x14ac:dyDescent="0.25">
      <c r="B98" s="1927">
        <f t="shared" si="8"/>
        <v>0</v>
      </c>
      <c r="C98" s="1928">
        <v>5.1000000000001001E-3</v>
      </c>
      <c r="D98" s="1931" t="e">
        <f>($C$9*24)/((($B$8-$C98)/12)*(24-B98)*'Product Data'!$P$23)</f>
        <v>#N/A</v>
      </c>
      <c r="F98" s="1927">
        <f t="shared" si="9"/>
        <v>0</v>
      </c>
      <c r="G98" s="1928">
        <v>5.1000000000001001E-3</v>
      </c>
      <c r="H98" s="1931" t="e">
        <f>($G$9*24)/((($F$8-$G98)/12)*(24-F98)*'Product Data'!$P$23)</f>
        <v>#N/A</v>
      </c>
      <c r="J98" s="1927">
        <f t="shared" si="10"/>
        <v>0</v>
      </c>
      <c r="K98" s="1928">
        <v>5.1000000000001001E-3</v>
      </c>
      <c r="L98" s="1931" t="e">
        <f>($K$9*24)/((($J$8-$K98)/12)*(24-J98)*'Product Data'!$P$23)</f>
        <v>#N/A</v>
      </c>
      <c r="N98" s="1927">
        <f t="shared" si="11"/>
        <v>0</v>
      </c>
      <c r="O98" s="1928">
        <v>5.1000000000001001E-3</v>
      </c>
      <c r="P98" s="1929" t="e">
        <f>($O$9*24)/((($N$8-$O98)/12)*(24-N98)*'Product Data'!$P$23)</f>
        <v>#N/A</v>
      </c>
    </row>
    <row r="99" spans="2:16" x14ac:dyDescent="0.25">
      <c r="B99" s="1927">
        <f t="shared" si="8"/>
        <v>0</v>
      </c>
      <c r="C99" s="1928">
        <v>5.0000000000000999E-3</v>
      </c>
      <c r="D99" s="1931" t="e">
        <f>($C$9*24)/((($B$8-$C99)/12)*(24-B99)*'Product Data'!$P$23)</f>
        <v>#N/A</v>
      </c>
      <c r="F99" s="1927">
        <f t="shared" si="9"/>
        <v>0</v>
      </c>
      <c r="G99" s="1928">
        <v>5.0000000000000999E-3</v>
      </c>
      <c r="H99" s="1931" t="e">
        <f>($G$9*24)/((($F$8-$G99)/12)*(24-F99)*'Product Data'!$P$23)</f>
        <v>#N/A</v>
      </c>
      <c r="J99" s="1927">
        <f t="shared" si="10"/>
        <v>0</v>
      </c>
      <c r="K99" s="1928">
        <v>5.0000000000000999E-3</v>
      </c>
      <c r="L99" s="1931" t="e">
        <f>($K$9*24)/((($J$8-$K99)/12)*(24-J99)*'Product Data'!$P$23)</f>
        <v>#N/A</v>
      </c>
      <c r="N99" s="1927">
        <f t="shared" si="11"/>
        <v>0</v>
      </c>
      <c r="O99" s="2392">
        <v>5.0000000000000999E-3</v>
      </c>
      <c r="P99" s="1929" t="e">
        <f>($O$9*24)/((($N$8-$O99)/12)*(24-N99)*'Product Data'!$P$23)</f>
        <v>#N/A</v>
      </c>
    </row>
    <row r="100" spans="2:16" x14ac:dyDescent="0.25">
      <c r="B100" s="1927">
        <f t="shared" si="8"/>
        <v>0</v>
      </c>
      <c r="C100" s="1928">
        <v>4.9000000000000996E-3</v>
      </c>
      <c r="D100" s="1931" t="e">
        <f>($C$9*24)/((($B$8-$C100)/12)*(24-B100)*'Product Data'!$P$23)</f>
        <v>#N/A</v>
      </c>
      <c r="F100" s="1927">
        <f t="shared" si="9"/>
        <v>0</v>
      </c>
      <c r="G100" s="1928">
        <v>4.9000000000000996E-3</v>
      </c>
      <c r="H100" s="1931" t="e">
        <f>($G$9*24)/((($F$8-$G100)/12)*(24-F100)*'Product Data'!$P$23)</f>
        <v>#N/A</v>
      </c>
      <c r="J100" s="1927">
        <f t="shared" si="10"/>
        <v>0</v>
      </c>
      <c r="K100" s="1928">
        <v>4.9000000000000996E-3</v>
      </c>
      <c r="L100" s="1931" t="e">
        <f>($K$9*24)/((($J$8-$K100)/12)*(24-J100)*'Product Data'!$P$23)</f>
        <v>#N/A</v>
      </c>
      <c r="N100" s="1927">
        <f t="shared" si="11"/>
        <v>0</v>
      </c>
      <c r="O100" s="1928">
        <v>4.9000000000000996E-3</v>
      </c>
      <c r="P100" s="1929" t="e">
        <f>($O$9*24)/((($N$8-$O100)/12)*(24-N100)*'Product Data'!$P$23)</f>
        <v>#N/A</v>
      </c>
    </row>
    <row r="101" spans="2:16" x14ac:dyDescent="0.25">
      <c r="B101" s="1927">
        <f t="shared" si="8"/>
        <v>0</v>
      </c>
      <c r="C101" s="1928">
        <v>4.8000000000001002E-3</v>
      </c>
      <c r="D101" s="1931" t="e">
        <f>($C$9*24)/((($B$8-$C101)/12)*(24-B101)*'Product Data'!$P$23)</f>
        <v>#N/A</v>
      </c>
      <c r="F101" s="1927">
        <f t="shared" si="9"/>
        <v>0</v>
      </c>
      <c r="G101" s="1928">
        <v>4.8000000000001002E-3</v>
      </c>
      <c r="H101" s="1931" t="e">
        <f>($G$9*24)/((($F$8-$G101)/12)*(24-F101)*'Product Data'!$P$23)</f>
        <v>#N/A</v>
      </c>
      <c r="J101" s="1927">
        <f t="shared" si="10"/>
        <v>0</v>
      </c>
      <c r="K101" s="1928">
        <v>4.8000000000001002E-3</v>
      </c>
      <c r="L101" s="1931" t="e">
        <f>($K$9*24)/((($J$8-$K101)/12)*(24-J101)*'Product Data'!$P$23)</f>
        <v>#N/A</v>
      </c>
      <c r="N101" s="1927">
        <f t="shared" si="11"/>
        <v>0</v>
      </c>
      <c r="O101" s="1928">
        <v>4.8000000000001002E-3</v>
      </c>
      <c r="P101" s="1929" t="e">
        <f>($O$9*24)/((($N$8-$O101)/12)*(24-N101)*'Product Data'!$P$23)</f>
        <v>#N/A</v>
      </c>
    </row>
    <row r="102" spans="2:16" x14ac:dyDescent="0.25">
      <c r="B102" s="1927">
        <f t="shared" si="8"/>
        <v>0</v>
      </c>
      <c r="C102" s="1928">
        <v>4.7000000000000999E-3</v>
      </c>
      <c r="D102" s="1931" t="e">
        <f>($C$9*24)/((($B$8-$C102)/12)*(24-B102)*'Product Data'!$P$23)</f>
        <v>#N/A</v>
      </c>
      <c r="F102" s="1927">
        <f t="shared" si="9"/>
        <v>0</v>
      </c>
      <c r="G102" s="1928">
        <v>4.7000000000000999E-3</v>
      </c>
      <c r="H102" s="1931" t="e">
        <f>($G$9*24)/((($F$8-$G102)/12)*(24-F102)*'Product Data'!$P$23)</f>
        <v>#N/A</v>
      </c>
      <c r="J102" s="1927">
        <f t="shared" si="10"/>
        <v>0</v>
      </c>
      <c r="K102" s="1928">
        <v>4.7000000000000999E-3</v>
      </c>
      <c r="L102" s="1931" t="e">
        <f>($K$9*24)/((($J$8-$K102)/12)*(24-J102)*'Product Data'!$P$23)</f>
        <v>#N/A</v>
      </c>
      <c r="N102" s="1927">
        <f t="shared" si="11"/>
        <v>0</v>
      </c>
      <c r="O102" s="1928">
        <v>4.7000000000000999E-3</v>
      </c>
      <c r="P102" s="1929" t="e">
        <f>($O$9*24)/((($N$8-$O102)/12)*(24-N102)*'Product Data'!$P$23)</f>
        <v>#N/A</v>
      </c>
    </row>
    <row r="103" spans="2:16" x14ac:dyDescent="0.25">
      <c r="B103" s="1927">
        <f t="shared" si="8"/>
        <v>0</v>
      </c>
      <c r="C103" s="1928">
        <v>4.6000000000000997E-3</v>
      </c>
      <c r="D103" s="1931" t="e">
        <f>($C$9*24)/((($B$8-$C103)/12)*(24-B103)*'Product Data'!$P$23)</f>
        <v>#N/A</v>
      </c>
      <c r="F103" s="1927">
        <f t="shared" si="9"/>
        <v>0</v>
      </c>
      <c r="G103" s="1928">
        <v>4.6000000000000997E-3</v>
      </c>
      <c r="H103" s="1931" t="e">
        <f>($G$9*24)/((($F$8-$G103)/12)*(24-F103)*'Product Data'!$P$23)</f>
        <v>#N/A</v>
      </c>
      <c r="J103" s="1927">
        <f t="shared" si="10"/>
        <v>0</v>
      </c>
      <c r="K103" s="1928">
        <v>4.6000000000000997E-3</v>
      </c>
      <c r="L103" s="1931" t="e">
        <f>($K$9*24)/((($J$8-$K103)/12)*(24-J103)*'Product Data'!$P$23)</f>
        <v>#N/A</v>
      </c>
      <c r="N103" s="1927">
        <f t="shared" si="11"/>
        <v>0</v>
      </c>
      <c r="O103" s="1928">
        <v>4.6000000000000997E-3</v>
      </c>
      <c r="P103" s="1929" t="e">
        <f>($O$9*24)/((($N$8-$O103)/12)*(24-N103)*'Product Data'!$P$23)</f>
        <v>#N/A</v>
      </c>
    </row>
    <row r="104" spans="2:16" x14ac:dyDescent="0.25">
      <c r="B104" s="1927">
        <f t="shared" si="8"/>
        <v>0</v>
      </c>
      <c r="C104" s="1928">
        <v>4.5000000000001003E-3</v>
      </c>
      <c r="D104" s="1931" t="e">
        <f>($C$9*24)/((($B$8-$C104)/12)*(24-B104)*'Product Data'!$P$23)</f>
        <v>#N/A</v>
      </c>
      <c r="F104" s="1927">
        <f t="shared" si="9"/>
        <v>0</v>
      </c>
      <c r="G104" s="1928">
        <v>4.5000000000001003E-3</v>
      </c>
      <c r="H104" s="1931" t="e">
        <f>($G$9*24)/((($F$8-$G104)/12)*(24-F104)*'Product Data'!$P$23)</f>
        <v>#N/A</v>
      </c>
      <c r="J104" s="1927">
        <f t="shared" si="10"/>
        <v>0</v>
      </c>
      <c r="K104" s="1928">
        <v>4.5000000000001003E-3</v>
      </c>
      <c r="L104" s="1931" t="e">
        <f>($K$9*24)/((($J$8-$K104)/12)*(24-J104)*'Product Data'!$P$23)</f>
        <v>#N/A</v>
      </c>
      <c r="N104" s="1927">
        <f t="shared" si="11"/>
        <v>0</v>
      </c>
      <c r="O104" s="1928">
        <v>4.5000000000001003E-3</v>
      </c>
      <c r="P104" s="1929" t="e">
        <f>($O$9*24)/((($N$8-$O104)/12)*(24-N104)*'Product Data'!$P$23)</f>
        <v>#N/A</v>
      </c>
    </row>
    <row r="105" spans="2:16" x14ac:dyDescent="0.25">
      <c r="B105" s="1927">
        <f t="shared" si="8"/>
        <v>0</v>
      </c>
      <c r="C105" s="1928">
        <v>4.4000000000001E-3</v>
      </c>
      <c r="D105" s="1931" t="e">
        <f>($C$9*24)/((($B$8-$C105)/12)*(24-B105)*'Product Data'!$P$23)</f>
        <v>#N/A</v>
      </c>
      <c r="F105" s="1927">
        <f t="shared" si="9"/>
        <v>0</v>
      </c>
      <c r="G105" s="1928">
        <v>4.4000000000001E-3</v>
      </c>
      <c r="H105" s="1931" t="e">
        <f>($G$9*24)/((($F$8-$G105)/12)*(24-F105)*'Product Data'!$P$23)</f>
        <v>#N/A</v>
      </c>
      <c r="J105" s="1927">
        <f t="shared" si="10"/>
        <v>0</v>
      </c>
      <c r="K105" s="1928">
        <v>4.4000000000001E-3</v>
      </c>
      <c r="L105" s="1931" t="e">
        <f>($K$9*24)/((($J$8-$K105)/12)*(24-J105)*'Product Data'!$P$23)</f>
        <v>#N/A</v>
      </c>
      <c r="N105" s="1927">
        <f t="shared" si="11"/>
        <v>0</v>
      </c>
      <c r="O105" s="1928">
        <v>4.4000000000001E-3</v>
      </c>
      <c r="P105" s="1929" t="e">
        <f>($O$9*24)/((($N$8-$O105)/12)*(24-N105)*'Product Data'!$P$23)</f>
        <v>#N/A</v>
      </c>
    </row>
    <row r="106" spans="2:16" x14ac:dyDescent="0.25">
      <c r="B106" s="1927">
        <f t="shared" si="8"/>
        <v>0</v>
      </c>
      <c r="C106" s="1928">
        <v>4.3000000000000997E-3</v>
      </c>
      <c r="D106" s="1931" t="e">
        <f>($C$9*24)/((($B$8-$C106)/12)*(24-B106)*'Product Data'!$P$23)</f>
        <v>#N/A</v>
      </c>
      <c r="F106" s="1927">
        <f t="shared" si="9"/>
        <v>0</v>
      </c>
      <c r="G106" s="1928">
        <v>4.3000000000000997E-3</v>
      </c>
      <c r="H106" s="1931" t="e">
        <f>($G$9*24)/((($F$8-$G106)/12)*(24-F106)*'Product Data'!$P$23)</f>
        <v>#N/A</v>
      </c>
      <c r="J106" s="1927">
        <f t="shared" si="10"/>
        <v>0</v>
      </c>
      <c r="K106" s="1928">
        <v>4.3000000000000997E-3</v>
      </c>
      <c r="L106" s="1931" t="e">
        <f>($K$9*24)/((($J$8-$K106)/12)*(24-J106)*'Product Data'!$P$23)</f>
        <v>#N/A</v>
      </c>
      <c r="N106" s="1927">
        <f t="shared" si="11"/>
        <v>0</v>
      </c>
      <c r="O106" s="1928">
        <v>4.3000000000000997E-3</v>
      </c>
      <c r="P106" s="1929" t="e">
        <f>($O$9*24)/((($N$8-$O106)/12)*(24-N106)*'Product Data'!$P$23)</f>
        <v>#N/A</v>
      </c>
    </row>
    <row r="107" spans="2:16" x14ac:dyDescent="0.25">
      <c r="B107" s="1927">
        <f t="shared" si="8"/>
        <v>0</v>
      </c>
      <c r="C107" s="1928">
        <v>4.2000000000001004E-3</v>
      </c>
      <c r="D107" s="1931" t="e">
        <f>($C$9*24)/((($B$8-$C107)/12)*(24-B107)*'Product Data'!$P$23)</f>
        <v>#N/A</v>
      </c>
      <c r="F107" s="1927">
        <f t="shared" si="9"/>
        <v>0</v>
      </c>
      <c r="G107" s="1928">
        <v>4.2000000000001004E-3</v>
      </c>
      <c r="H107" s="1931" t="e">
        <f>($G$9*24)/((($F$8-$G107)/12)*(24-F107)*'Product Data'!$P$23)</f>
        <v>#N/A</v>
      </c>
      <c r="J107" s="1927">
        <f t="shared" si="10"/>
        <v>0</v>
      </c>
      <c r="K107" s="1928">
        <v>4.2000000000001004E-3</v>
      </c>
      <c r="L107" s="1931" t="e">
        <f>($K$9*24)/((($J$8-$K107)/12)*(24-J107)*'Product Data'!$P$23)</f>
        <v>#N/A</v>
      </c>
      <c r="N107" s="1927">
        <f t="shared" si="11"/>
        <v>0</v>
      </c>
      <c r="O107" s="1928">
        <v>4.2000000000001004E-3</v>
      </c>
      <c r="P107" s="1929" t="e">
        <f>($O$9*24)/((($N$8-$O107)/12)*(24-N107)*'Product Data'!$P$23)</f>
        <v>#N/A</v>
      </c>
    </row>
    <row r="108" spans="2:16" x14ac:dyDescent="0.25">
      <c r="B108" s="1927">
        <f t="shared" si="8"/>
        <v>0</v>
      </c>
      <c r="C108" s="1928">
        <v>4.1000000000001001E-3</v>
      </c>
      <c r="D108" s="1931" t="e">
        <f>($C$9*24)/((($B$8-$C108)/12)*(24-B108)*'Product Data'!$P$23)</f>
        <v>#N/A</v>
      </c>
      <c r="F108" s="1927">
        <f t="shared" si="9"/>
        <v>0</v>
      </c>
      <c r="G108" s="1928">
        <v>4.1000000000001001E-3</v>
      </c>
      <c r="H108" s="1931" t="e">
        <f>($G$9*24)/((($F$8-$G108)/12)*(24-F108)*'Product Data'!$P$23)</f>
        <v>#N/A</v>
      </c>
      <c r="J108" s="1927">
        <f t="shared" si="10"/>
        <v>0</v>
      </c>
      <c r="K108" s="1928">
        <v>4.1000000000001001E-3</v>
      </c>
      <c r="L108" s="1931" t="e">
        <f>($K$9*24)/((($J$8-$K108)/12)*(24-J108)*'Product Data'!$P$23)</f>
        <v>#N/A</v>
      </c>
      <c r="N108" s="1927">
        <f t="shared" si="11"/>
        <v>0</v>
      </c>
      <c r="O108" s="1928">
        <v>4.1000000000001001E-3</v>
      </c>
      <c r="P108" s="1929" t="e">
        <f>($O$9*24)/((($N$8-$O108)/12)*(24-N108)*'Product Data'!$P$23)</f>
        <v>#N/A</v>
      </c>
    </row>
    <row r="109" spans="2:16" x14ac:dyDescent="0.25">
      <c r="B109" s="1927">
        <f t="shared" si="8"/>
        <v>0</v>
      </c>
      <c r="C109" s="1928">
        <v>4.0000000000000998E-3</v>
      </c>
      <c r="D109" s="1931" t="e">
        <f>($C$9*24)/((($B$8-$C109)/12)*(24-B109)*'Product Data'!$P$23)</f>
        <v>#N/A</v>
      </c>
      <c r="F109" s="1927">
        <f t="shared" si="9"/>
        <v>0</v>
      </c>
      <c r="G109" s="1928">
        <v>4.0000000000000998E-3</v>
      </c>
      <c r="H109" s="1931" t="e">
        <f>($G$9*24)/((($F$8-$G109)/12)*(24-F109)*'Product Data'!$P$23)</f>
        <v>#N/A</v>
      </c>
      <c r="J109" s="1927">
        <f t="shared" si="10"/>
        <v>0</v>
      </c>
      <c r="K109" s="1928">
        <v>4.0000000000000998E-3</v>
      </c>
      <c r="L109" s="1931" t="e">
        <f>($K$9*24)/((($J$8-$K109)/12)*(24-J109)*'Product Data'!$P$23)</f>
        <v>#N/A</v>
      </c>
      <c r="N109" s="1927">
        <f t="shared" si="11"/>
        <v>0</v>
      </c>
      <c r="O109" s="1928">
        <v>4.0000000000000998E-3</v>
      </c>
      <c r="P109" s="1929" t="e">
        <f>($O$9*24)/((($N$8-$O109)/12)*(24-N109)*'Product Data'!$P$23)</f>
        <v>#N/A</v>
      </c>
    </row>
    <row r="110" spans="2:16" x14ac:dyDescent="0.25">
      <c r="B110" s="1927">
        <f t="shared" si="8"/>
        <v>0</v>
      </c>
      <c r="C110" s="1928">
        <v>3.9000000000001E-3</v>
      </c>
      <c r="D110" s="1931" t="e">
        <f>($C$9*24)/((($B$8-$C110)/12)*(24-B110)*'Product Data'!$P$23)</f>
        <v>#N/A</v>
      </c>
      <c r="F110" s="1927">
        <f t="shared" si="9"/>
        <v>0</v>
      </c>
      <c r="G110" s="1928">
        <v>3.9000000000001E-3</v>
      </c>
      <c r="H110" s="1931" t="e">
        <f>($G$9*24)/((($F$8-$G110)/12)*(24-F110)*'Product Data'!$P$23)</f>
        <v>#N/A</v>
      </c>
      <c r="J110" s="1927">
        <f t="shared" si="10"/>
        <v>0</v>
      </c>
      <c r="K110" s="1928">
        <v>3.9000000000001E-3</v>
      </c>
      <c r="L110" s="1931" t="e">
        <f>($K$9*24)/((($J$8-$K110)/12)*(24-J110)*'Product Data'!$P$23)</f>
        <v>#N/A</v>
      </c>
      <c r="N110" s="1927">
        <f t="shared" si="11"/>
        <v>0</v>
      </c>
      <c r="O110" s="1928">
        <v>3.9000000000001E-3</v>
      </c>
      <c r="P110" s="1929" t="e">
        <f>($O$9*24)/((($N$8-$O110)/12)*(24-N110)*'Product Data'!$P$23)</f>
        <v>#N/A</v>
      </c>
    </row>
    <row r="111" spans="2:16" x14ac:dyDescent="0.25">
      <c r="B111" s="1927">
        <f t="shared" si="8"/>
        <v>0</v>
      </c>
      <c r="C111" s="1928">
        <v>3.8000000000001002E-3</v>
      </c>
      <c r="D111" s="1931" t="e">
        <f>($C$9*24)/((($B$8-$C111)/12)*(24-B111)*'Product Data'!$P$23)</f>
        <v>#N/A</v>
      </c>
      <c r="F111" s="1927">
        <f t="shared" si="9"/>
        <v>0</v>
      </c>
      <c r="G111" s="1928">
        <v>3.8000000000001002E-3</v>
      </c>
      <c r="H111" s="1931" t="e">
        <f>($G$9*24)/((($F$8-$G111)/12)*(24-F111)*'Product Data'!$P$23)</f>
        <v>#N/A</v>
      </c>
      <c r="J111" s="1927">
        <f t="shared" si="10"/>
        <v>0</v>
      </c>
      <c r="K111" s="1928">
        <v>3.8000000000001002E-3</v>
      </c>
      <c r="L111" s="1931" t="e">
        <f>($K$9*24)/((($J$8-$K111)/12)*(24-J111)*'Product Data'!$P$23)</f>
        <v>#N/A</v>
      </c>
      <c r="N111" s="1927">
        <f t="shared" si="11"/>
        <v>0</v>
      </c>
      <c r="O111" s="1928">
        <v>3.8000000000001002E-3</v>
      </c>
      <c r="P111" s="1929" t="e">
        <f>($O$9*24)/((($N$8-$O111)/12)*(24-N111)*'Product Data'!$P$23)</f>
        <v>#N/A</v>
      </c>
    </row>
    <row r="112" spans="2:16" x14ac:dyDescent="0.25">
      <c r="B112" s="1927">
        <f t="shared" si="8"/>
        <v>0</v>
      </c>
      <c r="C112" s="1928">
        <v>3.7000000000000999E-3</v>
      </c>
      <c r="D112" s="1931" t="e">
        <f>($C$9*24)/((($B$8-$C112)/12)*(24-B112)*'Product Data'!$P$23)</f>
        <v>#N/A</v>
      </c>
      <c r="F112" s="1927">
        <f t="shared" si="9"/>
        <v>0</v>
      </c>
      <c r="G112" s="1928">
        <v>3.7000000000000999E-3</v>
      </c>
      <c r="H112" s="1931" t="e">
        <f>($G$9*24)/((($F$8-$G112)/12)*(24-F112)*'Product Data'!$P$23)</f>
        <v>#N/A</v>
      </c>
      <c r="J112" s="1927">
        <f t="shared" si="10"/>
        <v>0</v>
      </c>
      <c r="K112" s="1928">
        <v>3.7000000000000999E-3</v>
      </c>
      <c r="L112" s="1931" t="e">
        <f>($K$9*24)/((($J$8-$K112)/12)*(24-J112)*'Product Data'!$P$23)</f>
        <v>#N/A</v>
      </c>
      <c r="N112" s="1927">
        <f t="shared" si="11"/>
        <v>0</v>
      </c>
      <c r="O112" s="1928">
        <v>3.7000000000000999E-3</v>
      </c>
      <c r="P112" s="1929" t="e">
        <f>($O$9*24)/((($N$8-$O112)/12)*(24-N112)*'Product Data'!$P$23)</f>
        <v>#N/A</v>
      </c>
    </row>
    <row r="113" spans="2:16" x14ac:dyDescent="0.25">
      <c r="B113" s="1927">
        <f t="shared" si="8"/>
        <v>0</v>
      </c>
      <c r="C113" s="1928">
        <v>3.6000000000001001E-3</v>
      </c>
      <c r="D113" s="1931" t="e">
        <f>($C$9*24)/((($B$8-$C113)/12)*(24-B113)*'Product Data'!$P$23)</f>
        <v>#N/A</v>
      </c>
      <c r="F113" s="1927">
        <f t="shared" si="9"/>
        <v>0</v>
      </c>
      <c r="G113" s="1928">
        <v>3.6000000000001001E-3</v>
      </c>
      <c r="H113" s="1931" t="e">
        <f>($G$9*24)/((($F$8-$G113)/12)*(24-F113)*'Product Data'!$P$23)</f>
        <v>#N/A</v>
      </c>
      <c r="J113" s="1927">
        <f t="shared" si="10"/>
        <v>0</v>
      </c>
      <c r="K113" s="1928">
        <v>3.6000000000001001E-3</v>
      </c>
      <c r="L113" s="1931" t="e">
        <f>($K$9*24)/((($J$8-$K113)/12)*(24-J113)*'Product Data'!$P$23)</f>
        <v>#N/A</v>
      </c>
      <c r="N113" s="1927">
        <f t="shared" si="11"/>
        <v>0</v>
      </c>
      <c r="O113" s="1928">
        <v>3.6000000000001001E-3</v>
      </c>
      <c r="P113" s="1929" t="e">
        <f>($O$9*24)/((($N$8-$O113)/12)*(24-N113)*'Product Data'!$P$23)</f>
        <v>#N/A</v>
      </c>
    </row>
    <row r="114" spans="2:16" x14ac:dyDescent="0.25">
      <c r="B114" s="1927">
        <f t="shared" si="8"/>
        <v>0</v>
      </c>
      <c r="C114" s="1928">
        <v>3.5000000000000998E-3</v>
      </c>
      <c r="D114" s="1931" t="e">
        <f>($C$9*24)/((($B$8-$C114)/12)*(24-B114)*'Product Data'!$P$23)</f>
        <v>#N/A</v>
      </c>
      <c r="F114" s="1927">
        <f t="shared" si="9"/>
        <v>0</v>
      </c>
      <c r="G114" s="1928">
        <v>3.5000000000000998E-3</v>
      </c>
      <c r="H114" s="1931" t="e">
        <f>($G$9*24)/((($F$8-$G114)/12)*(24-F114)*'Product Data'!$P$23)</f>
        <v>#N/A</v>
      </c>
      <c r="J114" s="1927">
        <f t="shared" si="10"/>
        <v>0</v>
      </c>
      <c r="K114" s="1928">
        <v>3.5000000000000998E-3</v>
      </c>
      <c r="L114" s="1931" t="e">
        <f>($K$9*24)/((($J$8-$K114)/12)*(24-J114)*'Product Data'!$P$23)</f>
        <v>#N/A</v>
      </c>
      <c r="N114" s="1927">
        <f t="shared" si="11"/>
        <v>0</v>
      </c>
      <c r="O114" s="1928">
        <v>3.5000000000000998E-3</v>
      </c>
      <c r="P114" s="1929" t="e">
        <f>($O$9*24)/((($N$8-$O114)/12)*(24-N114)*'Product Data'!$P$23)</f>
        <v>#N/A</v>
      </c>
    </row>
    <row r="115" spans="2:16" x14ac:dyDescent="0.25">
      <c r="B115" s="1927">
        <f t="shared" si="8"/>
        <v>0</v>
      </c>
      <c r="C115" s="1928">
        <v>3.4000000000001E-3</v>
      </c>
      <c r="D115" s="1931" t="e">
        <f>($C$9*24)/((($B$8-$C115)/12)*(24-B115)*'Product Data'!$P$23)</f>
        <v>#N/A</v>
      </c>
      <c r="F115" s="1927">
        <f t="shared" si="9"/>
        <v>0</v>
      </c>
      <c r="G115" s="1928">
        <v>3.4000000000001E-3</v>
      </c>
      <c r="H115" s="1931" t="e">
        <f>($G$9*24)/((($F$8-$G115)/12)*(24-F115)*'Product Data'!$P$23)</f>
        <v>#N/A</v>
      </c>
      <c r="J115" s="1927">
        <f t="shared" si="10"/>
        <v>0</v>
      </c>
      <c r="K115" s="1928">
        <v>3.4000000000001E-3</v>
      </c>
      <c r="L115" s="1931" t="e">
        <f>($K$9*24)/((($J$8-$K115)/12)*(24-J115)*'Product Data'!$P$23)</f>
        <v>#N/A</v>
      </c>
      <c r="N115" s="1927">
        <f t="shared" si="11"/>
        <v>0</v>
      </c>
      <c r="O115" s="1928">
        <v>3.4000000000001E-3</v>
      </c>
      <c r="P115" s="1929" t="e">
        <f>($O$9*24)/((($N$8-$O115)/12)*(24-N115)*'Product Data'!$P$23)</f>
        <v>#N/A</v>
      </c>
    </row>
    <row r="116" spans="2:16" x14ac:dyDescent="0.25">
      <c r="B116" s="1927">
        <f t="shared" si="8"/>
        <v>0</v>
      </c>
      <c r="C116" s="1928">
        <v>3.3000000000001002E-3</v>
      </c>
      <c r="D116" s="1931" t="e">
        <f>($C$9*24)/((($B$8-$C116)/12)*(24-B116)*'Product Data'!$P$23)</f>
        <v>#N/A</v>
      </c>
      <c r="F116" s="1927">
        <f t="shared" si="9"/>
        <v>0</v>
      </c>
      <c r="G116" s="1928">
        <v>3.3000000000001002E-3</v>
      </c>
      <c r="H116" s="1931" t="e">
        <f>($G$9*24)/((($F$8-$G116)/12)*(24-F116)*'Product Data'!$P$23)</f>
        <v>#N/A</v>
      </c>
      <c r="J116" s="1927">
        <f t="shared" si="10"/>
        <v>0</v>
      </c>
      <c r="K116" s="1928">
        <v>3.3000000000001002E-3</v>
      </c>
      <c r="L116" s="1931" t="e">
        <f>($K$9*24)/((($J$8-$K116)/12)*(24-J116)*'Product Data'!$P$23)</f>
        <v>#N/A</v>
      </c>
      <c r="N116" s="1927">
        <f t="shared" si="11"/>
        <v>0</v>
      </c>
      <c r="O116" s="1928">
        <v>3.3000000000001002E-3</v>
      </c>
      <c r="P116" s="1929" t="e">
        <f>($O$9*24)/((($N$8-$O116)/12)*(24-N116)*'Product Data'!$P$23)</f>
        <v>#N/A</v>
      </c>
    </row>
    <row r="117" spans="2:16" x14ac:dyDescent="0.25">
      <c r="B117" s="1927">
        <f t="shared" si="8"/>
        <v>0</v>
      </c>
      <c r="C117" s="1928">
        <v>3.2000000000000999E-3</v>
      </c>
      <c r="D117" s="1931" t="e">
        <f>($C$9*24)/((($B$8-$C117)/12)*(24-B117)*'Product Data'!$P$23)</f>
        <v>#N/A</v>
      </c>
      <c r="F117" s="1927">
        <f t="shared" si="9"/>
        <v>0</v>
      </c>
      <c r="G117" s="1928">
        <v>3.2000000000000999E-3</v>
      </c>
      <c r="H117" s="1931" t="e">
        <f>($G$9*24)/((($F$8-$G117)/12)*(24-F117)*'Product Data'!$P$23)</f>
        <v>#N/A</v>
      </c>
      <c r="J117" s="1927">
        <f t="shared" si="10"/>
        <v>0</v>
      </c>
      <c r="K117" s="1928">
        <v>3.2000000000000999E-3</v>
      </c>
      <c r="L117" s="1931" t="e">
        <f>($K$9*24)/((($J$8-$K117)/12)*(24-J117)*'Product Data'!$P$23)</f>
        <v>#N/A</v>
      </c>
      <c r="N117" s="1927">
        <f t="shared" si="11"/>
        <v>0</v>
      </c>
      <c r="O117" s="1928">
        <v>3.2000000000000999E-3</v>
      </c>
      <c r="P117" s="1929" t="e">
        <f>($O$9*24)/((($N$8-$O117)/12)*(24-N117)*'Product Data'!$P$23)</f>
        <v>#N/A</v>
      </c>
    </row>
    <row r="118" spans="2:16" x14ac:dyDescent="0.25">
      <c r="B118" s="1927">
        <f t="shared" si="8"/>
        <v>0</v>
      </c>
      <c r="C118" s="1928">
        <v>3.1000000000001001E-3</v>
      </c>
      <c r="D118" s="1931" t="e">
        <f>($C$9*24)/((($B$8-$C118)/12)*(24-B118)*'Product Data'!$P$23)</f>
        <v>#N/A</v>
      </c>
      <c r="F118" s="1927">
        <f t="shared" si="9"/>
        <v>0</v>
      </c>
      <c r="G118" s="1928">
        <v>3.1000000000001001E-3</v>
      </c>
      <c r="H118" s="1931" t="e">
        <f>($G$9*24)/((($F$8-$G118)/12)*(24-F118)*'Product Data'!$P$23)</f>
        <v>#N/A</v>
      </c>
      <c r="J118" s="1927">
        <f t="shared" si="10"/>
        <v>0</v>
      </c>
      <c r="K118" s="1928">
        <v>3.1000000000001001E-3</v>
      </c>
      <c r="L118" s="1931" t="e">
        <f>($K$9*24)/((($J$8-$K118)/12)*(24-J118)*'Product Data'!$P$23)</f>
        <v>#N/A</v>
      </c>
      <c r="N118" s="1927">
        <f t="shared" si="11"/>
        <v>0</v>
      </c>
      <c r="O118" s="1928">
        <v>3.1000000000001001E-3</v>
      </c>
      <c r="P118" s="1929" t="e">
        <f>($O$9*24)/((($N$8-$O118)/12)*(24-N118)*'Product Data'!$P$23)</f>
        <v>#N/A</v>
      </c>
    </row>
    <row r="119" spans="2:16" x14ac:dyDescent="0.25">
      <c r="B119" s="1927">
        <f t="shared" si="8"/>
        <v>0</v>
      </c>
      <c r="C119" s="1928">
        <v>3.0000000000000998E-3</v>
      </c>
      <c r="D119" s="1931" t="e">
        <f>($C$9*24)/((($B$8-$C119)/12)*(24-B119)*'Product Data'!$P$23)</f>
        <v>#N/A</v>
      </c>
      <c r="F119" s="1927">
        <f t="shared" si="9"/>
        <v>0</v>
      </c>
      <c r="G119" s="1928">
        <v>3.0000000000000998E-3</v>
      </c>
      <c r="H119" s="1931" t="e">
        <f>($G$9*24)/((($F$8-$G119)/12)*(24-F119)*'Product Data'!$P$23)</f>
        <v>#N/A</v>
      </c>
      <c r="J119" s="1927">
        <f t="shared" si="10"/>
        <v>0</v>
      </c>
      <c r="K119" s="1928">
        <v>3.0000000000000998E-3</v>
      </c>
      <c r="L119" s="1931" t="e">
        <f>($K$9*24)/((($J$8-$K119)/12)*(24-J119)*'Product Data'!$P$23)</f>
        <v>#N/A</v>
      </c>
      <c r="N119" s="1927">
        <f t="shared" si="11"/>
        <v>0</v>
      </c>
      <c r="O119" s="1928">
        <v>3.0000000000000998E-3</v>
      </c>
      <c r="P119" s="1929" t="e">
        <f>($O$9*24)/((($N$8-$O119)/12)*(24-N119)*'Product Data'!$P$23)</f>
        <v>#N/A</v>
      </c>
    </row>
    <row r="120" spans="2:16" x14ac:dyDescent="0.25">
      <c r="B120" s="1927">
        <f t="shared" si="8"/>
        <v>0</v>
      </c>
      <c r="C120" s="1928">
        <v>2.9000000000001E-3</v>
      </c>
      <c r="D120" s="1931" t="e">
        <f>($C$9*24)/((($B$8-$C120)/12)*(24-B120)*'Product Data'!$P$23)</f>
        <v>#N/A</v>
      </c>
      <c r="F120" s="1927">
        <f t="shared" si="9"/>
        <v>0</v>
      </c>
      <c r="G120" s="1928">
        <v>2.9000000000001E-3</v>
      </c>
      <c r="H120" s="1931" t="e">
        <f>($G$9*24)/((($F$8-$G120)/12)*(24-F120)*'Product Data'!$P$23)</f>
        <v>#N/A</v>
      </c>
      <c r="J120" s="1927">
        <f t="shared" si="10"/>
        <v>0</v>
      </c>
      <c r="K120" s="1928">
        <v>2.9000000000001E-3</v>
      </c>
      <c r="L120" s="1931" t="e">
        <f>($K$9*24)/((($J$8-$K120)/12)*(24-J120)*'Product Data'!$P$23)</f>
        <v>#N/A</v>
      </c>
      <c r="N120" s="1927">
        <f t="shared" si="11"/>
        <v>0</v>
      </c>
      <c r="O120" s="1928">
        <v>2.9000000000001E-3</v>
      </c>
      <c r="P120" s="1929" t="e">
        <f>($O$9*24)/((($N$8-$O120)/12)*(24-N120)*'Product Data'!$P$23)</f>
        <v>#N/A</v>
      </c>
    </row>
    <row r="121" spans="2:16" x14ac:dyDescent="0.25">
      <c r="B121" s="1927">
        <f t="shared" si="8"/>
        <v>0</v>
      </c>
      <c r="C121" s="1928">
        <v>2.8000000000001002E-3</v>
      </c>
      <c r="D121" s="1931" t="e">
        <f>($C$9*24)/((($B$8-$C121)/12)*(24-B121)*'Product Data'!$P$23)</f>
        <v>#N/A</v>
      </c>
      <c r="F121" s="1927">
        <f t="shared" si="9"/>
        <v>0</v>
      </c>
      <c r="G121" s="1928">
        <v>2.8000000000001002E-3</v>
      </c>
      <c r="H121" s="1931" t="e">
        <f>($G$9*24)/((($F$8-$G121)/12)*(24-F121)*'Product Data'!$P$23)</f>
        <v>#N/A</v>
      </c>
      <c r="J121" s="1927">
        <f t="shared" si="10"/>
        <v>0</v>
      </c>
      <c r="K121" s="1928">
        <v>2.8000000000001002E-3</v>
      </c>
      <c r="L121" s="1931" t="e">
        <f>($K$9*24)/((($J$8-$K121)/12)*(24-J121)*'Product Data'!$P$23)</f>
        <v>#N/A</v>
      </c>
      <c r="N121" s="1927">
        <f t="shared" si="11"/>
        <v>0</v>
      </c>
      <c r="O121" s="1928">
        <v>2.8000000000001002E-3</v>
      </c>
      <c r="P121" s="1929" t="e">
        <f>($O$9*24)/((($N$8-$O121)/12)*(24-N121)*'Product Data'!$P$23)</f>
        <v>#N/A</v>
      </c>
    </row>
    <row r="122" spans="2:16" x14ac:dyDescent="0.25">
      <c r="B122" s="1927">
        <f t="shared" si="8"/>
        <v>0</v>
      </c>
      <c r="C122" s="1928">
        <v>2.7000000000000999E-3</v>
      </c>
      <c r="D122" s="1931" t="e">
        <f>($C$9*24)/((($B$8-$C122)/12)*(24-B122)*'Product Data'!$P$23)</f>
        <v>#N/A</v>
      </c>
      <c r="F122" s="1927">
        <f t="shared" si="9"/>
        <v>0</v>
      </c>
      <c r="G122" s="1928">
        <v>2.7000000000000999E-3</v>
      </c>
      <c r="H122" s="1931" t="e">
        <f>($G$9*24)/((($F$8-$G122)/12)*(24-F122)*'Product Data'!$P$23)</f>
        <v>#N/A</v>
      </c>
      <c r="J122" s="1927">
        <f t="shared" si="10"/>
        <v>0</v>
      </c>
      <c r="K122" s="1928">
        <v>2.7000000000000999E-3</v>
      </c>
      <c r="L122" s="1931" t="e">
        <f>($K$9*24)/((($J$8-$K122)/12)*(24-J122)*'Product Data'!$P$23)</f>
        <v>#N/A</v>
      </c>
      <c r="N122" s="1927">
        <f t="shared" si="11"/>
        <v>0</v>
      </c>
      <c r="O122" s="1928">
        <v>2.7000000000000999E-3</v>
      </c>
      <c r="P122" s="1929" t="e">
        <f>($O$9*24)/((($N$8-$O122)/12)*(24-N122)*'Product Data'!$P$23)</f>
        <v>#N/A</v>
      </c>
    </row>
    <row r="123" spans="2:16" x14ac:dyDescent="0.25">
      <c r="B123" s="1927">
        <f t="shared" si="8"/>
        <v>0</v>
      </c>
      <c r="C123" s="1928">
        <v>2.6000000000001001E-3</v>
      </c>
      <c r="D123" s="1931" t="e">
        <f>($C$9*24)/((($B$8-$C123)/12)*(24-B123)*'Product Data'!$P$23)</f>
        <v>#N/A</v>
      </c>
      <c r="F123" s="1927">
        <f t="shared" si="9"/>
        <v>0</v>
      </c>
      <c r="G123" s="1928">
        <v>2.6000000000001001E-3</v>
      </c>
      <c r="H123" s="1931" t="e">
        <f>($G$9*24)/((($F$8-$G123)/12)*(24-F123)*'Product Data'!$P$23)</f>
        <v>#N/A</v>
      </c>
      <c r="J123" s="1927">
        <f t="shared" si="10"/>
        <v>0</v>
      </c>
      <c r="K123" s="1928">
        <v>2.6000000000001001E-3</v>
      </c>
      <c r="L123" s="1931" t="e">
        <f>($K$9*24)/((($J$8-$K123)/12)*(24-J123)*'Product Data'!$P$23)</f>
        <v>#N/A</v>
      </c>
      <c r="N123" s="1927">
        <f t="shared" si="11"/>
        <v>0</v>
      </c>
      <c r="O123" s="1928">
        <v>2.6000000000001001E-3</v>
      </c>
      <c r="P123" s="1929" t="e">
        <f>($O$9*24)/((($N$8-$O123)/12)*(24-N123)*'Product Data'!$P$23)</f>
        <v>#N/A</v>
      </c>
    </row>
    <row r="124" spans="2:16" x14ac:dyDescent="0.25">
      <c r="B124" s="1927">
        <f t="shared" si="8"/>
        <v>0</v>
      </c>
      <c r="C124" s="1928">
        <v>2.5000000000000998E-3</v>
      </c>
      <c r="D124" s="1931" t="e">
        <f>($C$9*24)/((($B$8-$C124)/12)*(24-B124)*'Product Data'!$P$23)</f>
        <v>#N/A</v>
      </c>
      <c r="F124" s="1927">
        <f t="shared" si="9"/>
        <v>0</v>
      </c>
      <c r="G124" s="1928">
        <v>2.5000000000000998E-3</v>
      </c>
      <c r="H124" s="1931" t="e">
        <f>($G$9*24)/((($F$8-$G124)/12)*(24-F124)*'Product Data'!$P$23)</f>
        <v>#N/A</v>
      </c>
      <c r="J124" s="1927">
        <f t="shared" si="10"/>
        <v>0</v>
      </c>
      <c r="K124" s="1928">
        <v>2.5000000000000998E-3</v>
      </c>
      <c r="L124" s="1931" t="e">
        <f>($K$9*24)/((($J$8-$K124)/12)*(24-J124)*'Product Data'!$P$23)</f>
        <v>#N/A</v>
      </c>
      <c r="N124" s="1927">
        <f t="shared" si="11"/>
        <v>0</v>
      </c>
      <c r="O124" s="1928">
        <v>2.5000000000000998E-3</v>
      </c>
      <c r="P124" s="1929" t="e">
        <f>($O$9*24)/((($N$8-$O124)/12)*(24-N124)*'Product Data'!$P$23)</f>
        <v>#N/A</v>
      </c>
    </row>
    <row r="125" spans="2:16" x14ac:dyDescent="0.25">
      <c r="B125" s="1927">
        <f t="shared" si="8"/>
        <v>0</v>
      </c>
      <c r="C125" s="1928">
        <v>2.4000000000001E-3</v>
      </c>
      <c r="D125" s="1931" t="e">
        <f>($C$9*24)/((($B$8-$C125)/12)*(24-B125)*'Product Data'!$P$23)</f>
        <v>#N/A</v>
      </c>
      <c r="F125" s="1927">
        <f t="shared" si="9"/>
        <v>0</v>
      </c>
      <c r="G125" s="1928">
        <v>2.4000000000001E-3</v>
      </c>
      <c r="H125" s="1931" t="e">
        <f>($G$9*24)/((($F$8-$G125)/12)*(24-F125)*'Product Data'!$P$23)</f>
        <v>#N/A</v>
      </c>
      <c r="J125" s="1927">
        <f t="shared" si="10"/>
        <v>0</v>
      </c>
      <c r="K125" s="1928">
        <v>2.4000000000001E-3</v>
      </c>
      <c r="L125" s="1931" t="e">
        <f>($K$9*24)/((($J$8-$K125)/12)*(24-J125)*'Product Data'!$P$23)</f>
        <v>#N/A</v>
      </c>
      <c r="N125" s="1927">
        <f t="shared" si="11"/>
        <v>0</v>
      </c>
      <c r="O125" s="1928">
        <v>2.4000000000001E-3</v>
      </c>
      <c r="P125" s="1929" t="e">
        <f>($O$9*24)/((($N$8-$O125)/12)*(24-N125)*'Product Data'!$P$23)</f>
        <v>#N/A</v>
      </c>
    </row>
    <row r="126" spans="2:16" x14ac:dyDescent="0.25">
      <c r="B126" s="1927">
        <f t="shared" si="8"/>
        <v>0</v>
      </c>
      <c r="C126" s="1928">
        <v>2.3000000000001001E-3</v>
      </c>
      <c r="D126" s="1931" t="e">
        <f>($C$9*24)/((($B$8-$C126)/12)*(24-B126)*'Product Data'!$P$23)</f>
        <v>#N/A</v>
      </c>
      <c r="F126" s="1927">
        <f t="shared" si="9"/>
        <v>0</v>
      </c>
      <c r="G126" s="1928">
        <v>2.3000000000001001E-3</v>
      </c>
      <c r="H126" s="1931" t="e">
        <f>($G$9*24)/((($F$8-$G126)/12)*(24-F126)*'Product Data'!$P$23)</f>
        <v>#N/A</v>
      </c>
      <c r="J126" s="1927">
        <f t="shared" si="10"/>
        <v>0</v>
      </c>
      <c r="K126" s="1928">
        <v>2.3000000000001001E-3</v>
      </c>
      <c r="L126" s="1931" t="e">
        <f>($K$9*24)/((($J$8-$K126)/12)*(24-J126)*'Product Data'!$P$23)</f>
        <v>#N/A</v>
      </c>
      <c r="N126" s="1927">
        <f t="shared" si="11"/>
        <v>0</v>
      </c>
      <c r="O126" s="1928">
        <v>2.3000000000001001E-3</v>
      </c>
      <c r="P126" s="1929" t="e">
        <f>($O$9*24)/((($N$8-$O126)/12)*(24-N126)*'Product Data'!$P$23)</f>
        <v>#N/A</v>
      </c>
    </row>
    <row r="127" spans="2:16" x14ac:dyDescent="0.25">
      <c r="B127" s="1927">
        <f t="shared" si="8"/>
        <v>0</v>
      </c>
      <c r="C127" s="1928">
        <v>2.2000000000000999E-3</v>
      </c>
      <c r="D127" s="1931" t="e">
        <f>($C$9*24)/((($B$8-$C127)/12)*(24-B127)*'Product Data'!$P$23)</f>
        <v>#N/A</v>
      </c>
      <c r="F127" s="1927">
        <f t="shared" si="9"/>
        <v>0</v>
      </c>
      <c r="G127" s="1928">
        <v>2.2000000000000999E-3</v>
      </c>
      <c r="H127" s="1931" t="e">
        <f>($G$9*24)/((($F$8-$G127)/12)*(24-F127)*'Product Data'!$P$23)</f>
        <v>#N/A</v>
      </c>
      <c r="J127" s="1927">
        <f t="shared" si="10"/>
        <v>0</v>
      </c>
      <c r="K127" s="1928">
        <v>2.2000000000000999E-3</v>
      </c>
      <c r="L127" s="1931" t="e">
        <f>($K$9*24)/((($J$8-$K127)/12)*(24-J127)*'Product Data'!$P$23)</f>
        <v>#N/A</v>
      </c>
      <c r="N127" s="1927">
        <f t="shared" si="11"/>
        <v>0</v>
      </c>
      <c r="O127" s="1928">
        <v>2.2000000000000999E-3</v>
      </c>
      <c r="P127" s="1929" t="e">
        <f>($O$9*24)/((($N$8-$O127)/12)*(24-N127)*'Product Data'!$P$23)</f>
        <v>#N/A</v>
      </c>
    </row>
    <row r="128" spans="2:16" x14ac:dyDescent="0.25">
      <c r="B128" s="1927">
        <f t="shared" si="8"/>
        <v>0</v>
      </c>
      <c r="C128" s="1928">
        <v>2.1000000000001001E-3</v>
      </c>
      <c r="D128" s="1931" t="e">
        <f>($C$9*24)/((($B$8-$C128)/12)*(24-B128)*'Product Data'!$P$23)</f>
        <v>#N/A</v>
      </c>
      <c r="F128" s="1927">
        <f t="shared" si="9"/>
        <v>0</v>
      </c>
      <c r="G128" s="1928">
        <v>2.1000000000001001E-3</v>
      </c>
      <c r="H128" s="1931" t="e">
        <f>($G$9*24)/((($F$8-$G128)/12)*(24-F128)*'Product Data'!$P$23)</f>
        <v>#N/A</v>
      </c>
      <c r="J128" s="1927">
        <f t="shared" si="10"/>
        <v>0</v>
      </c>
      <c r="K128" s="1928">
        <v>2.1000000000001001E-3</v>
      </c>
      <c r="L128" s="1931" t="e">
        <f>($K$9*24)/((($J$8-$K128)/12)*(24-J128)*'Product Data'!$P$23)</f>
        <v>#N/A</v>
      </c>
      <c r="N128" s="1927">
        <f t="shared" si="11"/>
        <v>0</v>
      </c>
      <c r="O128" s="1928">
        <v>2.1000000000001001E-3</v>
      </c>
      <c r="P128" s="1929" t="e">
        <f>($O$9*24)/((($N$8-$O128)/12)*(24-N128)*'Product Data'!$P$23)</f>
        <v>#N/A</v>
      </c>
    </row>
    <row r="129" spans="2:16" x14ac:dyDescent="0.25">
      <c r="B129" s="1927">
        <f t="shared" si="8"/>
        <v>0</v>
      </c>
      <c r="C129" s="1928">
        <v>2.0000000000000998E-3</v>
      </c>
      <c r="D129" s="1931" t="e">
        <f>($C$9*24)/((($B$8-$C129)/12)*(24-B129)*'Product Data'!$P$23)</f>
        <v>#N/A</v>
      </c>
      <c r="F129" s="1927">
        <f t="shared" si="9"/>
        <v>0</v>
      </c>
      <c r="G129" s="1928">
        <v>2.0000000000000998E-3</v>
      </c>
      <c r="H129" s="1931" t="e">
        <f>($G$9*24)/((($F$8-$G129)/12)*(24-F129)*'Product Data'!$P$23)</f>
        <v>#N/A</v>
      </c>
      <c r="J129" s="1927">
        <f t="shared" si="10"/>
        <v>0</v>
      </c>
      <c r="K129" s="1928">
        <v>2.0000000000000998E-3</v>
      </c>
      <c r="L129" s="1931" t="e">
        <f>($K$9*24)/((($J$8-$K129)/12)*(24-J129)*'Product Data'!$P$23)</f>
        <v>#N/A</v>
      </c>
      <c r="N129" s="1927">
        <f t="shared" si="11"/>
        <v>0</v>
      </c>
      <c r="O129" s="1928">
        <v>2.0000000000000998E-3</v>
      </c>
      <c r="P129" s="1929" t="e">
        <f>($O$9*24)/((($N$8-$O129)/12)*(24-N129)*'Product Data'!$P$23)</f>
        <v>#N/A</v>
      </c>
    </row>
    <row r="130" spans="2:16" x14ac:dyDescent="0.25">
      <c r="B130" s="1927">
        <f t="shared" si="8"/>
        <v>0</v>
      </c>
      <c r="C130" s="1928">
        <v>1.9000000000001E-3</v>
      </c>
      <c r="D130" s="1931" t="e">
        <f>($C$9*24)/((($B$8-$C130)/12)*(24-B130)*'Product Data'!$P$23)</f>
        <v>#N/A</v>
      </c>
      <c r="F130" s="1927">
        <f t="shared" si="9"/>
        <v>0</v>
      </c>
      <c r="G130" s="1928">
        <v>1.9000000000001E-3</v>
      </c>
      <c r="H130" s="1931" t="e">
        <f>($G$9*24)/((($F$8-$G130)/12)*(24-F130)*'Product Data'!$P$23)</f>
        <v>#N/A</v>
      </c>
      <c r="J130" s="1927">
        <f t="shared" si="10"/>
        <v>0</v>
      </c>
      <c r="K130" s="1928">
        <v>1.9000000000001E-3</v>
      </c>
      <c r="L130" s="1931" t="e">
        <f>($K$9*24)/((($J$8-$K130)/12)*(24-J130)*'Product Data'!$P$23)</f>
        <v>#N/A</v>
      </c>
      <c r="N130" s="1927">
        <f t="shared" si="11"/>
        <v>0</v>
      </c>
      <c r="O130" s="1928">
        <v>1.9000000000001E-3</v>
      </c>
      <c r="P130" s="1929" t="e">
        <f>($O$9*24)/((($N$8-$O130)/12)*(24-N130)*'Product Data'!$P$23)</f>
        <v>#N/A</v>
      </c>
    </row>
    <row r="131" spans="2:16" x14ac:dyDescent="0.25">
      <c r="B131" s="1927">
        <f t="shared" si="8"/>
        <v>0</v>
      </c>
      <c r="C131" s="1928">
        <v>1.8000000000000999E-3</v>
      </c>
      <c r="D131" s="1931" t="e">
        <f>($C$9*24)/((($B$8-$C131)/12)*(24-B131)*'Product Data'!$P$23)</f>
        <v>#N/A</v>
      </c>
      <c r="F131" s="1927">
        <f t="shared" si="9"/>
        <v>0</v>
      </c>
      <c r="G131" s="1928">
        <v>1.8000000000000999E-3</v>
      </c>
      <c r="H131" s="1931" t="e">
        <f>($G$9*24)/((($F$8-$G131)/12)*(24-F131)*'Product Data'!$P$23)</f>
        <v>#N/A</v>
      </c>
      <c r="J131" s="1927">
        <f t="shared" si="10"/>
        <v>0</v>
      </c>
      <c r="K131" s="1928">
        <v>1.8000000000000999E-3</v>
      </c>
      <c r="L131" s="1931" t="e">
        <f>($K$9*24)/((($J$8-$K131)/12)*(24-J131)*'Product Data'!$P$23)</f>
        <v>#N/A</v>
      </c>
      <c r="N131" s="1927">
        <f t="shared" si="11"/>
        <v>0</v>
      </c>
      <c r="O131" s="1928">
        <v>1.8000000000000999E-3</v>
      </c>
      <c r="P131" s="1929" t="e">
        <f>($O$9*24)/((($N$8-$O131)/12)*(24-N131)*'Product Data'!$P$23)</f>
        <v>#N/A</v>
      </c>
    </row>
    <row r="132" spans="2:16" x14ac:dyDescent="0.25">
      <c r="B132" s="1927">
        <f t="shared" si="8"/>
        <v>0</v>
      </c>
      <c r="C132" s="1928">
        <v>1.7000000000001001E-3</v>
      </c>
      <c r="D132" s="1931" t="e">
        <f>($C$9*24)/((($B$8-$C132)/12)*(24-B132)*'Product Data'!$P$23)</f>
        <v>#N/A</v>
      </c>
      <c r="F132" s="1927">
        <f t="shared" si="9"/>
        <v>0</v>
      </c>
      <c r="G132" s="1928">
        <v>1.7000000000001001E-3</v>
      </c>
      <c r="H132" s="1931" t="e">
        <f>($G$9*24)/((($F$8-$G132)/12)*(24-F132)*'Product Data'!$P$23)</f>
        <v>#N/A</v>
      </c>
      <c r="J132" s="1927">
        <f t="shared" si="10"/>
        <v>0</v>
      </c>
      <c r="K132" s="1928">
        <v>1.7000000000001001E-3</v>
      </c>
      <c r="L132" s="1931" t="e">
        <f>($K$9*24)/((($J$8-$K132)/12)*(24-J132)*'Product Data'!$P$23)</f>
        <v>#N/A</v>
      </c>
      <c r="N132" s="1927">
        <f t="shared" si="11"/>
        <v>0</v>
      </c>
      <c r="O132" s="1928">
        <v>1.7000000000001001E-3</v>
      </c>
      <c r="P132" s="1929" t="e">
        <f>($O$9*24)/((($N$8-$O132)/12)*(24-N132)*'Product Data'!$P$23)</f>
        <v>#N/A</v>
      </c>
    </row>
    <row r="133" spans="2:16" x14ac:dyDescent="0.25">
      <c r="B133" s="1927">
        <f t="shared" si="8"/>
        <v>0</v>
      </c>
      <c r="C133" s="1928">
        <v>1.6000000000001E-3</v>
      </c>
      <c r="D133" s="1931" t="e">
        <f>($C$9*24)/((($B$8-$C133)/12)*(24-B133)*'Product Data'!$P$23)</f>
        <v>#N/A</v>
      </c>
      <c r="F133" s="1927">
        <f t="shared" si="9"/>
        <v>0</v>
      </c>
      <c r="G133" s="1928">
        <v>1.6000000000001E-3</v>
      </c>
      <c r="H133" s="1931" t="e">
        <f>($G$9*24)/((($F$8-$G133)/12)*(24-F133)*'Product Data'!$P$23)</f>
        <v>#N/A</v>
      </c>
      <c r="J133" s="1927">
        <f t="shared" si="10"/>
        <v>0</v>
      </c>
      <c r="K133" s="1928">
        <v>1.6000000000001E-3</v>
      </c>
      <c r="L133" s="1931" t="e">
        <f>($K$9*24)/((($J$8-$K133)/12)*(24-J133)*'Product Data'!$P$23)</f>
        <v>#N/A</v>
      </c>
      <c r="N133" s="1927">
        <f t="shared" si="11"/>
        <v>0</v>
      </c>
      <c r="O133" s="1928">
        <v>1.6000000000001E-3</v>
      </c>
      <c r="P133" s="1929" t="e">
        <f>($O$9*24)/((($N$8-$O133)/12)*(24-N133)*'Product Data'!$P$23)</f>
        <v>#N/A</v>
      </c>
    </row>
    <row r="134" spans="2:16" x14ac:dyDescent="0.25">
      <c r="B134" s="1927">
        <f t="shared" si="8"/>
        <v>0</v>
      </c>
      <c r="C134" s="1928">
        <v>1.5000000000001E-3</v>
      </c>
      <c r="D134" s="1931" t="e">
        <f>($C$9*24)/((($B$8-$C134)/12)*(24-B134)*'Product Data'!$P$23)</f>
        <v>#N/A</v>
      </c>
      <c r="F134" s="1927">
        <f t="shared" si="9"/>
        <v>0</v>
      </c>
      <c r="G134" s="1928">
        <v>1.5000000000001E-3</v>
      </c>
      <c r="H134" s="1931" t="e">
        <f>($G$9*24)/((($F$8-$G134)/12)*(24-F134)*'Product Data'!$P$23)</f>
        <v>#N/A</v>
      </c>
      <c r="J134" s="1927">
        <f t="shared" si="10"/>
        <v>0</v>
      </c>
      <c r="K134" s="1928">
        <v>1.5000000000001E-3</v>
      </c>
      <c r="L134" s="1931" t="e">
        <f>($K$9*24)/((($J$8-$K134)/12)*(24-J134)*'Product Data'!$P$23)</f>
        <v>#N/A</v>
      </c>
      <c r="N134" s="1927">
        <f t="shared" si="11"/>
        <v>0</v>
      </c>
      <c r="O134" s="1928">
        <v>1.5000000000001E-3</v>
      </c>
      <c r="P134" s="1929" t="e">
        <f>($O$9*24)/((($N$8-$O134)/12)*(24-N134)*'Product Data'!$P$23)</f>
        <v>#N/A</v>
      </c>
    </row>
    <row r="135" spans="2:16" x14ac:dyDescent="0.25">
      <c r="B135" s="1927">
        <f t="shared" si="8"/>
        <v>0</v>
      </c>
      <c r="C135" s="1928">
        <v>1.4000000000000999E-3</v>
      </c>
      <c r="D135" s="1931" t="e">
        <f>($C$9*24)/((($B$8-$C135)/12)*(24-B135)*'Product Data'!$P$23)</f>
        <v>#N/A</v>
      </c>
      <c r="F135" s="1927">
        <f t="shared" si="9"/>
        <v>0</v>
      </c>
      <c r="G135" s="1928">
        <v>1.4000000000000999E-3</v>
      </c>
      <c r="H135" s="1931" t="e">
        <f>($G$9*24)/((($F$8-$G135)/12)*(24-F135)*'Product Data'!$P$23)</f>
        <v>#N/A</v>
      </c>
      <c r="J135" s="1927">
        <f t="shared" si="10"/>
        <v>0</v>
      </c>
      <c r="K135" s="1928">
        <v>1.4000000000000999E-3</v>
      </c>
      <c r="L135" s="1931" t="e">
        <f>($K$9*24)/((($J$8-$K135)/12)*(24-J135)*'Product Data'!$P$23)</f>
        <v>#N/A</v>
      </c>
      <c r="N135" s="1927">
        <f t="shared" si="11"/>
        <v>0</v>
      </c>
      <c r="O135" s="1928">
        <v>1.4000000000000999E-3</v>
      </c>
      <c r="P135" s="1929" t="e">
        <f>($O$9*24)/((($N$8-$O135)/12)*(24-N135)*'Product Data'!$P$23)</f>
        <v>#N/A</v>
      </c>
    </row>
    <row r="136" spans="2:16" x14ac:dyDescent="0.25">
      <c r="B136" s="1927">
        <f t="shared" si="8"/>
        <v>0</v>
      </c>
      <c r="C136" s="1928">
        <v>1.3000000000000999E-3</v>
      </c>
      <c r="D136" s="1931" t="e">
        <f>($C$9*24)/((($B$8-$C136)/12)*(24-B136)*'Product Data'!$P$23)</f>
        <v>#N/A</v>
      </c>
      <c r="F136" s="1927">
        <f t="shared" si="9"/>
        <v>0</v>
      </c>
      <c r="G136" s="1928">
        <v>1.3000000000000999E-3</v>
      </c>
      <c r="H136" s="1931" t="e">
        <f>($G$9*24)/((($F$8-$G136)/12)*(24-F136)*'Product Data'!$P$23)</f>
        <v>#N/A</v>
      </c>
      <c r="J136" s="1927">
        <f t="shared" si="10"/>
        <v>0</v>
      </c>
      <c r="K136" s="1928">
        <v>1.3000000000000999E-3</v>
      </c>
      <c r="L136" s="1931" t="e">
        <f>($K$9*24)/((($J$8-$K136)/12)*(24-J136)*'Product Data'!$P$23)</f>
        <v>#N/A</v>
      </c>
      <c r="N136" s="1927">
        <f t="shared" si="11"/>
        <v>0</v>
      </c>
      <c r="O136" s="1928">
        <v>1.3000000000000999E-3</v>
      </c>
      <c r="P136" s="1929" t="e">
        <f>($O$9*24)/((($N$8-$O136)/12)*(24-N136)*'Product Data'!$P$23)</f>
        <v>#N/A</v>
      </c>
    </row>
    <row r="137" spans="2:16" x14ac:dyDescent="0.25">
      <c r="B137" s="1927">
        <f t="shared" si="8"/>
        <v>0</v>
      </c>
      <c r="C137" s="1928">
        <v>1.2000000000001001E-3</v>
      </c>
      <c r="D137" s="1931" t="e">
        <f>($C$9*24)/((($B$8-$C137)/12)*(24-B137)*'Product Data'!$P$23)</f>
        <v>#N/A</v>
      </c>
      <c r="F137" s="1927">
        <f t="shared" si="9"/>
        <v>0</v>
      </c>
      <c r="G137" s="1928">
        <v>1.2000000000001001E-3</v>
      </c>
      <c r="H137" s="1931" t="e">
        <f>($G$9*24)/((($F$8-$G137)/12)*(24-F137)*'Product Data'!$P$23)</f>
        <v>#N/A</v>
      </c>
      <c r="J137" s="1927">
        <f t="shared" si="10"/>
        <v>0</v>
      </c>
      <c r="K137" s="1928">
        <v>1.2000000000001001E-3</v>
      </c>
      <c r="L137" s="1931" t="e">
        <f>($K$9*24)/((($J$8-$K137)/12)*(24-J137)*'Product Data'!$P$23)</f>
        <v>#N/A</v>
      </c>
      <c r="N137" s="1927">
        <f t="shared" si="11"/>
        <v>0</v>
      </c>
      <c r="O137" s="1928">
        <v>1.2000000000001001E-3</v>
      </c>
      <c r="P137" s="1929" t="e">
        <f>($O$9*24)/((($N$8-$O137)/12)*(24-N137)*'Product Data'!$P$23)</f>
        <v>#N/A</v>
      </c>
    </row>
    <row r="138" spans="2:16" x14ac:dyDescent="0.25">
      <c r="B138" s="1927">
        <f t="shared" si="8"/>
        <v>0</v>
      </c>
      <c r="C138" s="1928">
        <v>1.1000000000001E-3</v>
      </c>
      <c r="D138" s="1931" t="e">
        <f>($C$9*24)/((($B$8-$C138)/12)*(24-B138)*'Product Data'!$P$23)</f>
        <v>#N/A</v>
      </c>
      <c r="F138" s="1927">
        <f t="shared" si="9"/>
        <v>0</v>
      </c>
      <c r="G138" s="1928">
        <v>1.1000000000001E-3</v>
      </c>
      <c r="H138" s="1931" t="e">
        <f>($G$9*24)/((($F$8-$G138)/12)*(24-F138)*'Product Data'!$P$23)</f>
        <v>#N/A</v>
      </c>
      <c r="J138" s="1927">
        <f t="shared" si="10"/>
        <v>0</v>
      </c>
      <c r="K138" s="1928">
        <v>1.1000000000001E-3</v>
      </c>
      <c r="L138" s="1931" t="e">
        <f>($K$9*24)/((($J$8-$K138)/12)*(24-J138)*'Product Data'!$P$23)</f>
        <v>#N/A</v>
      </c>
      <c r="N138" s="1927">
        <f t="shared" si="11"/>
        <v>0</v>
      </c>
      <c r="O138" s="1928">
        <v>1.1000000000001E-3</v>
      </c>
      <c r="P138" s="1929" t="e">
        <f>($O$9*24)/((($N$8-$O138)/12)*(24-N138)*'Product Data'!$P$23)</f>
        <v>#N/A</v>
      </c>
    </row>
    <row r="139" spans="2:16" x14ac:dyDescent="0.25">
      <c r="B139" s="1927">
        <f t="shared" si="8"/>
        <v>0</v>
      </c>
      <c r="C139" s="1928">
        <v>1.0000000000001E-3</v>
      </c>
      <c r="D139" s="1931" t="e">
        <f>($C$9*24)/((($B$8-$C139)/12)*(24-B139)*'Product Data'!$P$23)</f>
        <v>#N/A</v>
      </c>
      <c r="F139" s="1927">
        <f t="shared" si="9"/>
        <v>0</v>
      </c>
      <c r="G139" s="1928">
        <v>1.0000000000001E-3</v>
      </c>
      <c r="H139" s="1931" t="e">
        <f>($G$9*24)/((($F$8-$G139)/12)*(24-F139)*'Product Data'!$P$23)</f>
        <v>#N/A</v>
      </c>
      <c r="J139" s="1927">
        <f t="shared" si="10"/>
        <v>0</v>
      </c>
      <c r="K139" s="1928">
        <v>1.0000000000001E-3</v>
      </c>
      <c r="L139" s="1931" t="e">
        <f>($K$9*24)/((($J$8-$K139)/12)*(24-J139)*'Product Data'!$P$23)</f>
        <v>#N/A</v>
      </c>
      <c r="N139" s="1927">
        <f t="shared" si="11"/>
        <v>0</v>
      </c>
      <c r="O139" s="1928">
        <v>1.0000000000001E-3</v>
      </c>
      <c r="P139" s="1929" t="e">
        <f>($O$9*24)/((($N$8-$O139)/12)*(24-N139)*'Product Data'!$P$23)</f>
        <v>#N/A</v>
      </c>
    </row>
    <row r="140" spans="2:16" x14ac:dyDescent="0.25">
      <c r="B140" s="1927">
        <f t="shared" si="8"/>
        <v>0</v>
      </c>
      <c r="C140" s="1928">
        <v>9.00000000000102E-4</v>
      </c>
      <c r="D140" s="1931" t="e">
        <f>($C$9*24)/((($B$8-$C140)/12)*(24-B140)*'Product Data'!$P$23)</f>
        <v>#N/A</v>
      </c>
      <c r="F140" s="1927">
        <f t="shared" si="9"/>
        <v>0</v>
      </c>
      <c r="G140" s="1928">
        <v>9.00000000000102E-4</v>
      </c>
      <c r="H140" s="1931" t="e">
        <f>($G$9*24)/((($F$8-$G140)/12)*(24-F140)*'Product Data'!$P$23)</f>
        <v>#N/A</v>
      </c>
      <c r="J140" s="1927">
        <f t="shared" si="10"/>
        <v>0</v>
      </c>
      <c r="K140" s="1928">
        <v>9.00000000000102E-4</v>
      </c>
      <c r="L140" s="1931" t="e">
        <f>($K$9*24)/((($J$8-$K140)/12)*(24-J140)*'Product Data'!$P$23)</f>
        <v>#N/A</v>
      </c>
      <c r="N140" s="1927">
        <f t="shared" si="11"/>
        <v>0</v>
      </c>
      <c r="O140" s="1928">
        <v>9.00000000000102E-4</v>
      </c>
      <c r="P140" s="1929" t="e">
        <f>($O$9*24)/((($N$8-$O140)/12)*(24-N140)*'Product Data'!$P$23)</f>
        <v>#N/A</v>
      </c>
    </row>
    <row r="141" spans="2:16" x14ac:dyDescent="0.25">
      <c r="B141" s="1927">
        <f t="shared" si="8"/>
        <v>0</v>
      </c>
      <c r="C141" s="1928">
        <v>8.0000000000009903E-4</v>
      </c>
      <c r="D141" s="1931" t="e">
        <f>($C$9*24)/((($B$8-$C141)/12)*(24-B141)*'Product Data'!$P$23)</f>
        <v>#N/A</v>
      </c>
      <c r="F141" s="1927">
        <f t="shared" si="9"/>
        <v>0</v>
      </c>
      <c r="G141" s="1928">
        <v>8.0000000000009903E-4</v>
      </c>
      <c r="H141" s="1931" t="e">
        <f>($G$9*24)/((($F$8-$G141)/12)*(24-F141)*'Product Data'!$P$23)</f>
        <v>#N/A</v>
      </c>
      <c r="J141" s="1927">
        <f t="shared" si="10"/>
        <v>0</v>
      </c>
      <c r="K141" s="1928">
        <v>8.0000000000009903E-4</v>
      </c>
      <c r="L141" s="1931" t="e">
        <f>($K$9*24)/((($J$8-$K141)/12)*(24-J141)*'Product Data'!$P$23)</f>
        <v>#N/A</v>
      </c>
      <c r="N141" s="1927">
        <f t="shared" si="11"/>
        <v>0</v>
      </c>
      <c r="O141" s="1928">
        <v>8.0000000000009903E-4</v>
      </c>
      <c r="P141" s="1929" t="e">
        <f>($O$9*24)/((($N$8-$O141)/12)*(24-N141)*'Product Data'!$P$23)</f>
        <v>#N/A</v>
      </c>
    </row>
    <row r="142" spans="2:16" x14ac:dyDescent="0.25">
      <c r="B142" s="1927">
        <f t="shared" si="8"/>
        <v>0</v>
      </c>
      <c r="C142" s="1928">
        <v>7.0000000000009996E-4</v>
      </c>
      <c r="D142" s="1931" t="e">
        <f>($C$9*24)/((($B$8-$C142)/12)*(24-B142)*'Product Data'!$P$23)</f>
        <v>#N/A</v>
      </c>
      <c r="F142" s="1927">
        <f t="shared" si="9"/>
        <v>0</v>
      </c>
      <c r="G142" s="1928">
        <v>7.0000000000009996E-4</v>
      </c>
      <c r="H142" s="1931" t="e">
        <f>($G$9*24)/((($F$8-$G142)/12)*(24-F142)*'Product Data'!$P$23)</f>
        <v>#N/A</v>
      </c>
      <c r="J142" s="1927">
        <f t="shared" si="10"/>
        <v>0</v>
      </c>
      <c r="K142" s="1928">
        <v>7.0000000000009996E-4</v>
      </c>
      <c r="L142" s="1931" t="e">
        <f>($K$9*24)/((($J$8-$K142)/12)*(24-J142)*'Product Data'!$P$23)</f>
        <v>#N/A</v>
      </c>
      <c r="N142" s="1927">
        <f t="shared" si="11"/>
        <v>0</v>
      </c>
      <c r="O142" s="1928">
        <v>7.0000000000009996E-4</v>
      </c>
      <c r="P142" s="1929" t="e">
        <f>($O$9*24)/((($N$8-$O142)/12)*(24-N142)*'Product Data'!$P$23)</f>
        <v>#N/A</v>
      </c>
    </row>
    <row r="143" spans="2:16" x14ac:dyDescent="0.25">
      <c r="B143" s="1927">
        <f t="shared" si="8"/>
        <v>0</v>
      </c>
      <c r="C143" s="1928">
        <v>6.0000000000010002E-4</v>
      </c>
      <c r="D143" s="1931" t="e">
        <f>($C$9*24)/((($B$8-$C143)/12)*(24-B143)*'Product Data'!$P$23)</f>
        <v>#N/A</v>
      </c>
      <c r="F143" s="1927">
        <f t="shared" si="9"/>
        <v>0</v>
      </c>
      <c r="G143" s="1928">
        <v>6.0000000000010002E-4</v>
      </c>
      <c r="H143" s="1931" t="e">
        <f>($G$9*24)/((($F$8-$G143)/12)*(24-F143)*'Product Data'!$P$23)</f>
        <v>#N/A</v>
      </c>
      <c r="J143" s="1927">
        <f t="shared" si="10"/>
        <v>0</v>
      </c>
      <c r="K143" s="1928">
        <v>6.0000000000010002E-4</v>
      </c>
      <c r="L143" s="1931" t="e">
        <f>($K$9*24)/((($J$8-$K143)/12)*(24-J143)*'Product Data'!$P$23)</f>
        <v>#N/A</v>
      </c>
      <c r="N143" s="1927">
        <f t="shared" si="11"/>
        <v>0</v>
      </c>
      <c r="O143" s="1928">
        <v>6.0000000000010002E-4</v>
      </c>
      <c r="P143" s="1929" t="e">
        <f>($O$9*24)/((($N$8-$O143)/12)*(24-N143)*'Product Data'!$P$23)</f>
        <v>#N/A</v>
      </c>
    </row>
    <row r="144" spans="2:16" x14ac:dyDescent="0.25">
      <c r="B144" s="1927">
        <f t="shared" si="8"/>
        <v>0</v>
      </c>
      <c r="C144" s="1928">
        <v>5.0000000000010095E-4</v>
      </c>
      <c r="D144" s="1931" t="e">
        <f>($C$9*24)/((($B$8-$C144)/12)*(24-B144)*'Product Data'!$P$23)</f>
        <v>#N/A</v>
      </c>
      <c r="F144" s="1927">
        <f t="shared" si="9"/>
        <v>0</v>
      </c>
      <c r="G144" s="1928">
        <v>5.0000000000010095E-4</v>
      </c>
      <c r="H144" s="1931" t="e">
        <f>($G$9*24)/((($F$8-$G144)/12)*(24-F144)*'Product Data'!$P$23)</f>
        <v>#N/A</v>
      </c>
      <c r="J144" s="1927">
        <f t="shared" si="10"/>
        <v>0</v>
      </c>
      <c r="K144" s="1928">
        <v>5.0000000000010095E-4</v>
      </c>
      <c r="L144" s="1931" t="e">
        <f>($K$9*24)/((($J$8-$K144)/12)*(24-J144)*'Product Data'!$P$23)</f>
        <v>#N/A</v>
      </c>
      <c r="N144" s="1927">
        <f t="shared" si="11"/>
        <v>0</v>
      </c>
      <c r="O144" s="1928">
        <v>5.0000000000010095E-4</v>
      </c>
      <c r="P144" s="1929" t="e">
        <f>($O$9*24)/((($N$8-$O144)/12)*(24-N144)*'Product Data'!$P$23)</f>
        <v>#N/A</v>
      </c>
    </row>
    <row r="145" spans="2:16" x14ac:dyDescent="0.25">
      <c r="B145" s="1927">
        <f t="shared" si="8"/>
        <v>0</v>
      </c>
      <c r="C145" s="1928">
        <v>4.0000000000010199E-4</v>
      </c>
      <c r="D145" s="1931" t="e">
        <f>($C$9*24)/((($B$8-$C145)/12)*(24-B145)*'Product Data'!$P$23)</f>
        <v>#N/A</v>
      </c>
      <c r="F145" s="1927">
        <f t="shared" si="9"/>
        <v>0</v>
      </c>
      <c r="G145" s="1928">
        <v>4.0000000000010199E-4</v>
      </c>
      <c r="H145" s="1931" t="e">
        <f>($G$9*24)/((($F$8-$G145)/12)*(24-F145)*'Product Data'!$P$23)</f>
        <v>#N/A</v>
      </c>
      <c r="J145" s="1927">
        <f t="shared" si="10"/>
        <v>0</v>
      </c>
      <c r="K145" s="1928">
        <v>4.0000000000010199E-4</v>
      </c>
      <c r="L145" s="1931" t="e">
        <f>($K$9*24)/((($J$8-$K145)/12)*(24-J145)*'Product Data'!$P$23)</f>
        <v>#N/A</v>
      </c>
      <c r="N145" s="1927">
        <f t="shared" si="11"/>
        <v>0</v>
      </c>
      <c r="O145" s="1928">
        <v>4.0000000000010199E-4</v>
      </c>
      <c r="P145" s="1929" t="e">
        <f>($O$9*24)/((($N$8-$O145)/12)*(24-N145)*'Product Data'!$P$23)</f>
        <v>#N/A</v>
      </c>
    </row>
    <row r="146" spans="2:16" x14ac:dyDescent="0.25">
      <c r="B146" s="1927">
        <f t="shared" si="8"/>
        <v>0</v>
      </c>
      <c r="C146" s="1928">
        <v>3.0000000000009902E-4</v>
      </c>
      <c r="D146" s="1931" t="e">
        <f>($C$9*24)/((($B$8-$C146)/12)*(24-B146)*'Product Data'!$P$23)</f>
        <v>#N/A</v>
      </c>
      <c r="F146" s="1927">
        <f t="shared" si="9"/>
        <v>0</v>
      </c>
      <c r="G146" s="1928">
        <v>3.0000000000009902E-4</v>
      </c>
      <c r="H146" s="1931" t="e">
        <f>($G$9*24)/((($F$8-$G146)/12)*(24-F146)*'Product Data'!$P$23)</f>
        <v>#N/A</v>
      </c>
      <c r="J146" s="1927">
        <f t="shared" si="10"/>
        <v>0</v>
      </c>
      <c r="K146" s="1928">
        <v>3.0000000000009902E-4</v>
      </c>
      <c r="L146" s="1931" t="e">
        <f>($K$9*24)/((($J$8-$K146)/12)*(24-J146)*'Product Data'!$P$23)</f>
        <v>#N/A</v>
      </c>
      <c r="N146" s="1927">
        <f t="shared" si="11"/>
        <v>0</v>
      </c>
      <c r="O146" s="1928">
        <v>3.0000000000009902E-4</v>
      </c>
      <c r="P146" s="1929" t="e">
        <f>($O$9*24)/((($N$8-$O146)/12)*(24-N146)*'Product Data'!$P$23)</f>
        <v>#N/A</v>
      </c>
    </row>
    <row r="147" spans="2:16" x14ac:dyDescent="0.25">
      <c r="B147" s="1927">
        <f t="shared" si="8"/>
        <v>0</v>
      </c>
      <c r="C147" s="1928">
        <v>2.00000000000099E-4</v>
      </c>
      <c r="D147" s="1931" t="e">
        <f>($C$9*24)/((($B$8-$C147)/12)*(24-B147)*'Product Data'!$P$23)</f>
        <v>#N/A</v>
      </c>
      <c r="F147" s="1927">
        <f t="shared" si="9"/>
        <v>0</v>
      </c>
      <c r="G147" s="1928">
        <v>2.00000000000099E-4</v>
      </c>
      <c r="H147" s="1931" t="e">
        <f>($G$9*24)/((($F$8-$G147)/12)*(24-F147)*'Product Data'!$P$23)</f>
        <v>#N/A</v>
      </c>
      <c r="J147" s="1927">
        <f t="shared" si="10"/>
        <v>0</v>
      </c>
      <c r="K147" s="1928">
        <v>2.00000000000099E-4</v>
      </c>
      <c r="L147" s="1931" t="e">
        <f>($K$9*24)/((($J$8-$K147)/12)*(24-J147)*'Product Data'!$P$23)</f>
        <v>#N/A</v>
      </c>
      <c r="N147" s="1927">
        <f t="shared" si="11"/>
        <v>0</v>
      </c>
      <c r="O147" s="1928">
        <v>2.00000000000099E-4</v>
      </c>
      <c r="P147" s="1929" t="e">
        <f>($O$9*24)/((($N$8-$O147)/12)*(24-N147)*'Product Data'!$P$23)</f>
        <v>#N/A</v>
      </c>
    </row>
    <row r="148" spans="2:16" x14ac:dyDescent="0.25">
      <c r="B148" s="1927">
        <f t="shared" si="8"/>
        <v>0</v>
      </c>
      <c r="C148" s="1928">
        <v>1.000000000001E-4</v>
      </c>
      <c r="D148" s="1931" t="e">
        <f>($C$9*24)/((($B$8-$C148)/12)*(24-B148)*'Product Data'!$P$23)</f>
        <v>#N/A</v>
      </c>
      <c r="F148" s="1927">
        <f t="shared" si="9"/>
        <v>0</v>
      </c>
      <c r="G148" s="1928">
        <v>1.000000000001E-4</v>
      </c>
      <c r="H148" s="1931" t="e">
        <f>($G$9*24)/((($F$8-$G148)/12)*(24-F148)*'Product Data'!$P$23)</f>
        <v>#N/A</v>
      </c>
      <c r="J148" s="1927">
        <f t="shared" si="10"/>
        <v>0</v>
      </c>
      <c r="K148" s="1928">
        <v>1.000000000001E-4</v>
      </c>
      <c r="L148" s="1931" t="e">
        <f>($K$9*24)/((($J$8-$K148)/12)*(24-J148)*'Product Data'!$P$23)</f>
        <v>#N/A</v>
      </c>
      <c r="N148" s="1927">
        <f t="shared" si="11"/>
        <v>0</v>
      </c>
      <c r="O148" s="1928">
        <v>1.000000000001E-4</v>
      </c>
      <c r="P148" s="1929" t="e">
        <f>($O$9*24)/((($N$8-$O148)/12)*(24-N148)*'Product Data'!$P$23)</f>
        <v>#N/A</v>
      </c>
    </row>
    <row r="149" spans="2:16" x14ac:dyDescent="0.25">
      <c r="B149" s="2431">
        <f t="shared" si="8"/>
        <v>0</v>
      </c>
      <c r="C149" s="2432">
        <v>1.00613961606655E-16</v>
      </c>
      <c r="D149" s="1931" t="e">
        <f>($C$9*24)/((($B$8-$C149)/12)*(24-B149)*'Product Data'!$P$23)</f>
        <v>#N/A</v>
      </c>
      <c r="F149" s="2431">
        <f t="shared" si="9"/>
        <v>0</v>
      </c>
      <c r="G149" s="2432">
        <v>1.00613961606655E-16</v>
      </c>
      <c r="H149" s="1931" t="e">
        <f>($G$9*24)/((($F$8-$G149)/12)*(24-F149)*'Product Data'!$P$23)</f>
        <v>#N/A</v>
      </c>
      <c r="J149" s="2431">
        <f t="shared" si="10"/>
        <v>0</v>
      </c>
      <c r="K149" s="2432">
        <v>1.00613961606655E-16</v>
      </c>
      <c r="L149" s="1931" t="e">
        <f>($K$9*24)/((($J$8-$K149)/12)*(24-J149)*'Product Data'!$P$23)</f>
        <v>#N/A</v>
      </c>
      <c r="N149" s="2431">
        <f t="shared" si="11"/>
        <v>0</v>
      </c>
      <c r="O149" s="2432">
        <v>1.00613961606655E-16</v>
      </c>
      <c r="P149" s="1929" t="e">
        <f>($O$9*24)/((($N$8-$O149)/12)*(24-N149)*'Product Data'!$P$23)</f>
        <v>#N/A</v>
      </c>
    </row>
    <row r="150" spans="2:16" x14ac:dyDescent="0.25">
      <c r="C150" s="2260"/>
      <c r="D150" s="2259"/>
      <c r="G150" s="2260"/>
      <c r="H150" s="2259"/>
      <c r="K150" s="2260"/>
      <c r="L150" s="2259"/>
      <c r="O150" s="2260"/>
      <c r="P150" s="2259"/>
    </row>
    <row r="151" spans="2:16" x14ac:dyDescent="0.25">
      <c r="C151" s="2260"/>
      <c r="D151" s="2259"/>
      <c r="G151" s="2260"/>
      <c r="H151" s="2259"/>
      <c r="K151" s="2260"/>
      <c r="L151" s="2259"/>
      <c r="O151" s="2260"/>
      <c r="P151" s="2259"/>
    </row>
    <row r="152" spans="2:16" x14ac:dyDescent="0.25">
      <c r="C152" s="2260"/>
      <c r="D152" s="2259"/>
      <c r="G152" s="2260"/>
      <c r="H152" s="2259"/>
      <c r="K152" s="2260"/>
      <c r="L152" s="2259"/>
      <c r="O152" s="2260"/>
      <c r="P152" s="2259"/>
    </row>
    <row r="153" spans="2:16" x14ac:dyDescent="0.25">
      <c r="C153" s="2260"/>
      <c r="D153" s="2259"/>
      <c r="G153" s="2260"/>
      <c r="H153" s="2259"/>
      <c r="K153" s="2260"/>
      <c r="L153" s="2259"/>
      <c r="O153" s="2260"/>
      <c r="P153" s="2259"/>
    </row>
    <row r="154" spans="2:16" x14ac:dyDescent="0.25">
      <c r="C154" s="2260"/>
      <c r="D154" s="2259"/>
      <c r="G154" s="2260"/>
      <c r="H154" s="2259"/>
      <c r="K154" s="2260"/>
      <c r="L154" s="2259"/>
      <c r="O154" s="2260"/>
      <c r="P154" s="2259"/>
    </row>
    <row r="155" spans="2:16" x14ac:dyDescent="0.25">
      <c r="C155" s="2260"/>
      <c r="D155" s="2259"/>
      <c r="G155" s="2260"/>
      <c r="H155" s="2259"/>
      <c r="K155" s="2260"/>
      <c r="L155" s="2259"/>
      <c r="O155" s="2260"/>
      <c r="P155" s="2259"/>
    </row>
    <row r="156" spans="2:16" x14ac:dyDescent="0.25">
      <c r="C156" s="2260"/>
      <c r="D156" s="2259"/>
      <c r="G156" s="2260"/>
      <c r="H156" s="2259"/>
      <c r="K156" s="2260"/>
      <c r="L156" s="2259"/>
      <c r="O156" s="2260"/>
      <c r="P156" s="2259"/>
    </row>
    <row r="157" spans="2:16" x14ac:dyDescent="0.25">
      <c r="C157" s="2260"/>
      <c r="D157" s="2259"/>
      <c r="G157" s="2260"/>
      <c r="H157" s="2259"/>
      <c r="K157" s="2260"/>
      <c r="L157" s="2259"/>
      <c r="O157" s="2260"/>
      <c r="P157" s="2259"/>
    </row>
    <row r="158" spans="2:16" x14ac:dyDescent="0.25">
      <c r="C158" s="2260"/>
      <c r="D158" s="2259"/>
      <c r="G158" s="2260"/>
      <c r="H158" s="2259"/>
      <c r="K158" s="2260"/>
      <c r="L158" s="2259"/>
      <c r="O158" s="2260"/>
      <c r="P158" s="2259"/>
    </row>
    <row r="159" spans="2:16" x14ac:dyDescent="0.25">
      <c r="C159" s="2260"/>
      <c r="D159" s="2259"/>
      <c r="G159" s="2260"/>
      <c r="H159" s="2259"/>
      <c r="K159" s="2260"/>
      <c r="L159" s="2259"/>
      <c r="O159" s="2260"/>
      <c r="P159" s="2259"/>
    </row>
    <row r="160" spans="2:16" x14ac:dyDescent="0.25">
      <c r="C160" s="2260"/>
      <c r="D160" s="2259"/>
      <c r="G160" s="2260"/>
      <c r="H160" s="2259"/>
      <c r="K160" s="2260"/>
      <c r="L160" s="2259"/>
      <c r="O160" s="2260"/>
      <c r="P160" s="2259"/>
    </row>
    <row r="161" spans="3:16" x14ac:dyDescent="0.25">
      <c r="C161" s="2260"/>
      <c r="D161" s="2259"/>
      <c r="G161" s="2260"/>
      <c r="H161" s="2259"/>
      <c r="K161" s="2260"/>
      <c r="L161" s="2259"/>
      <c r="O161" s="2260"/>
      <c r="P161" s="2259"/>
    </row>
    <row r="162" spans="3:16" x14ac:dyDescent="0.25">
      <c r="C162" s="2260"/>
      <c r="D162" s="2259"/>
      <c r="G162" s="2260"/>
      <c r="H162" s="2259"/>
      <c r="K162" s="2260"/>
      <c r="L162" s="2259"/>
      <c r="O162" s="2260"/>
      <c r="P162" s="2259"/>
    </row>
    <row r="163" spans="3:16" x14ac:dyDescent="0.25">
      <c r="C163" s="2260"/>
      <c r="D163" s="2259"/>
      <c r="G163" s="2260"/>
      <c r="H163" s="2259"/>
      <c r="K163" s="2260"/>
      <c r="L163" s="2259"/>
      <c r="O163" s="2260"/>
      <c r="P163" s="2259"/>
    </row>
    <row r="164" spans="3:16" x14ac:dyDescent="0.25">
      <c r="C164" s="2260"/>
      <c r="D164" s="2259"/>
      <c r="G164" s="2260"/>
      <c r="H164" s="2259"/>
      <c r="K164" s="2260"/>
      <c r="L164" s="2259"/>
      <c r="O164" s="2260"/>
      <c r="P164" s="2259"/>
    </row>
    <row r="165" spans="3:16" x14ac:dyDescent="0.25">
      <c r="C165" s="2260"/>
      <c r="D165" s="2259"/>
      <c r="G165" s="2260"/>
      <c r="H165" s="2259"/>
      <c r="K165" s="2260"/>
      <c r="L165" s="2259"/>
      <c r="O165" s="2260"/>
      <c r="P165" s="2259"/>
    </row>
    <row r="166" spans="3:16" x14ac:dyDescent="0.25">
      <c r="C166" s="2260"/>
      <c r="D166" s="2259"/>
      <c r="G166" s="2260"/>
      <c r="H166" s="2259"/>
      <c r="K166" s="2260"/>
      <c r="L166" s="2259"/>
      <c r="O166" s="2260"/>
      <c r="P166" s="2259"/>
    </row>
    <row r="167" spans="3:16" x14ac:dyDescent="0.25">
      <c r="C167" s="2260"/>
      <c r="D167" s="2259"/>
      <c r="G167" s="2260"/>
      <c r="H167" s="2259"/>
      <c r="K167" s="2260"/>
      <c r="L167" s="2259"/>
      <c r="O167" s="2260"/>
      <c r="P167" s="2259"/>
    </row>
    <row r="168" spans="3:16" x14ac:dyDescent="0.25">
      <c r="C168" s="2260"/>
      <c r="D168" s="2259"/>
      <c r="G168" s="2260"/>
      <c r="H168" s="2259"/>
      <c r="K168" s="2260"/>
      <c r="L168" s="2259"/>
      <c r="O168" s="2260"/>
      <c r="P168" s="2259"/>
    </row>
    <row r="169" spans="3:16" x14ac:dyDescent="0.25">
      <c r="C169" s="2260"/>
      <c r="D169" s="2259"/>
      <c r="G169" s="2260"/>
      <c r="H169" s="2259"/>
      <c r="K169" s="2260"/>
      <c r="L169" s="2259"/>
      <c r="O169" s="2260"/>
      <c r="P169" s="2259"/>
    </row>
    <row r="170" spans="3:16" x14ac:dyDescent="0.25">
      <c r="C170" s="2260"/>
      <c r="D170" s="2259"/>
      <c r="G170" s="2260"/>
      <c r="H170" s="2259"/>
      <c r="K170" s="2260"/>
      <c r="L170" s="2259"/>
      <c r="O170" s="2260"/>
      <c r="P170" s="2259"/>
    </row>
    <row r="171" spans="3:16" x14ac:dyDescent="0.25">
      <c r="C171" s="2260"/>
      <c r="D171" s="2259"/>
      <c r="G171" s="2260"/>
      <c r="H171" s="2259"/>
      <c r="K171" s="2260"/>
      <c r="L171" s="2259"/>
      <c r="O171" s="2260"/>
      <c r="P171" s="2259"/>
    </row>
    <row r="172" spans="3:16" x14ac:dyDescent="0.25">
      <c r="C172" s="2260"/>
      <c r="D172" s="2259"/>
      <c r="G172" s="2260"/>
      <c r="H172" s="2259"/>
      <c r="K172" s="2260"/>
      <c r="L172" s="2259"/>
      <c r="O172" s="2260"/>
      <c r="P172" s="2259"/>
    </row>
    <row r="173" spans="3:16" x14ac:dyDescent="0.25">
      <c r="C173" s="2260"/>
      <c r="D173" s="2259"/>
      <c r="G173" s="2260"/>
      <c r="H173" s="2259"/>
      <c r="K173" s="2260"/>
      <c r="L173" s="2259"/>
      <c r="O173" s="2260"/>
      <c r="P173" s="2259"/>
    </row>
    <row r="174" spans="3:16" x14ac:dyDescent="0.25">
      <c r="C174" s="2260"/>
      <c r="D174" s="2259"/>
      <c r="G174" s="2260"/>
      <c r="H174" s="2259"/>
      <c r="K174" s="2260"/>
      <c r="L174" s="2259"/>
      <c r="O174" s="2260"/>
      <c r="P174" s="2259"/>
    </row>
    <row r="175" spans="3:16" x14ac:dyDescent="0.25">
      <c r="C175" s="2260"/>
      <c r="D175" s="2259"/>
      <c r="G175" s="2260"/>
      <c r="H175" s="2259"/>
      <c r="K175" s="2260"/>
      <c r="L175" s="2259"/>
      <c r="O175" s="2260"/>
      <c r="P175" s="2259"/>
    </row>
    <row r="176" spans="3:16" x14ac:dyDescent="0.25">
      <c r="C176" s="2260"/>
      <c r="D176" s="2259"/>
      <c r="G176" s="2260"/>
      <c r="H176" s="2259"/>
      <c r="K176" s="2260"/>
      <c r="L176" s="2259"/>
      <c r="O176" s="2260"/>
      <c r="P176" s="2259"/>
    </row>
    <row r="177" spans="3:16" x14ac:dyDescent="0.25">
      <c r="C177" s="2260"/>
      <c r="D177" s="2259"/>
      <c r="G177" s="2260"/>
      <c r="H177" s="2259"/>
      <c r="K177" s="2260"/>
      <c r="L177" s="2259"/>
      <c r="O177" s="2260"/>
      <c r="P177" s="2259"/>
    </row>
    <row r="178" spans="3:16" x14ac:dyDescent="0.25">
      <c r="C178" s="2260"/>
      <c r="D178" s="2259"/>
      <c r="G178" s="2260"/>
      <c r="H178" s="2259"/>
      <c r="K178" s="2260"/>
      <c r="L178" s="2259"/>
      <c r="O178" s="2260"/>
      <c r="P178" s="2259"/>
    </row>
    <row r="179" spans="3:16" x14ac:dyDescent="0.25">
      <c r="C179" s="2260"/>
      <c r="D179" s="2259"/>
      <c r="G179" s="2260"/>
      <c r="H179" s="2259"/>
      <c r="K179" s="2260"/>
      <c r="L179" s="2259"/>
      <c r="O179" s="2260"/>
      <c r="P179" s="2259"/>
    </row>
    <row r="180" spans="3:16" x14ac:dyDescent="0.25">
      <c r="C180" s="2260"/>
      <c r="D180" s="2259"/>
      <c r="G180" s="2260"/>
      <c r="H180" s="2259"/>
      <c r="K180" s="2260"/>
      <c r="L180" s="2259"/>
      <c r="O180" s="2260"/>
      <c r="P180" s="2259"/>
    </row>
    <row r="181" spans="3:16" x14ac:dyDescent="0.25">
      <c r="C181" s="2260"/>
      <c r="D181" s="2259"/>
      <c r="G181" s="2260"/>
      <c r="H181" s="2259"/>
      <c r="K181" s="2260"/>
      <c r="L181" s="2259"/>
      <c r="O181" s="2260"/>
      <c r="P181" s="2259"/>
    </row>
    <row r="182" spans="3:16" x14ac:dyDescent="0.25">
      <c r="C182" s="2260"/>
      <c r="D182" s="2259"/>
      <c r="G182" s="2260"/>
      <c r="H182" s="2259"/>
      <c r="K182" s="2260"/>
      <c r="L182" s="2259"/>
      <c r="O182" s="2260"/>
      <c r="P182" s="2259"/>
    </row>
    <row r="183" spans="3:16" x14ac:dyDescent="0.25">
      <c r="C183" s="2260"/>
      <c r="D183" s="2259"/>
      <c r="G183" s="2260"/>
      <c r="H183" s="2259"/>
      <c r="K183" s="2260"/>
      <c r="L183" s="2259"/>
      <c r="O183" s="2260"/>
      <c r="P183" s="2259"/>
    </row>
    <row r="184" spans="3:16" x14ac:dyDescent="0.25">
      <c r="C184" s="2260"/>
      <c r="D184" s="2259"/>
      <c r="G184" s="2260"/>
      <c r="H184" s="2259"/>
      <c r="K184" s="2260"/>
      <c r="L184" s="2259"/>
      <c r="O184" s="2260"/>
      <c r="P184" s="2259"/>
    </row>
    <row r="185" spans="3:16" x14ac:dyDescent="0.25">
      <c r="C185" s="2260"/>
      <c r="D185" s="2259"/>
      <c r="G185" s="2260"/>
      <c r="H185" s="2259"/>
      <c r="K185" s="2260"/>
      <c r="L185" s="2259"/>
      <c r="O185" s="2260"/>
      <c r="P185" s="2259"/>
    </row>
    <row r="186" spans="3:16" x14ac:dyDescent="0.25">
      <c r="C186" s="2260"/>
      <c r="D186" s="2259"/>
      <c r="G186" s="2260"/>
      <c r="H186" s="2259"/>
      <c r="K186" s="2260"/>
      <c r="L186" s="2259"/>
      <c r="O186" s="2260"/>
      <c r="P186" s="2259"/>
    </row>
    <row r="187" spans="3:16" x14ac:dyDescent="0.25">
      <c r="C187" s="2260"/>
      <c r="D187" s="2259"/>
      <c r="G187" s="2260"/>
      <c r="H187" s="2259"/>
      <c r="K187" s="2260"/>
      <c r="L187" s="2259"/>
      <c r="O187" s="2260"/>
      <c r="P187" s="2259"/>
    </row>
    <row r="188" spans="3:16" x14ac:dyDescent="0.25">
      <c r="C188" s="2260"/>
      <c r="D188" s="2259"/>
      <c r="G188" s="2260"/>
      <c r="H188" s="2259"/>
      <c r="K188" s="2260"/>
      <c r="L188" s="2259"/>
      <c r="O188" s="2260"/>
      <c r="P188" s="2259"/>
    </row>
    <row r="189" spans="3:16" x14ac:dyDescent="0.25">
      <c r="C189" s="2260"/>
      <c r="D189" s="2259"/>
      <c r="G189" s="2260"/>
      <c r="H189" s="2259"/>
      <c r="K189" s="2260"/>
      <c r="L189" s="2259"/>
      <c r="O189" s="2260"/>
      <c r="P189" s="2259"/>
    </row>
    <row r="190" spans="3:16" x14ac:dyDescent="0.25">
      <c r="C190" s="2260"/>
      <c r="D190" s="2259"/>
      <c r="G190" s="2260"/>
      <c r="H190" s="2259"/>
      <c r="K190" s="2260"/>
      <c r="L190" s="2259"/>
      <c r="O190" s="2260"/>
      <c r="P190" s="2259"/>
    </row>
    <row r="191" spans="3:16" x14ac:dyDescent="0.25">
      <c r="C191" s="2260"/>
      <c r="D191" s="2259"/>
      <c r="G191" s="2260"/>
      <c r="H191" s="2259"/>
      <c r="K191" s="2260"/>
      <c r="L191" s="2259"/>
      <c r="O191" s="2260"/>
      <c r="P191" s="2259"/>
    </row>
    <row r="192" spans="3:16" x14ac:dyDescent="0.25">
      <c r="C192" s="2260"/>
      <c r="D192" s="2259"/>
      <c r="G192" s="2260"/>
      <c r="H192" s="2259"/>
      <c r="K192" s="2260"/>
      <c r="L192" s="2259"/>
      <c r="O192" s="2260"/>
      <c r="P192" s="2259"/>
    </row>
    <row r="193" spans="3:16" x14ac:dyDescent="0.25">
      <c r="C193" s="2260"/>
      <c r="D193" s="2259"/>
      <c r="G193" s="2260"/>
      <c r="H193" s="2259"/>
      <c r="K193" s="2260"/>
      <c r="L193" s="2259"/>
      <c r="O193" s="2260"/>
      <c r="P193" s="2259"/>
    </row>
    <row r="194" spans="3:16" x14ac:dyDescent="0.25">
      <c r="C194" s="2260"/>
      <c r="D194" s="2259"/>
      <c r="G194" s="2260"/>
      <c r="H194" s="2259"/>
      <c r="K194" s="2260"/>
      <c r="L194" s="2259"/>
      <c r="O194" s="2260"/>
      <c r="P194" s="2259"/>
    </row>
    <row r="195" spans="3:16" x14ac:dyDescent="0.25">
      <c r="C195" s="2260"/>
      <c r="D195" s="2259"/>
      <c r="G195" s="2260"/>
      <c r="H195" s="2259"/>
      <c r="K195" s="2260"/>
      <c r="L195" s="2259"/>
      <c r="O195" s="2260"/>
      <c r="P195" s="2259"/>
    </row>
    <row r="196" spans="3:16" x14ac:dyDescent="0.25">
      <c r="C196" s="2260"/>
      <c r="D196" s="2259"/>
      <c r="G196" s="2260"/>
      <c r="H196" s="2259"/>
      <c r="K196" s="2260"/>
      <c r="L196" s="2259"/>
      <c r="O196" s="2260"/>
      <c r="P196" s="2259"/>
    </row>
    <row r="197" spans="3:16" x14ac:dyDescent="0.25">
      <c r="C197" s="2260"/>
      <c r="D197" s="2259"/>
      <c r="G197" s="2260"/>
      <c r="H197" s="2259"/>
      <c r="K197" s="2260"/>
      <c r="L197" s="2259"/>
      <c r="O197" s="2260"/>
      <c r="P197" s="2259"/>
    </row>
    <row r="198" spans="3:16" x14ac:dyDescent="0.25">
      <c r="C198" s="2260"/>
      <c r="D198" s="2259"/>
      <c r="G198" s="2260"/>
      <c r="H198" s="2259"/>
      <c r="K198" s="2260"/>
      <c r="L198" s="2259"/>
      <c r="O198" s="2260"/>
      <c r="P198" s="2259"/>
    </row>
    <row r="199" spans="3:16" x14ac:dyDescent="0.25">
      <c r="C199" s="2260"/>
      <c r="D199" s="2259"/>
      <c r="G199" s="2260"/>
      <c r="H199" s="2259"/>
      <c r="K199" s="2260"/>
      <c r="L199" s="2259"/>
      <c r="O199" s="2260"/>
      <c r="P199" s="2259"/>
    </row>
    <row r="200" spans="3:16" x14ac:dyDescent="0.25">
      <c r="C200" s="2260"/>
      <c r="D200" s="2259"/>
      <c r="G200" s="2260"/>
      <c r="H200" s="2259"/>
      <c r="K200" s="2260"/>
      <c r="L200" s="2259"/>
      <c r="O200" s="2260"/>
      <c r="P200" s="2259"/>
    </row>
    <row r="201" spans="3:16" x14ac:dyDescent="0.25">
      <c r="C201" s="2260"/>
      <c r="D201" s="2259"/>
      <c r="G201" s="2260"/>
      <c r="H201" s="2259"/>
      <c r="K201" s="2260"/>
      <c r="L201" s="2259"/>
      <c r="O201" s="2260"/>
      <c r="P201" s="2259"/>
    </row>
    <row r="202" spans="3:16" x14ac:dyDescent="0.25">
      <c r="C202" s="2260"/>
      <c r="D202" s="2259"/>
      <c r="G202" s="2260"/>
      <c r="H202" s="2259"/>
      <c r="K202" s="2260"/>
      <c r="L202" s="2259"/>
      <c r="O202" s="2260"/>
      <c r="P202" s="2259"/>
    </row>
    <row r="203" spans="3:16" x14ac:dyDescent="0.25">
      <c r="C203" s="2260"/>
      <c r="D203" s="2259"/>
      <c r="G203" s="2260"/>
      <c r="H203" s="2259"/>
      <c r="K203" s="2260"/>
      <c r="L203" s="2259"/>
      <c r="O203" s="2260"/>
      <c r="P203" s="2259"/>
    </row>
    <row r="204" spans="3:16" x14ac:dyDescent="0.25">
      <c r="C204" s="2260"/>
      <c r="D204" s="2259"/>
      <c r="G204" s="2260"/>
      <c r="H204" s="2259"/>
      <c r="K204" s="2260"/>
      <c r="L204" s="2259"/>
      <c r="O204" s="2260"/>
      <c r="P204" s="2259"/>
    </row>
    <row r="205" spans="3:16" x14ac:dyDescent="0.25">
      <c r="C205" s="2260"/>
      <c r="D205" s="2259"/>
      <c r="G205" s="2260"/>
      <c r="H205" s="2259"/>
      <c r="K205" s="2260"/>
      <c r="L205" s="2259"/>
      <c r="O205" s="2260"/>
      <c r="P205" s="2259"/>
    </row>
    <row r="206" spans="3:16" x14ac:dyDescent="0.25">
      <c r="C206" s="2260"/>
      <c r="D206" s="2259"/>
      <c r="G206" s="2260"/>
      <c r="H206" s="2259"/>
      <c r="K206" s="2260"/>
      <c r="L206" s="2259"/>
      <c r="O206" s="2260"/>
      <c r="P206" s="2259"/>
    </row>
    <row r="207" spans="3:16" x14ac:dyDescent="0.25">
      <c r="C207" s="2260"/>
      <c r="D207" s="2259"/>
      <c r="G207" s="2260"/>
      <c r="H207" s="2259"/>
      <c r="K207" s="2260"/>
      <c r="L207" s="2259"/>
      <c r="O207" s="2260"/>
      <c r="P207" s="2259"/>
    </row>
    <row r="208" spans="3:16" x14ac:dyDescent="0.25">
      <c r="C208" s="2260"/>
      <c r="D208" s="2259"/>
      <c r="G208" s="2260"/>
      <c r="H208" s="2259"/>
      <c r="K208" s="2260"/>
      <c r="L208" s="2259"/>
      <c r="O208" s="2260"/>
      <c r="P208" s="2259"/>
    </row>
    <row r="209" spans="3:16" x14ac:dyDescent="0.25">
      <c r="C209" s="2260"/>
      <c r="D209" s="2259"/>
      <c r="G209" s="2260"/>
      <c r="H209" s="2259"/>
      <c r="K209" s="2260"/>
      <c r="L209" s="2259"/>
      <c r="O209" s="2260"/>
      <c r="P209" s="2259"/>
    </row>
    <row r="210" spans="3:16" x14ac:dyDescent="0.25">
      <c r="C210" s="2260"/>
      <c r="D210" s="2259"/>
      <c r="G210" s="2260"/>
      <c r="H210" s="2259"/>
      <c r="K210" s="2260"/>
      <c r="L210" s="2259"/>
      <c r="O210" s="2260"/>
      <c r="P210" s="2259"/>
    </row>
    <row r="211" spans="3:16" x14ac:dyDescent="0.25">
      <c r="C211" s="2260"/>
      <c r="D211" s="2259"/>
      <c r="G211" s="2260"/>
      <c r="H211" s="2259"/>
      <c r="K211" s="2260"/>
      <c r="L211" s="2259"/>
      <c r="O211" s="2260"/>
      <c r="P211" s="2259"/>
    </row>
    <row r="212" spans="3:16" x14ac:dyDescent="0.25">
      <c r="C212" s="2260"/>
      <c r="D212" s="2259"/>
      <c r="G212" s="2260"/>
      <c r="H212" s="2259"/>
      <c r="K212" s="2260"/>
      <c r="L212" s="2259"/>
      <c r="O212" s="2260"/>
      <c r="P212" s="2259"/>
    </row>
    <row r="213" spans="3:16" x14ac:dyDescent="0.25">
      <c r="C213" s="2260"/>
      <c r="D213" s="2259"/>
      <c r="G213" s="2260"/>
      <c r="H213" s="2259"/>
      <c r="K213" s="2260"/>
      <c r="L213" s="2259"/>
      <c r="O213" s="2260"/>
      <c r="P213" s="2259"/>
    </row>
    <row r="214" spans="3:16" x14ac:dyDescent="0.25">
      <c r="C214" s="2260"/>
      <c r="D214" s="2259"/>
      <c r="G214" s="2260"/>
      <c r="H214" s="2259"/>
      <c r="K214" s="2260"/>
      <c r="L214" s="2259"/>
      <c r="O214" s="2260"/>
      <c r="P214" s="2259"/>
    </row>
    <row r="215" spans="3:16" x14ac:dyDescent="0.25">
      <c r="C215" s="2260"/>
      <c r="D215" s="2259"/>
      <c r="G215" s="2260"/>
      <c r="H215" s="2259"/>
      <c r="K215" s="2260"/>
      <c r="L215" s="2259"/>
      <c r="O215" s="2260"/>
      <c r="P215" s="2259"/>
    </row>
    <row r="216" spans="3:16" x14ac:dyDescent="0.25">
      <c r="C216" s="2260"/>
      <c r="D216" s="2259"/>
      <c r="G216" s="2260"/>
      <c r="H216" s="2259"/>
      <c r="K216" s="2260"/>
      <c r="L216" s="2259"/>
      <c r="O216" s="2260"/>
      <c r="P216" s="2259"/>
    </row>
    <row r="217" spans="3:16" x14ac:dyDescent="0.25">
      <c r="C217" s="2260"/>
      <c r="D217" s="2259"/>
      <c r="G217" s="2260"/>
      <c r="H217" s="2259"/>
      <c r="K217" s="2260"/>
      <c r="L217" s="2259"/>
      <c r="O217" s="2260"/>
      <c r="P217" s="2259"/>
    </row>
    <row r="218" spans="3:16" x14ac:dyDescent="0.25">
      <c r="C218" s="2260"/>
      <c r="D218" s="2259"/>
      <c r="G218" s="2260"/>
      <c r="H218" s="2259"/>
      <c r="K218" s="2260"/>
      <c r="L218" s="2259"/>
      <c r="O218" s="2260"/>
      <c r="P218" s="2259"/>
    </row>
    <row r="219" spans="3:16" x14ac:dyDescent="0.25">
      <c r="C219" s="2260"/>
      <c r="D219" s="2259"/>
      <c r="G219" s="2260"/>
      <c r="H219" s="2259"/>
      <c r="K219" s="2260"/>
      <c r="L219" s="2259"/>
      <c r="O219" s="2260"/>
      <c r="P219" s="2259"/>
    </row>
    <row r="220" spans="3:16" x14ac:dyDescent="0.25">
      <c r="C220" s="2260"/>
      <c r="D220" s="2259"/>
      <c r="G220" s="2260"/>
      <c r="H220" s="2259"/>
      <c r="K220" s="2260"/>
      <c r="L220" s="2259"/>
      <c r="O220" s="2260"/>
      <c r="P220" s="2259"/>
    </row>
    <row r="221" spans="3:16" x14ac:dyDescent="0.25">
      <c r="C221" s="2260"/>
      <c r="D221" s="2259"/>
      <c r="G221" s="2260"/>
      <c r="H221" s="2259"/>
      <c r="K221" s="2260"/>
      <c r="L221" s="2259"/>
      <c r="O221" s="2260"/>
      <c r="P221" s="2259"/>
    </row>
    <row r="222" spans="3:16" x14ac:dyDescent="0.25">
      <c r="C222" s="2260"/>
      <c r="D222" s="2259"/>
      <c r="G222" s="2260"/>
      <c r="H222" s="2259"/>
      <c r="K222" s="2260"/>
      <c r="L222" s="2259"/>
      <c r="O222" s="2260"/>
      <c r="P222" s="2259"/>
    </row>
    <row r="223" spans="3:16" x14ac:dyDescent="0.25">
      <c r="C223" s="2260"/>
      <c r="D223" s="2259"/>
      <c r="G223" s="2260"/>
      <c r="H223" s="2259"/>
      <c r="K223" s="2260"/>
      <c r="L223" s="2259"/>
      <c r="O223" s="2260"/>
      <c r="P223" s="2259"/>
    </row>
    <row r="224" spans="3:16" x14ac:dyDescent="0.25">
      <c r="C224" s="2260"/>
      <c r="D224" s="2259"/>
      <c r="G224" s="2260"/>
      <c r="H224" s="2259"/>
      <c r="K224" s="2260"/>
      <c r="L224" s="2259"/>
      <c r="O224" s="2260"/>
      <c r="P224" s="2259"/>
    </row>
  </sheetData>
  <mergeCells count="14">
    <mergeCell ref="N2:P2"/>
    <mergeCell ref="N3:P4"/>
    <mergeCell ref="R13:S13"/>
    <mergeCell ref="B2:D2"/>
    <mergeCell ref="F2:H2"/>
    <mergeCell ref="J2:L2"/>
    <mergeCell ref="B3:D4"/>
    <mergeCell ref="F3:H4"/>
    <mergeCell ref="J3:L4"/>
    <mergeCell ref="U8:U9"/>
    <mergeCell ref="R9:T9"/>
    <mergeCell ref="R10:S10"/>
    <mergeCell ref="R11:S11"/>
    <mergeCell ref="R12:S1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1E8BC-4DCE-4BC7-9D33-24DD8FC77BCB}">
  <sheetPr codeName="Sheet10">
    <tabColor rgb="FFFF0000"/>
  </sheetPr>
  <dimension ref="A1:AA283"/>
  <sheetViews>
    <sheetView topLeftCell="F2" zoomScale="70" zoomScaleNormal="70" workbookViewId="0">
      <selection activeCell="V33" sqref="V33"/>
    </sheetView>
  </sheetViews>
  <sheetFormatPr defaultRowHeight="15" x14ac:dyDescent="0.25"/>
  <cols>
    <col min="1" max="1" width="11.5703125" style="1" customWidth="1"/>
    <col min="2" max="2" width="23" style="1558" customWidth="1"/>
    <col min="3" max="4" width="17" style="1558" customWidth="1"/>
    <col min="5" max="5" width="4.28515625" style="1" customWidth="1"/>
    <col min="6" max="6" width="23" style="1558" customWidth="1"/>
    <col min="7" max="8" width="17" style="1558" customWidth="1"/>
    <col min="9" max="9" width="4.28515625" style="1" customWidth="1"/>
    <col min="10" max="10" width="23" style="1558" customWidth="1"/>
    <col min="11" max="12" width="17" style="1558" customWidth="1"/>
    <col min="13" max="13" width="2.85546875" style="1" customWidth="1"/>
    <col min="14" max="14" width="23" style="1558" customWidth="1"/>
    <col min="15" max="16" width="17" style="1558" customWidth="1"/>
    <col min="17" max="17" width="2.85546875" style="1" customWidth="1"/>
    <col min="18" max="20" width="22.85546875" style="1" customWidth="1"/>
    <col min="21" max="22" width="28.85546875" style="1" customWidth="1"/>
    <col min="23" max="23" width="12.85546875" style="1" bestFit="1" customWidth="1"/>
    <col min="24" max="16384" width="9.140625" style="1"/>
  </cols>
  <sheetData>
    <row r="1" spans="1:27" ht="77.25" customHeight="1" thickBot="1" x14ac:dyDescent="0.3">
      <c r="G1" s="1943" t="s">
        <v>436</v>
      </c>
      <c r="J1" s="1942"/>
      <c r="K1" s="1942"/>
      <c r="L1" s="1941" t="s">
        <v>437</v>
      </c>
      <c r="N1" s="1942"/>
      <c r="O1" s="1942"/>
      <c r="P1" s="1941"/>
    </row>
    <row r="2" spans="1:27" ht="35.25" customHeight="1" thickBot="1" x14ac:dyDescent="0.3">
      <c r="B2" s="3521" t="s">
        <v>438</v>
      </c>
      <c r="C2" s="3522"/>
      <c r="D2" s="3523"/>
      <c r="F2" s="3524" t="s">
        <v>439</v>
      </c>
      <c r="G2" s="3525"/>
      <c r="H2" s="3526"/>
      <c r="J2" s="3527" t="s">
        <v>440</v>
      </c>
      <c r="K2" s="3528"/>
      <c r="L2" s="3529"/>
      <c r="N2" s="3536" t="s">
        <v>3818</v>
      </c>
      <c r="O2" s="3537"/>
      <c r="P2" s="3538"/>
    </row>
    <row r="3" spans="1:27" ht="32.25" customHeight="1" x14ac:dyDescent="0.25">
      <c r="B3" s="3530" t="e">
        <f>IF(T10&gt;0,R15&amp;IF(T7&lt;T10,"
"&amp;R16,""),R14)</f>
        <v>#N/A</v>
      </c>
      <c r="C3" s="3531"/>
      <c r="D3" s="3532"/>
      <c r="F3" s="3530" t="e">
        <f>IF(T11&gt;0,R19&amp;IF(T7&lt;T11,"
"&amp;R20,""),R18)</f>
        <v>#N/A</v>
      </c>
      <c r="G3" s="3531"/>
      <c r="H3" s="3532"/>
      <c r="J3" s="3530" t="e">
        <f>IF(T12&gt;0,R23&amp;IF(T7&lt;T12,"
"&amp;R24,""),R22)</f>
        <v>#N/A</v>
      </c>
      <c r="K3" s="3531"/>
      <c r="L3" s="3532"/>
      <c r="N3" s="3530" t="e">
        <f>IF(T13&gt;0,R26&amp;IF(T4&lt;T13,"
"&amp;R27,""),R25)</f>
        <v>#N/A</v>
      </c>
      <c r="O3" s="3531"/>
      <c r="P3" s="3532"/>
      <c r="R3" s="898" t="s">
        <v>441</v>
      </c>
    </row>
    <row r="4" spans="1:27" ht="32.25" customHeight="1" thickBot="1" x14ac:dyDescent="0.3">
      <c r="B4" s="3533"/>
      <c r="C4" s="3534"/>
      <c r="D4" s="3535"/>
      <c r="F4" s="3533"/>
      <c r="G4" s="3534"/>
      <c r="H4" s="3535"/>
      <c r="J4" s="3533"/>
      <c r="K4" s="3534"/>
      <c r="L4" s="3535"/>
      <c r="N4" s="3533"/>
      <c r="O4" s="3534"/>
      <c r="P4" s="3535"/>
      <c r="R4" s="1927" t="s">
        <v>442</v>
      </c>
      <c r="S4" s="1933">
        <v>0.2</v>
      </c>
      <c r="T4" s="1929">
        <f>'BTL Calculator'!V9*S7</f>
        <v>0</v>
      </c>
      <c r="U4" s="1926">
        <f>T4-'BTL Calculator'!O80</f>
        <v>0</v>
      </c>
      <c r="V4" s="1926"/>
    </row>
    <row r="5" spans="1:27" ht="18.75" thickBot="1" x14ac:dyDescent="0.3">
      <c r="R5" s="1927" t="s">
        <v>442</v>
      </c>
      <c r="S5" s="1933">
        <v>0.2</v>
      </c>
      <c r="T5" s="1929">
        <f>'BTL Calculator'!V9*S7</f>
        <v>0</v>
      </c>
      <c r="U5" s="1926">
        <f>T5-'BTL Calculator'!F80</f>
        <v>0</v>
      </c>
      <c r="V5" s="1926"/>
    </row>
    <row r="6" spans="1:27" ht="18.75" thickBot="1" x14ac:dyDescent="0.3">
      <c r="B6" s="1944" t="s">
        <v>443</v>
      </c>
      <c r="C6" s="1947" t="str">
        <f>IF(B24&gt;-1,B24&amp;"m Rolled","")</f>
        <v>0m Rolled</v>
      </c>
      <c r="D6" s="1945">
        <f>IF(C6="","",_xlfn.MINIFS(C24:C224,D24:D224,"&gt;="&amp;D8))</f>
        <v>1.00613961606655E-16</v>
      </c>
      <c r="F6" s="1944" t="s">
        <v>443</v>
      </c>
      <c r="G6" s="1947" t="str">
        <f>IF(F24&gt;-1,F24&amp;"m Rolled","")</f>
        <v>0m Rolled</v>
      </c>
      <c r="H6" s="1945">
        <f>IF(G6="","",_xlfn.MINIFS(G24:G224,H24:H224,"&gt;="&amp;H8))</f>
        <v>1.00613961606655E-16</v>
      </c>
      <c r="J6" s="1944" t="s">
        <v>443</v>
      </c>
      <c r="K6" s="1947" t="str">
        <f>IF(J24&gt;-1,J24&amp;"m Rolled","")</f>
        <v>0m Rolled</v>
      </c>
      <c r="L6" s="1945">
        <f>IF(K6="","",_xlfn.MINIFS(K24:K224,L24:L224,"&gt;="&amp;L8))</f>
        <v>1.00613961606655E-16</v>
      </c>
      <c r="N6" s="1944" t="s">
        <v>443</v>
      </c>
      <c r="O6" s="1947" t="str">
        <f>IF(N24&gt;-1,N24&amp;"m Rolled","")</f>
        <v>0m Rolled</v>
      </c>
      <c r="P6" s="1945">
        <f>IF(O6="","",_xlfn.MINIFS(O24:O224,P24:P224,"&gt;="&amp;P8))</f>
        <v>1.00613961606655E-16</v>
      </c>
      <c r="R6" s="1927" t="s">
        <v>442</v>
      </c>
      <c r="S6" s="1933">
        <v>0.2</v>
      </c>
      <c r="T6" s="1929">
        <f>'BTL Calculator'!V9*S7</f>
        <v>0</v>
      </c>
      <c r="U6" s="1926">
        <f>T6-'BTL Calculator'!I80</f>
        <v>0</v>
      </c>
      <c r="V6" s="1926"/>
    </row>
    <row r="7" spans="1:27" ht="18" x14ac:dyDescent="0.25">
      <c r="B7" s="2477"/>
      <c r="C7" s="1"/>
      <c r="D7" s="1"/>
      <c r="F7" s="2477"/>
      <c r="G7" s="1"/>
      <c r="H7" s="1"/>
      <c r="J7" s="2478"/>
      <c r="K7" s="2265"/>
      <c r="L7" s="1"/>
      <c r="O7" s="1"/>
      <c r="P7" s="1"/>
      <c r="R7" s="1927" t="s">
        <v>442</v>
      </c>
      <c r="S7" s="1933">
        <v>0.2</v>
      </c>
      <c r="T7" s="1929">
        <f>'BTL Calculator'!V9*S7</f>
        <v>0</v>
      </c>
      <c r="U7" s="1926">
        <f>T7-'BTL Calculator'!L80</f>
        <v>0</v>
      </c>
      <c r="V7" s="1926"/>
    </row>
    <row r="8" spans="1:27" x14ac:dyDescent="0.25">
      <c r="A8" s="2338" t="str">
        <f>Product_Selected</f>
        <v>1) Standard</v>
      </c>
      <c r="B8" s="1928" t="e">
        <f>VLOOKUP(A8,R31:U34,4,0)</f>
        <v>#N/A</v>
      </c>
      <c r="C8" s="1932">
        <v>0.02</v>
      </c>
      <c r="D8" s="1929" t="e">
        <f>Property_Value*VLOOKUP(A8,R31:W34,6,0)</f>
        <v>#N/A</v>
      </c>
      <c r="F8" s="1928" t="e">
        <f>VLOOKUP(A8,R31:T34,3,0)</f>
        <v>#N/A</v>
      </c>
      <c r="G8" s="1932">
        <v>0.02</v>
      </c>
      <c r="H8" s="1929" t="e">
        <f>Property_Value*VLOOKUP(A8,R31:W34,6,0)</f>
        <v>#N/A</v>
      </c>
      <c r="J8" s="1928" t="e">
        <f>VLOOKUP(A8,R31:S34,2,0)</f>
        <v>#N/A</v>
      </c>
      <c r="K8" s="1932">
        <v>0.02</v>
      </c>
      <c r="L8" s="1929" t="e">
        <f>(Property_Value*VLOOKUP(A8,R31:W34,6,0))</f>
        <v>#N/A</v>
      </c>
      <c r="N8" s="1928" t="e">
        <f>VLOOKUP(A8,R31:Y34,5,0)</f>
        <v>#N/A</v>
      </c>
      <c r="O8" s="1928">
        <v>0.02</v>
      </c>
      <c r="P8" s="1929" t="e">
        <f>(Property_Value*VLOOKUP(A8,R31:W34,6,0))</f>
        <v>#N/A</v>
      </c>
      <c r="R8" s="1558"/>
      <c r="S8" s="1558"/>
      <c r="T8" s="1936"/>
      <c r="U8" s="3540" t="s">
        <v>444</v>
      </c>
      <c r="V8" s="2636"/>
    </row>
    <row r="9" spans="1:27" ht="15.75" thickBot="1" x14ac:dyDescent="0.3">
      <c r="B9" s="1936" t="e">
        <f>D8-(D8*D6/12)*24-((B8-D6)/12*B24*D8)-(D8*U30)</f>
        <v>#N/A</v>
      </c>
      <c r="C9" s="1929">
        <f>IF('BTL Calculator'!V5="3 Year Fixed",'KB_CRITERIA AND CALCULATION '!AO90/36,IF('BTL Calculator'!V5="5 Year Fixed",'KB_CRITERIA AND CALCULATION '!AO90/60,'KB_CRITERIA AND CALCULATION '!AO90/24))</f>
        <v>0</v>
      </c>
      <c r="D9" s="1558">
        <f>'BTL Calculator'!$V$9</f>
        <v>0</v>
      </c>
      <c r="F9" s="1936" t="e">
        <f>H8-(H8*H6/12)*24-((F8-H6)/12*F24*H8)-(H8*T30)</f>
        <v>#N/A</v>
      </c>
      <c r="G9" s="1929">
        <f>IF('BTL Calculator'!V5="3 Year Fixed",'KB_CRITERIA AND CALCULATION '!AO90/36,IF('BTL Calculator'!V5="5 Year Fixed",'KB_CRITERIA AND CALCULATION '!AO90/60,'KB_CRITERIA AND CALCULATION '!AO90/24))</f>
        <v>0</v>
      </c>
      <c r="H9" s="1558">
        <f>'BTL Calculator'!$V$9</f>
        <v>0</v>
      </c>
      <c r="J9" s="1936" t="e">
        <f>L8-(L8*L6/12)*24-((J8-L6)/12*J24*L8)-(L8*S30)</f>
        <v>#N/A</v>
      </c>
      <c r="K9" s="1929">
        <f>IF('BTL Calculator'!V5="3 Year Fixed",'KB_CRITERIA AND CALCULATION '!AO90/36,IF('BTL Calculator'!V5="5 Year Fixed",'KB_CRITERIA AND CALCULATION '!AO90/60,'KB_CRITERIA AND CALCULATION '!AO90/24))</f>
        <v>0</v>
      </c>
      <c r="L9" s="1558">
        <f>'BTL Calculator'!$V$9</f>
        <v>0</v>
      </c>
      <c r="N9" s="2249" t="e">
        <f>P8-(P8*P6/12)*60-((N8-P6)/12*N24*P8)-(P8*V30)</f>
        <v>#N/A</v>
      </c>
      <c r="O9" s="1929">
        <f>IF('BTL Calculator'!V5="3 Year Fixed",'KB_CRITERIA AND CALCULATION '!AO90/36,IF('BTL Calculator'!V5="5 Year Fixed",'KB_CRITERIA AND CALCULATION '!AO90/60,'KB_CRITERIA AND CALCULATION '!AO90/24))</f>
        <v>0</v>
      </c>
      <c r="P9" s="1558">
        <f>'BTL Calculator'!$V$9</f>
        <v>0</v>
      </c>
      <c r="R9" s="3542"/>
      <c r="S9" s="3542"/>
      <c r="T9" s="3542"/>
      <c r="U9" s="3541"/>
      <c r="V9" s="2636"/>
      <c r="Y9" s="1" t="s">
        <v>367</v>
      </c>
      <c r="Z9" s="1" t="s">
        <v>367</v>
      </c>
      <c r="AA9" s="1" t="s">
        <v>367</v>
      </c>
    </row>
    <row r="10" spans="1:27" ht="15.75" thickBot="1" x14ac:dyDescent="0.3">
      <c r="B10" s="1936" t="e">
        <f>IF(T7&lt;T10,U10,B9)</f>
        <v>#N/A</v>
      </c>
      <c r="C10" s="1936"/>
      <c r="F10" s="1936" t="e">
        <f>IF(T7&lt;T11,U11,F9)</f>
        <v>#N/A</v>
      </c>
      <c r="J10" s="1936" t="e">
        <f>IF(T7&lt;T12,U12,J9)</f>
        <v>#N/A</v>
      </c>
      <c r="N10" s="2249" t="e">
        <f>IF(T4&lt;T13,U13,N9)</f>
        <v>#N/A</v>
      </c>
      <c r="R10" s="3543" t="s">
        <v>445</v>
      </c>
      <c r="S10" s="3544"/>
      <c r="T10" s="1938" t="e">
        <f>((D8-C21)*(((($B$8-BBR+'Product Data'!$K$3-'KB Model Suggestions Tr 2yr'!$C$8)/12)*(24-'KB Model Suggestions Tr 2yr'!$B$21)*'Product Data'!$P$18)))/24</f>
        <v>#N/A</v>
      </c>
      <c r="U10" s="1929" t="e">
        <f>(($C$9+U5)*24)/((($B$8-BBR+'Product Data'!$K$3-'KB Model Suggestions Tr 2yr'!$C$8)/12)*(24-'KB Model Suggestions Tr 2yr'!$B$21)*'Product Data'!$P$18)</f>
        <v>#N/A</v>
      </c>
      <c r="V10" s="1929"/>
      <c r="W10" s="1934" t="e">
        <f>((D8-(($D$9*24)/((($B$8-BBR+'Product Data'!$K$3-'KB Model Suggestions Tr 2yr'!$C$8)/12)*(24-'KB Model Suggestions Tr 2yr'!$B$21)*'Product Data'!$P$18)))*(((($B$8-BBR+'Product Data'!$K$3-'KB Model Suggestions Tr 2yr'!$C$8)/12)*(24-'KB Model Suggestions Tr 2yr'!$B$21)*'Product Data'!$P$18)))/24</f>
        <v>#N/A</v>
      </c>
    </row>
    <row r="11" spans="1:27" ht="15.75" thickBot="1" x14ac:dyDescent="0.3">
      <c r="B11" s="1937" t="s">
        <v>446</v>
      </c>
      <c r="C11" s="1937" t="s">
        <v>293</v>
      </c>
      <c r="D11" s="1937" t="s">
        <v>447</v>
      </c>
      <c r="F11" s="1937" t="s">
        <v>446</v>
      </c>
      <c r="G11" s="1937" t="s">
        <v>293</v>
      </c>
      <c r="H11" s="1937" t="s">
        <v>447</v>
      </c>
      <c r="J11" s="1937" t="s">
        <v>446</v>
      </c>
      <c r="K11" s="1937" t="s">
        <v>293</v>
      </c>
      <c r="L11" s="1937" t="s">
        <v>447</v>
      </c>
      <c r="N11" s="1937" t="s">
        <v>446</v>
      </c>
      <c r="O11" s="1937" t="s">
        <v>293</v>
      </c>
      <c r="P11" s="1937" t="s">
        <v>447</v>
      </c>
      <c r="R11" s="3545" t="s">
        <v>448</v>
      </c>
      <c r="S11" s="3546"/>
      <c r="T11" s="1939" t="e">
        <f>((H8-G21)*(((($F$8-BBR+'Product Data'!$K$3-'KB Model Suggestions Tr 2yr'!$G$8)/12)*(24-'KB Model Suggestions Tr 2yr'!$F$21)*'Product Data'!$P$18)))/24</f>
        <v>#N/A</v>
      </c>
      <c r="U11" s="1929" t="e">
        <f>(($G$9+U6)*24)/((($F$8-BBR+'Product Data'!$K$3-'KB Model Suggestions Tr 2yr'!$G$8)/12)*(24-'KB Model Suggestions Tr 2yr'!F21)*'Product Data'!$P$18)</f>
        <v>#N/A</v>
      </c>
      <c r="V11" s="1929"/>
      <c r="W11" s="1934" t="e">
        <f>((H8-(($H$9*24)/((($F$8-BBR+'Product Data'!$K$3-'KB Model Suggestions Tr 2yr'!$G$8)/12)*(24-'KB Model Suggestions Tr 2yr'!F21)*'Product Data'!$P$18)))*(((($F$8-BBR+'Product Data'!$K$3-'KB Model Suggestions Tr 2yr'!$G$8)/12)*(24-'KB Model Suggestions Tr 2yr'!$F$21)*'Product Data'!$P$18)))/24</f>
        <v>#N/A</v>
      </c>
    </row>
    <row r="12" spans="1:27" ht="15.75" thickBot="1" x14ac:dyDescent="0.3">
      <c r="B12" s="1927">
        <v>0</v>
      </c>
      <c r="C12" s="1929" t="e">
        <f>($C$9*24)/((($B$8-BBR+'Product Data'!$K$3-'KB Model Suggestions Tr 2yr'!$C$8)/12)*(24-'KB Model Suggestions Tr 2yr'!B12)*'Product Data'!$P$18)</f>
        <v>#N/A</v>
      </c>
      <c r="D12" s="1930" t="e">
        <f t="shared" ref="D12:D21" si="0">$D$8/C12</f>
        <v>#N/A</v>
      </c>
      <c r="F12" s="1927">
        <v>0</v>
      </c>
      <c r="G12" s="1929" t="e">
        <f>($G$9*24)/((($F$8-BBR+'Product Data'!$K$3-'KB Model Suggestions Tr 2yr'!$G$8)/12)*(24-'KB Model Suggestions Tr 2yr'!F12)*'Product Data'!$P$18)</f>
        <v>#N/A</v>
      </c>
      <c r="H12" s="1930" t="e">
        <f t="shared" ref="H12:H21" si="1">$D$8/G12</f>
        <v>#N/A</v>
      </c>
      <c r="J12" s="1927">
        <v>0</v>
      </c>
      <c r="K12" s="1929" t="e">
        <f>($K$9*24)/((($J$8-BBR+'Product Data'!$K$2-'KB Model Suggestions Tr 2yr'!$K$8)/12)*(24-'KB Model Suggestions Tr 2yr'!J12)*'Product Data'!$P$18)</f>
        <v>#N/A</v>
      </c>
      <c r="L12" s="1930" t="e">
        <f t="shared" ref="L12:L21" si="2">$D$8/K12</f>
        <v>#N/A</v>
      </c>
      <c r="N12" s="1927">
        <v>0</v>
      </c>
      <c r="O12" s="1929" t="e">
        <f>($O$9*24)/((($N$8-BBR+'Product Data'!$K$2-'KB Model Suggestions Tr 2yr'!$O$8)/12)*(24-'KB Model Suggestions Tr 2yr'!N12)*'Product Data'!$P$18)</f>
        <v>#N/A</v>
      </c>
      <c r="P12" s="1930" t="e">
        <f t="shared" ref="P12:P21" si="3">$D$8/O12</f>
        <v>#N/A</v>
      </c>
      <c r="R12" s="3547" t="s">
        <v>449</v>
      </c>
      <c r="S12" s="3548"/>
      <c r="T12" s="1940" t="e">
        <f>((L8-K21)*(((($J$8-BBR+'Product Data'!$K$3-'KB Model Suggestions Tr 2yr'!$K$8)/12)*(24-'KB Model Suggestions Tr 2yr'!$J$21)*'Product Data'!$P$18)))/24</f>
        <v>#N/A</v>
      </c>
      <c r="U12" s="1929" t="e">
        <f>(($K$9+U7)*24)/((($J$8-BBR+'Product Data'!$K$3-'KB Model Suggestions Tr 2yr'!$K$8)/12)*(24-'KB Model Suggestions Tr 2yr'!J21)*'Product Data'!$P$18)</f>
        <v>#N/A</v>
      </c>
      <c r="V12" s="1929"/>
      <c r="W12" s="1934" t="e">
        <f>((L8-(($L$9*24)/((($J$8-BBR+'Product Data'!$K$2-'KB Model Suggestions Tr 2yr'!$K$8)/12)*(24-'KB Model Suggestions Tr 2yr'!J21)*'Product Data'!$P$18)))*(((($J$8-BBR+'Product Data'!$K$2-'KB Model Suggestions Tr 2yr'!$K$8)/12)*(24-'KB Model Suggestions Tr 2yr'!$J$21)*'Product Data'!$P$18)))/24</f>
        <v>#N/A</v>
      </c>
    </row>
    <row r="13" spans="1:27" ht="15.75" thickBot="1" x14ac:dyDescent="0.3">
      <c r="B13" s="1927">
        <v>1</v>
      </c>
      <c r="C13" s="1929" t="e">
        <f>($C$9*24)/((($B$8-BBR+'Product Data'!$K$3-'KB Model Suggestions Tr 2yr'!$C$8)/12)*(24-'KB Model Suggestions Tr 2yr'!B13)*'Product Data'!$P$18)</f>
        <v>#N/A</v>
      </c>
      <c r="D13" s="1930" t="e">
        <f t="shared" si="0"/>
        <v>#N/A</v>
      </c>
      <c r="F13" s="1927">
        <v>1</v>
      </c>
      <c r="G13" s="1929" t="e">
        <f>($G$9*24)/((($F$8-BBR+'Product Data'!$K$3-'KB Model Suggestions Tr 2yr'!$G$8)/12)*(24-'KB Model Suggestions Tr 2yr'!F13)*'Product Data'!$P$18)</f>
        <v>#N/A</v>
      </c>
      <c r="H13" s="1930" t="e">
        <f t="shared" si="1"/>
        <v>#N/A</v>
      </c>
      <c r="J13" s="1927">
        <v>1</v>
      </c>
      <c r="K13" s="1929" t="e">
        <f>($K$9*24)/((($J$8-BBR+'Product Data'!$K$2-'KB Model Suggestions Tr 2yr'!$K$8)/12)*(24-'KB Model Suggestions Tr 2yr'!J13)*'Product Data'!$P$18)</f>
        <v>#N/A</v>
      </c>
      <c r="L13" s="1930" t="e">
        <f t="shared" si="2"/>
        <v>#N/A</v>
      </c>
      <c r="N13" s="1927">
        <v>1</v>
      </c>
      <c r="O13" s="1929" t="e">
        <f>($O$9*24)/((($N$8-BBR+'Product Data'!$K$2-'KB Model Suggestions Tr 2yr'!$O$8)/12)*(24-'KB Model Suggestions Tr 2yr'!N13)*'Product Data'!$P$18)</f>
        <v>#N/A</v>
      </c>
      <c r="P13" s="1930" t="e">
        <f t="shared" si="3"/>
        <v>#N/A</v>
      </c>
      <c r="R13" s="3550" t="s">
        <v>3819</v>
      </c>
      <c r="S13" s="3552"/>
      <c r="T13" s="2684" t="e">
        <f>((P8-O21)*(((($N$8-BBR+'Product Data'!$K$3-'KB Model Suggestions Tr 2yr'!$O$8)/12)*(24-'KB Model Suggestions Tr 2yr'!$N$21)*'Product Data'!$P$18)))/24</f>
        <v>#N/A</v>
      </c>
      <c r="U13" s="1929" t="e">
        <f>(($O$9+U4)*24)/((($N$8-BBR+'Product Data'!$K$3-'KB Model Suggestions Tr 2yr'!$O$8)/12)*(24-'KB Model Suggestions Tr 2yr'!N21)*'Product Data'!$P$18)</f>
        <v>#N/A</v>
      </c>
      <c r="V13" s="1929"/>
      <c r="W13" s="1934" t="e">
        <f>((P8-(($P$9*24)/((($N$8-BBR+'Product Data'!$K$2-'KB Model Suggestions Tr 2yr'!$O$8)/12)*(24-'KB Model Suggestions Tr 2yr'!N21)*'Product Data'!$P$18)))*(((($N$8-BBR+'Product Data'!$K$2-'KB Model Suggestions Tr 2yr'!$O$8)/12)*(24-'KB Model Suggestions Tr 2yr'!$N$21)*'Product Data'!$P$18)))/24</f>
        <v>#N/A</v>
      </c>
    </row>
    <row r="14" spans="1:27" x14ac:dyDescent="0.25">
      <c r="B14" s="1927">
        <v>2</v>
      </c>
      <c r="C14" s="1929" t="e">
        <f>($C$9*24)/((($B$8-BBR+'Product Data'!$K$3-'KB Model Suggestions Tr 2yr'!$C$8)/12)*(24-'KB Model Suggestions Tr 2yr'!B14)*'Product Data'!$P$18)</f>
        <v>#N/A</v>
      </c>
      <c r="D14" s="1930" t="e">
        <f t="shared" si="0"/>
        <v>#N/A</v>
      </c>
      <c r="F14" s="1927">
        <v>2</v>
      </c>
      <c r="G14" s="1929" t="e">
        <f>($G$9*24)/((($F$8-BBR+'Product Data'!$K$3-'KB Model Suggestions Tr 2yr'!$G$8)/12)*(24-'KB Model Suggestions Tr 2yr'!F14)*'Product Data'!$P$18)</f>
        <v>#N/A</v>
      </c>
      <c r="H14" s="1930" t="e">
        <f t="shared" si="1"/>
        <v>#N/A</v>
      </c>
      <c r="J14" s="1927">
        <v>2</v>
      </c>
      <c r="K14" s="1929" t="e">
        <f>($K$9*24)/((($J$8-BBR+'Product Data'!$K$2-'KB Model Suggestions Tr 2yr'!$K$8)/12)*(24-'KB Model Suggestions Tr 2yr'!J14)*'Product Data'!$P$18)</f>
        <v>#N/A</v>
      </c>
      <c r="L14" s="1930" t="e">
        <f t="shared" si="2"/>
        <v>#N/A</v>
      </c>
      <c r="N14" s="1927">
        <v>2</v>
      </c>
      <c r="O14" s="1929" t="e">
        <f>($O$9*24)/((($N$8-BBR+'Product Data'!$K$2-'KB Model Suggestions Tr 2yr'!$O$8)/12)*(24-'KB Model Suggestions Tr 2yr'!N14)*'Product Data'!$P$18)</f>
        <v>#N/A</v>
      </c>
      <c r="P14" s="1930" t="e">
        <f t="shared" si="3"/>
        <v>#N/A</v>
      </c>
      <c r="R14" s="1" t="str">
        <f>"Max LTV possible with no Top Slice "&amp; C6 &amp; IF(B24&gt;-1,IF(D6&gt;-1," &amp; ","")&amp;TEXT(D6,"0.00%")&amp;" Deferred","")</f>
        <v>Max LTV possible with no Top Slice 0m Rolled &amp; 0.00% Deferred</v>
      </c>
      <c r="T14" s="1926"/>
    </row>
    <row r="15" spans="1:27" x14ac:dyDescent="0.25">
      <c r="B15" s="1927">
        <v>3</v>
      </c>
      <c r="C15" s="1929" t="e">
        <f>($C$9*24)/((($B$8-BBR+'Product Data'!$K$3-'KB Model Suggestions Tr 2yr'!$C$8)/12)*(24-'KB Model Suggestions Tr 2yr'!B15)*'Product Data'!$P$18)</f>
        <v>#N/A</v>
      </c>
      <c r="D15" s="1930" t="e">
        <f t="shared" si="0"/>
        <v>#N/A</v>
      </c>
      <c r="F15" s="1927">
        <v>3</v>
      </c>
      <c r="G15" s="1929" t="e">
        <f>($G$9*24)/((($F$8-BBR+'Product Data'!$K$3-'KB Model Suggestions Tr 2yr'!$G$8)/12)*(24-'KB Model Suggestions Tr 2yr'!F15)*'Product Data'!$P$18)</f>
        <v>#N/A</v>
      </c>
      <c r="H15" s="1930" t="e">
        <f t="shared" si="1"/>
        <v>#N/A</v>
      </c>
      <c r="J15" s="1927">
        <v>3</v>
      </c>
      <c r="K15" s="1929" t="e">
        <f>($K$9*24)/((($J$8-BBR+'Product Data'!$K$2-'KB Model Suggestions Tr 2yr'!$K$8)/12)*(24-'KB Model Suggestions Tr 2yr'!J15)*'Product Data'!$P$18)</f>
        <v>#N/A</v>
      </c>
      <c r="L15" s="1930" t="e">
        <f t="shared" si="2"/>
        <v>#N/A</v>
      </c>
      <c r="N15" s="1927">
        <v>3</v>
      </c>
      <c r="O15" s="1929" t="e">
        <f>($O$9*24)/((($N$8-BBR+'Product Data'!$K$2-'KB Model Suggestions Tr 2yr'!$O$8)/12)*(24-'KB Model Suggestions Tr 2yr'!N15)*'Product Data'!$P$18)</f>
        <v>#N/A</v>
      </c>
      <c r="P15" s="1930" t="e">
        <f t="shared" si="3"/>
        <v>#N/A</v>
      </c>
      <c r="R15" s="1" t="e">
        <f>"For Max LTV Gross loan, need Top Slice of "&amp;TEXT(W10,"£0,00")&amp;"pcm (+ max Roll/Defer). "</f>
        <v>#N/A</v>
      </c>
    </row>
    <row r="16" spans="1:27" x14ac:dyDescent="0.25">
      <c r="B16" s="1927">
        <v>4</v>
      </c>
      <c r="C16" s="1929" t="e">
        <f>($C$9*24)/((($B$8-BBR+'Product Data'!$K$3-'KB Model Suggestions Tr 2yr'!$C$8)/12)*(24-'KB Model Suggestions Tr 2yr'!B16)*'Product Data'!$P$18)</f>
        <v>#N/A</v>
      </c>
      <c r="D16" s="1930" t="e">
        <f t="shared" si="0"/>
        <v>#N/A</v>
      </c>
      <c r="F16" s="1927">
        <v>4</v>
      </c>
      <c r="G16" s="1929" t="e">
        <f>($G$9*24)/((($F$8-BBR+'Product Data'!$K$3-'KB Model Suggestions Tr 2yr'!$G$8)/12)*(24-'KB Model Suggestions Tr 2yr'!F16)*'Product Data'!$P$18)</f>
        <v>#N/A</v>
      </c>
      <c r="H16" s="1930" t="e">
        <f t="shared" si="1"/>
        <v>#N/A</v>
      </c>
      <c r="J16" s="1927">
        <v>4</v>
      </c>
      <c r="K16" s="1929" t="e">
        <f>($K$9*24)/((($J$8-BBR+'Product Data'!$K$2-'KB Model Suggestions Tr 2yr'!$K$8)/12)*(24-'KB Model Suggestions Tr 2yr'!J16)*'Product Data'!$P$18)</f>
        <v>#N/A</v>
      </c>
      <c r="L16" s="1930" t="e">
        <f t="shared" si="2"/>
        <v>#N/A</v>
      </c>
      <c r="N16" s="1927">
        <v>4</v>
      </c>
      <c r="O16" s="1929" t="e">
        <f>($O$9*24)/((($N$8-BBR+'Product Data'!$K$2-'KB Model Suggestions Tr 2yr'!$O$8)/12)*(24-'KB Model Suggestions Tr 2yr'!N16)*'Product Data'!$P$18)</f>
        <v>#N/A</v>
      </c>
      <c r="P16" s="1930" t="e">
        <f t="shared" si="3"/>
        <v>#N/A</v>
      </c>
      <c r="R16" s="1" t="e">
        <f>" However, Top slice capped @ "&amp;TEXT(T7,"£0,0")&amp;" pcm, giving Max Gross Loan of "&amp;TEXT(U10,"£###,###")</f>
        <v>#N/A</v>
      </c>
      <c r="X16" s="1" t="s">
        <v>329</v>
      </c>
      <c r="Z16" s="1">
        <v>2940000</v>
      </c>
    </row>
    <row r="17" spans="2:26" x14ac:dyDescent="0.25">
      <c r="B17" s="1927">
        <v>5</v>
      </c>
      <c r="C17" s="1929" t="e">
        <f>($C$9*24)/((($B$8-BBR+'Product Data'!$K$3-'KB Model Suggestions Tr 2yr'!$C$8)/12)*(24-'KB Model Suggestions Tr 2yr'!B17)*'Product Data'!$P$18)</f>
        <v>#N/A</v>
      </c>
      <c r="D17" s="1930" t="e">
        <f t="shared" si="0"/>
        <v>#N/A</v>
      </c>
      <c r="F17" s="1927">
        <v>5</v>
      </c>
      <c r="G17" s="1929" t="e">
        <f>($G$9*24)/((($F$8-BBR+'Product Data'!$K$3-'KB Model Suggestions Tr 2yr'!$G$8)/12)*(24-'KB Model Suggestions Tr 2yr'!F17)*'Product Data'!$P$18)</f>
        <v>#N/A</v>
      </c>
      <c r="H17" s="1930" t="e">
        <f t="shared" si="1"/>
        <v>#N/A</v>
      </c>
      <c r="J17" s="1927">
        <v>5</v>
      </c>
      <c r="K17" s="1929" t="e">
        <f>($K$9*24)/((($J$8-BBR+'Product Data'!$K$2-'KB Model Suggestions Tr 2yr'!$K$8)/12)*(24-'KB Model Suggestions Tr 2yr'!J17)*'Product Data'!$P$18)</f>
        <v>#N/A</v>
      </c>
      <c r="L17" s="1930" t="e">
        <f t="shared" si="2"/>
        <v>#N/A</v>
      </c>
      <c r="N17" s="1927">
        <v>5</v>
      </c>
      <c r="O17" s="1929" t="e">
        <f>($O$9*24)/((($N$8-BBR+'Product Data'!$K$2-'KB Model Suggestions Tr 2yr'!$O$8)/12)*(24-'KB Model Suggestions Tr 2yr'!N17)*'Product Data'!$P$18)</f>
        <v>#N/A</v>
      </c>
      <c r="P17" s="1930" t="e">
        <f t="shared" si="3"/>
        <v>#N/A</v>
      </c>
      <c r="X17" s="1" t="s">
        <v>333</v>
      </c>
      <c r="Z17" s="1">
        <v>2880000</v>
      </c>
    </row>
    <row r="18" spans="2:26" x14ac:dyDescent="0.25">
      <c r="B18" s="1927">
        <v>6</v>
      </c>
      <c r="C18" s="1929" t="e">
        <f>($C$9*24)/((($B$8-BBR+'Product Data'!$K$3-'KB Model Suggestions Tr 2yr'!$C$8)/12)*(24-'KB Model Suggestions Tr 2yr'!B18)*'Product Data'!$P$18)</f>
        <v>#N/A</v>
      </c>
      <c r="D18" s="1930" t="e">
        <f t="shared" si="0"/>
        <v>#N/A</v>
      </c>
      <c r="F18" s="1927">
        <v>6</v>
      </c>
      <c r="G18" s="1929" t="e">
        <f>($G$9*24)/((($F$8-BBR+'Product Data'!$K$3-'KB Model Suggestions Tr 2yr'!$G$8)/12)*(24-'KB Model Suggestions Tr 2yr'!F18)*'Product Data'!$P$18)</f>
        <v>#N/A</v>
      </c>
      <c r="H18" s="1930" t="e">
        <f t="shared" si="1"/>
        <v>#N/A</v>
      </c>
      <c r="J18" s="1927">
        <v>6</v>
      </c>
      <c r="K18" s="1929" t="e">
        <f>($K$9*24)/((($J$8-BBR+'Product Data'!$K$2-'KB Model Suggestions Tr 2yr'!$K$8)/12)*(24-'KB Model Suggestions Tr 2yr'!J18)*'Product Data'!$P$18)</f>
        <v>#N/A</v>
      </c>
      <c r="L18" s="1930" t="e">
        <f t="shared" si="2"/>
        <v>#N/A</v>
      </c>
      <c r="N18" s="1927">
        <v>6</v>
      </c>
      <c r="O18" s="1929" t="e">
        <f>($O$9*24)/((($N$8-BBR+'Product Data'!$K$2-'KB Model Suggestions Tr 2yr'!$O$8)/12)*(24-'KB Model Suggestions Tr 2yr'!N18)*'Product Data'!$P$18)</f>
        <v>#N/A</v>
      </c>
      <c r="P18" s="1930" t="e">
        <f t="shared" si="3"/>
        <v>#N/A</v>
      </c>
      <c r="R18" s="1" t="str">
        <f>"Max LTV possible with no Top Slice "&amp; G6 &amp; IF(F24&gt;-1,IF(H6&gt;-1," &amp; ","")&amp;TEXT(H6,"0.00%")&amp;" Deferred","")</f>
        <v>Max LTV possible with no Top Slice 0m Rolled &amp; 0.00% Deferred</v>
      </c>
      <c r="X18" s="1" t="s">
        <v>334</v>
      </c>
      <c r="Z18" s="1">
        <v>2820000</v>
      </c>
    </row>
    <row r="19" spans="2:26" x14ac:dyDescent="0.25">
      <c r="B19" s="1927">
        <v>7</v>
      </c>
      <c r="C19" s="1929" t="e">
        <f>($C$9*24)/((($B$8-BBR+'Product Data'!$K$3-'KB Model Suggestions Tr 2yr'!$C$8)/12)*(24-'KB Model Suggestions Tr 2yr'!B19)*'Product Data'!$P$18)</f>
        <v>#N/A</v>
      </c>
      <c r="D19" s="1930" t="e">
        <f t="shared" si="0"/>
        <v>#N/A</v>
      </c>
      <c r="F19" s="1927">
        <v>7</v>
      </c>
      <c r="G19" s="1929" t="e">
        <f>($G$9*24)/((($F$8-BBR+'Product Data'!$K$3-'KB Model Suggestions Tr 2yr'!$G$8)/12)*(24-'KB Model Suggestions Tr 2yr'!F19)*'Product Data'!$P$18)</f>
        <v>#N/A</v>
      </c>
      <c r="H19" s="1930" t="e">
        <f t="shared" si="1"/>
        <v>#N/A</v>
      </c>
      <c r="J19" s="1927">
        <v>7</v>
      </c>
      <c r="K19" s="1929" t="e">
        <f>($K$9*24)/((($J$8-BBR+'Product Data'!$K$2-'KB Model Suggestions Tr 2yr'!$K$8)/12)*(24-'KB Model Suggestions Tr 2yr'!J19)*'Product Data'!$P$18)</f>
        <v>#N/A</v>
      </c>
      <c r="L19" s="1930" t="e">
        <f t="shared" si="2"/>
        <v>#N/A</v>
      </c>
      <c r="N19" s="1927">
        <v>7</v>
      </c>
      <c r="O19" s="1929" t="e">
        <f>($O$9*24)/((($N$8-BBR+'Product Data'!$K$2-'KB Model Suggestions Tr 2yr'!$O$8)/12)*(24-'KB Model Suggestions Tr 2yr'!N19)*'Product Data'!$P$18)</f>
        <v>#N/A</v>
      </c>
      <c r="P19" s="1930" t="e">
        <f t="shared" si="3"/>
        <v>#N/A</v>
      </c>
      <c r="R19" s="1" t="e">
        <f>"For Max LTV Gross loan, need Top Slice of "&amp;TEXT(W11,"£0,00")&amp;"pcm (+ max Roll/Defer). "</f>
        <v>#N/A</v>
      </c>
      <c r="X19" s="1" t="s">
        <v>336</v>
      </c>
      <c r="Z19" s="1">
        <v>2940000</v>
      </c>
    </row>
    <row r="20" spans="2:26" x14ac:dyDescent="0.25">
      <c r="B20" s="1927">
        <v>8</v>
      </c>
      <c r="C20" s="1929" t="e">
        <f>($C$9*24)/((($B$8-BBR+'Product Data'!$K$3-'KB Model Suggestions Tr 2yr'!$C$8)/12)*(24-'KB Model Suggestions Tr 2yr'!B20)*'Product Data'!$P$18)</f>
        <v>#N/A</v>
      </c>
      <c r="D20" s="1930" t="e">
        <f t="shared" si="0"/>
        <v>#N/A</v>
      </c>
      <c r="F20" s="1927">
        <v>8</v>
      </c>
      <c r="G20" s="1929" t="e">
        <f>($G$9*24)/((($F$8-BBR+'Product Data'!$K$3-'KB Model Suggestions Tr 2yr'!$G$8)/12)*(24-'KB Model Suggestions Tr 2yr'!F20)*'Product Data'!$P$18)</f>
        <v>#N/A</v>
      </c>
      <c r="H20" s="1930" t="e">
        <f t="shared" si="1"/>
        <v>#N/A</v>
      </c>
      <c r="J20" s="1927">
        <v>8</v>
      </c>
      <c r="K20" s="1929" t="e">
        <f>($K$9*24)/((($J$8-BBR+'Product Data'!$K$2-'KB Model Suggestions Tr 2yr'!$K$8)/12)*(24-'KB Model Suggestions Tr 2yr'!J20)*'Product Data'!$P$18)</f>
        <v>#N/A</v>
      </c>
      <c r="L20" s="1930" t="e">
        <f t="shared" si="2"/>
        <v>#N/A</v>
      </c>
      <c r="N20" s="1927">
        <v>8</v>
      </c>
      <c r="O20" s="1929" t="e">
        <f>($O$9*24)/((($N$8-BBR+'Product Data'!$K$2-'KB Model Suggestions Tr 2yr'!$O$8)/12)*(24-'KB Model Suggestions Tr 2yr'!N20)*'Product Data'!$P$18)</f>
        <v>#N/A</v>
      </c>
      <c r="P20" s="1930" t="e">
        <f t="shared" si="3"/>
        <v>#N/A</v>
      </c>
      <c r="R20" s="1" t="e">
        <f>" However, Top slice capped @ "&amp;TEXT(T7,"£0,0")&amp;" pcm, giving Max Gross Loan of "&amp;TEXT(U11,"£###,###")</f>
        <v>#N/A</v>
      </c>
      <c r="X20" s="1" t="s">
        <v>337</v>
      </c>
      <c r="Z20" s="1">
        <v>2880000</v>
      </c>
    </row>
    <row r="21" spans="2:26" x14ac:dyDescent="0.25">
      <c r="B21" s="1927">
        <v>9</v>
      </c>
      <c r="C21" s="1929" t="e">
        <f>($C$9*24)/((($B$8-BBR+'Product Data'!$K$3-'KB Model Suggestions Tr 2yr'!$C$8)/12)*(24-'KB Model Suggestions Tr 2yr'!B21)*'Product Data'!$P$18)</f>
        <v>#N/A</v>
      </c>
      <c r="D21" s="1930" t="e">
        <f t="shared" si="0"/>
        <v>#N/A</v>
      </c>
      <c r="F21" s="1927">
        <v>9</v>
      </c>
      <c r="G21" s="1929" t="e">
        <f>($G$9*24)/((($F$8-BBR+'Product Data'!$K$3-'KB Model Suggestions Tr 2yr'!$G$8)/12)*(24-'KB Model Suggestions Tr 2yr'!F21)*'Product Data'!$P$18)</f>
        <v>#N/A</v>
      </c>
      <c r="H21" s="1930" t="e">
        <f t="shared" si="1"/>
        <v>#N/A</v>
      </c>
      <c r="J21" s="1927">
        <v>9</v>
      </c>
      <c r="K21" s="1929" t="e">
        <f>($K$9*24)/((($J$8-BBR+'Product Data'!$K$2-'KB Model Suggestions Tr 2yr'!$K$8)/12)*(24-'KB Model Suggestions Tr 2yr'!J21)*'Product Data'!$P$18)</f>
        <v>#N/A</v>
      </c>
      <c r="L21" s="1930" t="e">
        <f t="shared" si="2"/>
        <v>#N/A</v>
      </c>
      <c r="N21" s="1927">
        <v>9</v>
      </c>
      <c r="O21" s="1929" t="e">
        <f>($O$9*24)/((($N$8-BBR+'Product Data'!$K$2-'KB Model Suggestions Tr 2yr'!$O$8)/12)*(24-'KB Model Suggestions Tr 2yr'!N21)*'Product Data'!$P$18)</f>
        <v>#N/A</v>
      </c>
      <c r="P21" s="1930" t="e">
        <f t="shared" si="3"/>
        <v>#N/A</v>
      </c>
      <c r="X21" s="1" t="s">
        <v>340</v>
      </c>
      <c r="Z21" s="1">
        <v>2820000</v>
      </c>
    </row>
    <row r="22" spans="2:26" x14ac:dyDescent="0.25">
      <c r="R22" s="1" t="str">
        <f>"Max LTV possible with no Top Slice "&amp; K6 &amp; IF(J24&gt;-1,IF(L6&gt;-1," &amp; ","")&amp;TEXT(L6,"0.00%")&amp;" Deferred","")</f>
        <v>Max LTV possible with no Top Slice 0m Rolled &amp; 0.00% Deferred</v>
      </c>
      <c r="X22" s="1" t="s">
        <v>342</v>
      </c>
      <c r="Z22" s="1">
        <v>2940000</v>
      </c>
    </row>
    <row r="23" spans="2:26" x14ac:dyDescent="0.25">
      <c r="B23" s="1937" t="s">
        <v>450</v>
      </c>
      <c r="C23" s="1937" t="s">
        <v>451</v>
      </c>
      <c r="D23" s="1937" t="s">
        <v>452</v>
      </c>
      <c r="F23" s="1937" t="s">
        <v>450</v>
      </c>
      <c r="G23" s="1937" t="s">
        <v>451</v>
      </c>
      <c r="H23" s="1937" t="s">
        <v>452</v>
      </c>
      <c r="J23" s="1937" t="s">
        <v>450</v>
      </c>
      <c r="K23" s="1937" t="s">
        <v>451</v>
      </c>
      <c r="L23" s="1937" t="s">
        <v>452</v>
      </c>
      <c r="N23" s="1937" t="s">
        <v>450</v>
      </c>
      <c r="O23" s="1937" t="s">
        <v>451</v>
      </c>
      <c r="P23" s="1937" t="s">
        <v>452</v>
      </c>
      <c r="R23" s="1" t="e">
        <f>"For Max LTV Gross loan, need Top Slice of "&amp;TEXT(W12,"£0,00")&amp;"pcm (+ max Roll/Defer). "</f>
        <v>#N/A</v>
      </c>
      <c r="X23" s="1" t="s">
        <v>345</v>
      </c>
      <c r="Z23" s="1">
        <v>2880000</v>
      </c>
    </row>
    <row r="24" spans="2:26" x14ac:dyDescent="0.25">
      <c r="B24" s="1927">
        <f>_xlfn.MINIFS(B12:B21,D12:D21,"&lt;="&amp;100%)</f>
        <v>0</v>
      </c>
      <c r="C24" s="1928">
        <v>0.02</v>
      </c>
      <c r="D24" s="1931" t="e">
        <f>($C$9*24)/((($B$8-BBR+'Product Data'!$K$3-'KB Model Suggestions Tr 2yr'!$C24)/12)*(24-'KB Model Suggestions Tr 2yr'!B24)*'Product Data'!$P$18)</f>
        <v>#N/A</v>
      </c>
      <c r="F24" s="1927">
        <f>_xlfn.MINIFS(F12:F21,H12:H21,"&lt;="&amp;100%)</f>
        <v>0</v>
      </c>
      <c r="G24" s="1928">
        <v>0.02</v>
      </c>
      <c r="H24" s="1931" t="e">
        <f>($G$9*24)/((($F$8-BBR+'Product Data'!$K$3-'KB Model Suggestions Tr 2yr'!$G24)/12)*(24-'KB Model Suggestions Tr 2yr'!F24)*'Product Data'!$P$18)</f>
        <v>#N/A</v>
      </c>
      <c r="J24" s="1927">
        <f>_xlfn.MINIFS(J12:J21,L12:L21,"&lt;="&amp;100%)</f>
        <v>0</v>
      </c>
      <c r="K24" s="1928">
        <v>0.02</v>
      </c>
      <c r="L24" s="1931" t="e">
        <f>($K$9*24)/((($J$8-BBR+'Product Data'!$K$2-'KB Model Suggestions Tr 2yr'!$K24)/12)*(24-'KB Model Suggestions Tr 2yr'!J24)*'Product Data'!$P$18)</f>
        <v>#N/A</v>
      </c>
      <c r="N24" s="1927">
        <f>_xlfn.MINIFS(N12:N21,P12:P21,"&lt;="&amp;100%)</f>
        <v>0</v>
      </c>
      <c r="O24" s="2392">
        <v>0.02</v>
      </c>
      <c r="P24" s="1931" t="e">
        <f>($O$9*24)/((($N$8-BBR+'Product Data'!$K$2-'KB Model Suggestions Tr 2yr'!$O24)/12)*(24-'KB Model Suggestions Tr 2yr'!N24)*'Product Data'!$P$18)</f>
        <v>#N/A</v>
      </c>
      <c r="R24" s="1" t="e">
        <f>" However, Top slice capped @ "&amp;TEXT(T7,"£0,0")&amp;" pcm, giving Max Gross Loan of "&amp;TEXT(U12,"£###,###")</f>
        <v>#N/A</v>
      </c>
      <c r="X24" s="1" t="s">
        <v>348</v>
      </c>
      <c r="Z24" s="1">
        <v>2820000</v>
      </c>
    </row>
    <row r="25" spans="2:26" x14ac:dyDescent="0.25">
      <c r="B25" s="1927">
        <f>B24</f>
        <v>0</v>
      </c>
      <c r="C25" s="1928">
        <v>1.9900000000000001E-2</v>
      </c>
      <c r="D25" s="1931" t="e">
        <f>($C$9*24)/((($B$8-BBR+'Product Data'!$K$3-'KB Model Suggestions Tr 2yr'!$C25)/12)*(24-'KB Model Suggestions Tr 2yr'!B25)*'Product Data'!$P$18)</f>
        <v>#N/A</v>
      </c>
      <c r="F25" s="1927">
        <f>F24</f>
        <v>0</v>
      </c>
      <c r="G25" s="1928">
        <v>1.9900000000000001E-2</v>
      </c>
      <c r="H25" s="1931" t="e">
        <f>($G$9*24)/((($F$8-BBR+'Product Data'!$K$3-'KB Model Suggestions Tr 2yr'!$G25)/12)*(24-'KB Model Suggestions Tr 2yr'!F25)*'Product Data'!$P$18)</f>
        <v>#N/A</v>
      </c>
      <c r="J25" s="1927">
        <f>J24</f>
        <v>0</v>
      </c>
      <c r="K25" s="1928">
        <v>1.9900000000000001E-2</v>
      </c>
      <c r="L25" s="1931" t="e">
        <f>($K$9*24)/((($J$8-BBR+'Product Data'!$K$2-'KB Model Suggestions Tr 2yr'!$K25)/12)*(24-'KB Model Suggestions Tr 2yr'!J25)*'Product Data'!$P$18)</f>
        <v>#N/A</v>
      </c>
      <c r="N25" s="1927">
        <f>N24</f>
        <v>0</v>
      </c>
      <c r="O25" s="2392">
        <v>1.9900000000000001E-2</v>
      </c>
      <c r="P25" s="1931" t="e">
        <f>($O$9*24)/((($N$8-BBR+'Product Data'!$K$2-'KB Model Suggestions Tr 2yr'!$O25)/12)*(24-'KB Model Suggestions Tr 2yr'!N25)*'Product Data'!$P$18)</f>
        <v>#N/A</v>
      </c>
      <c r="R25" s="1" t="str">
        <f>"Max LTV possible with no Top Slice "&amp; O6 &amp; IF(N24&gt;-1,IF(P6&gt;-1," &amp; ","")&amp;TEXT(P6,"0.00%")&amp;" Deferred","")</f>
        <v>Max LTV possible with no Top Slice 0m Rolled &amp; 0.00% Deferred</v>
      </c>
    </row>
    <row r="26" spans="2:26" x14ac:dyDescent="0.25">
      <c r="B26" s="1927">
        <f t="shared" ref="B26:B89" si="4">B25</f>
        <v>0</v>
      </c>
      <c r="C26" s="1928">
        <v>1.9800000000000002E-2</v>
      </c>
      <c r="D26" s="1931" t="e">
        <f>($C$9*24)/((($B$8-BBR+'Product Data'!$K$3-'KB Model Suggestions Tr 2yr'!$C26)/12)*(24-'KB Model Suggestions Tr 2yr'!B26)*'Product Data'!$P$18)</f>
        <v>#N/A</v>
      </c>
      <c r="F26" s="1927">
        <f t="shared" ref="F26:F89" si="5">F25</f>
        <v>0</v>
      </c>
      <c r="G26" s="1928">
        <v>1.9800000000000002E-2</v>
      </c>
      <c r="H26" s="1931" t="e">
        <f>($G$9*24)/((($F$8-BBR+'Product Data'!$K$3-'KB Model Suggestions Tr 2yr'!$G26)/12)*(24-'KB Model Suggestions Tr 2yr'!F26)*'Product Data'!$P$18)</f>
        <v>#N/A</v>
      </c>
      <c r="J26" s="1927">
        <f t="shared" ref="J26:J89" si="6">J25</f>
        <v>0</v>
      </c>
      <c r="K26" s="1928">
        <v>1.9800000000000002E-2</v>
      </c>
      <c r="L26" s="1931" t="e">
        <f>($K$9*24)/((($J$8-BBR+'Product Data'!$K$2-'KB Model Suggestions Tr 2yr'!$K26)/12)*(24-'KB Model Suggestions Tr 2yr'!J26)*'Product Data'!$P$18)</f>
        <v>#N/A</v>
      </c>
      <c r="N26" s="1927">
        <f t="shared" ref="N26:N89" si="7">N25</f>
        <v>0</v>
      </c>
      <c r="O26" s="2392">
        <v>1.9800000000000002E-2</v>
      </c>
      <c r="P26" s="1931" t="e">
        <f>($O$9*24)/((($N$8-BBR+'Product Data'!$K$2-'KB Model Suggestions Tr 2yr'!$O26)/12)*(24-'KB Model Suggestions Tr 2yr'!N26)*'Product Data'!$P$18)</f>
        <v>#N/A</v>
      </c>
      <c r="R26" s="1" t="e">
        <f>"For Max LTV Gross loan, need Top Slice of "&amp;TEXT(W13,"£0,00")&amp;"pcm (+ max Roll/Defer). "</f>
        <v>#N/A</v>
      </c>
    </row>
    <row r="27" spans="2:26" x14ac:dyDescent="0.25">
      <c r="B27" s="1927">
        <f t="shared" si="4"/>
        <v>0</v>
      </c>
      <c r="C27" s="1928">
        <v>1.9699999999999999E-2</v>
      </c>
      <c r="D27" s="1931" t="e">
        <f>($C$9*24)/((($B$8-BBR+'Product Data'!$K$3-'KB Model Suggestions Tr 2yr'!$C27)/12)*(24-'KB Model Suggestions Tr 2yr'!B27)*'Product Data'!$P$18)</f>
        <v>#N/A</v>
      </c>
      <c r="F27" s="1927">
        <f t="shared" si="5"/>
        <v>0</v>
      </c>
      <c r="G27" s="1928">
        <v>1.9699999999999999E-2</v>
      </c>
      <c r="H27" s="1931" t="e">
        <f>($G$9*24)/((($F$8-BBR+'Product Data'!$K$3-'KB Model Suggestions Tr 2yr'!$G27)/12)*(24-'KB Model Suggestions Tr 2yr'!F27)*'Product Data'!$P$18)</f>
        <v>#N/A</v>
      </c>
      <c r="J27" s="1927">
        <f t="shared" si="6"/>
        <v>0</v>
      </c>
      <c r="K27" s="1928">
        <v>1.9699999999999999E-2</v>
      </c>
      <c r="L27" s="1931" t="e">
        <f>($K$9*24)/((($J$8-BBR+'Product Data'!$K$2-'KB Model Suggestions Tr 2yr'!$K27)/12)*(24-'KB Model Suggestions Tr 2yr'!J27)*'Product Data'!$P$18)</f>
        <v>#N/A</v>
      </c>
      <c r="N27" s="1927">
        <f t="shared" si="7"/>
        <v>0</v>
      </c>
      <c r="O27" s="2392">
        <v>1.9699999999999999E-2</v>
      </c>
      <c r="P27" s="1931" t="e">
        <f>($O$9*24)/((($N$8-BBR+'Product Data'!$K$2-'KB Model Suggestions Tr 2yr'!$O27)/12)*(24-'KB Model Suggestions Tr 2yr'!N27)*'Product Data'!$P$18)</f>
        <v>#N/A</v>
      </c>
      <c r="R27" s="1" t="e">
        <f>" However, Top slice capped @ "&amp;TEXT(T4,"£0,0")&amp;" pcm, giving Max Gross Loan of "&amp;TEXT(U13,"£###,###")</f>
        <v>#N/A</v>
      </c>
    </row>
    <row r="28" spans="2:26" x14ac:dyDescent="0.25">
      <c r="B28" s="1927">
        <f t="shared" si="4"/>
        <v>0</v>
      </c>
      <c r="C28" s="1928">
        <v>1.9599999999999999E-2</v>
      </c>
      <c r="D28" s="1931" t="e">
        <f>($C$9*24)/((($B$8-BBR+'Product Data'!$K$3-'KB Model Suggestions Tr 2yr'!$C28)/12)*(24-'KB Model Suggestions Tr 2yr'!B28)*'Product Data'!$P$18)</f>
        <v>#N/A</v>
      </c>
      <c r="F28" s="1927">
        <f t="shared" si="5"/>
        <v>0</v>
      </c>
      <c r="G28" s="1928">
        <v>1.9599999999999999E-2</v>
      </c>
      <c r="H28" s="1931" t="e">
        <f>($G$9*24)/((($F$8-BBR+'Product Data'!$K$3-'KB Model Suggestions Tr 2yr'!$G28)/12)*(24-'KB Model Suggestions Tr 2yr'!F28)*'Product Data'!$P$18)</f>
        <v>#N/A</v>
      </c>
      <c r="J28" s="1927">
        <f t="shared" si="6"/>
        <v>0</v>
      </c>
      <c r="K28" s="1928">
        <v>1.9599999999999999E-2</v>
      </c>
      <c r="L28" s="1931" t="e">
        <f>($K$9*24)/((($J$8-BBR+'Product Data'!$K$2-'KB Model Suggestions Tr 2yr'!$K28)/12)*(24-'KB Model Suggestions Tr 2yr'!J28)*'Product Data'!$P$18)</f>
        <v>#N/A</v>
      </c>
      <c r="N28" s="1927">
        <f t="shared" si="7"/>
        <v>0</v>
      </c>
      <c r="O28" s="2392">
        <v>1.9599999999999999E-2</v>
      </c>
      <c r="P28" s="1931" t="e">
        <f>($O$9*24)/((($N$8-BBR+'Product Data'!$K$2-'KB Model Suggestions Tr 2yr'!$O28)/12)*(24-'KB Model Suggestions Tr 2yr'!N28)*'Product Data'!$P$18)</f>
        <v>#N/A</v>
      </c>
    </row>
    <row r="29" spans="2:26" x14ac:dyDescent="0.25">
      <c r="B29" s="1927">
        <f t="shared" si="4"/>
        <v>0</v>
      </c>
      <c r="C29" s="1928">
        <v>1.95E-2</v>
      </c>
      <c r="D29" s="1931" t="e">
        <f>($C$9*24)/((($B$8-BBR+'Product Data'!$K$3-'KB Model Suggestions Tr 2yr'!$C29)/12)*(24-'KB Model Suggestions Tr 2yr'!B29)*'Product Data'!$P$18)</f>
        <v>#N/A</v>
      </c>
      <c r="F29" s="1927">
        <f t="shared" si="5"/>
        <v>0</v>
      </c>
      <c r="G29" s="1928">
        <v>1.95E-2</v>
      </c>
      <c r="H29" s="1931" t="e">
        <f>($G$9*24)/((($F$8-BBR+'Product Data'!$K$3-'KB Model Suggestions Tr 2yr'!$G29)/12)*(24-'KB Model Suggestions Tr 2yr'!F29)*'Product Data'!$P$18)</f>
        <v>#N/A</v>
      </c>
      <c r="J29" s="1927">
        <f t="shared" si="6"/>
        <v>0</v>
      </c>
      <c r="K29" s="1928">
        <v>1.95E-2</v>
      </c>
      <c r="L29" s="1931" t="e">
        <f>($K$9*24)/((($J$8-BBR+'Product Data'!$K$2-'KB Model Suggestions Tr 2yr'!$K29)/12)*(24-'KB Model Suggestions Tr 2yr'!J29)*'Product Data'!$P$18)</f>
        <v>#N/A</v>
      </c>
      <c r="N29" s="1927">
        <f t="shared" si="7"/>
        <v>0</v>
      </c>
      <c r="O29" s="2392">
        <v>1.95E-2</v>
      </c>
      <c r="P29" s="1931" t="e">
        <f>($O$9*24)/((($N$8-BBR+'Product Data'!$K$2-'KB Model Suggestions Tr 2yr'!$O29)/12)*(24-'KB Model Suggestions Tr 2yr'!N29)*'Product Data'!$P$18)</f>
        <v>#N/A</v>
      </c>
      <c r="R29" s="1927" t="s">
        <v>453</v>
      </c>
      <c r="S29" s="1927" t="s">
        <v>454</v>
      </c>
      <c r="T29" s="2335"/>
      <c r="U29" s="2335"/>
      <c r="V29" s="2286"/>
    </row>
    <row r="30" spans="2:26" x14ac:dyDescent="0.25">
      <c r="B30" s="1927">
        <f t="shared" si="4"/>
        <v>0</v>
      </c>
      <c r="C30" s="1928">
        <v>1.9400000000000001E-2</v>
      </c>
      <c r="D30" s="1931" t="e">
        <f>($C$9*24)/((($B$8-BBR+'Product Data'!$K$3-'KB Model Suggestions Tr 2yr'!$C30)/12)*(24-'KB Model Suggestions Tr 2yr'!B30)*'Product Data'!$P$18)</f>
        <v>#N/A</v>
      </c>
      <c r="F30" s="1927">
        <f t="shared" si="5"/>
        <v>0</v>
      </c>
      <c r="G30" s="1928">
        <v>1.9400000000000001E-2</v>
      </c>
      <c r="H30" s="1931" t="e">
        <f>($G$9*24)/((($F$8-BBR+'Product Data'!$K$3-'KB Model Suggestions Tr 2yr'!$G30)/12)*(24-'KB Model Suggestions Tr 2yr'!F30)*'Product Data'!$P$18)</f>
        <v>#N/A</v>
      </c>
      <c r="J30" s="1927">
        <f t="shared" si="6"/>
        <v>0</v>
      </c>
      <c r="K30" s="1928">
        <v>1.9400000000000001E-2</v>
      </c>
      <c r="L30" s="1931" t="e">
        <f>($K$9*24)/((($J$8-BBR+'Product Data'!$K$2-'KB Model Suggestions Tr 2yr'!$K30)/12)*(24-'KB Model Suggestions Tr 2yr'!J30)*'Product Data'!$P$18)</f>
        <v>#N/A</v>
      </c>
      <c r="N30" s="1927">
        <f t="shared" si="7"/>
        <v>0</v>
      </c>
      <c r="O30" s="2392">
        <v>1.9400000000000001E-2</v>
      </c>
      <c r="P30" s="1931" t="e">
        <f>($O$9*24)/((($N$8-BBR+'Product Data'!$K$2-'KB Model Suggestions Tr 2yr'!$O30)/12)*(24-'KB Model Suggestions Tr 2yr'!N30)*'Product Data'!$P$18)</f>
        <v>#N/A</v>
      </c>
      <c r="R30" s="1927"/>
      <c r="S30" s="2603">
        <f>+IF('BTL Calculator'!V3="Retention ",0.015,0.02)</f>
        <v>0.02</v>
      </c>
      <c r="T30" s="2604">
        <f>+IF('BTL Calculator'!V3="Retention ",0.035,0.04)</f>
        <v>0.04</v>
      </c>
      <c r="U30" s="2604">
        <f>+IF('BTL Calculator'!V3="Retention ",0.055,0.06)</f>
        <v>0.06</v>
      </c>
      <c r="V30" s="2604">
        <v>0.03</v>
      </c>
      <c r="W30" s="1927" t="s">
        <v>455</v>
      </c>
    </row>
    <row r="31" spans="2:26" x14ac:dyDescent="0.25">
      <c r="B31" s="1927">
        <f t="shared" si="4"/>
        <v>0</v>
      </c>
      <c r="C31" s="1928">
        <v>1.9300000000000001E-2</v>
      </c>
      <c r="D31" s="1931" t="e">
        <f>($C$9*24)/((($B$8-BBR+'Product Data'!$K$3-'KB Model Suggestions Tr 2yr'!$C31)/12)*(24-'KB Model Suggestions Tr 2yr'!B31)*'Product Data'!$P$18)</f>
        <v>#N/A</v>
      </c>
      <c r="F31" s="1927">
        <f t="shared" si="5"/>
        <v>0</v>
      </c>
      <c r="G31" s="1928">
        <v>1.9300000000000001E-2</v>
      </c>
      <c r="H31" s="1931" t="e">
        <f>($G$9*24)/((($F$8-BBR+'Product Data'!$K$3-'KB Model Suggestions Tr 2yr'!$G31)/12)*(24-'KB Model Suggestions Tr 2yr'!F31)*'Product Data'!$P$18)</f>
        <v>#N/A</v>
      </c>
      <c r="J31" s="1927">
        <f t="shared" si="6"/>
        <v>0</v>
      </c>
      <c r="K31" s="1928">
        <v>1.9300000000000001E-2</v>
      </c>
      <c r="L31" s="1931" t="e">
        <f>($K$9*24)/((($J$8-BBR+'Product Data'!$K$2-'KB Model Suggestions Tr 2yr'!$K31)/12)*(24-'KB Model Suggestions Tr 2yr'!J31)*'Product Data'!$P$18)</f>
        <v>#N/A</v>
      </c>
      <c r="N31" s="1927">
        <f t="shared" si="7"/>
        <v>0</v>
      </c>
      <c r="O31" s="2392">
        <v>1.9300000000000001E-2</v>
      </c>
      <c r="P31" s="1931" t="e">
        <f>($O$9*24)/((($N$8-BBR+'Product Data'!$K$2-'KB Model Suggestions Tr 2yr'!$O31)/12)*(24-'KB Model Suggestions Tr 2yr'!N31)*'Product Data'!$P$18)</f>
        <v>#N/A</v>
      </c>
      <c r="R31" s="1927" t="s">
        <v>432</v>
      </c>
      <c r="S31" s="1928">
        <f>IF(AND('BTL Calculator'!V3="Retention ",'BTL Calculator'!X3=0.75),'Product Data'!O190,
IF(AND('BTL Calculator'!V3="Retention ",'BTL Calculator'!X3=0.65),'Product Data'!O212,
'Product Data'!E9+BBR))</f>
        <v>7.6399999999999996E-2</v>
      </c>
      <c r="T31" s="2337">
        <f>IF(AND('BTL Calculator'!V3="Retention ",'BTL Calculator'!X3=0.75),'Product Data'!O195,
IF(AND('BTL Calculator'!V3="Retention ",'BTL Calculator'!X3=0.65),'Product Data'!O217,
'Product Data'!E15+BBR))</f>
        <v>6.59E-2</v>
      </c>
      <c r="U31" s="2337">
        <f>IF(AND('BTL Calculator'!V3 = "Retention ",'BTL Calculator'!X3=0.75),'Product Data'!O200,
IF(AND('BTL Calculator'!V3 = "Retention ",'BTL Calculator'!X3=0.65),'Product Data'!O222,
'Product Data'!E21+BBR))</f>
        <v>5.5900000000000005E-2</v>
      </c>
      <c r="V31" s="2337">
        <f>IF(AND('BTL Calculator'!V3 = "Retention ",'BTL Calculator'!X3=0.75),'Product Data'!O205,
IF(AND('BTL Calculator'!V3 = "Retention ",'BTL Calculator'!X3=0.65),'Product Data'!O227,
'Product Data'!E27+BBR))</f>
        <v>7.1400000000000005E-2</v>
      </c>
      <c r="W31" s="1932">
        <f>+IF(AND('BTL Calculator'!V3 = "Retention ",'BTL Calculator'!X3=0.75),0.75,
IF(AND('BTL Calculator'!V3 = "Retention ",'BTL Calculator'!X3=0.65),0.65,
0.75))</f>
        <v>0.75</v>
      </c>
    </row>
    <row r="32" spans="2:26" x14ac:dyDescent="0.25">
      <c r="B32" s="1927">
        <f t="shared" si="4"/>
        <v>0</v>
      </c>
      <c r="C32" s="1928">
        <v>1.9199999999999998E-2</v>
      </c>
      <c r="D32" s="1931" t="e">
        <f>($C$9*24)/((($B$8-BBR+'Product Data'!$K$3-'KB Model Suggestions Tr 2yr'!$C32)/12)*(24-'KB Model Suggestions Tr 2yr'!B32)*'Product Data'!$P$18)</f>
        <v>#N/A</v>
      </c>
      <c r="F32" s="1927">
        <f t="shared" si="5"/>
        <v>0</v>
      </c>
      <c r="G32" s="1928">
        <v>1.9199999999999998E-2</v>
      </c>
      <c r="H32" s="1931" t="e">
        <f>($G$9*24)/((($F$8-BBR+'Product Data'!$K$3-'KB Model Suggestions Tr 2yr'!$G32)/12)*(24-'KB Model Suggestions Tr 2yr'!F32)*'Product Data'!$P$18)</f>
        <v>#N/A</v>
      </c>
      <c r="J32" s="1927">
        <f t="shared" si="6"/>
        <v>0</v>
      </c>
      <c r="K32" s="1928">
        <v>1.9199999999999998E-2</v>
      </c>
      <c r="L32" s="1931" t="e">
        <f>($K$9*24)/((($J$8-BBR+'Product Data'!$K$2-'KB Model Suggestions Tr 2yr'!$K32)/12)*(24-'KB Model Suggestions Tr 2yr'!J32)*'Product Data'!$P$18)</f>
        <v>#N/A</v>
      </c>
      <c r="N32" s="1927">
        <f t="shared" si="7"/>
        <v>0</v>
      </c>
      <c r="O32" s="2392">
        <v>1.9199999999999998E-2</v>
      </c>
      <c r="P32" s="1931" t="e">
        <f>($O$9*24)/((($N$8-BBR+'Product Data'!$K$2-'KB Model Suggestions Tr 2yr'!$O32)/12)*(24-'KB Model Suggestions Tr 2yr'!N32)*'Product Data'!$P$18)</f>
        <v>#N/A</v>
      </c>
      <c r="R32" s="1927" t="s">
        <v>433</v>
      </c>
      <c r="S32" s="1928">
        <f>IF(AND('BTL Calculator'!V3 = "Retention ",'BTL Calculator'!X3=0.75),'Product Data'!O191,
IF(AND('BTL Calculator'!V3="Retention ",'BTL Calculator'!X3=0.65),'Product Data'!O213,
'Product Data'!E10+BBR))</f>
        <v>8.14E-2</v>
      </c>
      <c r="T32" s="2337">
        <f>IF(AND('BTL Calculator'!V3 = "Retention ",'BTL Calculator'!X3=0.75),'Product Data'!O196,
IF(AND('BTL Calculator'!V3="Retention ",'BTL Calculator'!X3=0.65),'Product Data'!O218,
'Product Data'!E16+BBR))</f>
        <v>7.0899999999999991E-2</v>
      </c>
      <c r="U32" s="2337">
        <f>IF(AND('BTL Calculator'!V3="Retention ",'BTL Calculator'!X3=0.75),'Product Data'!O201,
IF(AND('BTL Calculator'!V3="Retention ",'BTL Calculator'!X3=0.65),'Product Data'!O223,
'Product Data'!E22+BBR))</f>
        <v>6.0899999999999996E-2</v>
      </c>
      <c r="V32" s="2337">
        <f>IF(AND('BTL Calculator'!V3="Retention ",'BTL Calculator'!X3=0.75),'Product Data'!O206,
IF(AND('BTL Calculator'!V3="Retention ",'BTL Calculator'!X3=0.65),'Product Data'!O228,
'Product Data'!E28+BBR))</f>
        <v>7.6399999999999996E-2</v>
      </c>
      <c r="W32" s="1932">
        <f>+IF(AND('BTL Calculator'!V3 = "Retention ",'BTL Calculator'!X3=0.75),0.75,
IF(AND('BTL Calculator'!V3 = "Retention ",'BTL Calculator'!X3=0.65),0.65,
0.75))</f>
        <v>0.75</v>
      </c>
    </row>
    <row r="33" spans="2:23" x14ac:dyDescent="0.25">
      <c r="B33" s="1927">
        <f t="shared" si="4"/>
        <v>0</v>
      </c>
      <c r="C33" s="1928">
        <v>1.9099999999999999E-2</v>
      </c>
      <c r="D33" s="1931" t="e">
        <f>($C$9*24)/((($B$8-BBR+'Product Data'!$K$3-'KB Model Suggestions Tr 2yr'!$C33)/12)*(24-'KB Model Suggestions Tr 2yr'!B33)*'Product Data'!$P$18)</f>
        <v>#N/A</v>
      </c>
      <c r="F33" s="1927">
        <f t="shared" si="5"/>
        <v>0</v>
      </c>
      <c r="G33" s="1928">
        <v>1.9099999999999999E-2</v>
      </c>
      <c r="H33" s="1931" t="e">
        <f>($G$9*24)/((($F$8-BBR+'Product Data'!$K$3-'KB Model Suggestions Tr 2yr'!$G33)/12)*(24-'KB Model Suggestions Tr 2yr'!F33)*'Product Data'!$P$18)</f>
        <v>#N/A</v>
      </c>
      <c r="J33" s="1927">
        <f t="shared" si="6"/>
        <v>0</v>
      </c>
      <c r="K33" s="1928">
        <v>1.9099999999999999E-2</v>
      </c>
      <c r="L33" s="1931" t="e">
        <f>($K$9*24)/((($J$8-BBR+'Product Data'!$K$2-'KB Model Suggestions Tr 2yr'!$K33)/12)*(24-'KB Model Suggestions Tr 2yr'!J33)*'Product Data'!$P$18)</f>
        <v>#N/A</v>
      </c>
      <c r="N33" s="1927">
        <f t="shared" si="7"/>
        <v>0</v>
      </c>
      <c r="O33" s="2392">
        <v>1.9099999999999999E-2</v>
      </c>
      <c r="P33" s="1931" t="e">
        <f>($O$9*24)/((($N$8-BBR+'Product Data'!$K$2-'KB Model Suggestions Tr 2yr'!$O33)/12)*(24-'KB Model Suggestions Tr 2yr'!N33)*'Product Data'!$P$18)</f>
        <v>#N/A</v>
      </c>
      <c r="R33" s="1927" t="s">
        <v>434</v>
      </c>
      <c r="S33" s="1928">
        <f>IF(AND('BTL Calculator'!V3 = "Retention ",'BTL Calculator'!X3=0.75),'Product Data'!O192,
IF(AND('BTL Calculator'!V3="Retention ",'BTL Calculator'!X3=0.65),'Product Data'!O214,
'Product Data'!E11+BBR))</f>
        <v>8.4400000000000003E-2</v>
      </c>
      <c r="T33" s="2337">
        <f>IF(AND('BTL Calculator'!V3 = "Retention ",'BTL Calculator'!X3=0.75),'Product Data'!O197,
IF(AND('BTL Calculator'!V3="Retention ",'BTL Calculator'!X3=0.65),'Product Data'!O219,
'Product Data'!E17+BBR))</f>
        <v>7.3899999999999993E-2</v>
      </c>
      <c r="U33" s="2337">
        <f>IF(AND('BTL Calculator'!V3 = "Retention ",'BTL Calculator'!X3=0.75),'Product Data'!O202,
IF(AND('BTL Calculator'!V3 = "Retention ",'BTL Calculator'!X3=0.65),'Product Data'!O224,
'Product Data'!E23+BBR))</f>
        <v>6.3899999999999998E-2</v>
      </c>
      <c r="V33" s="2337">
        <f>IF(AND('BTL Calculator'!V3 = "Retention ",'BTL Calculator'!X3=0.75),'Product Data'!O207,
IF(AND('BTL Calculator'!V3 = "Retention ",'BTL Calculator'!X3=0.65),'Product Data'!O229,
'Product Data'!E29+BBR))</f>
        <v>7.9399999999999998E-2</v>
      </c>
      <c r="W33" s="1932">
        <f>+IF(AND('BTL Calculator'!V3 = "Retention ",'BTL Calculator'!X3=0.75),0.75,
IF(AND('BTL Calculator'!V3 = "Retention ",'BTL Calculator'!X3=0.65),0.65,
0.75))</f>
        <v>0.75</v>
      </c>
    </row>
    <row r="34" spans="2:23" x14ac:dyDescent="0.25">
      <c r="B34" s="1927">
        <f t="shared" si="4"/>
        <v>0</v>
      </c>
      <c r="C34" s="1928">
        <v>1.9E-2</v>
      </c>
      <c r="D34" s="1931" t="e">
        <f>($C$9*24)/((($B$8-BBR+'Product Data'!$K$3-'KB Model Suggestions Tr 2yr'!$C34)/12)*(24-'KB Model Suggestions Tr 2yr'!B34)*'Product Data'!$P$18)</f>
        <v>#N/A</v>
      </c>
      <c r="F34" s="1927">
        <f t="shared" si="5"/>
        <v>0</v>
      </c>
      <c r="G34" s="1928">
        <v>1.9E-2</v>
      </c>
      <c r="H34" s="1931" t="e">
        <f>($G$9*24)/((($F$8-BBR+'Product Data'!$K$3-'KB Model Suggestions Tr 2yr'!$G34)/12)*(24-'KB Model Suggestions Tr 2yr'!F34)*'Product Data'!$P$18)</f>
        <v>#N/A</v>
      </c>
      <c r="J34" s="1927">
        <f t="shared" si="6"/>
        <v>0</v>
      </c>
      <c r="K34" s="1928">
        <v>1.9E-2</v>
      </c>
      <c r="L34" s="1931" t="e">
        <f>($K$9*24)/((($J$8-BBR+'Product Data'!$K$2-'KB Model Suggestions Tr 2yr'!$K34)/12)*(24-'KB Model Suggestions Tr 2yr'!J34)*'Product Data'!$P$18)</f>
        <v>#N/A</v>
      </c>
      <c r="N34" s="1927">
        <f t="shared" si="7"/>
        <v>0</v>
      </c>
      <c r="O34" s="2392">
        <v>1.9E-2</v>
      </c>
      <c r="P34" s="1931" t="e">
        <f>($O$9*24)/((($N$8-BBR+'Product Data'!$K$2-'KB Model Suggestions Tr 2yr'!$O34)/12)*(24-'KB Model Suggestions Tr 2yr'!N34)*'Product Data'!$P$18)</f>
        <v>#N/A</v>
      </c>
      <c r="R34" s="1927"/>
      <c r="S34" s="1928"/>
      <c r="T34" s="2337"/>
      <c r="U34" s="2337"/>
      <c r="V34" s="2337"/>
      <c r="W34" s="1932"/>
    </row>
    <row r="35" spans="2:23" x14ac:dyDescent="0.25">
      <c r="B35" s="1927">
        <f t="shared" si="4"/>
        <v>0</v>
      </c>
      <c r="C35" s="1928">
        <v>1.89E-2</v>
      </c>
      <c r="D35" s="1931" t="e">
        <f>($C$9*24)/((($B$8-BBR+'Product Data'!$K$3-'KB Model Suggestions Tr 2yr'!$C35)/12)*(24-'KB Model Suggestions Tr 2yr'!B35)*'Product Data'!$P$18)</f>
        <v>#N/A</v>
      </c>
      <c r="F35" s="1927">
        <f t="shared" si="5"/>
        <v>0</v>
      </c>
      <c r="G35" s="1928">
        <v>1.89E-2</v>
      </c>
      <c r="H35" s="1931" t="e">
        <f>($G$9*24)/((($F$8-BBR+'Product Data'!$K$3-'KB Model Suggestions Tr 2yr'!$G35)/12)*(24-'KB Model Suggestions Tr 2yr'!F35)*'Product Data'!$P$18)</f>
        <v>#N/A</v>
      </c>
      <c r="J35" s="1927">
        <f t="shared" si="6"/>
        <v>0</v>
      </c>
      <c r="K35" s="1928">
        <v>1.89E-2</v>
      </c>
      <c r="L35" s="1931" t="e">
        <f>($K$9*24)/((($J$8-BBR+'Product Data'!$K$2-'KB Model Suggestions Tr 2yr'!$K35)/12)*(24-'KB Model Suggestions Tr 2yr'!J35)*'Product Data'!$P$18)</f>
        <v>#N/A</v>
      </c>
      <c r="N35" s="1927">
        <f t="shared" si="7"/>
        <v>0</v>
      </c>
      <c r="O35" s="2392">
        <v>1.89E-2</v>
      </c>
      <c r="P35" s="1931" t="e">
        <f>($O$9*24)/((($N$8-BBR+'Product Data'!$K$2-'KB Model Suggestions Tr 2yr'!$O35)/12)*(24-'KB Model Suggestions Tr 2yr'!N35)*'Product Data'!$P$18)</f>
        <v>#N/A</v>
      </c>
    </row>
    <row r="36" spans="2:23" x14ac:dyDescent="0.25">
      <c r="B36" s="1927">
        <f t="shared" si="4"/>
        <v>0</v>
      </c>
      <c r="C36" s="1928">
        <v>1.8800000000000001E-2</v>
      </c>
      <c r="D36" s="1931" t="e">
        <f>($C$9*24)/((($B$8-BBR+'Product Data'!$K$3-'KB Model Suggestions Tr 2yr'!$C36)/12)*(24-'KB Model Suggestions Tr 2yr'!B36)*'Product Data'!$P$18)</f>
        <v>#N/A</v>
      </c>
      <c r="F36" s="1927">
        <f t="shared" si="5"/>
        <v>0</v>
      </c>
      <c r="G36" s="1928">
        <v>1.8800000000000001E-2</v>
      </c>
      <c r="H36" s="1931" t="e">
        <f>($G$9*24)/((($F$8-BBR+'Product Data'!$K$3-'KB Model Suggestions Tr 2yr'!$G36)/12)*(24-'KB Model Suggestions Tr 2yr'!F36)*'Product Data'!$P$18)</f>
        <v>#N/A</v>
      </c>
      <c r="J36" s="1927">
        <f t="shared" si="6"/>
        <v>0</v>
      </c>
      <c r="K36" s="1928">
        <v>1.8800000000000001E-2</v>
      </c>
      <c r="L36" s="1931" t="e">
        <f>($K$9*24)/((($J$8-BBR+'Product Data'!$K$2-'KB Model Suggestions Tr 2yr'!$K36)/12)*(24-'KB Model Suggestions Tr 2yr'!J36)*'Product Data'!$P$18)</f>
        <v>#N/A</v>
      </c>
      <c r="N36" s="1927">
        <f t="shared" si="7"/>
        <v>0</v>
      </c>
      <c r="O36" s="2392">
        <v>1.8800000000000001E-2</v>
      </c>
      <c r="P36" s="1931" t="e">
        <f>($O$9*24)/((($N$8-BBR+'Product Data'!$K$2-'KB Model Suggestions Tr 2yr'!$O36)/12)*(24-'KB Model Suggestions Tr 2yr'!N36)*'Product Data'!$P$18)</f>
        <v>#N/A</v>
      </c>
    </row>
    <row r="37" spans="2:23" x14ac:dyDescent="0.25">
      <c r="B37" s="1927">
        <f t="shared" si="4"/>
        <v>0</v>
      </c>
      <c r="C37" s="1928">
        <v>1.8700000000000001E-2</v>
      </c>
      <c r="D37" s="1931" t="e">
        <f>($C$9*24)/((($B$8-BBR+'Product Data'!$K$3-'KB Model Suggestions Tr 2yr'!$C37)/12)*(24-'KB Model Suggestions Tr 2yr'!B37)*'Product Data'!$P$18)</f>
        <v>#N/A</v>
      </c>
      <c r="F37" s="1927">
        <f t="shared" si="5"/>
        <v>0</v>
      </c>
      <c r="G37" s="1928">
        <v>1.8700000000000001E-2</v>
      </c>
      <c r="H37" s="1931" t="e">
        <f>($G$9*24)/((($F$8-BBR+'Product Data'!$K$3-'KB Model Suggestions Tr 2yr'!$G37)/12)*(24-'KB Model Suggestions Tr 2yr'!F37)*'Product Data'!$P$18)</f>
        <v>#N/A</v>
      </c>
      <c r="J37" s="1927">
        <f t="shared" si="6"/>
        <v>0</v>
      </c>
      <c r="K37" s="1928">
        <v>1.8700000000000001E-2</v>
      </c>
      <c r="L37" s="1931" t="e">
        <f>($K$9*24)/((($J$8-BBR+'Product Data'!$K$2-'KB Model Suggestions Tr 2yr'!$K37)/12)*(24-'KB Model Suggestions Tr 2yr'!J37)*'Product Data'!$P$18)</f>
        <v>#N/A</v>
      </c>
      <c r="N37" s="1927">
        <f t="shared" si="7"/>
        <v>0</v>
      </c>
      <c r="O37" s="2392">
        <v>1.8700000000000001E-2</v>
      </c>
      <c r="P37" s="1929" t="e">
        <f>($O$9*60)/((($N$8-$O37)/12)*(60-N37)*'Product Data'!$P$23)</f>
        <v>#N/A</v>
      </c>
    </row>
    <row r="38" spans="2:23" x14ac:dyDescent="0.25">
      <c r="B38" s="1927">
        <f t="shared" si="4"/>
        <v>0</v>
      </c>
      <c r="C38" s="1928">
        <v>1.8599999999999998E-2</v>
      </c>
      <c r="D38" s="1931" t="e">
        <f>($C$9*24)/((($B$8-BBR+'Product Data'!$K$3-'KB Model Suggestions Tr 2yr'!$C38)/12)*(24-'KB Model Suggestions Tr 2yr'!B38)*'Product Data'!$P$18)</f>
        <v>#N/A</v>
      </c>
      <c r="F38" s="1927">
        <f t="shared" si="5"/>
        <v>0</v>
      </c>
      <c r="G38" s="1928">
        <v>1.8599999999999998E-2</v>
      </c>
      <c r="H38" s="1931" t="e">
        <f>($G$9*24)/((($F$8-BBR+'Product Data'!$K$3-'KB Model Suggestions Tr 2yr'!$G38)/12)*(24-'KB Model Suggestions Tr 2yr'!F38)*'Product Data'!$P$18)</f>
        <v>#N/A</v>
      </c>
      <c r="J38" s="1927">
        <f t="shared" si="6"/>
        <v>0</v>
      </c>
      <c r="K38" s="1928">
        <v>1.8599999999999998E-2</v>
      </c>
      <c r="L38" s="1931" t="e">
        <f>($K$9*24)/((($J$8-BBR+'Product Data'!$K$2-'KB Model Suggestions Tr 2yr'!$K38)/12)*(24-'KB Model Suggestions Tr 2yr'!J38)*'Product Data'!$P$18)</f>
        <v>#N/A</v>
      </c>
      <c r="N38" s="1927">
        <f t="shared" si="7"/>
        <v>0</v>
      </c>
      <c r="O38" s="2392">
        <v>1.8599999999999998E-2</v>
      </c>
      <c r="P38" s="1929" t="e">
        <f>($O$9*60)/((($N$8-$O38)/12)*(60-N38)*'Product Data'!$P$23)</f>
        <v>#N/A</v>
      </c>
    </row>
    <row r="39" spans="2:23" x14ac:dyDescent="0.25">
      <c r="B39" s="1927">
        <f t="shared" si="4"/>
        <v>0</v>
      </c>
      <c r="C39" s="1928">
        <v>1.8499999999999999E-2</v>
      </c>
      <c r="D39" s="1931" t="e">
        <f>($C$9*24)/((($B$8-BBR+'Product Data'!$K$3-'KB Model Suggestions Tr 2yr'!$C39)/12)*(24-'KB Model Suggestions Tr 2yr'!B39)*'Product Data'!$P$18)</f>
        <v>#N/A</v>
      </c>
      <c r="F39" s="1927">
        <f t="shared" si="5"/>
        <v>0</v>
      </c>
      <c r="G39" s="1928">
        <v>1.8499999999999999E-2</v>
      </c>
      <c r="H39" s="1931" t="e">
        <f>($G$9*24)/((($F$8-BBR+'Product Data'!$K$3-'KB Model Suggestions Tr 2yr'!$G39)/12)*(24-'KB Model Suggestions Tr 2yr'!F39)*'Product Data'!$P$18)</f>
        <v>#N/A</v>
      </c>
      <c r="J39" s="1927">
        <f t="shared" si="6"/>
        <v>0</v>
      </c>
      <c r="K39" s="1928">
        <v>1.8499999999999999E-2</v>
      </c>
      <c r="L39" s="1931" t="e">
        <f>($K$9*24)/((($J$8-BBR+'Product Data'!$K$2-'KB Model Suggestions Tr 2yr'!$K39)/12)*(24-'KB Model Suggestions Tr 2yr'!J39)*'Product Data'!$P$18)</f>
        <v>#N/A</v>
      </c>
      <c r="N39" s="1927">
        <f t="shared" si="7"/>
        <v>0</v>
      </c>
      <c r="O39" s="2392">
        <v>1.8499999999999999E-2</v>
      </c>
      <c r="P39" s="1929" t="e">
        <f>($O$9*60)/((($N$8-$O39)/12)*(60-N39)*'Product Data'!$P$23)</f>
        <v>#N/A</v>
      </c>
    </row>
    <row r="40" spans="2:23" x14ac:dyDescent="0.25">
      <c r="B40" s="1927">
        <f t="shared" si="4"/>
        <v>0</v>
      </c>
      <c r="C40" s="1928">
        <v>1.84E-2</v>
      </c>
      <c r="D40" s="1931" t="e">
        <f>($C$9*24)/((($B$8-BBR+'Product Data'!$K$3-'KB Model Suggestions Tr 2yr'!$C40)/12)*(24-'KB Model Suggestions Tr 2yr'!B40)*'Product Data'!$P$18)</f>
        <v>#N/A</v>
      </c>
      <c r="F40" s="1927">
        <f t="shared" si="5"/>
        <v>0</v>
      </c>
      <c r="G40" s="1928">
        <v>1.84E-2</v>
      </c>
      <c r="H40" s="1931" t="e">
        <f>($G$9*24)/((($F$8-BBR+'Product Data'!$K$3-'KB Model Suggestions Tr 2yr'!$G40)/12)*(24-'KB Model Suggestions Tr 2yr'!F40)*'Product Data'!$P$18)</f>
        <v>#N/A</v>
      </c>
      <c r="J40" s="1927">
        <f t="shared" si="6"/>
        <v>0</v>
      </c>
      <c r="K40" s="1928">
        <v>1.84E-2</v>
      </c>
      <c r="L40" s="1931" t="e">
        <f>($K$9*24)/((($J$8-BBR+'Product Data'!$K$2-'KB Model Suggestions Tr 2yr'!$K40)/12)*(24-'KB Model Suggestions Tr 2yr'!J40)*'Product Data'!$P$18)</f>
        <v>#N/A</v>
      </c>
      <c r="N40" s="1927">
        <f t="shared" si="7"/>
        <v>0</v>
      </c>
      <c r="O40" s="2392">
        <v>1.84E-2</v>
      </c>
      <c r="P40" s="1929" t="e">
        <f>($O$9*60)/((($N$8-$O40)/12)*(60-N40)*'Product Data'!$P$23)</f>
        <v>#N/A</v>
      </c>
    </row>
    <row r="41" spans="2:23" x14ac:dyDescent="0.25">
      <c r="B41" s="1927">
        <f t="shared" si="4"/>
        <v>0</v>
      </c>
      <c r="C41" s="1928">
        <v>1.83E-2</v>
      </c>
      <c r="D41" s="1931" t="e">
        <f>($C$9*24)/((($B$8-BBR+'Product Data'!$K$3-'KB Model Suggestions Tr 2yr'!$C41)/12)*(24-'KB Model Suggestions Tr 2yr'!B41)*'Product Data'!$P$18)</f>
        <v>#N/A</v>
      </c>
      <c r="F41" s="1927">
        <f t="shared" si="5"/>
        <v>0</v>
      </c>
      <c r="G41" s="1928">
        <v>1.83E-2</v>
      </c>
      <c r="H41" s="1931" t="e">
        <f>($G$9*24)/((($F$8-BBR+'Product Data'!$K$3-'KB Model Suggestions Tr 2yr'!$G41)/12)*(24-'KB Model Suggestions Tr 2yr'!F41)*'Product Data'!$P$18)</f>
        <v>#N/A</v>
      </c>
      <c r="J41" s="1927">
        <f t="shared" si="6"/>
        <v>0</v>
      </c>
      <c r="K41" s="1928">
        <v>1.83E-2</v>
      </c>
      <c r="L41" s="1931" t="e">
        <f>($K$9*24)/((($J$8-BBR+'Product Data'!$K$2-'KB Model Suggestions Tr 2yr'!$K41)/12)*(24-'KB Model Suggestions Tr 2yr'!J41)*'Product Data'!$P$18)</f>
        <v>#N/A</v>
      </c>
      <c r="N41" s="1927">
        <f t="shared" si="7"/>
        <v>0</v>
      </c>
      <c r="O41" s="2392">
        <v>1.83E-2</v>
      </c>
      <c r="P41" s="1929" t="e">
        <f>($O$9*60)/((($N$8-$O41)/12)*(60-N41)*'Product Data'!$P$23)</f>
        <v>#N/A</v>
      </c>
    </row>
    <row r="42" spans="2:23" x14ac:dyDescent="0.25">
      <c r="B42" s="1927">
        <f t="shared" si="4"/>
        <v>0</v>
      </c>
      <c r="C42" s="1928">
        <v>1.8200000000000001E-2</v>
      </c>
      <c r="D42" s="1931" t="e">
        <f>($C$9*24)/((($B$8-BBR+'Product Data'!$K$3-'KB Model Suggestions Tr 2yr'!$C42)/12)*(24-'KB Model Suggestions Tr 2yr'!B42)*'Product Data'!$P$18)</f>
        <v>#N/A</v>
      </c>
      <c r="F42" s="1927">
        <f t="shared" si="5"/>
        <v>0</v>
      </c>
      <c r="G42" s="1928">
        <v>1.8200000000000001E-2</v>
      </c>
      <c r="H42" s="1931" t="e">
        <f>($G$9*24)/((($F$8-BBR+'Product Data'!$K$3-'KB Model Suggestions Tr 2yr'!$G42)/12)*(24-'KB Model Suggestions Tr 2yr'!F42)*'Product Data'!$P$18)</f>
        <v>#N/A</v>
      </c>
      <c r="J42" s="1927">
        <f t="shared" si="6"/>
        <v>0</v>
      </c>
      <c r="K42" s="1928">
        <v>1.8200000000000001E-2</v>
      </c>
      <c r="L42" s="1931" t="e">
        <f>($K$9*24)/((($J$8-BBR+'Product Data'!$K$2-'KB Model Suggestions Tr 2yr'!$K42)/12)*(24-'KB Model Suggestions Tr 2yr'!J42)*'Product Data'!$P$18)</f>
        <v>#N/A</v>
      </c>
      <c r="N42" s="1927">
        <f t="shared" si="7"/>
        <v>0</v>
      </c>
      <c r="O42" s="2392">
        <v>1.8200000000000001E-2</v>
      </c>
      <c r="P42" s="1929" t="e">
        <f>($O$9*60)/((($N$8-$O42)/12)*(60-N42)*'Product Data'!$P$23)</f>
        <v>#N/A</v>
      </c>
    </row>
    <row r="43" spans="2:23" x14ac:dyDescent="0.25">
      <c r="B43" s="1927">
        <f t="shared" si="4"/>
        <v>0</v>
      </c>
      <c r="C43" s="1928">
        <v>1.8100000000000002E-2</v>
      </c>
      <c r="D43" s="1931" t="e">
        <f>($C$9*24)/((($B$8-BBR+'Product Data'!$K$3-'KB Model Suggestions Tr 2yr'!$C43)/12)*(24-'KB Model Suggestions Tr 2yr'!B43)*'Product Data'!$P$18)</f>
        <v>#N/A</v>
      </c>
      <c r="F43" s="1927">
        <f t="shared" si="5"/>
        <v>0</v>
      </c>
      <c r="G43" s="1928">
        <v>1.8100000000000002E-2</v>
      </c>
      <c r="H43" s="1931" t="e">
        <f>($G$9*24)/((($F$8-BBR+'Product Data'!$K$3-'KB Model Suggestions Tr 2yr'!$G43)/12)*(24-'KB Model Suggestions Tr 2yr'!F43)*'Product Data'!$P$18)</f>
        <v>#N/A</v>
      </c>
      <c r="J43" s="1927">
        <f t="shared" si="6"/>
        <v>0</v>
      </c>
      <c r="K43" s="1928">
        <v>1.8100000000000002E-2</v>
      </c>
      <c r="L43" s="1931" t="e">
        <f>($K$9*24)/((($J$8-BBR+'Product Data'!$K$2-'KB Model Suggestions Tr 2yr'!$K43)/12)*(24-'KB Model Suggestions Tr 2yr'!J43)*'Product Data'!$P$18)</f>
        <v>#N/A</v>
      </c>
      <c r="N43" s="1927">
        <f t="shared" si="7"/>
        <v>0</v>
      </c>
      <c r="O43" s="2392">
        <v>1.8100000000000002E-2</v>
      </c>
      <c r="P43" s="1929" t="e">
        <f>($O$9*60)/((($N$8-$O43)/12)*(60-N43)*'Product Data'!$P$23)</f>
        <v>#N/A</v>
      </c>
    </row>
    <row r="44" spans="2:23" x14ac:dyDescent="0.25">
      <c r="B44" s="1927">
        <f t="shared" si="4"/>
        <v>0</v>
      </c>
      <c r="C44" s="1928">
        <v>1.7999999999999999E-2</v>
      </c>
      <c r="D44" s="1931" t="e">
        <f>($C$9*24)/((($B$8-BBR+'Product Data'!$K$3-'KB Model Suggestions Tr 2yr'!$C44)/12)*(24-'KB Model Suggestions Tr 2yr'!B44)*'Product Data'!$P$18)</f>
        <v>#N/A</v>
      </c>
      <c r="F44" s="1927">
        <f t="shared" si="5"/>
        <v>0</v>
      </c>
      <c r="G44" s="1928">
        <v>1.7999999999999999E-2</v>
      </c>
      <c r="H44" s="1931" t="e">
        <f>($G$9*24)/((($F$8-BBR+'Product Data'!$K$3-'KB Model Suggestions Tr 2yr'!$G44)/12)*(24-'KB Model Suggestions Tr 2yr'!F44)*'Product Data'!$P$18)</f>
        <v>#N/A</v>
      </c>
      <c r="J44" s="1927">
        <f t="shared" si="6"/>
        <v>0</v>
      </c>
      <c r="K44" s="1928">
        <v>1.7999999999999999E-2</v>
      </c>
      <c r="L44" s="1931" t="e">
        <f>($K$9*24)/((($J$8-BBR+'Product Data'!$K$2-'KB Model Suggestions Tr 2yr'!$K44)/12)*(24-'KB Model Suggestions Tr 2yr'!J44)*'Product Data'!$P$18)</f>
        <v>#N/A</v>
      </c>
      <c r="N44" s="1927">
        <f t="shared" si="7"/>
        <v>0</v>
      </c>
      <c r="O44" s="2392">
        <v>1.7999999999999999E-2</v>
      </c>
      <c r="P44" s="1929" t="e">
        <f>($O$9*60)/((($N$8-$O44)/12)*(60-N44)*'Product Data'!$P$23)</f>
        <v>#N/A</v>
      </c>
    </row>
    <row r="45" spans="2:23" x14ac:dyDescent="0.25">
      <c r="B45" s="1927">
        <f t="shared" si="4"/>
        <v>0</v>
      </c>
      <c r="C45" s="1928">
        <v>1.7899999999999999E-2</v>
      </c>
      <c r="D45" s="1931" t="e">
        <f>($C$9*24)/((($B$8-BBR+'Product Data'!$K$3-'KB Model Suggestions Tr 2yr'!$C45)/12)*(24-'KB Model Suggestions Tr 2yr'!B45)*'Product Data'!$P$18)</f>
        <v>#N/A</v>
      </c>
      <c r="F45" s="1927">
        <f t="shared" si="5"/>
        <v>0</v>
      </c>
      <c r="G45" s="1928">
        <v>1.7899999999999999E-2</v>
      </c>
      <c r="H45" s="1931" t="e">
        <f>($G$9*24)/((($F$8-BBR+'Product Data'!$K$3-'KB Model Suggestions Tr 2yr'!$G45)/12)*(24-'KB Model Suggestions Tr 2yr'!F45)*'Product Data'!$P$18)</f>
        <v>#N/A</v>
      </c>
      <c r="J45" s="1927">
        <f t="shared" si="6"/>
        <v>0</v>
      </c>
      <c r="K45" s="1928">
        <v>1.7899999999999999E-2</v>
      </c>
      <c r="L45" s="1931" t="e">
        <f>($K$9*24)/((($J$8-BBR+'Product Data'!$K$2-'KB Model Suggestions Tr 2yr'!$K45)/12)*(24-'KB Model Suggestions Tr 2yr'!J45)*'Product Data'!$P$18)</f>
        <v>#N/A</v>
      </c>
      <c r="N45" s="1927">
        <f t="shared" si="7"/>
        <v>0</v>
      </c>
      <c r="O45" s="2392">
        <v>1.7899999999999999E-2</v>
      </c>
      <c r="P45" s="1929" t="e">
        <f>($O$9*60)/((($N$8-$O45)/12)*(60-N45)*'Product Data'!$P$23)</f>
        <v>#N/A</v>
      </c>
    </row>
    <row r="46" spans="2:23" x14ac:dyDescent="0.25">
      <c r="B46" s="1927">
        <f t="shared" si="4"/>
        <v>0</v>
      </c>
      <c r="C46" s="1928">
        <v>1.78E-2</v>
      </c>
      <c r="D46" s="1931" t="e">
        <f>($C$9*24)/((($B$8-BBR+'Product Data'!$K$3-'KB Model Suggestions Tr 2yr'!$C46)/12)*(24-'KB Model Suggestions Tr 2yr'!B46)*'Product Data'!$P$18)</f>
        <v>#N/A</v>
      </c>
      <c r="F46" s="1927">
        <f t="shared" si="5"/>
        <v>0</v>
      </c>
      <c r="G46" s="1928">
        <v>1.78E-2</v>
      </c>
      <c r="H46" s="1931" t="e">
        <f>($G$9*24)/((($F$8-BBR+'Product Data'!$K$3-'KB Model Suggestions Tr 2yr'!$G46)/12)*(24-'KB Model Suggestions Tr 2yr'!F46)*'Product Data'!$P$18)</f>
        <v>#N/A</v>
      </c>
      <c r="J46" s="1927">
        <f t="shared" si="6"/>
        <v>0</v>
      </c>
      <c r="K46" s="1928">
        <v>1.78E-2</v>
      </c>
      <c r="L46" s="1931" t="e">
        <f>($K$9*24)/((($J$8-BBR+'Product Data'!$K$2-'KB Model Suggestions Tr 2yr'!$K46)/12)*(24-'KB Model Suggestions Tr 2yr'!J46)*'Product Data'!$P$18)</f>
        <v>#N/A</v>
      </c>
      <c r="N46" s="1927">
        <f t="shared" si="7"/>
        <v>0</v>
      </c>
      <c r="O46" s="2392">
        <v>1.78E-2</v>
      </c>
      <c r="P46" s="1929" t="e">
        <f>($O$9*60)/((($N$8-$O46)/12)*(60-N46)*'Product Data'!$P$23)</f>
        <v>#N/A</v>
      </c>
    </row>
    <row r="47" spans="2:23" x14ac:dyDescent="0.25">
      <c r="B47" s="1927">
        <f t="shared" si="4"/>
        <v>0</v>
      </c>
      <c r="C47" s="1928">
        <v>1.77E-2</v>
      </c>
      <c r="D47" s="1931" t="e">
        <f>($C$9*24)/((($B$8-BBR+'Product Data'!$K$3-'KB Model Suggestions Tr 2yr'!$C47)/12)*(24-'KB Model Suggestions Tr 2yr'!B47)*'Product Data'!$P$18)</f>
        <v>#N/A</v>
      </c>
      <c r="F47" s="1927">
        <f t="shared" si="5"/>
        <v>0</v>
      </c>
      <c r="G47" s="1928">
        <v>1.77E-2</v>
      </c>
      <c r="H47" s="1931" t="e">
        <f>($G$9*24)/((($F$8-BBR+'Product Data'!$K$3-'KB Model Suggestions Tr 2yr'!$G47)/12)*(24-'KB Model Suggestions Tr 2yr'!F47)*'Product Data'!$P$18)</f>
        <v>#N/A</v>
      </c>
      <c r="J47" s="1927">
        <f t="shared" si="6"/>
        <v>0</v>
      </c>
      <c r="K47" s="1928">
        <v>1.77E-2</v>
      </c>
      <c r="L47" s="1931" t="e">
        <f>($K$9*24)/((($J$8-BBR+'Product Data'!$K$2-'KB Model Suggestions Tr 2yr'!$K47)/12)*(24-'KB Model Suggestions Tr 2yr'!J47)*'Product Data'!$P$18)</f>
        <v>#N/A</v>
      </c>
      <c r="N47" s="1927">
        <f t="shared" si="7"/>
        <v>0</v>
      </c>
      <c r="O47" s="2392">
        <v>1.77E-2</v>
      </c>
      <c r="P47" s="1929" t="e">
        <f>($O$9*60)/((($N$8-$O47)/12)*(60-N47)*'Product Data'!$P$23)</f>
        <v>#N/A</v>
      </c>
    </row>
    <row r="48" spans="2:23" x14ac:dyDescent="0.25">
      <c r="B48" s="1927">
        <f t="shared" si="4"/>
        <v>0</v>
      </c>
      <c r="C48" s="1928">
        <v>1.7600000000000001E-2</v>
      </c>
      <c r="D48" s="1931" t="e">
        <f>($C$9*24)/((($B$8-BBR+'Product Data'!$K$3-'KB Model Suggestions Tr 2yr'!$C48)/12)*(24-'KB Model Suggestions Tr 2yr'!B48)*'Product Data'!$P$18)</f>
        <v>#N/A</v>
      </c>
      <c r="F48" s="1927">
        <f t="shared" si="5"/>
        <v>0</v>
      </c>
      <c r="G48" s="1928">
        <v>1.7600000000000001E-2</v>
      </c>
      <c r="H48" s="1931" t="e">
        <f>($G$9*24)/((($F$8-BBR+'Product Data'!$K$3-'KB Model Suggestions Tr 2yr'!$G48)/12)*(24-'KB Model Suggestions Tr 2yr'!F48)*'Product Data'!$P$18)</f>
        <v>#N/A</v>
      </c>
      <c r="J48" s="1927">
        <f t="shared" si="6"/>
        <v>0</v>
      </c>
      <c r="K48" s="1928">
        <v>1.7600000000000001E-2</v>
      </c>
      <c r="L48" s="1931" t="e">
        <f>($K$9*24)/((($J$8-BBR+'Product Data'!$K$2-'KB Model Suggestions Tr 2yr'!$K48)/12)*(24-'KB Model Suggestions Tr 2yr'!J48)*'Product Data'!$P$18)</f>
        <v>#N/A</v>
      </c>
      <c r="N48" s="1927">
        <f t="shared" si="7"/>
        <v>0</v>
      </c>
      <c r="O48" s="2392">
        <v>1.7600000000000001E-2</v>
      </c>
      <c r="P48" s="1929" t="e">
        <f>($O$9*60)/((($N$8-$O48)/12)*(60-N48)*'Product Data'!$P$23)</f>
        <v>#N/A</v>
      </c>
    </row>
    <row r="49" spans="2:16" x14ac:dyDescent="0.25">
      <c r="B49" s="1927">
        <f t="shared" si="4"/>
        <v>0</v>
      </c>
      <c r="C49" s="1928">
        <v>1.7500000000000002E-2</v>
      </c>
      <c r="D49" s="1931" t="e">
        <f>($C$9*24)/((($B$8-BBR+'Product Data'!$K$3-'KB Model Suggestions Tr 2yr'!$C49)/12)*(24-'KB Model Suggestions Tr 2yr'!B49)*'Product Data'!$P$18)</f>
        <v>#N/A</v>
      </c>
      <c r="F49" s="1927">
        <f t="shared" si="5"/>
        <v>0</v>
      </c>
      <c r="G49" s="1928">
        <v>1.7500000000000002E-2</v>
      </c>
      <c r="H49" s="1931" t="e">
        <f>($G$9*24)/((($F$8-BBR+'Product Data'!$K$3-'KB Model Suggestions Tr 2yr'!$G49)/12)*(24-'KB Model Suggestions Tr 2yr'!F49)*'Product Data'!$P$18)</f>
        <v>#N/A</v>
      </c>
      <c r="J49" s="1927">
        <f t="shared" si="6"/>
        <v>0</v>
      </c>
      <c r="K49" s="1928">
        <v>1.7500000000000002E-2</v>
      </c>
      <c r="L49" s="1931" t="e">
        <f>($K$9*24)/((($J$8-BBR+'Product Data'!$K$2-'KB Model Suggestions Tr 2yr'!$K49)/12)*(24-'KB Model Suggestions Tr 2yr'!J49)*'Product Data'!$P$18)</f>
        <v>#N/A</v>
      </c>
      <c r="N49" s="1927">
        <f t="shared" si="7"/>
        <v>0</v>
      </c>
      <c r="O49" s="2392">
        <v>1.7500000000000002E-2</v>
      </c>
      <c r="P49" s="1929" t="e">
        <f>($O$9*60)/((($N$8-$O49)/12)*(60-N49)*'Product Data'!$P$23)</f>
        <v>#N/A</v>
      </c>
    </row>
    <row r="50" spans="2:16" x14ac:dyDescent="0.25">
      <c r="B50" s="1927">
        <f t="shared" si="4"/>
        <v>0</v>
      </c>
      <c r="C50" s="1928">
        <v>1.7399999999999999E-2</v>
      </c>
      <c r="D50" s="1931" t="e">
        <f>($C$9*24)/((($B$8-BBR+'Product Data'!$K$3-'KB Model Suggestions Tr 2yr'!$C50)/12)*(24-'KB Model Suggestions Tr 2yr'!B50)*'Product Data'!$P$18)</f>
        <v>#N/A</v>
      </c>
      <c r="F50" s="1927">
        <f t="shared" si="5"/>
        <v>0</v>
      </c>
      <c r="G50" s="1928">
        <v>1.7399999999999999E-2</v>
      </c>
      <c r="H50" s="1931" t="e">
        <f>($G$9*24)/((($F$8-BBR+'Product Data'!$K$3-'KB Model Suggestions Tr 2yr'!$G50)/12)*(24-'KB Model Suggestions Tr 2yr'!F50)*'Product Data'!$P$18)</f>
        <v>#N/A</v>
      </c>
      <c r="J50" s="1927">
        <f t="shared" si="6"/>
        <v>0</v>
      </c>
      <c r="K50" s="1928">
        <v>1.7399999999999999E-2</v>
      </c>
      <c r="L50" s="1931" t="e">
        <f>($K$9*24)/((($J$8-BBR+'Product Data'!$K$2-'KB Model Suggestions Tr 2yr'!$K50)/12)*(24-'KB Model Suggestions Tr 2yr'!J50)*'Product Data'!$P$18)</f>
        <v>#N/A</v>
      </c>
      <c r="N50" s="1927">
        <f t="shared" si="7"/>
        <v>0</v>
      </c>
      <c r="O50" s="2392">
        <v>1.7399999999999999E-2</v>
      </c>
      <c r="P50" s="1929" t="e">
        <f>($O$9*60)/((($N$8-$O50)/12)*(60-N50)*'Product Data'!$P$23)</f>
        <v>#N/A</v>
      </c>
    </row>
    <row r="51" spans="2:16" x14ac:dyDescent="0.25">
      <c r="B51" s="1927">
        <f t="shared" si="4"/>
        <v>0</v>
      </c>
      <c r="C51" s="1928">
        <v>1.7299999999999999E-2</v>
      </c>
      <c r="D51" s="1931" t="e">
        <f>($C$9*24)/((($B$8-BBR+'Product Data'!$K$3-'KB Model Suggestions Tr 2yr'!$C51)/12)*(24-'KB Model Suggestions Tr 2yr'!B51)*'Product Data'!$P$18)</f>
        <v>#N/A</v>
      </c>
      <c r="F51" s="1927">
        <f t="shared" si="5"/>
        <v>0</v>
      </c>
      <c r="G51" s="1928">
        <v>1.7299999999999999E-2</v>
      </c>
      <c r="H51" s="1931" t="e">
        <f>($G$9*24)/((($F$8-BBR+'Product Data'!$K$3-'KB Model Suggestions Tr 2yr'!$G51)/12)*(24-'KB Model Suggestions Tr 2yr'!F51)*'Product Data'!$P$18)</f>
        <v>#N/A</v>
      </c>
      <c r="J51" s="1927">
        <f t="shared" si="6"/>
        <v>0</v>
      </c>
      <c r="K51" s="1928">
        <v>1.7299999999999999E-2</v>
      </c>
      <c r="L51" s="1931" t="e">
        <f>($K$9*24)/((($J$8-BBR+'Product Data'!$K$2-'KB Model Suggestions Tr 2yr'!$K51)/12)*(24-'KB Model Suggestions Tr 2yr'!J51)*'Product Data'!$P$18)</f>
        <v>#N/A</v>
      </c>
      <c r="N51" s="1927">
        <f t="shared" si="7"/>
        <v>0</v>
      </c>
      <c r="O51" s="2392">
        <v>1.7299999999999999E-2</v>
      </c>
      <c r="P51" s="1929" t="e">
        <f>($O$9*60)/((($N$8-$O51)/12)*(60-N51)*'Product Data'!$P$23)</f>
        <v>#N/A</v>
      </c>
    </row>
    <row r="52" spans="2:16" x14ac:dyDescent="0.25">
      <c r="B52" s="1927">
        <f t="shared" si="4"/>
        <v>0</v>
      </c>
      <c r="C52" s="1928">
        <v>1.72E-2</v>
      </c>
      <c r="D52" s="1931" t="e">
        <f>($C$9*24)/((($B$8-BBR+'Product Data'!$K$3-'KB Model Suggestions Tr 2yr'!$C52)/12)*(24-'KB Model Suggestions Tr 2yr'!B52)*'Product Data'!$P$18)</f>
        <v>#N/A</v>
      </c>
      <c r="F52" s="1927">
        <f t="shared" si="5"/>
        <v>0</v>
      </c>
      <c r="G52" s="1928">
        <v>1.72E-2</v>
      </c>
      <c r="H52" s="1931" t="e">
        <f>($G$9*24)/((($F$8-BBR+'Product Data'!$K$3-'KB Model Suggestions Tr 2yr'!$G52)/12)*(24-'KB Model Suggestions Tr 2yr'!F52)*'Product Data'!$P$18)</f>
        <v>#N/A</v>
      </c>
      <c r="J52" s="1927">
        <f t="shared" si="6"/>
        <v>0</v>
      </c>
      <c r="K52" s="1928">
        <v>1.72E-2</v>
      </c>
      <c r="L52" s="1931" t="e">
        <f>($K$9*24)/((($J$8-BBR+'Product Data'!$K$2-'KB Model Suggestions Tr 2yr'!$K52)/12)*(24-'KB Model Suggestions Tr 2yr'!J52)*'Product Data'!$P$18)</f>
        <v>#N/A</v>
      </c>
      <c r="N52" s="1927">
        <f t="shared" si="7"/>
        <v>0</v>
      </c>
      <c r="O52" s="2392">
        <v>1.72E-2</v>
      </c>
      <c r="P52" s="1929" t="e">
        <f>($O$9*60)/((($N$8-$O52)/12)*(60-N52)*'Product Data'!$P$23)</f>
        <v>#N/A</v>
      </c>
    </row>
    <row r="53" spans="2:16" x14ac:dyDescent="0.25">
      <c r="B53" s="1927">
        <f t="shared" si="4"/>
        <v>0</v>
      </c>
      <c r="C53" s="1928">
        <v>1.7100000000000001E-2</v>
      </c>
      <c r="D53" s="1931" t="e">
        <f>($C$9*24)/((($B$8-BBR+'Product Data'!$K$3-'KB Model Suggestions Tr 2yr'!$C53)/12)*(24-'KB Model Suggestions Tr 2yr'!B53)*'Product Data'!$P$18)</f>
        <v>#N/A</v>
      </c>
      <c r="F53" s="1927">
        <f t="shared" si="5"/>
        <v>0</v>
      </c>
      <c r="G53" s="1928">
        <v>1.7100000000000001E-2</v>
      </c>
      <c r="H53" s="1931" t="e">
        <f>($G$9*24)/((($F$8-BBR+'Product Data'!$K$3-'KB Model Suggestions Tr 2yr'!$G53)/12)*(24-'KB Model Suggestions Tr 2yr'!F53)*'Product Data'!$P$18)</f>
        <v>#N/A</v>
      </c>
      <c r="J53" s="1927">
        <f t="shared" si="6"/>
        <v>0</v>
      </c>
      <c r="K53" s="1928">
        <v>1.7100000000000001E-2</v>
      </c>
      <c r="L53" s="1931" t="e">
        <f>($K$9*24)/((($J$8-BBR+'Product Data'!$K$2-'KB Model Suggestions Tr 2yr'!$K53)/12)*(24-'KB Model Suggestions Tr 2yr'!J53)*'Product Data'!$P$18)</f>
        <v>#N/A</v>
      </c>
      <c r="N53" s="1927">
        <f t="shared" si="7"/>
        <v>0</v>
      </c>
      <c r="O53" s="2392">
        <v>1.7100000000000001E-2</v>
      </c>
      <c r="P53" s="1929" t="e">
        <f>($O$9*60)/((($N$8-$O53)/12)*(60-N53)*'Product Data'!$P$23)</f>
        <v>#N/A</v>
      </c>
    </row>
    <row r="54" spans="2:16" x14ac:dyDescent="0.25">
      <c r="B54" s="1927">
        <f t="shared" si="4"/>
        <v>0</v>
      </c>
      <c r="C54" s="1928">
        <v>1.7000000000000001E-2</v>
      </c>
      <c r="D54" s="1931" t="e">
        <f>($C$9*24)/((($B$8-BBR+'Product Data'!$K$3-'KB Model Suggestions Tr 2yr'!$C54)/12)*(24-'KB Model Suggestions Tr 2yr'!B54)*'Product Data'!$P$18)</f>
        <v>#N/A</v>
      </c>
      <c r="F54" s="1927">
        <f t="shared" si="5"/>
        <v>0</v>
      </c>
      <c r="G54" s="1928">
        <v>1.7000000000000001E-2</v>
      </c>
      <c r="H54" s="1931" t="e">
        <f>($G$9*24)/((($F$8-BBR+'Product Data'!$K$3-'KB Model Suggestions Tr 2yr'!$G54)/12)*(24-'KB Model Suggestions Tr 2yr'!F54)*'Product Data'!$P$18)</f>
        <v>#N/A</v>
      </c>
      <c r="J54" s="1927">
        <f t="shared" si="6"/>
        <v>0</v>
      </c>
      <c r="K54" s="1928">
        <v>1.7000000000000001E-2</v>
      </c>
      <c r="L54" s="1931" t="e">
        <f>($K$9*24)/((($J$8-BBR+'Product Data'!$K$2-'KB Model Suggestions Tr 2yr'!$K54)/12)*(24-'KB Model Suggestions Tr 2yr'!J54)*'Product Data'!$P$18)</f>
        <v>#N/A</v>
      </c>
      <c r="N54" s="1927">
        <f t="shared" si="7"/>
        <v>0</v>
      </c>
      <c r="O54" s="2392">
        <v>1.7000000000000001E-2</v>
      </c>
      <c r="P54" s="1929" t="e">
        <f>($O$9*60)/((($N$8-$O54)/12)*(60-N54)*'Product Data'!$P$23)</f>
        <v>#N/A</v>
      </c>
    </row>
    <row r="55" spans="2:16" x14ac:dyDescent="0.25">
      <c r="B55" s="1927">
        <f t="shared" si="4"/>
        <v>0</v>
      </c>
      <c r="C55" s="1928">
        <v>1.6899999999999998E-2</v>
      </c>
      <c r="D55" s="1931" t="e">
        <f>($C$9*24)/((($B$8-BBR+'Product Data'!$K$3-'KB Model Suggestions Tr 2yr'!$C55)/12)*(24-'KB Model Suggestions Tr 2yr'!B55)*'Product Data'!$P$18)</f>
        <v>#N/A</v>
      </c>
      <c r="F55" s="1927">
        <f t="shared" si="5"/>
        <v>0</v>
      </c>
      <c r="G55" s="1928">
        <v>1.6899999999999998E-2</v>
      </c>
      <c r="H55" s="1931" t="e">
        <f>($G$9*24)/((($F$8-BBR+'Product Data'!$K$3-'KB Model Suggestions Tr 2yr'!$G55)/12)*(24-'KB Model Suggestions Tr 2yr'!F55)*'Product Data'!$P$18)</f>
        <v>#N/A</v>
      </c>
      <c r="J55" s="1927">
        <f t="shared" si="6"/>
        <v>0</v>
      </c>
      <c r="K55" s="1928">
        <v>1.6899999999999998E-2</v>
      </c>
      <c r="L55" s="1931" t="e">
        <f>($K$9*24)/((($J$8-BBR+'Product Data'!$K$2-'KB Model Suggestions Tr 2yr'!$K55)/12)*(24-'KB Model Suggestions Tr 2yr'!J55)*'Product Data'!$P$18)</f>
        <v>#N/A</v>
      </c>
      <c r="N55" s="1927">
        <f t="shared" si="7"/>
        <v>0</v>
      </c>
      <c r="O55" s="2392">
        <v>1.6899999999999998E-2</v>
      </c>
      <c r="P55" s="1929" t="e">
        <f>($O$9*60)/((($N$8-$O55)/12)*(60-N55)*'Product Data'!$P$23)</f>
        <v>#N/A</v>
      </c>
    </row>
    <row r="56" spans="2:16" x14ac:dyDescent="0.25">
      <c r="B56" s="1927">
        <f t="shared" si="4"/>
        <v>0</v>
      </c>
      <c r="C56" s="1928">
        <v>1.6799999999999999E-2</v>
      </c>
      <c r="D56" s="1931" t="e">
        <f>($C$9*24)/((($B$8-BBR+'Product Data'!$K$3-'KB Model Suggestions Tr 2yr'!$C56)/12)*(24-'KB Model Suggestions Tr 2yr'!B56)*'Product Data'!$P$18)</f>
        <v>#N/A</v>
      </c>
      <c r="F56" s="1927">
        <f t="shared" si="5"/>
        <v>0</v>
      </c>
      <c r="G56" s="1928">
        <v>1.6799999999999999E-2</v>
      </c>
      <c r="H56" s="1931" t="e">
        <f>($G$9*24)/((($F$8-BBR+'Product Data'!$K$3-'KB Model Suggestions Tr 2yr'!$G56)/12)*(24-'KB Model Suggestions Tr 2yr'!F56)*'Product Data'!$P$18)</f>
        <v>#N/A</v>
      </c>
      <c r="J56" s="1927">
        <f t="shared" si="6"/>
        <v>0</v>
      </c>
      <c r="K56" s="1928">
        <v>1.6799999999999999E-2</v>
      </c>
      <c r="L56" s="1931" t="e">
        <f>($K$9*24)/((($J$8-BBR+'Product Data'!$K$2-'KB Model Suggestions Tr 2yr'!$K56)/12)*(24-'KB Model Suggestions Tr 2yr'!J56)*'Product Data'!$P$18)</f>
        <v>#N/A</v>
      </c>
      <c r="N56" s="1927">
        <f t="shared" si="7"/>
        <v>0</v>
      </c>
      <c r="O56" s="2392">
        <v>1.6799999999999999E-2</v>
      </c>
      <c r="P56" s="1929" t="e">
        <f>($O$9*60)/((($N$8-$O56)/12)*(60-N56)*'Product Data'!$P$23)</f>
        <v>#N/A</v>
      </c>
    </row>
    <row r="57" spans="2:16" x14ac:dyDescent="0.25">
      <c r="B57" s="1927">
        <f t="shared" si="4"/>
        <v>0</v>
      </c>
      <c r="C57" s="1928">
        <v>1.67E-2</v>
      </c>
      <c r="D57" s="1931" t="e">
        <f>($C$9*24)/((($B$8-BBR+'Product Data'!$K$3-'KB Model Suggestions Tr 2yr'!$C57)/12)*(24-'KB Model Suggestions Tr 2yr'!B57)*'Product Data'!$P$18)</f>
        <v>#N/A</v>
      </c>
      <c r="F57" s="1927">
        <f t="shared" si="5"/>
        <v>0</v>
      </c>
      <c r="G57" s="1928">
        <v>1.67E-2</v>
      </c>
      <c r="H57" s="1931" t="e">
        <f>($G$9*24)/((($F$8-BBR+'Product Data'!$K$3-'KB Model Suggestions Tr 2yr'!$G57)/12)*(24-'KB Model Suggestions Tr 2yr'!F57)*'Product Data'!$P$18)</f>
        <v>#N/A</v>
      </c>
      <c r="J57" s="1927">
        <f t="shared" si="6"/>
        <v>0</v>
      </c>
      <c r="K57" s="1928">
        <v>1.67E-2</v>
      </c>
      <c r="L57" s="1931" t="e">
        <f>($K$9*24)/((($J$8-BBR+'Product Data'!$K$2-'KB Model Suggestions Tr 2yr'!$K57)/12)*(24-'KB Model Suggestions Tr 2yr'!J57)*'Product Data'!$P$18)</f>
        <v>#N/A</v>
      </c>
      <c r="N57" s="1927">
        <f t="shared" si="7"/>
        <v>0</v>
      </c>
      <c r="O57" s="2392">
        <v>1.67E-2</v>
      </c>
      <c r="P57" s="1929" t="e">
        <f>($O$9*60)/((($N$8-$O57)/12)*(60-N57)*'Product Data'!$P$23)</f>
        <v>#N/A</v>
      </c>
    </row>
    <row r="58" spans="2:16" x14ac:dyDescent="0.25">
      <c r="B58" s="1927">
        <f t="shared" si="4"/>
        <v>0</v>
      </c>
      <c r="C58" s="1928">
        <v>1.66E-2</v>
      </c>
      <c r="D58" s="1931" t="e">
        <f>($C$9*24)/((($B$8-BBR+'Product Data'!$K$3-'KB Model Suggestions Tr 2yr'!$C58)/12)*(24-'KB Model Suggestions Tr 2yr'!B58)*'Product Data'!$P$18)</f>
        <v>#N/A</v>
      </c>
      <c r="F58" s="1927">
        <f t="shared" si="5"/>
        <v>0</v>
      </c>
      <c r="G58" s="1928">
        <v>1.66E-2</v>
      </c>
      <c r="H58" s="1931" t="e">
        <f>($G$9*24)/((($F$8-BBR+'Product Data'!$K$3-'KB Model Suggestions Tr 2yr'!$G58)/12)*(24-'KB Model Suggestions Tr 2yr'!F58)*'Product Data'!$P$18)</f>
        <v>#N/A</v>
      </c>
      <c r="J58" s="1927">
        <f t="shared" si="6"/>
        <v>0</v>
      </c>
      <c r="K58" s="1928">
        <v>1.66E-2</v>
      </c>
      <c r="L58" s="1931" t="e">
        <f>($K$9*24)/((($J$8-BBR+'Product Data'!$K$2-'KB Model Suggestions Tr 2yr'!$K58)/12)*(24-'KB Model Suggestions Tr 2yr'!J58)*'Product Data'!$P$18)</f>
        <v>#N/A</v>
      </c>
      <c r="N58" s="1927">
        <f t="shared" si="7"/>
        <v>0</v>
      </c>
      <c r="O58" s="2392">
        <v>1.66E-2</v>
      </c>
      <c r="P58" s="1929" t="e">
        <f>($O$9*60)/((($N$8-$O58)/12)*(60-N58)*'Product Data'!$P$23)</f>
        <v>#N/A</v>
      </c>
    </row>
    <row r="59" spans="2:16" x14ac:dyDescent="0.25">
      <c r="B59" s="1927">
        <f t="shared" si="4"/>
        <v>0</v>
      </c>
      <c r="C59" s="1928">
        <v>1.6500000000000001E-2</v>
      </c>
      <c r="D59" s="1931" t="e">
        <f>($C$9*24)/((($B$8-BBR+'Product Data'!$K$3-'KB Model Suggestions Tr 2yr'!$C59)/12)*(24-'KB Model Suggestions Tr 2yr'!B59)*'Product Data'!$P$18)</f>
        <v>#N/A</v>
      </c>
      <c r="F59" s="1927">
        <f t="shared" si="5"/>
        <v>0</v>
      </c>
      <c r="G59" s="1928">
        <v>1.6500000000000001E-2</v>
      </c>
      <c r="H59" s="1931" t="e">
        <f>($G$9*24)/((($F$8-BBR+'Product Data'!$K$3-'KB Model Suggestions Tr 2yr'!$G59)/12)*(24-'KB Model Suggestions Tr 2yr'!F59)*'Product Data'!$P$18)</f>
        <v>#N/A</v>
      </c>
      <c r="J59" s="1927">
        <f t="shared" si="6"/>
        <v>0</v>
      </c>
      <c r="K59" s="1928">
        <v>1.6500000000000001E-2</v>
      </c>
      <c r="L59" s="1931" t="e">
        <f>($K$9*24)/((($J$8-BBR+'Product Data'!$K$2-'KB Model Suggestions Tr 2yr'!$K59)/12)*(24-'KB Model Suggestions Tr 2yr'!J59)*'Product Data'!$P$18)</f>
        <v>#N/A</v>
      </c>
      <c r="N59" s="1927">
        <f t="shared" si="7"/>
        <v>0</v>
      </c>
      <c r="O59" s="2392">
        <v>1.6500000000000001E-2</v>
      </c>
      <c r="P59" s="1929" t="e">
        <f>($O$9*60)/((($N$8-$O59)/12)*(60-N59)*'Product Data'!$P$23)</f>
        <v>#N/A</v>
      </c>
    </row>
    <row r="60" spans="2:16" x14ac:dyDescent="0.25">
      <c r="B60" s="1927">
        <f t="shared" si="4"/>
        <v>0</v>
      </c>
      <c r="C60" s="1928">
        <v>1.6400000000000001E-2</v>
      </c>
      <c r="D60" s="1931" t="e">
        <f>($C$9*24)/((($B$8-BBR+'Product Data'!$K$3-'KB Model Suggestions Tr 2yr'!$C60)/12)*(24-'KB Model Suggestions Tr 2yr'!B60)*'Product Data'!$P$18)</f>
        <v>#N/A</v>
      </c>
      <c r="F60" s="1927">
        <f t="shared" si="5"/>
        <v>0</v>
      </c>
      <c r="G60" s="1928">
        <v>1.6400000000000001E-2</v>
      </c>
      <c r="H60" s="1931" t="e">
        <f>($G$9*24)/((($F$8-BBR+'Product Data'!$K$3-'KB Model Suggestions Tr 2yr'!$G60)/12)*(24-'KB Model Suggestions Tr 2yr'!F60)*'Product Data'!$P$18)</f>
        <v>#N/A</v>
      </c>
      <c r="J60" s="1927">
        <f t="shared" si="6"/>
        <v>0</v>
      </c>
      <c r="K60" s="1928">
        <v>1.6400000000000001E-2</v>
      </c>
      <c r="L60" s="1931" t="e">
        <f>($K$9*24)/((($J$8-BBR+'Product Data'!$K$2-'KB Model Suggestions Tr 2yr'!$K60)/12)*(24-'KB Model Suggestions Tr 2yr'!J60)*'Product Data'!$P$18)</f>
        <v>#N/A</v>
      </c>
      <c r="N60" s="1927">
        <f t="shared" si="7"/>
        <v>0</v>
      </c>
      <c r="O60" s="2392">
        <v>1.6400000000000001E-2</v>
      </c>
      <c r="P60" s="1929" t="e">
        <f>($O$9*60)/((($N$8-$O60)/12)*(60-N60)*'Product Data'!$P$23)</f>
        <v>#N/A</v>
      </c>
    </row>
    <row r="61" spans="2:16" x14ac:dyDescent="0.25">
      <c r="B61" s="1927">
        <f t="shared" si="4"/>
        <v>0</v>
      </c>
      <c r="C61" s="1928">
        <v>1.6299999999999999E-2</v>
      </c>
      <c r="D61" s="1931" t="e">
        <f>($C$9*24)/((($B$8-BBR+'Product Data'!$K$3-'KB Model Suggestions Tr 2yr'!$C61)/12)*(24-'KB Model Suggestions Tr 2yr'!B61)*'Product Data'!$P$18)</f>
        <v>#N/A</v>
      </c>
      <c r="F61" s="1927">
        <f t="shared" si="5"/>
        <v>0</v>
      </c>
      <c r="G61" s="1928">
        <v>1.6299999999999999E-2</v>
      </c>
      <c r="H61" s="1931" t="e">
        <f>($G$9*24)/((($F$8-BBR+'Product Data'!$K$3-'KB Model Suggestions Tr 2yr'!$G61)/12)*(24-'KB Model Suggestions Tr 2yr'!F61)*'Product Data'!$P$18)</f>
        <v>#N/A</v>
      </c>
      <c r="J61" s="1927">
        <f t="shared" si="6"/>
        <v>0</v>
      </c>
      <c r="K61" s="1928">
        <v>1.6299999999999999E-2</v>
      </c>
      <c r="L61" s="1931" t="e">
        <f>($K$9*24)/((($J$8-BBR+'Product Data'!$K$2-'KB Model Suggestions Tr 2yr'!$K61)/12)*(24-'KB Model Suggestions Tr 2yr'!J61)*'Product Data'!$P$18)</f>
        <v>#N/A</v>
      </c>
      <c r="N61" s="1927">
        <f t="shared" si="7"/>
        <v>0</v>
      </c>
      <c r="O61" s="2392">
        <v>1.6299999999999999E-2</v>
      </c>
      <c r="P61" s="1929" t="e">
        <f>($O$9*60)/((($N$8-$O61)/12)*(60-N61)*'Product Data'!$P$23)</f>
        <v>#N/A</v>
      </c>
    </row>
    <row r="62" spans="2:16" x14ac:dyDescent="0.25">
      <c r="B62" s="1927">
        <f t="shared" si="4"/>
        <v>0</v>
      </c>
      <c r="C62" s="1928">
        <v>1.6199999999999999E-2</v>
      </c>
      <c r="D62" s="1931" t="e">
        <f>($C$9*24)/((($B$8-BBR+'Product Data'!$K$3-'KB Model Suggestions Tr 2yr'!$C62)/12)*(24-'KB Model Suggestions Tr 2yr'!B62)*'Product Data'!$P$18)</f>
        <v>#N/A</v>
      </c>
      <c r="F62" s="1927">
        <f t="shared" si="5"/>
        <v>0</v>
      </c>
      <c r="G62" s="1928">
        <v>1.6199999999999999E-2</v>
      </c>
      <c r="H62" s="1931" t="e">
        <f>($G$9*24)/((($F$8-BBR+'Product Data'!$K$3-'KB Model Suggestions Tr 2yr'!$G62)/12)*(24-'KB Model Suggestions Tr 2yr'!F62)*'Product Data'!$P$18)</f>
        <v>#N/A</v>
      </c>
      <c r="J62" s="1927">
        <f t="shared" si="6"/>
        <v>0</v>
      </c>
      <c r="K62" s="1928">
        <v>1.6199999999999999E-2</v>
      </c>
      <c r="L62" s="1931" t="e">
        <f>($K$9*24)/((($J$8-BBR+'Product Data'!$K$2-'KB Model Suggestions Tr 2yr'!$K62)/12)*(24-'KB Model Suggestions Tr 2yr'!J62)*'Product Data'!$P$18)</f>
        <v>#N/A</v>
      </c>
      <c r="N62" s="1927">
        <f t="shared" si="7"/>
        <v>0</v>
      </c>
      <c r="O62" s="2392">
        <v>1.6199999999999999E-2</v>
      </c>
      <c r="P62" s="1929" t="e">
        <f>($O$9*60)/((($N$8-$O62)/12)*(60-N62)*'Product Data'!$P$23)</f>
        <v>#N/A</v>
      </c>
    </row>
    <row r="63" spans="2:16" x14ac:dyDescent="0.25">
      <c r="B63" s="1927">
        <f t="shared" si="4"/>
        <v>0</v>
      </c>
      <c r="C63" s="1928">
        <v>1.61E-2</v>
      </c>
      <c r="D63" s="1931" t="e">
        <f>($C$9*24)/((($B$8-BBR+'Product Data'!$K$3-'KB Model Suggestions Tr 2yr'!$C63)/12)*(24-'KB Model Suggestions Tr 2yr'!B63)*'Product Data'!$P$18)</f>
        <v>#N/A</v>
      </c>
      <c r="F63" s="1927">
        <f t="shared" si="5"/>
        <v>0</v>
      </c>
      <c r="G63" s="1928">
        <v>1.61E-2</v>
      </c>
      <c r="H63" s="1931" t="e">
        <f>($G$9*24)/((($F$8-BBR+'Product Data'!$K$3-'KB Model Suggestions Tr 2yr'!$G63)/12)*(24-'KB Model Suggestions Tr 2yr'!F63)*'Product Data'!$P$18)</f>
        <v>#N/A</v>
      </c>
      <c r="J63" s="1927">
        <f t="shared" si="6"/>
        <v>0</v>
      </c>
      <c r="K63" s="1928">
        <v>1.61E-2</v>
      </c>
      <c r="L63" s="1931" t="e">
        <f>($K$9*24)/((($J$8-BBR+'Product Data'!$K$2-'KB Model Suggestions Tr 2yr'!$K63)/12)*(24-'KB Model Suggestions Tr 2yr'!J63)*'Product Data'!$P$18)</f>
        <v>#N/A</v>
      </c>
      <c r="N63" s="1927">
        <f t="shared" si="7"/>
        <v>0</v>
      </c>
      <c r="O63" s="2392">
        <v>1.61E-2</v>
      </c>
      <c r="P63" s="1929" t="e">
        <f>($O$9*60)/((($N$8-$O63)/12)*(60-N63)*'Product Data'!$P$23)</f>
        <v>#N/A</v>
      </c>
    </row>
    <row r="64" spans="2:16" x14ac:dyDescent="0.25">
      <c r="B64" s="1927">
        <f t="shared" si="4"/>
        <v>0</v>
      </c>
      <c r="C64" s="1928">
        <v>1.6E-2</v>
      </c>
      <c r="D64" s="1931" t="e">
        <f>($C$9*24)/((($B$8-BBR+'Product Data'!$K$3-'KB Model Suggestions Tr 2yr'!$C64)/12)*(24-'KB Model Suggestions Tr 2yr'!B64)*'Product Data'!$P$18)</f>
        <v>#N/A</v>
      </c>
      <c r="F64" s="1927">
        <f t="shared" si="5"/>
        <v>0</v>
      </c>
      <c r="G64" s="1928">
        <v>1.6E-2</v>
      </c>
      <c r="H64" s="1931" t="e">
        <f>($G$9*24)/((($F$8-BBR+'Product Data'!$K$3-'KB Model Suggestions Tr 2yr'!$G64)/12)*(24-'KB Model Suggestions Tr 2yr'!F64)*'Product Data'!$P$18)</f>
        <v>#N/A</v>
      </c>
      <c r="J64" s="1927">
        <f t="shared" si="6"/>
        <v>0</v>
      </c>
      <c r="K64" s="1928">
        <v>1.6E-2</v>
      </c>
      <c r="L64" s="1931" t="e">
        <f>($K$9*24)/((($J$8-BBR+'Product Data'!$K$2-'KB Model Suggestions Tr 2yr'!$K64)/12)*(24-'KB Model Suggestions Tr 2yr'!J64)*'Product Data'!$P$18)</f>
        <v>#N/A</v>
      </c>
      <c r="N64" s="1927">
        <f t="shared" si="7"/>
        <v>0</v>
      </c>
      <c r="O64" s="2392">
        <v>1.6E-2</v>
      </c>
      <c r="P64" s="1929" t="e">
        <f>($O$9*60)/((($N$8-$O64)/12)*(60-N64)*'Product Data'!$P$23)</f>
        <v>#N/A</v>
      </c>
    </row>
    <row r="65" spans="2:16" x14ac:dyDescent="0.25">
      <c r="B65" s="1927">
        <f t="shared" si="4"/>
        <v>0</v>
      </c>
      <c r="C65" s="1928">
        <v>1.5900000000000001E-2</v>
      </c>
      <c r="D65" s="1931" t="e">
        <f>($C$9*24)/((($B$8-BBR+'Product Data'!$K$3-'KB Model Suggestions Tr 2yr'!$C65)/12)*(24-'KB Model Suggestions Tr 2yr'!B65)*'Product Data'!$P$18)</f>
        <v>#N/A</v>
      </c>
      <c r="F65" s="1927">
        <f t="shared" si="5"/>
        <v>0</v>
      </c>
      <c r="G65" s="1928">
        <v>1.5900000000000001E-2</v>
      </c>
      <c r="H65" s="1931" t="e">
        <f>($G$9*24)/((($F$8-BBR+'Product Data'!$K$3-'KB Model Suggestions Tr 2yr'!$G65)/12)*(24-'KB Model Suggestions Tr 2yr'!F65)*'Product Data'!$P$18)</f>
        <v>#N/A</v>
      </c>
      <c r="J65" s="1927">
        <f t="shared" si="6"/>
        <v>0</v>
      </c>
      <c r="K65" s="1928">
        <v>1.5900000000000001E-2</v>
      </c>
      <c r="L65" s="1931" t="e">
        <f>($K$9*24)/((($J$8-BBR+'Product Data'!$K$2-'KB Model Suggestions Tr 2yr'!$K65)/12)*(24-'KB Model Suggestions Tr 2yr'!J65)*'Product Data'!$P$18)</f>
        <v>#N/A</v>
      </c>
      <c r="N65" s="1927">
        <f t="shared" si="7"/>
        <v>0</v>
      </c>
      <c r="O65" s="2392">
        <v>1.5900000000000001E-2</v>
      </c>
      <c r="P65" s="1929" t="e">
        <f>($O$9*60)/((($N$8-$O65)/12)*(60-N65)*'Product Data'!$P$23)</f>
        <v>#N/A</v>
      </c>
    </row>
    <row r="66" spans="2:16" x14ac:dyDescent="0.25">
      <c r="B66" s="1927">
        <f t="shared" si="4"/>
        <v>0</v>
      </c>
      <c r="C66" s="1928">
        <v>1.5800000000000002E-2</v>
      </c>
      <c r="D66" s="1931" t="e">
        <f>($C$9*24)/((($B$8-BBR+'Product Data'!$K$3-'KB Model Suggestions Tr 2yr'!$C66)/12)*(24-'KB Model Suggestions Tr 2yr'!B66)*'Product Data'!$P$18)</f>
        <v>#N/A</v>
      </c>
      <c r="F66" s="1927">
        <f t="shared" si="5"/>
        <v>0</v>
      </c>
      <c r="G66" s="1928">
        <v>1.5800000000000002E-2</v>
      </c>
      <c r="H66" s="1931" t="e">
        <f>($G$9*24)/((($F$8-BBR+'Product Data'!$K$3-'KB Model Suggestions Tr 2yr'!$G66)/12)*(24-'KB Model Suggestions Tr 2yr'!F66)*'Product Data'!$P$18)</f>
        <v>#N/A</v>
      </c>
      <c r="J66" s="1927">
        <f t="shared" si="6"/>
        <v>0</v>
      </c>
      <c r="K66" s="1928">
        <v>1.5800000000000002E-2</v>
      </c>
      <c r="L66" s="1931" t="e">
        <f>($K$9*24)/((($J$8-BBR+'Product Data'!$K$2-'KB Model Suggestions Tr 2yr'!$K66)/12)*(24-'KB Model Suggestions Tr 2yr'!J66)*'Product Data'!$P$18)</f>
        <v>#N/A</v>
      </c>
      <c r="N66" s="1927">
        <f t="shared" si="7"/>
        <v>0</v>
      </c>
      <c r="O66" s="2392">
        <v>1.5800000000000002E-2</v>
      </c>
      <c r="P66" s="1929" t="e">
        <f>($O$9*60)/((($N$8-$O66)/12)*(60-N66)*'Product Data'!$P$23)</f>
        <v>#N/A</v>
      </c>
    </row>
    <row r="67" spans="2:16" x14ac:dyDescent="0.25">
      <c r="B67" s="1927">
        <f t="shared" si="4"/>
        <v>0</v>
      </c>
      <c r="C67" s="1928">
        <v>1.5699999999999999E-2</v>
      </c>
      <c r="D67" s="1931" t="e">
        <f>($C$9*24)/((($B$8-BBR+'Product Data'!$K$3-'KB Model Suggestions Tr 2yr'!$C67)/12)*(24-'KB Model Suggestions Tr 2yr'!B67)*'Product Data'!$P$18)</f>
        <v>#N/A</v>
      </c>
      <c r="F67" s="1927">
        <f t="shared" si="5"/>
        <v>0</v>
      </c>
      <c r="G67" s="1928">
        <v>1.5699999999999999E-2</v>
      </c>
      <c r="H67" s="1931" t="e">
        <f>($G$9*24)/((($F$8-BBR+'Product Data'!$K$3-'KB Model Suggestions Tr 2yr'!$G67)/12)*(24-'KB Model Suggestions Tr 2yr'!F67)*'Product Data'!$P$18)</f>
        <v>#N/A</v>
      </c>
      <c r="J67" s="1927">
        <f t="shared" si="6"/>
        <v>0</v>
      </c>
      <c r="K67" s="1928">
        <v>1.5699999999999999E-2</v>
      </c>
      <c r="L67" s="1931" t="e">
        <f>($K$9*24)/((($J$8-BBR+'Product Data'!$K$2-'KB Model Suggestions Tr 2yr'!$K67)/12)*(24-'KB Model Suggestions Tr 2yr'!J67)*'Product Data'!$P$18)</f>
        <v>#N/A</v>
      </c>
      <c r="N67" s="1927">
        <f t="shared" si="7"/>
        <v>0</v>
      </c>
      <c r="O67" s="2392">
        <v>1.5699999999999999E-2</v>
      </c>
      <c r="P67" s="1929" t="e">
        <f>($O$9*60)/((($N$8-$O67)/12)*(60-N67)*'Product Data'!$P$23)</f>
        <v>#N/A</v>
      </c>
    </row>
    <row r="68" spans="2:16" x14ac:dyDescent="0.25">
      <c r="B68" s="1927">
        <f t="shared" si="4"/>
        <v>0</v>
      </c>
      <c r="C68" s="1928">
        <v>1.5599999999999999E-2</v>
      </c>
      <c r="D68" s="1931" t="e">
        <f>($C$9*24)/((($B$8-BBR+'Product Data'!$K$3-'KB Model Suggestions Tr 2yr'!$C68)/12)*(24-'KB Model Suggestions Tr 2yr'!B68)*'Product Data'!$P$18)</f>
        <v>#N/A</v>
      </c>
      <c r="F68" s="1927">
        <f t="shared" si="5"/>
        <v>0</v>
      </c>
      <c r="G68" s="1928">
        <v>1.5599999999999999E-2</v>
      </c>
      <c r="H68" s="1931" t="e">
        <f>($G$9*24)/((($F$8-BBR+'Product Data'!$K$3-'KB Model Suggestions Tr 2yr'!$G68)/12)*(24-'KB Model Suggestions Tr 2yr'!F68)*'Product Data'!$P$18)</f>
        <v>#N/A</v>
      </c>
      <c r="J68" s="1927">
        <f t="shared" si="6"/>
        <v>0</v>
      </c>
      <c r="K68" s="1928">
        <v>1.5599999999999999E-2</v>
      </c>
      <c r="L68" s="1931" t="e">
        <f>($K$9*24)/((($J$8-BBR+'Product Data'!$K$2-'KB Model Suggestions Tr 2yr'!$K68)/12)*(24-'KB Model Suggestions Tr 2yr'!J68)*'Product Data'!$P$18)</f>
        <v>#N/A</v>
      </c>
      <c r="N68" s="1927">
        <f t="shared" si="7"/>
        <v>0</v>
      </c>
      <c r="O68" s="2392">
        <v>1.5599999999999999E-2</v>
      </c>
      <c r="P68" s="1929" t="e">
        <f>($O$9*60)/((($N$8-$O68)/12)*(60-N68)*'Product Data'!$P$23)</f>
        <v>#N/A</v>
      </c>
    </row>
    <row r="69" spans="2:16" x14ac:dyDescent="0.25">
      <c r="B69" s="1927">
        <f t="shared" si="4"/>
        <v>0</v>
      </c>
      <c r="C69" s="1928">
        <v>1.55E-2</v>
      </c>
      <c r="D69" s="1931" t="e">
        <f>($C$9*24)/((($B$8-BBR+'Product Data'!$K$3-'KB Model Suggestions Tr 2yr'!$C69)/12)*(24-'KB Model Suggestions Tr 2yr'!B69)*'Product Data'!$P$18)</f>
        <v>#N/A</v>
      </c>
      <c r="F69" s="1927">
        <f t="shared" si="5"/>
        <v>0</v>
      </c>
      <c r="G69" s="1928">
        <v>1.55E-2</v>
      </c>
      <c r="H69" s="1931" t="e">
        <f>($G$9*24)/((($F$8-BBR+'Product Data'!$K$3-'KB Model Suggestions Tr 2yr'!$G69)/12)*(24-'KB Model Suggestions Tr 2yr'!F69)*'Product Data'!$P$18)</f>
        <v>#N/A</v>
      </c>
      <c r="J69" s="1927">
        <f t="shared" si="6"/>
        <v>0</v>
      </c>
      <c r="K69" s="1928">
        <v>1.55E-2</v>
      </c>
      <c r="L69" s="1931" t="e">
        <f>($K$9*24)/((($J$8-BBR+'Product Data'!$K$2-'KB Model Suggestions Tr 2yr'!$K69)/12)*(24-'KB Model Suggestions Tr 2yr'!J69)*'Product Data'!$P$18)</f>
        <v>#N/A</v>
      </c>
      <c r="N69" s="1927">
        <f t="shared" si="7"/>
        <v>0</v>
      </c>
      <c r="O69" s="2392">
        <v>1.55E-2</v>
      </c>
      <c r="P69" s="1929" t="e">
        <f>($O$9*60)/((($N$8-$O69)/12)*(60-N69)*'Product Data'!$P$23)</f>
        <v>#N/A</v>
      </c>
    </row>
    <row r="70" spans="2:16" x14ac:dyDescent="0.25">
      <c r="B70" s="1927">
        <f t="shared" si="4"/>
        <v>0</v>
      </c>
      <c r="C70" s="1928">
        <v>1.54E-2</v>
      </c>
      <c r="D70" s="1931" t="e">
        <f>($C$9*24)/((($B$8-BBR+'Product Data'!$K$3-'KB Model Suggestions Tr 2yr'!$C70)/12)*(24-'KB Model Suggestions Tr 2yr'!B70)*'Product Data'!$P$18)</f>
        <v>#N/A</v>
      </c>
      <c r="F70" s="1927">
        <f t="shared" si="5"/>
        <v>0</v>
      </c>
      <c r="G70" s="1928">
        <v>1.54E-2</v>
      </c>
      <c r="H70" s="1931" t="e">
        <f>($G$9*24)/((($F$8-BBR+'Product Data'!$K$3-'KB Model Suggestions Tr 2yr'!$G70)/12)*(24-'KB Model Suggestions Tr 2yr'!F70)*'Product Data'!$P$18)</f>
        <v>#N/A</v>
      </c>
      <c r="J70" s="1927">
        <f t="shared" si="6"/>
        <v>0</v>
      </c>
      <c r="K70" s="1928">
        <v>1.54E-2</v>
      </c>
      <c r="L70" s="1931" t="e">
        <f>($K$9*24)/((($J$8-BBR+'Product Data'!$K$2-'KB Model Suggestions Tr 2yr'!$K70)/12)*(24-'KB Model Suggestions Tr 2yr'!J70)*'Product Data'!$P$18)</f>
        <v>#N/A</v>
      </c>
      <c r="N70" s="1927">
        <f t="shared" si="7"/>
        <v>0</v>
      </c>
      <c r="O70" s="2392">
        <v>1.54E-2</v>
      </c>
      <c r="P70" s="1929" t="e">
        <f>($O$9*60)/((($N$8-$O70)/12)*(60-N70)*'Product Data'!$P$23)</f>
        <v>#N/A</v>
      </c>
    </row>
    <row r="71" spans="2:16" x14ac:dyDescent="0.25">
      <c r="B71" s="1927">
        <f t="shared" si="4"/>
        <v>0</v>
      </c>
      <c r="C71" s="1928">
        <v>1.5299999999999999E-2</v>
      </c>
      <c r="D71" s="1931" t="e">
        <f>($C$9*24)/((($B$8-BBR+'Product Data'!$K$3-'KB Model Suggestions Tr 2yr'!$C71)/12)*(24-'KB Model Suggestions Tr 2yr'!B71)*'Product Data'!$P$18)</f>
        <v>#N/A</v>
      </c>
      <c r="F71" s="1927">
        <f t="shared" si="5"/>
        <v>0</v>
      </c>
      <c r="G71" s="1928">
        <v>1.5299999999999999E-2</v>
      </c>
      <c r="H71" s="1931" t="e">
        <f>($G$9*24)/((($F$8-BBR+'Product Data'!$K$3-'KB Model Suggestions Tr 2yr'!$G71)/12)*(24-'KB Model Suggestions Tr 2yr'!F71)*'Product Data'!$P$18)</f>
        <v>#N/A</v>
      </c>
      <c r="J71" s="1927">
        <f t="shared" si="6"/>
        <v>0</v>
      </c>
      <c r="K71" s="1928">
        <v>1.5299999999999999E-2</v>
      </c>
      <c r="L71" s="1931" t="e">
        <f>($K$9*24)/((($J$8-BBR+'Product Data'!$K$2-'KB Model Suggestions Tr 2yr'!$K71)/12)*(24-'KB Model Suggestions Tr 2yr'!J71)*'Product Data'!$P$18)</f>
        <v>#N/A</v>
      </c>
      <c r="N71" s="1927">
        <f t="shared" si="7"/>
        <v>0</v>
      </c>
      <c r="O71" s="2392">
        <v>1.5299999999999999E-2</v>
      </c>
      <c r="P71" s="1929" t="e">
        <f>($O$9*60)/((($N$8-$O71)/12)*(60-N71)*'Product Data'!$P$23)</f>
        <v>#N/A</v>
      </c>
    </row>
    <row r="72" spans="2:16" x14ac:dyDescent="0.25">
      <c r="B72" s="1927">
        <f t="shared" si="4"/>
        <v>0</v>
      </c>
      <c r="C72" s="1928">
        <v>1.52E-2</v>
      </c>
      <c r="D72" s="1931" t="e">
        <f>($C$9*24)/((($B$8-BBR+'Product Data'!$K$3-'KB Model Suggestions Tr 2yr'!$C72)/12)*(24-'KB Model Suggestions Tr 2yr'!B72)*'Product Data'!$P$18)</f>
        <v>#N/A</v>
      </c>
      <c r="F72" s="1927">
        <f t="shared" si="5"/>
        <v>0</v>
      </c>
      <c r="G72" s="1928">
        <v>1.52E-2</v>
      </c>
      <c r="H72" s="1931" t="e">
        <f>($G$9*24)/((($F$8-BBR+'Product Data'!$K$3-'KB Model Suggestions Tr 2yr'!$G72)/12)*(24-'KB Model Suggestions Tr 2yr'!F72)*'Product Data'!$P$18)</f>
        <v>#N/A</v>
      </c>
      <c r="J72" s="1927">
        <f t="shared" si="6"/>
        <v>0</v>
      </c>
      <c r="K72" s="1928">
        <v>1.52E-2</v>
      </c>
      <c r="L72" s="1931" t="e">
        <f>($K$9*24)/((($J$8-BBR+'Product Data'!$K$2-'KB Model Suggestions Tr 2yr'!$K72)/12)*(24-'KB Model Suggestions Tr 2yr'!J72)*'Product Data'!$P$18)</f>
        <v>#N/A</v>
      </c>
      <c r="N72" s="1927">
        <f t="shared" si="7"/>
        <v>0</v>
      </c>
      <c r="O72" s="2392">
        <v>1.52E-2</v>
      </c>
      <c r="P72" s="1929" t="e">
        <f>($O$9*60)/((($N$8-$O72)/12)*(60-N72)*'Product Data'!$P$23)</f>
        <v>#N/A</v>
      </c>
    </row>
    <row r="73" spans="2:16" x14ac:dyDescent="0.25">
      <c r="B73" s="1927">
        <f t="shared" si="4"/>
        <v>0</v>
      </c>
      <c r="C73" s="1928">
        <v>1.5100000000000001E-2</v>
      </c>
      <c r="D73" s="1931" t="e">
        <f>($C$9*24)/((($B$8-BBR+'Product Data'!$K$3-'KB Model Suggestions Tr 2yr'!$C73)/12)*(24-'KB Model Suggestions Tr 2yr'!B73)*'Product Data'!$P$18)</f>
        <v>#N/A</v>
      </c>
      <c r="F73" s="1927">
        <f t="shared" si="5"/>
        <v>0</v>
      </c>
      <c r="G73" s="1928">
        <v>1.5100000000000001E-2</v>
      </c>
      <c r="H73" s="1931" t="e">
        <f>($G$9*24)/((($F$8-BBR+'Product Data'!$K$3-'KB Model Suggestions Tr 2yr'!$G73)/12)*(24-'KB Model Suggestions Tr 2yr'!F73)*'Product Data'!$P$18)</f>
        <v>#N/A</v>
      </c>
      <c r="J73" s="1927">
        <f t="shared" si="6"/>
        <v>0</v>
      </c>
      <c r="K73" s="1928">
        <v>1.5100000000000001E-2</v>
      </c>
      <c r="L73" s="1931" t="e">
        <f>($K$9*24)/((($J$8-BBR+'Product Data'!$K$2-'KB Model Suggestions Tr 2yr'!$K73)/12)*(24-'KB Model Suggestions Tr 2yr'!J73)*'Product Data'!$P$18)</f>
        <v>#N/A</v>
      </c>
      <c r="N73" s="1927">
        <f t="shared" si="7"/>
        <v>0</v>
      </c>
      <c r="O73" s="2392">
        <v>1.5100000000000001E-2</v>
      </c>
      <c r="P73" s="1929" t="e">
        <f>($O$9*60)/((($N$8-$O73)/12)*(60-N73)*'Product Data'!$P$23)</f>
        <v>#N/A</v>
      </c>
    </row>
    <row r="74" spans="2:16" x14ac:dyDescent="0.25">
      <c r="B74" s="1927">
        <f t="shared" si="4"/>
        <v>0</v>
      </c>
      <c r="C74" s="1928">
        <v>1.4999999999999999E-2</v>
      </c>
      <c r="D74" s="1931" t="e">
        <f>($C$9*24)/((($B$8-BBR+'Product Data'!$K$3-'KB Model Suggestions Tr 2yr'!$C74)/12)*(24-'KB Model Suggestions Tr 2yr'!B74)*'Product Data'!$P$18)</f>
        <v>#N/A</v>
      </c>
      <c r="F74" s="1927">
        <f t="shared" si="5"/>
        <v>0</v>
      </c>
      <c r="G74" s="1928">
        <v>1.4999999999999999E-2</v>
      </c>
      <c r="H74" s="1931" t="e">
        <f>($G$9*24)/((($F$8-BBR+'Product Data'!$K$3-'KB Model Suggestions Tr 2yr'!$G74)/12)*(24-'KB Model Suggestions Tr 2yr'!F74)*'Product Data'!$P$18)</f>
        <v>#N/A</v>
      </c>
      <c r="J74" s="1927">
        <f t="shared" si="6"/>
        <v>0</v>
      </c>
      <c r="K74" s="1928">
        <v>1.4999999999999999E-2</v>
      </c>
      <c r="L74" s="1931" t="e">
        <f>($K$9*24)/((($J$8-BBR+'Product Data'!$K$2-'KB Model Suggestions Tr 2yr'!$K74)/12)*(24-'KB Model Suggestions Tr 2yr'!J74)*'Product Data'!$P$18)</f>
        <v>#N/A</v>
      </c>
      <c r="N74" s="1927">
        <f t="shared" si="7"/>
        <v>0</v>
      </c>
      <c r="O74" s="2392">
        <v>1.4999999999999999E-2</v>
      </c>
      <c r="P74" s="1929" t="e">
        <f>($O$9*60)/((($N$8-$O74)/12)*(60-N74)*'Product Data'!$P$23)</f>
        <v>#N/A</v>
      </c>
    </row>
    <row r="75" spans="2:16" x14ac:dyDescent="0.25">
      <c r="B75" s="1927">
        <f t="shared" si="4"/>
        <v>0</v>
      </c>
      <c r="C75" s="1928">
        <v>1.49E-2</v>
      </c>
      <c r="D75" s="1931" t="e">
        <f>($C$9*24)/((($B$8-BBR+'Product Data'!$K$3-'KB Model Suggestions Tr 2yr'!$C75)/12)*(24-'KB Model Suggestions Tr 2yr'!B75)*'Product Data'!$P$18)</f>
        <v>#N/A</v>
      </c>
      <c r="F75" s="1927">
        <f t="shared" si="5"/>
        <v>0</v>
      </c>
      <c r="G75" s="1928">
        <v>1.49E-2</v>
      </c>
      <c r="H75" s="1931" t="e">
        <f>($G$9*24)/((($F$8-BBR+'Product Data'!$K$3-'KB Model Suggestions Tr 2yr'!$G75)/12)*(24-'KB Model Suggestions Tr 2yr'!F75)*'Product Data'!$P$18)</f>
        <v>#N/A</v>
      </c>
      <c r="J75" s="1927">
        <f t="shared" si="6"/>
        <v>0</v>
      </c>
      <c r="K75" s="1928">
        <v>1.49E-2</v>
      </c>
      <c r="L75" s="1931" t="e">
        <f>($K$9*24)/((($J$8-BBR+'Product Data'!$K$2-'KB Model Suggestions Tr 2yr'!$K75)/12)*(24-'KB Model Suggestions Tr 2yr'!J75)*'Product Data'!$P$18)</f>
        <v>#N/A</v>
      </c>
      <c r="N75" s="1927">
        <f t="shared" si="7"/>
        <v>0</v>
      </c>
      <c r="O75" s="2392">
        <v>1.49E-2</v>
      </c>
      <c r="P75" s="1929" t="e">
        <f>($O$9*60)/((($N$8-$O75)/12)*(60-N75)*'Product Data'!$P$23)</f>
        <v>#N/A</v>
      </c>
    </row>
    <row r="76" spans="2:16" x14ac:dyDescent="0.25">
      <c r="B76" s="1927">
        <f t="shared" si="4"/>
        <v>0</v>
      </c>
      <c r="C76" s="1928">
        <v>1.4800000000000001E-2</v>
      </c>
      <c r="D76" s="1931" t="e">
        <f>($C$9*24)/((($B$8-BBR+'Product Data'!$K$3-'KB Model Suggestions Tr 2yr'!$C76)/12)*(24-'KB Model Suggestions Tr 2yr'!B76)*'Product Data'!$P$18)</f>
        <v>#N/A</v>
      </c>
      <c r="F76" s="1927">
        <f t="shared" si="5"/>
        <v>0</v>
      </c>
      <c r="G76" s="1928">
        <v>1.4800000000000001E-2</v>
      </c>
      <c r="H76" s="1931" t="e">
        <f>($G$9*24)/((($F$8-BBR+'Product Data'!$K$3-'KB Model Suggestions Tr 2yr'!$G76)/12)*(24-'KB Model Suggestions Tr 2yr'!F76)*'Product Data'!$P$18)</f>
        <v>#N/A</v>
      </c>
      <c r="J76" s="1927">
        <f t="shared" si="6"/>
        <v>0</v>
      </c>
      <c r="K76" s="1928">
        <v>1.4800000000000001E-2</v>
      </c>
      <c r="L76" s="1931" t="e">
        <f>($K$9*24)/((($J$8-BBR+'Product Data'!$K$2-'KB Model Suggestions Tr 2yr'!$K76)/12)*(24-'KB Model Suggestions Tr 2yr'!J76)*'Product Data'!$P$18)</f>
        <v>#N/A</v>
      </c>
      <c r="N76" s="1927">
        <f t="shared" si="7"/>
        <v>0</v>
      </c>
      <c r="O76" s="2392">
        <v>1.4800000000000001E-2</v>
      </c>
      <c r="P76" s="1929" t="e">
        <f>($O$9*60)/((($N$8-$O76)/12)*(60-N76)*'Product Data'!$P$23)</f>
        <v>#N/A</v>
      </c>
    </row>
    <row r="77" spans="2:16" x14ac:dyDescent="0.25">
      <c r="B77" s="1927">
        <f t="shared" si="4"/>
        <v>0</v>
      </c>
      <c r="C77" s="1928">
        <v>1.47E-2</v>
      </c>
      <c r="D77" s="1931" t="e">
        <f>($C$9*24)/((($B$8-BBR+'Product Data'!$K$3-'KB Model Suggestions Tr 2yr'!$C77)/12)*(24-'KB Model Suggestions Tr 2yr'!B77)*'Product Data'!$P$18)</f>
        <v>#N/A</v>
      </c>
      <c r="F77" s="1927">
        <f t="shared" si="5"/>
        <v>0</v>
      </c>
      <c r="G77" s="1928">
        <v>1.47E-2</v>
      </c>
      <c r="H77" s="1931" t="e">
        <f>($G$9*24)/((($F$8-BBR+'Product Data'!$K$3-'KB Model Suggestions Tr 2yr'!$G77)/12)*(24-'KB Model Suggestions Tr 2yr'!F77)*'Product Data'!$P$18)</f>
        <v>#N/A</v>
      </c>
      <c r="J77" s="1927">
        <f t="shared" si="6"/>
        <v>0</v>
      </c>
      <c r="K77" s="1928">
        <v>1.47E-2</v>
      </c>
      <c r="L77" s="1931" t="e">
        <f>($K$9*24)/((($J$8-BBR+'Product Data'!$K$2-'KB Model Suggestions Tr 2yr'!$K77)/12)*(24-'KB Model Suggestions Tr 2yr'!J77)*'Product Data'!$P$18)</f>
        <v>#N/A</v>
      </c>
      <c r="N77" s="1927">
        <f t="shared" si="7"/>
        <v>0</v>
      </c>
      <c r="O77" s="2392">
        <v>1.47E-2</v>
      </c>
      <c r="P77" s="1929" t="e">
        <f>($O$9*60)/((($N$8-$O77)/12)*(60-N77)*'Product Data'!$P$23)</f>
        <v>#N/A</v>
      </c>
    </row>
    <row r="78" spans="2:16" x14ac:dyDescent="0.25">
      <c r="B78" s="1927">
        <f t="shared" si="4"/>
        <v>0</v>
      </c>
      <c r="C78" s="1928">
        <v>1.46E-2</v>
      </c>
      <c r="D78" s="1931" t="e">
        <f>($C$9*24)/((($B$8-BBR+'Product Data'!$K$3-'KB Model Suggestions Tr 2yr'!$C78)/12)*(24-'KB Model Suggestions Tr 2yr'!B78)*'Product Data'!$P$18)</f>
        <v>#N/A</v>
      </c>
      <c r="F78" s="1927">
        <f t="shared" si="5"/>
        <v>0</v>
      </c>
      <c r="G78" s="1928">
        <v>1.46E-2</v>
      </c>
      <c r="H78" s="1931" t="e">
        <f>($G$9*24)/((($F$8-BBR+'Product Data'!$K$3-'KB Model Suggestions Tr 2yr'!$G78)/12)*(24-'KB Model Suggestions Tr 2yr'!F78)*'Product Data'!$P$18)</f>
        <v>#N/A</v>
      </c>
      <c r="J78" s="1927">
        <f t="shared" si="6"/>
        <v>0</v>
      </c>
      <c r="K78" s="1928">
        <v>1.46E-2</v>
      </c>
      <c r="L78" s="1931" t="e">
        <f>($K$9*24)/((($J$8-BBR+'Product Data'!$K$2-'KB Model Suggestions Tr 2yr'!$K78)/12)*(24-'KB Model Suggestions Tr 2yr'!J78)*'Product Data'!$P$18)</f>
        <v>#N/A</v>
      </c>
      <c r="N78" s="1927">
        <f t="shared" si="7"/>
        <v>0</v>
      </c>
      <c r="O78" s="2392">
        <v>1.46E-2</v>
      </c>
      <c r="P78" s="1929" t="e">
        <f>($O$9*60)/((($N$8-$O78)/12)*(60-N78)*'Product Data'!$P$23)</f>
        <v>#N/A</v>
      </c>
    </row>
    <row r="79" spans="2:16" x14ac:dyDescent="0.25">
      <c r="B79" s="1927">
        <f t="shared" si="4"/>
        <v>0</v>
      </c>
      <c r="C79" s="1928">
        <v>1.4500000000000001E-2</v>
      </c>
      <c r="D79" s="1931" t="e">
        <f>($C$9*24)/((($B$8-BBR+'Product Data'!$K$3-'KB Model Suggestions Tr 2yr'!$C79)/12)*(24-'KB Model Suggestions Tr 2yr'!B79)*'Product Data'!$P$18)</f>
        <v>#N/A</v>
      </c>
      <c r="F79" s="1927">
        <f t="shared" si="5"/>
        <v>0</v>
      </c>
      <c r="G79" s="1928">
        <v>1.4500000000000001E-2</v>
      </c>
      <c r="H79" s="1931" t="e">
        <f>($G$9*24)/((($F$8-BBR+'Product Data'!$K$3-'KB Model Suggestions Tr 2yr'!$G79)/12)*(24-'KB Model Suggestions Tr 2yr'!F79)*'Product Data'!$P$18)</f>
        <v>#N/A</v>
      </c>
      <c r="J79" s="1927">
        <f t="shared" si="6"/>
        <v>0</v>
      </c>
      <c r="K79" s="1928">
        <v>1.4500000000000001E-2</v>
      </c>
      <c r="L79" s="1931" t="e">
        <f>($K$9*24)/((($J$8-BBR+'Product Data'!$K$2-'KB Model Suggestions Tr 2yr'!$K79)/12)*(24-'KB Model Suggestions Tr 2yr'!J79)*'Product Data'!$P$18)</f>
        <v>#N/A</v>
      </c>
      <c r="N79" s="1927">
        <f t="shared" si="7"/>
        <v>0</v>
      </c>
      <c r="O79" s="2392">
        <v>1.4500000000000001E-2</v>
      </c>
      <c r="P79" s="1929" t="e">
        <f>($O$9*60)/((($N$8-$O79)/12)*(60-N79)*'Product Data'!$P$23)</f>
        <v>#N/A</v>
      </c>
    </row>
    <row r="80" spans="2:16" x14ac:dyDescent="0.25">
      <c r="B80" s="1927">
        <f t="shared" si="4"/>
        <v>0</v>
      </c>
      <c r="C80" s="1928">
        <v>1.44E-2</v>
      </c>
      <c r="D80" s="1931" t="e">
        <f>($C$9*24)/((($B$8-BBR+'Product Data'!$K$3-'KB Model Suggestions Tr 2yr'!$C80)/12)*(24-'KB Model Suggestions Tr 2yr'!B80)*'Product Data'!$P$18)</f>
        <v>#N/A</v>
      </c>
      <c r="F80" s="1927">
        <f t="shared" si="5"/>
        <v>0</v>
      </c>
      <c r="G80" s="1928">
        <v>1.44E-2</v>
      </c>
      <c r="H80" s="1931" t="e">
        <f>($G$9*24)/((($F$8-BBR+'Product Data'!$K$3-'KB Model Suggestions Tr 2yr'!$G80)/12)*(24-'KB Model Suggestions Tr 2yr'!F80)*'Product Data'!$P$18)</f>
        <v>#N/A</v>
      </c>
      <c r="J80" s="1927">
        <f t="shared" si="6"/>
        <v>0</v>
      </c>
      <c r="K80" s="1928">
        <v>1.44E-2</v>
      </c>
      <c r="L80" s="1931" t="e">
        <f>($K$9*24)/((($J$8-BBR+'Product Data'!$K$2-'KB Model Suggestions Tr 2yr'!$K80)/12)*(24-'KB Model Suggestions Tr 2yr'!J80)*'Product Data'!$P$18)</f>
        <v>#N/A</v>
      </c>
      <c r="N80" s="1927">
        <f t="shared" si="7"/>
        <v>0</v>
      </c>
      <c r="O80" s="2392">
        <v>1.44E-2</v>
      </c>
      <c r="P80" s="1929" t="e">
        <f>($O$9*60)/((($N$8-$O80)/12)*(60-N80)*'Product Data'!$P$23)</f>
        <v>#N/A</v>
      </c>
    </row>
    <row r="81" spans="2:16" x14ac:dyDescent="0.25">
      <c r="B81" s="1927">
        <f t="shared" si="4"/>
        <v>0</v>
      </c>
      <c r="C81" s="1928">
        <v>1.43E-2</v>
      </c>
      <c r="D81" s="1931" t="e">
        <f>($C$9*24)/((($B$8-BBR+'Product Data'!$K$3-'KB Model Suggestions Tr 2yr'!$C81)/12)*(24-'KB Model Suggestions Tr 2yr'!B81)*'Product Data'!$P$18)</f>
        <v>#N/A</v>
      </c>
      <c r="F81" s="1927">
        <f t="shared" si="5"/>
        <v>0</v>
      </c>
      <c r="G81" s="1928">
        <v>1.43E-2</v>
      </c>
      <c r="H81" s="1931" t="e">
        <f>($G$9*24)/((($F$8-BBR+'Product Data'!$K$3-'KB Model Suggestions Tr 2yr'!$G81)/12)*(24-'KB Model Suggestions Tr 2yr'!F81)*'Product Data'!$P$18)</f>
        <v>#N/A</v>
      </c>
      <c r="J81" s="1927">
        <f t="shared" si="6"/>
        <v>0</v>
      </c>
      <c r="K81" s="1928">
        <v>1.43E-2</v>
      </c>
      <c r="L81" s="1931" t="e">
        <f>($K$9*24)/((($J$8-BBR+'Product Data'!$K$2-'KB Model Suggestions Tr 2yr'!$K81)/12)*(24-'KB Model Suggestions Tr 2yr'!J81)*'Product Data'!$P$18)</f>
        <v>#N/A</v>
      </c>
      <c r="N81" s="1927">
        <f t="shared" si="7"/>
        <v>0</v>
      </c>
      <c r="O81" s="2392">
        <v>1.43E-2</v>
      </c>
      <c r="P81" s="1929" t="e">
        <f>($O$9*60)/((($N$8-$O81)/12)*(60-N81)*'Product Data'!$P$23)</f>
        <v>#N/A</v>
      </c>
    </row>
    <row r="82" spans="2:16" x14ac:dyDescent="0.25">
      <c r="B82" s="1927">
        <f t="shared" si="4"/>
        <v>0</v>
      </c>
      <c r="C82" s="1928">
        <v>1.4200000000000001E-2</v>
      </c>
      <c r="D82" s="1931" t="e">
        <f>($C$9*24)/((($B$8-BBR+'Product Data'!$K$3-'KB Model Suggestions Tr 2yr'!$C82)/12)*(24-'KB Model Suggestions Tr 2yr'!B82)*'Product Data'!$P$18)</f>
        <v>#N/A</v>
      </c>
      <c r="F82" s="1927">
        <f t="shared" si="5"/>
        <v>0</v>
      </c>
      <c r="G82" s="1928">
        <v>1.4200000000000001E-2</v>
      </c>
      <c r="H82" s="1931" t="e">
        <f>($G$9*24)/((($F$8-BBR+'Product Data'!$K$3-'KB Model Suggestions Tr 2yr'!$G82)/12)*(24-'KB Model Suggestions Tr 2yr'!F82)*'Product Data'!$P$18)</f>
        <v>#N/A</v>
      </c>
      <c r="J82" s="1927">
        <f t="shared" si="6"/>
        <v>0</v>
      </c>
      <c r="K82" s="1928">
        <v>1.4200000000000001E-2</v>
      </c>
      <c r="L82" s="1931" t="e">
        <f>($K$9*24)/((($J$8-BBR+'Product Data'!$K$2-'KB Model Suggestions Tr 2yr'!$K82)/12)*(24-'KB Model Suggestions Tr 2yr'!J82)*'Product Data'!$P$18)</f>
        <v>#N/A</v>
      </c>
      <c r="N82" s="1927">
        <f t="shared" si="7"/>
        <v>0</v>
      </c>
      <c r="O82" s="2392">
        <v>1.4200000000000001E-2</v>
      </c>
      <c r="P82" s="1929" t="e">
        <f>($O$9*60)/((($N$8-$O82)/12)*(60-N82)*'Product Data'!$P$23)</f>
        <v>#N/A</v>
      </c>
    </row>
    <row r="83" spans="2:16" x14ac:dyDescent="0.25">
      <c r="B83" s="1927">
        <f t="shared" si="4"/>
        <v>0</v>
      </c>
      <c r="C83" s="1928">
        <v>1.41E-2</v>
      </c>
      <c r="D83" s="1931" t="e">
        <f>($C$9*24)/((($B$8-BBR+'Product Data'!$K$3-'KB Model Suggestions Tr 2yr'!$C83)/12)*(24-'KB Model Suggestions Tr 2yr'!B83)*'Product Data'!$P$18)</f>
        <v>#N/A</v>
      </c>
      <c r="F83" s="1927">
        <f t="shared" si="5"/>
        <v>0</v>
      </c>
      <c r="G83" s="1928">
        <v>1.41E-2</v>
      </c>
      <c r="H83" s="1931" t="e">
        <f>($G$9*24)/((($F$8-BBR+'Product Data'!$K$3-'KB Model Suggestions Tr 2yr'!$G83)/12)*(24-'KB Model Suggestions Tr 2yr'!F83)*'Product Data'!$P$18)</f>
        <v>#N/A</v>
      </c>
      <c r="J83" s="1927">
        <f t="shared" si="6"/>
        <v>0</v>
      </c>
      <c r="K83" s="1928">
        <v>1.41E-2</v>
      </c>
      <c r="L83" s="1931" t="e">
        <f>($K$9*24)/((($J$8-BBR+'Product Data'!$K$2-'KB Model Suggestions Tr 2yr'!$K83)/12)*(24-'KB Model Suggestions Tr 2yr'!J83)*'Product Data'!$P$18)</f>
        <v>#N/A</v>
      </c>
      <c r="N83" s="1927">
        <f t="shared" si="7"/>
        <v>0</v>
      </c>
      <c r="O83" s="2392">
        <v>1.41E-2</v>
      </c>
      <c r="P83" s="1929" t="e">
        <f>($O$9*60)/((($N$8-$O83)/12)*(60-N83)*'Product Data'!$P$23)</f>
        <v>#N/A</v>
      </c>
    </row>
    <row r="84" spans="2:16" x14ac:dyDescent="0.25">
      <c r="B84" s="1927">
        <f t="shared" si="4"/>
        <v>0</v>
      </c>
      <c r="C84" s="1928">
        <v>1.4E-2</v>
      </c>
      <c r="D84" s="1931" t="e">
        <f>($C$9*24)/((($B$8-BBR+'Product Data'!$K$3-'KB Model Suggestions Tr 2yr'!$C84)/12)*(24-'KB Model Suggestions Tr 2yr'!B84)*'Product Data'!$P$18)</f>
        <v>#N/A</v>
      </c>
      <c r="F84" s="1927">
        <f t="shared" si="5"/>
        <v>0</v>
      </c>
      <c r="G84" s="1928">
        <v>1.4E-2</v>
      </c>
      <c r="H84" s="1931" t="e">
        <f>($G$9*24)/((($F$8-BBR+'Product Data'!$K$3-'KB Model Suggestions Tr 2yr'!$G84)/12)*(24-'KB Model Suggestions Tr 2yr'!F84)*'Product Data'!$P$18)</f>
        <v>#N/A</v>
      </c>
      <c r="J84" s="1927">
        <f t="shared" si="6"/>
        <v>0</v>
      </c>
      <c r="K84" s="1928">
        <v>1.4E-2</v>
      </c>
      <c r="L84" s="1931" t="e">
        <f>($K$9*24)/((($J$8-BBR+'Product Data'!$K$2-'KB Model Suggestions Tr 2yr'!$K84)/12)*(24-'KB Model Suggestions Tr 2yr'!J84)*'Product Data'!$P$18)</f>
        <v>#N/A</v>
      </c>
      <c r="N84" s="1927">
        <f t="shared" si="7"/>
        <v>0</v>
      </c>
      <c r="O84" s="2392">
        <v>1.4E-2</v>
      </c>
      <c r="P84" s="1929" t="e">
        <f>($O$9*60)/((($N$8-$O84)/12)*(60-N84)*'Product Data'!$P$23)</f>
        <v>#N/A</v>
      </c>
    </row>
    <row r="85" spans="2:16" x14ac:dyDescent="0.25">
      <c r="B85" s="1927">
        <f t="shared" si="4"/>
        <v>0</v>
      </c>
      <c r="C85" s="1928">
        <v>1.3899999999999999E-2</v>
      </c>
      <c r="D85" s="1931" t="e">
        <f>($C$9*24)/((($B$8-BBR+'Product Data'!$K$3-'KB Model Suggestions Tr 2yr'!$C85)/12)*(24-'KB Model Suggestions Tr 2yr'!B85)*'Product Data'!$P$18)</f>
        <v>#N/A</v>
      </c>
      <c r="F85" s="1927">
        <f t="shared" si="5"/>
        <v>0</v>
      </c>
      <c r="G85" s="1928">
        <v>1.3899999999999999E-2</v>
      </c>
      <c r="H85" s="1931" t="e">
        <f>($G$9*24)/((($F$8-BBR+'Product Data'!$K$3-'KB Model Suggestions Tr 2yr'!$G85)/12)*(24-'KB Model Suggestions Tr 2yr'!F85)*'Product Data'!$P$18)</f>
        <v>#N/A</v>
      </c>
      <c r="J85" s="1927">
        <f t="shared" si="6"/>
        <v>0</v>
      </c>
      <c r="K85" s="1928">
        <v>1.3899999999999999E-2</v>
      </c>
      <c r="L85" s="1931" t="e">
        <f>($K$9*24)/((($J$8-BBR+'Product Data'!$K$2-'KB Model Suggestions Tr 2yr'!$K85)/12)*(24-'KB Model Suggestions Tr 2yr'!J85)*'Product Data'!$P$18)</f>
        <v>#N/A</v>
      </c>
      <c r="N85" s="1927">
        <f t="shared" si="7"/>
        <v>0</v>
      </c>
      <c r="O85" s="2392">
        <v>1.3899999999999999E-2</v>
      </c>
      <c r="P85" s="1929" t="e">
        <f>($O$9*60)/((($N$8-$O85)/12)*(60-N85)*'Product Data'!$P$23)</f>
        <v>#N/A</v>
      </c>
    </row>
    <row r="86" spans="2:16" x14ac:dyDescent="0.25">
      <c r="B86" s="1927">
        <f t="shared" si="4"/>
        <v>0</v>
      </c>
      <c r="C86" s="1928">
        <v>1.38E-2</v>
      </c>
      <c r="D86" s="1931" t="e">
        <f>($C$9*24)/((($B$8-BBR+'Product Data'!$K$3-'KB Model Suggestions Tr 2yr'!$C86)/12)*(24-'KB Model Suggestions Tr 2yr'!B86)*'Product Data'!$P$18)</f>
        <v>#N/A</v>
      </c>
      <c r="F86" s="1927">
        <f t="shared" si="5"/>
        <v>0</v>
      </c>
      <c r="G86" s="1928">
        <v>1.38E-2</v>
      </c>
      <c r="H86" s="1931" t="e">
        <f>($G$9*24)/((($F$8-BBR+'Product Data'!$K$3-'KB Model Suggestions Tr 2yr'!$G86)/12)*(24-'KB Model Suggestions Tr 2yr'!F86)*'Product Data'!$P$18)</f>
        <v>#N/A</v>
      </c>
      <c r="J86" s="1927">
        <f t="shared" si="6"/>
        <v>0</v>
      </c>
      <c r="K86" s="1928">
        <v>1.38E-2</v>
      </c>
      <c r="L86" s="1931" t="e">
        <f>($K$9*24)/((($J$8-BBR+'Product Data'!$K$2-'KB Model Suggestions Tr 2yr'!$K86)/12)*(24-'KB Model Suggestions Tr 2yr'!J86)*'Product Data'!$P$18)</f>
        <v>#N/A</v>
      </c>
      <c r="N86" s="1927">
        <f t="shared" si="7"/>
        <v>0</v>
      </c>
      <c r="O86" s="2392">
        <v>1.38E-2</v>
      </c>
      <c r="P86" s="1929" t="e">
        <f>($O$9*60)/((($N$8-$O86)/12)*(60-N86)*'Product Data'!$P$23)</f>
        <v>#N/A</v>
      </c>
    </row>
    <row r="87" spans="2:16" x14ac:dyDescent="0.25">
      <c r="B87" s="1927">
        <f t="shared" si="4"/>
        <v>0</v>
      </c>
      <c r="C87" s="1928">
        <v>1.37E-2</v>
      </c>
      <c r="D87" s="1931" t="e">
        <f>($C$9*24)/((($B$8-BBR+'Product Data'!$K$3-'KB Model Suggestions Tr 2yr'!$C87)/12)*(24-'KB Model Suggestions Tr 2yr'!B87)*'Product Data'!$P$18)</f>
        <v>#N/A</v>
      </c>
      <c r="F87" s="1927">
        <f t="shared" si="5"/>
        <v>0</v>
      </c>
      <c r="G87" s="1928">
        <v>1.37E-2</v>
      </c>
      <c r="H87" s="1931" t="e">
        <f>($G$9*24)/((($F$8-BBR+'Product Data'!$K$3-'KB Model Suggestions Tr 2yr'!$G87)/12)*(24-'KB Model Suggestions Tr 2yr'!F87)*'Product Data'!$P$18)</f>
        <v>#N/A</v>
      </c>
      <c r="J87" s="1927">
        <f t="shared" si="6"/>
        <v>0</v>
      </c>
      <c r="K87" s="1928">
        <v>1.37E-2</v>
      </c>
      <c r="L87" s="1931" t="e">
        <f>($K$9*24)/((($J$8-BBR+'Product Data'!$K$2-'KB Model Suggestions Tr 2yr'!$K87)/12)*(24-'KB Model Suggestions Tr 2yr'!J87)*'Product Data'!$P$18)</f>
        <v>#N/A</v>
      </c>
      <c r="N87" s="1927">
        <f t="shared" si="7"/>
        <v>0</v>
      </c>
      <c r="O87" s="2392">
        <v>1.37E-2</v>
      </c>
      <c r="P87" s="1929" t="e">
        <f>($O$9*60)/((($N$8-$O87)/12)*(60-N87)*'Product Data'!$P$23)</f>
        <v>#N/A</v>
      </c>
    </row>
    <row r="88" spans="2:16" x14ac:dyDescent="0.25">
      <c r="B88" s="1927">
        <f t="shared" si="4"/>
        <v>0</v>
      </c>
      <c r="C88" s="1928">
        <v>1.3599999999999999E-2</v>
      </c>
      <c r="D88" s="1931" t="e">
        <f>($C$9*24)/((($B$8-BBR+'Product Data'!$K$3-'KB Model Suggestions Tr 2yr'!$C88)/12)*(24-'KB Model Suggestions Tr 2yr'!B88)*'Product Data'!$P$18)</f>
        <v>#N/A</v>
      </c>
      <c r="F88" s="1927">
        <f t="shared" si="5"/>
        <v>0</v>
      </c>
      <c r="G88" s="1928">
        <v>1.3599999999999999E-2</v>
      </c>
      <c r="H88" s="1931" t="e">
        <f>($G$9*24)/((($F$8-BBR+'Product Data'!$K$3-'KB Model Suggestions Tr 2yr'!$G88)/12)*(24-'KB Model Suggestions Tr 2yr'!F88)*'Product Data'!$P$18)</f>
        <v>#N/A</v>
      </c>
      <c r="J88" s="1927">
        <f t="shared" si="6"/>
        <v>0</v>
      </c>
      <c r="K88" s="1928">
        <v>1.3599999999999999E-2</v>
      </c>
      <c r="L88" s="1931" t="e">
        <f>($K$9*24)/((($J$8-BBR+'Product Data'!$K$2-'KB Model Suggestions Tr 2yr'!$K88)/12)*(24-'KB Model Suggestions Tr 2yr'!J88)*'Product Data'!$P$18)</f>
        <v>#N/A</v>
      </c>
      <c r="N88" s="1927">
        <f t="shared" si="7"/>
        <v>0</v>
      </c>
      <c r="O88" s="2392">
        <v>1.3599999999999999E-2</v>
      </c>
      <c r="P88" s="1929" t="e">
        <f>($O$9*60)/((($N$8-$O88)/12)*(60-N88)*'Product Data'!$P$23)</f>
        <v>#N/A</v>
      </c>
    </row>
    <row r="89" spans="2:16" x14ac:dyDescent="0.25">
      <c r="B89" s="1927">
        <f t="shared" si="4"/>
        <v>0</v>
      </c>
      <c r="C89" s="1928">
        <v>1.35E-2</v>
      </c>
      <c r="D89" s="1931" t="e">
        <f>($C$9*24)/((($B$8-BBR+'Product Data'!$K$3-'KB Model Suggestions Tr 2yr'!$C89)/12)*(24-'KB Model Suggestions Tr 2yr'!B89)*'Product Data'!$P$18)</f>
        <v>#N/A</v>
      </c>
      <c r="F89" s="1927">
        <f t="shared" si="5"/>
        <v>0</v>
      </c>
      <c r="G89" s="1928">
        <v>1.35E-2</v>
      </c>
      <c r="H89" s="1931" t="e">
        <f>($G$9*24)/((($F$8-BBR+'Product Data'!$K$3-'KB Model Suggestions Tr 2yr'!$G89)/12)*(24-'KB Model Suggestions Tr 2yr'!F89)*'Product Data'!$P$18)</f>
        <v>#N/A</v>
      </c>
      <c r="J89" s="1927">
        <f t="shared" si="6"/>
        <v>0</v>
      </c>
      <c r="K89" s="1928">
        <v>1.35E-2</v>
      </c>
      <c r="L89" s="1931" t="e">
        <f>($K$9*24)/((($J$8-BBR+'Product Data'!$K$2-'KB Model Suggestions Tr 2yr'!$K89)/12)*(24-'KB Model Suggestions Tr 2yr'!J89)*'Product Data'!$P$18)</f>
        <v>#N/A</v>
      </c>
      <c r="N89" s="1927">
        <f t="shared" si="7"/>
        <v>0</v>
      </c>
      <c r="O89" s="2392">
        <v>1.35E-2</v>
      </c>
      <c r="P89" s="1929" t="e">
        <f>($O$9*60)/((($N$8-$O89)/12)*(60-N89)*'Product Data'!$P$23)</f>
        <v>#N/A</v>
      </c>
    </row>
    <row r="90" spans="2:16" x14ac:dyDescent="0.25">
      <c r="B90" s="1927">
        <f t="shared" ref="B90:B153" si="8">B89</f>
        <v>0</v>
      </c>
      <c r="C90" s="1928">
        <v>1.34E-2</v>
      </c>
      <c r="D90" s="1931" t="e">
        <f>($C$9*24)/((($B$8-BBR+'Product Data'!$K$3-'KB Model Suggestions Tr 2yr'!$C90)/12)*(24-'KB Model Suggestions Tr 2yr'!B90)*'Product Data'!$P$18)</f>
        <v>#N/A</v>
      </c>
      <c r="F90" s="1927">
        <f t="shared" ref="F90:F153" si="9">F89</f>
        <v>0</v>
      </c>
      <c r="G90" s="1928">
        <v>1.34E-2</v>
      </c>
      <c r="H90" s="1931" t="e">
        <f>($G$9*24)/((($F$8-BBR+'Product Data'!$K$3-'KB Model Suggestions Tr 2yr'!$G90)/12)*(24-'KB Model Suggestions Tr 2yr'!F90)*'Product Data'!$P$18)</f>
        <v>#N/A</v>
      </c>
      <c r="J90" s="1927">
        <f t="shared" ref="J90:J153" si="10">J89</f>
        <v>0</v>
      </c>
      <c r="K90" s="1928">
        <v>1.34E-2</v>
      </c>
      <c r="L90" s="1931" t="e">
        <f>($K$9*24)/((($J$8-BBR+'Product Data'!$K$2-'KB Model Suggestions Tr 2yr'!$K90)/12)*(24-'KB Model Suggestions Tr 2yr'!J90)*'Product Data'!$P$18)</f>
        <v>#N/A</v>
      </c>
      <c r="N90" s="1927">
        <f t="shared" ref="N90:N153" si="11">N89</f>
        <v>0</v>
      </c>
      <c r="O90" s="2392">
        <v>1.34E-2</v>
      </c>
      <c r="P90" s="1929" t="e">
        <f>($O$9*60)/((($N$8-$O90)/12)*(60-N90)*'Product Data'!$P$23)</f>
        <v>#N/A</v>
      </c>
    </row>
    <row r="91" spans="2:16" x14ac:dyDescent="0.25">
      <c r="B91" s="1927">
        <f t="shared" si="8"/>
        <v>0</v>
      </c>
      <c r="C91" s="1928">
        <v>1.3299999999999999E-2</v>
      </c>
      <c r="D91" s="1931" t="e">
        <f>($C$9*24)/((($B$8-BBR+'Product Data'!$K$3-'KB Model Suggestions Tr 2yr'!$C91)/12)*(24-'KB Model Suggestions Tr 2yr'!B91)*'Product Data'!$P$18)</f>
        <v>#N/A</v>
      </c>
      <c r="F91" s="1927">
        <f t="shared" si="9"/>
        <v>0</v>
      </c>
      <c r="G91" s="1928">
        <v>1.3299999999999999E-2</v>
      </c>
      <c r="H91" s="1931" t="e">
        <f>($G$9*24)/((($F$8-BBR+'Product Data'!$K$3-'KB Model Suggestions Tr 2yr'!$G91)/12)*(24-'KB Model Suggestions Tr 2yr'!F91)*'Product Data'!$P$18)</f>
        <v>#N/A</v>
      </c>
      <c r="J91" s="1927">
        <f t="shared" si="10"/>
        <v>0</v>
      </c>
      <c r="K91" s="1928">
        <v>1.3299999999999999E-2</v>
      </c>
      <c r="L91" s="1931" t="e">
        <f>($K$9*24)/((($J$8-BBR+'Product Data'!$K$2-'KB Model Suggestions Tr 2yr'!$K91)/12)*(24-'KB Model Suggestions Tr 2yr'!J91)*'Product Data'!$P$18)</f>
        <v>#N/A</v>
      </c>
      <c r="N91" s="1927">
        <f t="shared" si="11"/>
        <v>0</v>
      </c>
      <c r="O91" s="2392">
        <v>1.3299999999999999E-2</v>
      </c>
      <c r="P91" s="1929" t="e">
        <f>($O$9*60)/((($N$8-$O91)/12)*(60-N91)*'Product Data'!$P$23)</f>
        <v>#N/A</v>
      </c>
    </row>
    <row r="92" spans="2:16" x14ac:dyDescent="0.25">
      <c r="B92" s="1927">
        <f t="shared" si="8"/>
        <v>0</v>
      </c>
      <c r="C92" s="1928">
        <v>1.32E-2</v>
      </c>
      <c r="D92" s="1931" t="e">
        <f>($C$9*24)/((($B$8-BBR+'Product Data'!$K$3-'KB Model Suggestions Tr 2yr'!$C92)/12)*(24-'KB Model Suggestions Tr 2yr'!B92)*'Product Data'!$P$18)</f>
        <v>#N/A</v>
      </c>
      <c r="F92" s="1927">
        <f t="shared" si="9"/>
        <v>0</v>
      </c>
      <c r="G92" s="1928">
        <v>1.32E-2</v>
      </c>
      <c r="H92" s="1931" t="e">
        <f>($G$9*24)/((($F$8-BBR+'Product Data'!$K$3-'KB Model Suggestions Tr 2yr'!$G92)/12)*(24-'KB Model Suggestions Tr 2yr'!F92)*'Product Data'!$P$18)</f>
        <v>#N/A</v>
      </c>
      <c r="J92" s="1927">
        <f t="shared" si="10"/>
        <v>0</v>
      </c>
      <c r="K92" s="1928">
        <v>1.32E-2</v>
      </c>
      <c r="L92" s="1931" t="e">
        <f>($K$9*24)/((($J$8-BBR+'Product Data'!$K$2-'KB Model Suggestions Tr 2yr'!$K92)/12)*(24-'KB Model Suggestions Tr 2yr'!J92)*'Product Data'!$P$18)</f>
        <v>#N/A</v>
      </c>
      <c r="N92" s="1927">
        <f t="shared" si="11"/>
        <v>0</v>
      </c>
      <c r="O92" s="2392">
        <v>1.32E-2</v>
      </c>
      <c r="P92" s="1929" t="e">
        <f>($O$9*60)/((($N$8-$O92)/12)*(60-N92)*'Product Data'!$P$23)</f>
        <v>#N/A</v>
      </c>
    </row>
    <row r="93" spans="2:16" x14ac:dyDescent="0.25">
      <c r="B93" s="1927">
        <f t="shared" si="8"/>
        <v>0</v>
      </c>
      <c r="C93" s="1928">
        <v>1.3100000000000001E-2</v>
      </c>
      <c r="D93" s="1931" t="e">
        <f>($C$9*24)/((($B$8-BBR+'Product Data'!$K$3-'KB Model Suggestions Tr 2yr'!$C93)/12)*(24-'KB Model Suggestions Tr 2yr'!B93)*'Product Data'!$P$18)</f>
        <v>#N/A</v>
      </c>
      <c r="F93" s="1927">
        <f t="shared" si="9"/>
        <v>0</v>
      </c>
      <c r="G93" s="1928">
        <v>1.3100000000000001E-2</v>
      </c>
      <c r="H93" s="1931" t="e">
        <f>($G$9*24)/((($F$8-BBR+'Product Data'!$K$3-'KB Model Suggestions Tr 2yr'!$G93)/12)*(24-'KB Model Suggestions Tr 2yr'!F93)*'Product Data'!$P$18)</f>
        <v>#N/A</v>
      </c>
      <c r="J93" s="1927">
        <f t="shared" si="10"/>
        <v>0</v>
      </c>
      <c r="K93" s="1928">
        <v>1.3100000000000001E-2</v>
      </c>
      <c r="L93" s="1931" t="e">
        <f>($K$9*24)/((($J$8-BBR+'Product Data'!$K$2-'KB Model Suggestions Tr 2yr'!$K93)/12)*(24-'KB Model Suggestions Tr 2yr'!J93)*'Product Data'!$P$18)</f>
        <v>#N/A</v>
      </c>
      <c r="N93" s="1927">
        <f t="shared" si="11"/>
        <v>0</v>
      </c>
      <c r="O93" s="2392">
        <v>1.3100000000000001E-2</v>
      </c>
      <c r="P93" s="1929" t="e">
        <f>($O$9*60)/((($N$8-$O93)/12)*(60-N93)*'Product Data'!$P$23)</f>
        <v>#N/A</v>
      </c>
    </row>
    <row r="94" spans="2:16" x14ac:dyDescent="0.25">
      <c r="B94" s="1927">
        <f t="shared" si="8"/>
        <v>0</v>
      </c>
      <c r="C94" s="1928">
        <v>1.2999999999999999E-2</v>
      </c>
      <c r="D94" s="1931" t="e">
        <f>($C$9*24)/((($B$8-BBR+'Product Data'!$K$3-'KB Model Suggestions Tr 2yr'!$C94)/12)*(24-'KB Model Suggestions Tr 2yr'!B94)*'Product Data'!$P$18)</f>
        <v>#N/A</v>
      </c>
      <c r="F94" s="1927">
        <f t="shared" si="9"/>
        <v>0</v>
      </c>
      <c r="G94" s="1928">
        <v>1.2999999999999999E-2</v>
      </c>
      <c r="H94" s="1931" t="e">
        <f>($G$9*24)/((($F$8-BBR+'Product Data'!$K$3-'KB Model Suggestions Tr 2yr'!$G94)/12)*(24-'KB Model Suggestions Tr 2yr'!F94)*'Product Data'!$P$18)</f>
        <v>#N/A</v>
      </c>
      <c r="J94" s="1927">
        <f t="shared" si="10"/>
        <v>0</v>
      </c>
      <c r="K94" s="1928">
        <v>1.2999999999999999E-2</v>
      </c>
      <c r="L94" s="1931" t="e">
        <f>($K$9*24)/((($J$8-BBR+'Product Data'!$K$2-'KB Model Suggestions Tr 2yr'!$K94)/12)*(24-'KB Model Suggestions Tr 2yr'!J94)*'Product Data'!$P$18)</f>
        <v>#N/A</v>
      </c>
      <c r="N94" s="1927">
        <f t="shared" si="11"/>
        <v>0</v>
      </c>
      <c r="O94" s="2392">
        <v>1.2999999999999999E-2</v>
      </c>
      <c r="P94" s="1929" t="e">
        <f>($O$9*60)/((($N$8-$O94)/12)*(60-N94)*'Product Data'!$P$23)</f>
        <v>#N/A</v>
      </c>
    </row>
    <row r="95" spans="2:16" x14ac:dyDescent="0.25">
      <c r="B95" s="1927">
        <f t="shared" si="8"/>
        <v>0</v>
      </c>
      <c r="C95" s="1928">
        <v>1.29E-2</v>
      </c>
      <c r="D95" s="1931" t="e">
        <f>($C$9*24)/((($B$8-BBR+'Product Data'!$K$3-'KB Model Suggestions Tr 2yr'!$C95)/12)*(24-'KB Model Suggestions Tr 2yr'!B95)*'Product Data'!$P$18)</f>
        <v>#N/A</v>
      </c>
      <c r="F95" s="1927">
        <f t="shared" si="9"/>
        <v>0</v>
      </c>
      <c r="G95" s="1928">
        <v>1.29E-2</v>
      </c>
      <c r="H95" s="1931" t="e">
        <f>($G$9*24)/((($F$8-BBR+'Product Data'!$K$3-'KB Model Suggestions Tr 2yr'!$G95)/12)*(24-'KB Model Suggestions Tr 2yr'!F95)*'Product Data'!$P$18)</f>
        <v>#N/A</v>
      </c>
      <c r="J95" s="1927">
        <f t="shared" si="10"/>
        <v>0</v>
      </c>
      <c r="K95" s="1928">
        <v>1.29E-2</v>
      </c>
      <c r="L95" s="1931" t="e">
        <f>($K$9*24)/((($J$8-BBR+'Product Data'!$K$2-'KB Model Suggestions Tr 2yr'!$K95)/12)*(24-'KB Model Suggestions Tr 2yr'!J95)*'Product Data'!$P$18)</f>
        <v>#N/A</v>
      </c>
      <c r="N95" s="1927">
        <f t="shared" si="11"/>
        <v>0</v>
      </c>
      <c r="O95" s="2392">
        <v>1.29E-2</v>
      </c>
      <c r="P95" s="1929" t="e">
        <f>($O$9*60)/((($N$8-$O95)/12)*(60-N95)*'Product Data'!$P$23)</f>
        <v>#N/A</v>
      </c>
    </row>
    <row r="96" spans="2:16" x14ac:dyDescent="0.25">
      <c r="B96" s="1927">
        <f t="shared" si="8"/>
        <v>0</v>
      </c>
      <c r="C96" s="1928">
        <v>1.2800000000000001E-2</v>
      </c>
      <c r="D96" s="1931" t="e">
        <f>($C$9*24)/((($B$8-BBR+'Product Data'!$K$3-'KB Model Suggestions Tr 2yr'!$C96)/12)*(24-'KB Model Suggestions Tr 2yr'!B96)*'Product Data'!$P$18)</f>
        <v>#N/A</v>
      </c>
      <c r="F96" s="1927">
        <f t="shared" si="9"/>
        <v>0</v>
      </c>
      <c r="G96" s="1928">
        <v>1.2800000000000001E-2</v>
      </c>
      <c r="H96" s="1931" t="e">
        <f>($G$9*24)/((($F$8-BBR+'Product Data'!$K$3-'KB Model Suggestions Tr 2yr'!$G96)/12)*(24-'KB Model Suggestions Tr 2yr'!F96)*'Product Data'!$P$18)</f>
        <v>#N/A</v>
      </c>
      <c r="J96" s="1927">
        <f t="shared" si="10"/>
        <v>0</v>
      </c>
      <c r="K96" s="1928">
        <v>1.2800000000000001E-2</v>
      </c>
      <c r="L96" s="1931" t="e">
        <f>($K$9*24)/((($J$8-BBR+'Product Data'!$K$2-'KB Model Suggestions Tr 2yr'!$K96)/12)*(24-'KB Model Suggestions Tr 2yr'!J96)*'Product Data'!$P$18)</f>
        <v>#N/A</v>
      </c>
      <c r="N96" s="1927">
        <f t="shared" si="11"/>
        <v>0</v>
      </c>
      <c r="O96" s="2392">
        <v>1.2800000000000001E-2</v>
      </c>
      <c r="P96" s="1929" t="e">
        <f>($O$9*60)/((($N$8-$O96)/12)*(60-N96)*'Product Data'!$P$23)</f>
        <v>#N/A</v>
      </c>
    </row>
    <row r="97" spans="2:16" x14ac:dyDescent="0.25">
      <c r="B97" s="1927">
        <f t="shared" si="8"/>
        <v>0</v>
      </c>
      <c r="C97" s="1928">
        <v>1.2699999999999999E-2</v>
      </c>
      <c r="D97" s="1931" t="e">
        <f>($C$9*24)/((($B$8-BBR+'Product Data'!$K$3-'KB Model Suggestions Tr 2yr'!$C97)/12)*(24-'KB Model Suggestions Tr 2yr'!B97)*'Product Data'!$P$18)</f>
        <v>#N/A</v>
      </c>
      <c r="F97" s="1927">
        <f t="shared" si="9"/>
        <v>0</v>
      </c>
      <c r="G97" s="1928">
        <v>1.2699999999999999E-2</v>
      </c>
      <c r="H97" s="1931" t="e">
        <f>($G$9*24)/((($F$8-BBR+'Product Data'!$K$3-'KB Model Suggestions Tr 2yr'!$G97)/12)*(24-'KB Model Suggestions Tr 2yr'!F97)*'Product Data'!$P$18)</f>
        <v>#N/A</v>
      </c>
      <c r="J97" s="1927">
        <f t="shared" si="10"/>
        <v>0</v>
      </c>
      <c r="K97" s="1928">
        <v>1.2699999999999999E-2</v>
      </c>
      <c r="L97" s="1931" t="e">
        <f>($K$9*24)/((($J$8-BBR+'Product Data'!$K$2-'KB Model Suggestions Tr 2yr'!$K97)/12)*(24-'KB Model Suggestions Tr 2yr'!J97)*'Product Data'!$P$18)</f>
        <v>#N/A</v>
      </c>
      <c r="N97" s="1927">
        <f t="shared" si="11"/>
        <v>0</v>
      </c>
      <c r="O97" s="2392">
        <v>1.2699999999999999E-2</v>
      </c>
      <c r="P97" s="1929" t="e">
        <f>($O$9*60)/((($N$8-$O97)/12)*(60-N97)*'Product Data'!$P$23)</f>
        <v>#N/A</v>
      </c>
    </row>
    <row r="98" spans="2:16" x14ac:dyDescent="0.25">
      <c r="B98" s="1927">
        <f t="shared" si="8"/>
        <v>0</v>
      </c>
      <c r="C98" s="1928">
        <v>1.26E-2</v>
      </c>
      <c r="D98" s="1931" t="e">
        <f>($C$9*24)/((($B$8-BBR+'Product Data'!$K$3-'KB Model Suggestions Tr 2yr'!$C98)/12)*(24-'KB Model Suggestions Tr 2yr'!B98)*'Product Data'!$P$18)</f>
        <v>#N/A</v>
      </c>
      <c r="F98" s="1927">
        <f t="shared" si="9"/>
        <v>0</v>
      </c>
      <c r="G98" s="1928">
        <v>1.26E-2</v>
      </c>
      <c r="H98" s="1931" t="e">
        <f>($G$9*24)/((($F$8-BBR+'Product Data'!$K$3-'KB Model Suggestions Tr 2yr'!$G98)/12)*(24-'KB Model Suggestions Tr 2yr'!F98)*'Product Data'!$P$18)</f>
        <v>#N/A</v>
      </c>
      <c r="J98" s="1927">
        <f t="shared" si="10"/>
        <v>0</v>
      </c>
      <c r="K98" s="1928">
        <v>1.26E-2</v>
      </c>
      <c r="L98" s="1931" t="e">
        <f>($K$9*24)/((($J$8-BBR+'Product Data'!$K$2-'KB Model Suggestions Tr 2yr'!$K98)/12)*(24-'KB Model Suggestions Tr 2yr'!J98)*'Product Data'!$P$18)</f>
        <v>#N/A</v>
      </c>
      <c r="N98" s="1927">
        <f t="shared" si="11"/>
        <v>0</v>
      </c>
      <c r="O98" s="2392">
        <v>1.26E-2</v>
      </c>
      <c r="P98" s="1929" t="e">
        <f>($O$9*60)/((($N$8-$O98)/12)*(60-N98)*'Product Data'!$P$23)</f>
        <v>#N/A</v>
      </c>
    </row>
    <row r="99" spans="2:16" x14ac:dyDescent="0.25">
      <c r="B99" s="1927">
        <f t="shared" si="8"/>
        <v>0</v>
      </c>
      <c r="C99" s="1928">
        <v>1.2500000000000001E-2</v>
      </c>
      <c r="D99" s="1931" t="e">
        <f>($C$9*24)/((($B$8-BBR+'Product Data'!$K$3-'KB Model Suggestions Tr 2yr'!$C99)/12)*(24-'KB Model Suggestions Tr 2yr'!B99)*'Product Data'!$P$18)</f>
        <v>#N/A</v>
      </c>
      <c r="F99" s="1927">
        <f t="shared" si="9"/>
        <v>0</v>
      </c>
      <c r="G99" s="1928">
        <v>1.2500000000000001E-2</v>
      </c>
      <c r="H99" s="1931" t="e">
        <f>($G$9*24)/((($F$8-BBR+'Product Data'!$K$3-'KB Model Suggestions Tr 2yr'!$G99)/12)*(24-'KB Model Suggestions Tr 2yr'!F99)*'Product Data'!$P$18)</f>
        <v>#N/A</v>
      </c>
      <c r="J99" s="1927">
        <f t="shared" si="10"/>
        <v>0</v>
      </c>
      <c r="K99" s="1928">
        <v>1.2500000000000001E-2</v>
      </c>
      <c r="L99" s="1931" t="e">
        <f>($K$9*24)/((($J$8-BBR+'Product Data'!$K$2-'KB Model Suggestions Tr 2yr'!$K99)/12)*(24-'KB Model Suggestions Tr 2yr'!J99)*'Product Data'!$P$18)</f>
        <v>#N/A</v>
      </c>
      <c r="N99" s="1927">
        <f t="shared" si="11"/>
        <v>0</v>
      </c>
      <c r="O99" s="2392">
        <v>1.2500000000000001E-2</v>
      </c>
      <c r="P99" s="1929" t="e">
        <f>($O$9*60)/((($N$8-$O99)/12)*(60-N99)*'Product Data'!$P$23)</f>
        <v>#N/A</v>
      </c>
    </row>
    <row r="100" spans="2:16" x14ac:dyDescent="0.25">
      <c r="B100" s="1927">
        <f t="shared" si="8"/>
        <v>0</v>
      </c>
      <c r="C100" s="1928">
        <v>1.24E-2</v>
      </c>
      <c r="D100" s="1931" t="e">
        <f>($C$9*24)/((($B$8-BBR+'Product Data'!$K$3-'KB Model Suggestions Tr 2yr'!$C100)/12)*(24-'KB Model Suggestions Tr 2yr'!B100)*'Product Data'!$P$18)</f>
        <v>#N/A</v>
      </c>
      <c r="F100" s="1927">
        <f t="shared" si="9"/>
        <v>0</v>
      </c>
      <c r="G100" s="1928">
        <v>1.24E-2</v>
      </c>
      <c r="H100" s="1931" t="e">
        <f>($G$9*24)/((($F$8-BBR+'Product Data'!$K$3-'KB Model Suggestions Tr 2yr'!$G100)/12)*(24-'KB Model Suggestions Tr 2yr'!F100)*'Product Data'!$P$18)</f>
        <v>#N/A</v>
      </c>
      <c r="J100" s="1927">
        <f t="shared" si="10"/>
        <v>0</v>
      </c>
      <c r="K100" s="1928">
        <v>1.24E-2</v>
      </c>
      <c r="L100" s="1931" t="e">
        <f>($K$9*24)/((($J$8-BBR+'Product Data'!$K$2-'KB Model Suggestions Tr 2yr'!$K100)/12)*(24-'KB Model Suggestions Tr 2yr'!J100)*'Product Data'!$P$18)</f>
        <v>#N/A</v>
      </c>
      <c r="N100" s="1927">
        <f t="shared" si="11"/>
        <v>0</v>
      </c>
      <c r="O100" s="2392">
        <v>1.24E-2</v>
      </c>
      <c r="P100" s="1929" t="e">
        <f>($O$9*60)/((($N$8-$O100)/12)*(60-N100)*'Product Data'!$P$23)</f>
        <v>#N/A</v>
      </c>
    </row>
    <row r="101" spans="2:16" x14ac:dyDescent="0.25">
      <c r="B101" s="1927">
        <f t="shared" si="8"/>
        <v>0</v>
      </c>
      <c r="C101" s="1928">
        <v>1.2300000000000101E-2</v>
      </c>
      <c r="D101" s="1931" t="e">
        <f>($C$9*24)/((($B$8-BBR+'Product Data'!$K$3-'KB Model Suggestions Tr 2yr'!$C101)/12)*(24-'KB Model Suggestions Tr 2yr'!B101)*'Product Data'!$P$18)</f>
        <v>#N/A</v>
      </c>
      <c r="F101" s="1927">
        <f t="shared" si="9"/>
        <v>0</v>
      </c>
      <c r="G101" s="1928">
        <v>1.2300000000000101E-2</v>
      </c>
      <c r="H101" s="1931" t="e">
        <f>($G$9*24)/((($F$8-BBR+'Product Data'!$K$3-'KB Model Suggestions Tr 2yr'!$G101)/12)*(24-'KB Model Suggestions Tr 2yr'!F101)*'Product Data'!$P$18)</f>
        <v>#N/A</v>
      </c>
      <c r="J101" s="1927">
        <f t="shared" si="10"/>
        <v>0</v>
      </c>
      <c r="K101" s="1928">
        <v>1.2300000000000101E-2</v>
      </c>
      <c r="L101" s="1931" t="e">
        <f>($K$9*24)/((($J$8-BBR+'Product Data'!$K$2-'KB Model Suggestions Tr 2yr'!$K101)/12)*(24-'KB Model Suggestions Tr 2yr'!J101)*'Product Data'!$P$18)</f>
        <v>#N/A</v>
      </c>
      <c r="N101" s="1927">
        <f t="shared" si="11"/>
        <v>0</v>
      </c>
      <c r="O101" s="2392">
        <v>1.2300000000000101E-2</v>
      </c>
      <c r="P101" s="1929" t="e">
        <f>($O$9*60)/((($N$8-$O101)/12)*(60-N101)*'Product Data'!$P$23)</f>
        <v>#N/A</v>
      </c>
    </row>
    <row r="102" spans="2:16" x14ac:dyDescent="0.25">
      <c r="B102" s="1927">
        <f t="shared" si="8"/>
        <v>0</v>
      </c>
      <c r="C102" s="1928">
        <v>1.22000000000001E-2</v>
      </c>
      <c r="D102" s="1931" t="e">
        <f>($C$9*24)/((($B$8-BBR+'Product Data'!$K$3-'KB Model Suggestions Tr 2yr'!$C102)/12)*(24-'KB Model Suggestions Tr 2yr'!B102)*'Product Data'!$P$18)</f>
        <v>#N/A</v>
      </c>
      <c r="F102" s="1927">
        <f t="shared" si="9"/>
        <v>0</v>
      </c>
      <c r="G102" s="1928">
        <v>1.22000000000001E-2</v>
      </c>
      <c r="H102" s="1931" t="e">
        <f>($G$9*24)/((($F$8-BBR+'Product Data'!$K$3-'KB Model Suggestions Tr 2yr'!$G102)/12)*(24-'KB Model Suggestions Tr 2yr'!F102)*'Product Data'!$P$18)</f>
        <v>#N/A</v>
      </c>
      <c r="J102" s="1927">
        <f t="shared" si="10"/>
        <v>0</v>
      </c>
      <c r="K102" s="1928">
        <v>1.22000000000001E-2</v>
      </c>
      <c r="L102" s="1931" t="e">
        <f>($K$9*24)/((($J$8-BBR+'Product Data'!$K$2-'KB Model Suggestions Tr 2yr'!$K102)/12)*(24-'KB Model Suggestions Tr 2yr'!J102)*'Product Data'!$P$18)</f>
        <v>#N/A</v>
      </c>
      <c r="N102" s="1927">
        <f t="shared" si="11"/>
        <v>0</v>
      </c>
      <c r="O102" s="2392">
        <v>1.22000000000001E-2</v>
      </c>
      <c r="P102" s="1929" t="e">
        <f>($O$9*60)/((($N$8-$O102)/12)*(60-N102)*'Product Data'!$P$23)</f>
        <v>#N/A</v>
      </c>
    </row>
    <row r="103" spans="2:16" x14ac:dyDescent="0.25">
      <c r="B103" s="1927">
        <f t="shared" si="8"/>
        <v>0</v>
      </c>
      <c r="C103" s="1928">
        <v>1.21E-2</v>
      </c>
      <c r="D103" s="1931" t="e">
        <f>($C$9*24)/((($B$8-BBR+'Product Data'!$K$3-'KB Model Suggestions Tr 2yr'!$C103)/12)*(24-'KB Model Suggestions Tr 2yr'!B103)*'Product Data'!$P$18)</f>
        <v>#N/A</v>
      </c>
      <c r="F103" s="1927">
        <f t="shared" si="9"/>
        <v>0</v>
      </c>
      <c r="G103" s="1928">
        <v>1.21E-2</v>
      </c>
      <c r="H103" s="1931" t="e">
        <f>($G$9*24)/((($F$8-BBR+'Product Data'!$K$3-'KB Model Suggestions Tr 2yr'!$G103)/12)*(24-'KB Model Suggestions Tr 2yr'!F103)*'Product Data'!$P$18)</f>
        <v>#N/A</v>
      </c>
      <c r="J103" s="1927">
        <f t="shared" si="10"/>
        <v>0</v>
      </c>
      <c r="K103" s="1928">
        <v>1.21E-2</v>
      </c>
      <c r="L103" s="1931" t="e">
        <f>($K$9*24)/((($J$8-BBR+'Product Data'!$K$2-'KB Model Suggestions Tr 2yr'!$K103)/12)*(24-'KB Model Suggestions Tr 2yr'!J103)*'Product Data'!$P$18)</f>
        <v>#N/A</v>
      </c>
      <c r="N103" s="1927">
        <f t="shared" si="11"/>
        <v>0</v>
      </c>
      <c r="O103" s="2392">
        <v>1.21E-2</v>
      </c>
      <c r="P103" s="1929" t="e">
        <f>($O$9*60)/((($N$8-$O103)/12)*(60-N103)*'Product Data'!$P$23)</f>
        <v>#N/A</v>
      </c>
    </row>
    <row r="104" spans="2:16" x14ac:dyDescent="0.25">
      <c r="B104" s="1927">
        <f t="shared" si="8"/>
        <v>0</v>
      </c>
      <c r="C104" s="1928">
        <v>1.2000000000000101E-2</v>
      </c>
      <c r="D104" s="1931" t="e">
        <f>($C$9*24)/((($B$8-BBR+'Product Data'!$K$3-'KB Model Suggestions Tr 2yr'!$C104)/12)*(24-'KB Model Suggestions Tr 2yr'!B104)*'Product Data'!$P$18)</f>
        <v>#N/A</v>
      </c>
      <c r="F104" s="1927">
        <f t="shared" si="9"/>
        <v>0</v>
      </c>
      <c r="G104" s="1928">
        <v>1.2000000000000101E-2</v>
      </c>
      <c r="H104" s="1931" t="e">
        <f>($G$9*24)/((($F$8-BBR+'Product Data'!$K$3-'KB Model Suggestions Tr 2yr'!$G104)/12)*(24-'KB Model Suggestions Tr 2yr'!F104)*'Product Data'!$P$18)</f>
        <v>#N/A</v>
      </c>
      <c r="J104" s="1927">
        <f t="shared" si="10"/>
        <v>0</v>
      </c>
      <c r="K104" s="1928">
        <v>1.2000000000000101E-2</v>
      </c>
      <c r="L104" s="1931" t="e">
        <f>($K$9*24)/((($J$8-BBR+'Product Data'!$K$2-'KB Model Suggestions Tr 2yr'!$K104)/12)*(24-'KB Model Suggestions Tr 2yr'!J104)*'Product Data'!$P$18)</f>
        <v>#N/A</v>
      </c>
      <c r="N104" s="1927">
        <f t="shared" si="11"/>
        <v>0</v>
      </c>
      <c r="O104" s="2392">
        <v>1.2000000000000101E-2</v>
      </c>
      <c r="P104" s="1929" t="e">
        <f>($O$9*60)/((($N$8-$O104)/12)*(60-N104)*'Product Data'!$P$23)</f>
        <v>#N/A</v>
      </c>
    </row>
    <row r="105" spans="2:16" x14ac:dyDescent="0.25">
      <c r="B105" s="1927">
        <f t="shared" si="8"/>
        <v>0</v>
      </c>
      <c r="C105" s="1928">
        <v>1.19000000000001E-2</v>
      </c>
      <c r="D105" s="1931" t="e">
        <f>($C$9*24)/((($B$8-BBR+'Product Data'!$K$3-'KB Model Suggestions Tr 2yr'!$C105)/12)*(24-'KB Model Suggestions Tr 2yr'!B105)*'Product Data'!$P$18)</f>
        <v>#N/A</v>
      </c>
      <c r="F105" s="1927">
        <f t="shared" si="9"/>
        <v>0</v>
      </c>
      <c r="G105" s="1928">
        <v>1.19000000000001E-2</v>
      </c>
      <c r="H105" s="1931" t="e">
        <f>($G$9*24)/((($F$8-BBR+'Product Data'!$K$3-'KB Model Suggestions Tr 2yr'!$G105)/12)*(24-'KB Model Suggestions Tr 2yr'!F105)*'Product Data'!$P$18)</f>
        <v>#N/A</v>
      </c>
      <c r="J105" s="1927">
        <f t="shared" si="10"/>
        <v>0</v>
      </c>
      <c r="K105" s="1928">
        <v>1.19000000000001E-2</v>
      </c>
      <c r="L105" s="1931" t="e">
        <f>($K$9*24)/((($J$8-BBR+'Product Data'!$K$2-'KB Model Suggestions Tr 2yr'!$K105)/12)*(24-'KB Model Suggestions Tr 2yr'!J105)*'Product Data'!$P$18)</f>
        <v>#N/A</v>
      </c>
      <c r="N105" s="1927">
        <f t="shared" si="11"/>
        <v>0</v>
      </c>
      <c r="O105" s="2392">
        <v>1.19000000000001E-2</v>
      </c>
      <c r="P105" s="1929" t="e">
        <f>($O$9*60)/((($N$8-$O105)/12)*(60-N105)*'Product Data'!$P$23)</f>
        <v>#N/A</v>
      </c>
    </row>
    <row r="106" spans="2:16" x14ac:dyDescent="0.25">
      <c r="B106" s="1927">
        <f t="shared" si="8"/>
        <v>0</v>
      </c>
      <c r="C106" s="1928">
        <v>1.18000000000001E-2</v>
      </c>
      <c r="D106" s="1931" t="e">
        <f>($C$9*24)/((($B$8-BBR+'Product Data'!$K$3-'KB Model Suggestions Tr 2yr'!$C106)/12)*(24-'KB Model Suggestions Tr 2yr'!B106)*'Product Data'!$P$18)</f>
        <v>#N/A</v>
      </c>
      <c r="F106" s="1927">
        <f t="shared" si="9"/>
        <v>0</v>
      </c>
      <c r="G106" s="1928">
        <v>1.18000000000001E-2</v>
      </c>
      <c r="H106" s="1931" t="e">
        <f>($G$9*24)/((($F$8-BBR+'Product Data'!$K$3-'KB Model Suggestions Tr 2yr'!$G106)/12)*(24-'KB Model Suggestions Tr 2yr'!F106)*'Product Data'!$P$18)</f>
        <v>#N/A</v>
      </c>
      <c r="J106" s="1927">
        <f t="shared" si="10"/>
        <v>0</v>
      </c>
      <c r="K106" s="1928">
        <v>1.18000000000001E-2</v>
      </c>
      <c r="L106" s="1931" t="e">
        <f>($K$9*24)/((($J$8-BBR+'Product Data'!$K$2-'KB Model Suggestions Tr 2yr'!$K106)/12)*(24-'KB Model Suggestions Tr 2yr'!J106)*'Product Data'!$P$18)</f>
        <v>#N/A</v>
      </c>
      <c r="N106" s="1927">
        <f t="shared" si="11"/>
        <v>0</v>
      </c>
      <c r="O106" s="2392">
        <v>1.18000000000001E-2</v>
      </c>
      <c r="P106" s="1929" t="e">
        <f>($O$9*60)/((($N$8-$O106)/12)*(60-N106)*'Product Data'!$P$23)</f>
        <v>#N/A</v>
      </c>
    </row>
    <row r="107" spans="2:16" x14ac:dyDescent="0.25">
      <c r="B107" s="1927">
        <f t="shared" si="8"/>
        <v>0</v>
      </c>
      <c r="C107" s="1928">
        <v>1.1700000000000099E-2</v>
      </c>
      <c r="D107" s="1931" t="e">
        <f>($C$9*24)/((($B$8-BBR+'Product Data'!$K$3-'KB Model Suggestions Tr 2yr'!$C107)/12)*(24-'KB Model Suggestions Tr 2yr'!B107)*'Product Data'!$P$18)</f>
        <v>#N/A</v>
      </c>
      <c r="F107" s="1927">
        <f t="shared" si="9"/>
        <v>0</v>
      </c>
      <c r="G107" s="1928">
        <v>1.1700000000000099E-2</v>
      </c>
      <c r="H107" s="1931" t="e">
        <f>($G$9*24)/((($F$8-BBR+'Product Data'!$K$3-'KB Model Suggestions Tr 2yr'!$G107)/12)*(24-'KB Model Suggestions Tr 2yr'!F107)*'Product Data'!$P$18)</f>
        <v>#N/A</v>
      </c>
      <c r="J107" s="1927">
        <f t="shared" si="10"/>
        <v>0</v>
      </c>
      <c r="K107" s="1928">
        <v>1.1700000000000099E-2</v>
      </c>
      <c r="L107" s="1931" t="e">
        <f>($K$9*24)/((($J$8-BBR+'Product Data'!$K$2-'KB Model Suggestions Tr 2yr'!$K107)/12)*(24-'KB Model Suggestions Tr 2yr'!J107)*'Product Data'!$P$18)</f>
        <v>#N/A</v>
      </c>
      <c r="N107" s="1927">
        <f t="shared" si="11"/>
        <v>0</v>
      </c>
      <c r="O107" s="2392">
        <v>1.1700000000000099E-2</v>
      </c>
      <c r="P107" s="1929" t="e">
        <f>($O$9*60)/((($N$8-$O107)/12)*(60-N107)*'Product Data'!$P$23)</f>
        <v>#N/A</v>
      </c>
    </row>
    <row r="108" spans="2:16" x14ac:dyDescent="0.25">
      <c r="B108" s="1927">
        <f t="shared" si="8"/>
        <v>0</v>
      </c>
      <c r="C108" s="1928">
        <v>1.16000000000001E-2</v>
      </c>
      <c r="D108" s="1931" t="e">
        <f>($C$9*24)/((($B$8-BBR+'Product Data'!$K$3-'KB Model Suggestions Tr 2yr'!$C108)/12)*(24-'KB Model Suggestions Tr 2yr'!B108)*'Product Data'!$P$18)</f>
        <v>#N/A</v>
      </c>
      <c r="F108" s="1927">
        <f t="shared" si="9"/>
        <v>0</v>
      </c>
      <c r="G108" s="1928">
        <v>1.16000000000001E-2</v>
      </c>
      <c r="H108" s="1931" t="e">
        <f>($G$9*24)/((($F$8-BBR+'Product Data'!$K$3-'KB Model Suggestions Tr 2yr'!$G108)/12)*(24-'KB Model Suggestions Tr 2yr'!F108)*'Product Data'!$P$18)</f>
        <v>#N/A</v>
      </c>
      <c r="J108" s="1927">
        <f t="shared" si="10"/>
        <v>0</v>
      </c>
      <c r="K108" s="1928">
        <v>1.16000000000001E-2</v>
      </c>
      <c r="L108" s="1931" t="e">
        <f>($K$9*24)/((($J$8-BBR+'Product Data'!$K$2-'KB Model Suggestions Tr 2yr'!$K108)/12)*(24-'KB Model Suggestions Tr 2yr'!J108)*'Product Data'!$P$18)</f>
        <v>#N/A</v>
      </c>
      <c r="N108" s="1927">
        <f t="shared" si="11"/>
        <v>0</v>
      </c>
      <c r="O108" s="2392">
        <v>1.16000000000001E-2</v>
      </c>
      <c r="P108" s="1929" t="e">
        <f>($O$9*60)/((($N$8-$O108)/12)*(60-N108)*'Product Data'!$P$23)</f>
        <v>#N/A</v>
      </c>
    </row>
    <row r="109" spans="2:16" x14ac:dyDescent="0.25">
      <c r="B109" s="1927">
        <f t="shared" si="8"/>
        <v>0</v>
      </c>
      <c r="C109" s="1928">
        <v>1.15000000000001E-2</v>
      </c>
      <c r="D109" s="1931" t="e">
        <f>($C$9*24)/((($B$8-BBR+'Product Data'!$K$3-'KB Model Suggestions Tr 2yr'!$C109)/12)*(24-'KB Model Suggestions Tr 2yr'!B109)*'Product Data'!$P$18)</f>
        <v>#N/A</v>
      </c>
      <c r="F109" s="1927">
        <f t="shared" si="9"/>
        <v>0</v>
      </c>
      <c r="G109" s="1928">
        <v>1.15000000000001E-2</v>
      </c>
      <c r="H109" s="1931" t="e">
        <f>($G$9*24)/((($F$8-BBR+'Product Data'!$K$3-'KB Model Suggestions Tr 2yr'!$G109)/12)*(24-'KB Model Suggestions Tr 2yr'!F109)*'Product Data'!$P$18)</f>
        <v>#N/A</v>
      </c>
      <c r="J109" s="1927">
        <f t="shared" si="10"/>
        <v>0</v>
      </c>
      <c r="K109" s="1928">
        <v>1.15000000000001E-2</v>
      </c>
      <c r="L109" s="1931" t="e">
        <f>($K$9*24)/((($J$8-BBR+'Product Data'!$K$2-'KB Model Suggestions Tr 2yr'!$K109)/12)*(24-'KB Model Suggestions Tr 2yr'!J109)*'Product Data'!$P$18)</f>
        <v>#N/A</v>
      </c>
      <c r="N109" s="1927">
        <f t="shared" si="11"/>
        <v>0</v>
      </c>
      <c r="O109" s="2392">
        <v>1.15000000000001E-2</v>
      </c>
      <c r="P109" s="1929" t="e">
        <f>($O$9*60)/((($N$8-$O109)/12)*(60-N109)*'Product Data'!$P$23)</f>
        <v>#N/A</v>
      </c>
    </row>
    <row r="110" spans="2:16" x14ac:dyDescent="0.25">
      <c r="B110" s="1927">
        <f t="shared" si="8"/>
        <v>0</v>
      </c>
      <c r="C110" s="1928">
        <v>1.1400000000000099E-2</v>
      </c>
      <c r="D110" s="1931" t="e">
        <f>($C$9*24)/((($B$8-BBR+'Product Data'!$K$3-'KB Model Suggestions Tr 2yr'!$C110)/12)*(24-'KB Model Suggestions Tr 2yr'!B110)*'Product Data'!$P$18)</f>
        <v>#N/A</v>
      </c>
      <c r="F110" s="1927">
        <f t="shared" si="9"/>
        <v>0</v>
      </c>
      <c r="G110" s="1928">
        <v>1.1400000000000099E-2</v>
      </c>
      <c r="H110" s="1931" t="e">
        <f>($G$9*24)/((($F$8-BBR+'Product Data'!$K$3-'KB Model Suggestions Tr 2yr'!$G110)/12)*(24-'KB Model Suggestions Tr 2yr'!F110)*'Product Data'!$P$18)</f>
        <v>#N/A</v>
      </c>
      <c r="J110" s="1927">
        <f t="shared" si="10"/>
        <v>0</v>
      </c>
      <c r="K110" s="1928">
        <v>1.1400000000000099E-2</v>
      </c>
      <c r="L110" s="1931" t="e">
        <f>($K$9*24)/((($J$8-BBR+'Product Data'!$K$2-'KB Model Suggestions Tr 2yr'!$K110)/12)*(24-'KB Model Suggestions Tr 2yr'!J110)*'Product Data'!$P$18)</f>
        <v>#N/A</v>
      </c>
      <c r="N110" s="1927">
        <f t="shared" si="11"/>
        <v>0</v>
      </c>
      <c r="O110" s="2392">
        <v>1.1400000000000099E-2</v>
      </c>
      <c r="P110" s="1929" t="e">
        <f>($O$9*60)/((($N$8-$O110)/12)*(60-N110)*'Product Data'!$P$23)</f>
        <v>#N/A</v>
      </c>
    </row>
    <row r="111" spans="2:16" x14ac:dyDescent="0.25">
      <c r="B111" s="1927">
        <f t="shared" si="8"/>
        <v>0</v>
      </c>
      <c r="C111" s="1928">
        <v>1.1299999999999999E-2</v>
      </c>
      <c r="D111" s="1931" t="e">
        <f>($C$9*24)/((($B$8-BBR+'Product Data'!$K$3-'KB Model Suggestions Tr 2yr'!$C111)/12)*(24-'KB Model Suggestions Tr 2yr'!B111)*'Product Data'!$P$18)</f>
        <v>#N/A</v>
      </c>
      <c r="F111" s="1927">
        <f t="shared" si="9"/>
        <v>0</v>
      </c>
      <c r="G111" s="1928">
        <v>1.1299999999999999E-2</v>
      </c>
      <c r="H111" s="1931" t="e">
        <f>($G$9*24)/((($F$8-BBR+'Product Data'!$K$3-'KB Model Suggestions Tr 2yr'!$G111)/12)*(24-'KB Model Suggestions Tr 2yr'!F111)*'Product Data'!$P$18)</f>
        <v>#N/A</v>
      </c>
      <c r="J111" s="1927">
        <f t="shared" si="10"/>
        <v>0</v>
      </c>
      <c r="K111" s="1928">
        <v>1.1299999999999999E-2</v>
      </c>
      <c r="L111" s="1931" t="e">
        <f>($K$9*24)/((($J$8-BBR+'Product Data'!$K$2-'KB Model Suggestions Tr 2yr'!$K111)/12)*(24-'KB Model Suggestions Tr 2yr'!J111)*'Product Data'!$P$18)</f>
        <v>#N/A</v>
      </c>
      <c r="N111" s="1927">
        <f t="shared" si="11"/>
        <v>0</v>
      </c>
      <c r="O111" s="2392">
        <v>1.1299999999999999E-2</v>
      </c>
      <c r="P111" s="1929" t="e">
        <f>($O$9*60)/((($N$8-$O111)/12)*(60-N111)*'Product Data'!$P$23)</f>
        <v>#N/A</v>
      </c>
    </row>
    <row r="112" spans="2:16" x14ac:dyDescent="0.25">
      <c r="B112" s="1927">
        <f t="shared" si="8"/>
        <v>0</v>
      </c>
      <c r="C112" s="1928">
        <v>1.1200000000000101E-2</v>
      </c>
      <c r="D112" s="1931" t="e">
        <f>($C$9*24)/((($B$8-BBR+'Product Data'!$K$3-'KB Model Suggestions Tr 2yr'!$C112)/12)*(24-'KB Model Suggestions Tr 2yr'!B112)*'Product Data'!$P$18)</f>
        <v>#N/A</v>
      </c>
      <c r="F112" s="1927">
        <f t="shared" si="9"/>
        <v>0</v>
      </c>
      <c r="G112" s="1928">
        <v>1.1200000000000101E-2</v>
      </c>
      <c r="H112" s="1931" t="e">
        <f>($G$9*24)/((($F$8-BBR+'Product Data'!$K$3-'KB Model Suggestions Tr 2yr'!$G112)/12)*(24-'KB Model Suggestions Tr 2yr'!F112)*'Product Data'!$P$18)</f>
        <v>#N/A</v>
      </c>
      <c r="J112" s="1927">
        <f t="shared" si="10"/>
        <v>0</v>
      </c>
      <c r="K112" s="1928">
        <v>1.1200000000000101E-2</v>
      </c>
      <c r="L112" s="1931" t="e">
        <f>($K$9*24)/((($J$8-BBR+'Product Data'!$K$2-'KB Model Suggestions Tr 2yr'!$K112)/12)*(24-'KB Model Suggestions Tr 2yr'!J112)*'Product Data'!$P$18)</f>
        <v>#N/A</v>
      </c>
      <c r="N112" s="1927">
        <f t="shared" si="11"/>
        <v>0</v>
      </c>
      <c r="O112" s="2392">
        <v>1.1200000000000101E-2</v>
      </c>
      <c r="P112" s="1929" t="e">
        <f>($O$9*60)/((($N$8-$O112)/12)*(60-N112)*'Product Data'!$P$23)</f>
        <v>#N/A</v>
      </c>
    </row>
    <row r="113" spans="2:16" x14ac:dyDescent="0.25">
      <c r="B113" s="1927">
        <f t="shared" si="8"/>
        <v>0</v>
      </c>
      <c r="C113" s="1928">
        <v>1.1100000000000099E-2</v>
      </c>
      <c r="D113" s="1931" t="e">
        <f>($C$9*24)/((($B$8-BBR+'Product Data'!$K$3-'KB Model Suggestions Tr 2yr'!$C113)/12)*(24-'KB Model Suggestions Tr 2yr'!B113)*'Product Data'!$P$18)</f>
        <v>#N/A</v>
      </c>
      <c r="F113" s="1927">
        <f t="shared" si="9"/>
        <v>0</v>
      </c>
      <c r="G113" s="1928">
        <v>1.1100000000000099E-2</v>
      </c>
      <c r="H113" s="1931" t="e">
        <f>($G$9*24)/((($F$8-BBR+'Product Data'!$K$3-'KB Model Suggestions Tr 2yr'!$G113)/12)*(24-'KB Model Suggestions Tr 2yr'!F113)*'Product Data'!$P$18)</f>
        <v>#N/A</v>
      </c>
      <c r="J113" s="1927">
        <f t="shared" si="10"/>
        <v>0</v>
      </c>
      <c r="K113" s="1928">
        <v>1.1100000000000099E-2</v>
      </c>
      <c r="L113" s="1931" t="e">
        <f>($K$9*24)/((($J$8-BBR+'Product Data'!$K$2-'KB Model Suggestions Tr 2yr'!$K113)/12)*(24-'KB Model Suggestions Tr 2yr'!J113)*'Product Data'!$P$18)</f>
        <v>#N/A</v>
      </c>
      <c r="N113" s="1927">
        <f t="shared" si="11"/>
        <v>0</v>
      </c>
      <c r="O113" s="2392">
        <v>1.1100000000000099E-2</v>
      </c>
      <c r="P113" s="1929" t="e">
        <f>($O$9*60)/((($N$8-$O113)/12)*(60-N113)*'Product Data'!$P$23)</f>
        <v>#N/A</v>
      </c>
    </row>
    <row r="114" spans="2:16" x14ac:dyDescent="0.25">
      <c r="B114" s="1927">
        <f t="shared" si="8"/>
        <v>0</v>
      </c>
      <c r="C114" s="1928">
        <v>1.0999999999999999E-2</v>
      </c>
      <c r="D114" s="1931" t="e">
        <f>($C$9*24)/((($B$8-BBR+'Product Data'!$K$3-'KB Model Suggestions Tr 2yr'!$C114)/12)*(24-'KB Model Suggestions Tr 2yr'!B114)*'Product Data'!$P$18)</f>
        <v>#N/A</v>
      </c>
      <c r="F114" s="1927">
        <f t="shared" si="9"/>
        <v>0</v>
      </c>
      <c r="G114" s="1928">
        <v>1.0999999999999999E-2</v>
      </c>
      <c r="H114" s="1931" t="e">
        <f>($G$9*24)/((($F$8-BBR+'Product Data'!$K$3-'KB Model Suggestions Tr 2yr'!$G114)/12)*(24-'KB Model Suggestions Tr 2yr'!F114)*'Product Data'!$P$18)</f>
        <v>#N/A</v>
      </c>
      <c r="J114" s="1927">
        <f t="shared" si="10"/>
        <v>0</v>
      </c>
      <c r="K114" s="1928">
        <v>1.0999999999999999E-2</v>
      </c>
      <c r="L114" s="1931" t="e">
        <f>($K$9*24)/((($J$8-BBR+'Product Data'!$K$2-'KB Model Suggestions Tr 2yr'!$K114)/12)*(24-'KB Model Suggestions Tr 2yr'!J114)*'Product Data'!$P$18)</f>
        <v>#N/A</v>
      </c>
      <c r="N114" s="1927">
        <f t="shared" si="11"/>
        <v>0</v>
      </c>
      <c r="O114" s="2392">
        <v>1.0999999999999999E-2</v>
      </c>
      <c r="P114" s="1929" t="e">
        <f>($O$9*60)/((($N$8-$O114)/12)*(60-N114)*'Product Data'!$P$23)</f>
        <v>#N/A</v>
      </c>
    </row>
    <row r="115" spans="2:16" x14ac:dyDescent="0.25">
      <c r="B115" s="1927">
        <f t="shared" si="8"/>
        <v>0</v>
      </c>
      <c r="C115" s="1928">
        <v>1.0900000000000101E-2</v>
      </c>
      <c r="D115" s="1931" t="e">
        <f>($C$9*24)/((($B$8-BBR+'Product Data'!$K$3-'KB Model Suggestions Tr 2yr'!$C115)/12)*(24-'KB Model Suggestions Tr 2yr'!B115)*'Product Data'!$P$18)</f>
        <v>#N/A</v>
      </c>
      <c r="F115" s="1927">
        <f t="shared" si="9"/>
        <v>0</v>
      </c>
      <c r="G115" s="1928">
        <v>1.0900000000000101E-2</v>
      </c>
      <c r="H115" s="1931" t="e">
        <f>($G$9*24)/((($F$8-BBR+'Product Data'!$K$3-'KB Model Suggestions Tr 2yr'!$G115)/12)*(24-'KB Model Suggestions Tr 2yr'!F115)*'Product Data'!$P$18)</f>
        <v>#N/A</v>
      </c>
      <c r="J115" s="1927">
        <f t="shared" si="10"/>
        <v>0</v>
      </c>
      <c r="K115" s="1928">
        <v>1.0900000000000101E-2</v>
      </c>
      <c r="L115" s="1931" t="e">
        <f>($K$9*24)/((($J$8-BBR+'Product Data'!$K$2-'KB Model Suggestions Tr 2yr'!$K115)/12)*(24-'KB Model Suggestions Tr 2yr'!J115)*'Product Data'!$P$18)</f>
        <v>#N/A</v>
      </c>
      <c r="N115" s="1927">
        <f t="shared" si="11"/>
        <v>0</v>
      </c>
      <c r="O115" s="2392">
        <v>1.0900000000000101E-2</v>
      </c>
      <c r="P115" s="1929" t="e">
        <f>($O$9*60)/((($N$8-$O115)/12)*(60-N115)*'Product Data'!$P$23)</f>
        <v>#N/A</v>
      </c>
    </row>
    <row r="116" spans="2:16" x14ac:dyDescent="0.25">
      <c r="B116" s="1927">
        <f t="shared" si="8"/>
        <v>0</v>
      </c>
      <c r="C116" s="1928">
        <v>1.0800000000000099E-2</v>
      </c>
      <c r="D116" s="1931" t="e">
        <f>($C$9*24)/((($B$8-BBR+'Product Data'!$K$3-'KB Model Suggestions Tr 2yr'!$C116)/12)*(24-'KB Model Suggestions Tr 2yr'!B116)*'Product Data'!$P$18)</f>
        <v>#N/A</v>
      </c>
      <c r="F116" s="1927">
        <f t="shared" si="9"/>
        <v>0</v>
      </c>
      <c r="G116" s="1928">
        <v>1.0800000000000099E-2</v>
      </c>
      <c r="H116" s="1931" t="e">
        <f>($G$9*24)/((($F$8-BBR+'Product Data'!$K$3-'KB Model Suggestions Tr 2yr'!$G116)/12)*(24-'KB Model Suggestions Tr 2yr'!F116)*'Product Data'!$P$18)</f>
        <v>#N/A</v>
      </c>
      <c r="J116" s="1927">
        <f t="shared" si="10"/>
        <v>0</v>
      </c>
      <c r="K116" s="1928">
        <v>1.0800000000000099E-2</v>
      </c>
      <c r="L116" s="1931" t="e">
        <f>($K$9*24)/((($J$8-BBR+'Product Data'!$K$2-'KB Model Suggestions Tr 2yr'!$K116)/12)*(24-'KB Model Suggestions Tr 2yr'!J116)*'Product Data'!$P$18)</f>
        <v>#N/A</v>
      </c>
      <c r="N116" s="1927">
        <f t="shared" si="11"/>
        <v>0</v>
      </c>
      <c r="O116" s="2392">
        <v>1.0800000000000099E-2</v>
      </c>
      <c r="P116" s="1929" t="e">
        <f>($O$9*60)/((($N$8-$O116)/12)*(60-N116)*'Product Data'!$P$23)</f>
        <v>#N/A</v>
      </c>
    </row>
    <row r="117" spans="2:16" x14ac:dyDescent="0.25">
      <c r="B117" s="1927">
        <f t="shared" si="8"/>
        <v>0</v>
      </c>
      <c r="C117" s="1928">
        <v>1.07000000000001E-2</v>
      </c>
      <c r="D117" s="1931" t="e">
        <f>($C$9*24)/((($B$8-BBR+'Product Data'!$K$3-'KB Model Suggestions Tr 2yr'!$C117)/12)*(24-'KB Model Suggestions Tr 2yr'!B117)*'Product Data'!$P$18)</f>
        <v>#N/A</v>
      </c>
      <c r="F117" s="1927">
        <f t="shared" si="9"/>
        <v>0</v>
      </c>
      <c r="G117" s="1928">
        <v>1.07000000000001E-2</v>
      </c>
      <c r="H117" s="1931" t="e">
        <f>($G$9*24)/((($F$8-BBR+'Product Data'!$K$3-'KB Model Suggestions Tr 2yr'!$G117)/12)*(24-'KB Model Suggestions Tr 2yr'!F117)*'Product Data'!$P$18)</f>
        <v>#N/A</v>
      </c>
      <c r="J117" s="1927">
        <f t="shared" si="10"/>
        <v>0</v>
      </c>
      <c r="K117" s="1928">
        <v>1.07000000000001E-2</v>
      </c>
      <c r="L117" s="1931" t="e">
        <f>($K$9*24)/((($J$8-BBR+'Product Data'!$K$2-'KB Model Suggestions Tr 2yr'!$K117)/12)*(24-'KB Model Suggestions Tr 2yr'!J117)*'Product Data'!$P$18)</f>
        <v>#N/A</v>
      </c>
      <c r="N117" s="1927">
        <f t="shared" si="11"/>
        <v>0</v>
      </c>
      <c r="O117" s="2392">
        <v>1.07000000000001E-2</v>
      </c>
      <c r="P117" s="1929" t="e">
        <f>($O$9*60)/((($N$8-$O117)/12)*(60-N117)*'Product Data'!$P$23)</f>
        <v>#N/A</v>
      </c>
    </row>
    <row r="118" spans="2:16" x14ac:dyDescent="0.25">
      <c r="B118" s="1927">
        <f t="shared" si="8"/>
        <v>0</v>
      </c>
      <c r="C118" s="1928">
        <v>1.0600000000000101E-2</v>
      </c>
      <c r="D118" s="1931" t="e">
        <f>($C$9*24)/((($B$8-BBR+'Product Data'!$K$3-'KB Model Suggestions Tr 2yr'!$C118)/12)*(24-'KB Model Suggestions Tr 2yr'!B118)*'Product Data'!$P$18)</f>
        <v>#N/A</v>
      </c>
      <c r="F118" s="1927">
        <f t="shared" si="9"/>
        <v>0</v>
      </c>
      <c r="G118" s="1928">
        <v>1.0600000000000101E-2</v>
      </c>
      <c r="H118" s="1931" t="e">
        <f>($G$9*24)/((($F$8-BBR+'Product Data'!$K$3-'KB Model Suggestions Tr 2yr'!$G118)/12)*(24-'KB Model Suggestions Tr 2yr'!F118)*'Product Data'!$P$18)</f>
        <v>#N/A</v>
      </c>
      <c r="J118" s="1927">
        <f t="shared" si="10"/>
        <v>0</v>
      </c>
      <c r="K118" s="1928">
        <v>1.0600000000000101E-2</v>
      </c>
      <c r="L118" s="1931" t="e">
        <f>($K$9*24)/((($J$8-BBR+'Product Data'!$K$2-'KB Model Suggestions Tr 2yr'!$K118)/12)*(24-'KB Model Suggestions Tr 2yr'!J118)*'Product Data'!$P$18)</f>
        <v>#N/A</v>
      </c>
      <c r="N118" s="1927">
        <f t="shared" si="11"/>
        <v>0</v>
      </c>
      <c r="O118" s="2392">
        <v>1.0600000000000101E-2</v>
      </c>
      <c r="P118" s="1929" t="e">
        <f>($O$9*60)/((($N$8-$O118)/12)*(60-N118)*'Product Data'!$P$23)</f>
        <v>#N/A</v>
      </c>
    </row>
    <row r="119" spans="2:16" x14ac:dyDescent="0.25">
      <c r="B119" s="1927">
        <f t="shared" si="8"/>
        <v>0</v>
      </c>
      <c r="C119" s="1928">
        <v>1.05000000000001E-2</v>
      </c>
      <c r="D119" s="1931" t="e">
        <f>($C$9*24)/((($B$8-BBR+'Product Data'!$K$3-'KB Model Suggestions Tr 2yr'!$C119)/12)*(24-'KB Model Suggestions Tr 2yr'!B119)*'Product Data'!$P$18)</f>
        <v>#N/A</v>
      </c>
      <c r="F119" s="1927">
        <f t="shared" si="9"/>
        <v>0</v>
      </c>
      <c r="G119" s="1928">
        <v>1.05000000000001E-2</v>
      </c>
      <c r="H119" s="1931" t="e">
        <f>($G$9*24)/((($F$8-BBR+'Product Data'!$K$3-'KB Model Suggestions Tr 2yr'!$G119)/12)*(24-'KB Model Suggestions Tr 2yr'!F119)*'Product Data'!$P$18)</f>
        <v>#N/A</v>
      </c>
      <c r="J119" s="1927">
        <f t="shared" si="10"/>
        <v>0</v>
      </c>
      <c r="K119" s="1928">
        <v>1.05000000000001E-2</v>
      </c>
      <c r="L119" s="1931" t="e">
        <f>($K$9*24)/((($J$8-BBR+'Product Data'!$K$2-'KB Model Suggestions Tr 2yr'!$K119)/12)*(24-'KB Model Suggestions Tr 2yr'!J119)*'Product Data'!$P$18)</f>
        <v>#N/A</v>
      </c>
      <c r="N119" s="1927">
        <f t="shared" si="11"/>
        <v>0</v>
      </c>
      <c r="O119" s="2392">
        <v>1.05000000000001E-2</v>
      </c>
      <c r="P119" s="1929" t="e">
        <f>($O$9*60)/((($N$8-$O119)/12)*(60-N119)*'Product Data'!$P$23)</f>
        <v>#N/A</v>
      </c>
    </row>
    <row r="120" spans="2:16" x14ac:dyDescent="0.25">
      <c r="B120" s="1927">
        <f t="shared" si="8"/>
        <v>0</v>
      </c>
      <c r="C120" s="1928">
        <v>1.04000000000001E-2</v>
      </c>
      <c r="D120" s="1931" t="e">
        <f>($C$9*24)/((($B$8-BBR+'Product Data'!$K$3-'KB Model Suggestions Tr 2yr'!$C120)/12)*(24-'KB Model Suggestions Tr 2yr'!B120)*'Product Data'!$P$18)</f>
        <v>#N/A</v>
      </c>
      <c r="F120" s="1927">
        <f t="shared" si="9"/>
        <v>0</v>
      </c>
      <c r="G120" s="1928">
        <v>1.04000000000001E-2</v>
      </c>
      <c r="H120" s="1931" t="e">
        <f>($G$9*24)/((($F$8-BBR+'Product Data'!$K$3-'KB Model Suggestions Tr 2yr'!$G120)/12)*(24-'KB Model Suggestions Tr 2yr'!F120)*'Product Data'!$P$18)</f>
        <v>#N/A</v>
      </c>
      <c r="J120" s="1927">
        <f t="shared" si="10"/>
        <v>0</v>
      </c>
      <c r="K120" s="1928">
        <v>1.04000000000001E-2</v>
      </c>
      <c r="L120" s="1931" t="e">
        <f>($K$9*24)/((($J$8-BBR+'Product Data'!$K$2-'KB Model Suggestions Tr 2yr'!$K120)/12)*(24-'KB Model Suggestions Tr 2yr'!J120)*'Product Data'!$P$18)</f>
        <v>#N/A</v>
      </c>
      <c r="N120" s="1927">
        <f t="shared" si="11"/>
        <v>0</v>
      </c>
      <c r="O120" s="2392">
        <v>1.04000000000001E-2</v>
      </c>
      <c r="P120" s="1929" t="e">
        <f>($O$9*60)/((($N$8-$O120)/12)*(60-N120)*'Product Data'!$P$23)</f>
        <v>#N/A</v>
      </c>
    </row>
    <row r="121" spans="2:16" x14ac:dyDescent="0.25">
      <c r="B121" s="1927">
        <f t="shared" si="8"/>
        <v>0</v>
      </c>
      <c r="C121" s="1928">
        <v>1.0300000000000101E-2</v>
      </c>
      <c r="D121" s="1931" t="e">
        <f>($C$9*24)/((($B$8-BBR+'Product Data'!$K$3-'KB Model Suggestions Tr 2yr'!$C121)/12)*(24-'KB Model Suggestions Tr 2yr'!B121)*'Product Data'!$P$18)</f>
        <v>#N/A</v>
      </c>
      <c r="F121" s="1927">
        <f t="shared" si="9"/>
        <v>0</v>
      </c>
      <c r="G121" s="1928">
        <v>1.0300000000000101E-2</v>
      </c>
      <c r="H121" s="1931" t="e">
        <f>($G$9*24)/((($F$8-BBR+'Product Data'!$K$3-'KB Model Suggestions Tr 2yr'!$G121)/12)*(24-'KB Model Suggestions Tr 2yr'!F121)*'Product Data'!$P$18)</f>
        <v>#N/A</v>
      </c>
      <c r="J121" s="1927">
        <f t="shared" si="10"/>
        <v>0</v>
      </c>
      <c r="K121" s="1928">
        <v>1.0300000000000101E-2</v>
      </c>
      <c r="L121" s="1931" t="e">
        <f>($K$9*24)/((($J$8-BBR+'Product Data'!$K$2-'KB Model Suggestions Tr 2yr'!$K121)/12)*(24-'KB Model Suggestions Tr 2yr'!J121)*'Product Data'!$P$18)</f>
        <v>#N/A</v>
      </c>
      <c r="N121" s="1927">
        <f t="shared" si="11"/>
        <v>0</v>
      </c>
      <c r="O121" s="2392">
        <v>1.0300000000000101E-2</v>
      </c>
      <c r="P121" s="1929" t="e">
        <f>($O$9*60)/((($N$8-$O121)/12)*(60-N121)*'Product Data'!$P$23)</f>
        <v>#N/A</v>
      </c>
    </row>
    <row r="122" spans="2:16" x14ac:dyDescent="0.25">
      <c r="B122" s="1927">
        <f t="shared" si="8"/>
        <v>0</v>
      </c>
      <c r="C122" s="1928">
        <v>1.02000000000001E-2</v>
      </c>
      <c r="D122" s="1931" t="e">
        <f>($C$9*24)/((($B$8-BBR+'Product Data'!$K$3-'KB Model Suggestions Tr 2yr'!$C122)/12)*(24-'KB Model Suggestions Tr 2yr'!B122)*'Product Data'!$P$18)</f>
        <v>#N/A</v>
      </c>
      <c r="F122" s="1927">
        <f t="shared" si="9"/>
        <v>0</v>
      </c>
      <c r="G122" s="1928">
        <v>1.02000000000001E-2</v>
      </c>
      <c r="H122" s="1931" t="e">
        <f>($G$9*24)/((($F$8-BBR+'Product Data'!$K$3-'KB Model Suggestions Tr 2yr'!$G122)/12)*(24-'KB Model Suggestions Tr 2yr'!F122)*'Product Data'!$P$18)</f>
        <v>#N/A</v>
      </c>
      <c r="J122" s="1927">
        <f t="shared" si="10"/>
        <v>0</v>
      </c>
      <c r="K122" s="1928">
        <v>1.02000000000001E-2</v>
      </c>
      <c r="L122" s="1931" t="e">
        <f>($K$9*24)/((($J$8-BBR+'Product Data'!$K$2-'KB Model Suggestions Tr 2yr'!$K122)/12)*(24-'KB Model Suggestions Tr 2yr'!J122)*'Product Data'!$P$18)</f>
        <v>#N/A</v>
      </c>
      <c r="N122" s="1927">
        <f t="shared" si="11"/>
        <v>0</v>
      </c>
      <c r="O122" s="2392">
        <v>1.02000000000001E-2</v>
      </c>
      <c r="P122" s="1929" t="e">
        <f>($O$9*60)/((($N$8-$O122)/12)*(60-N122)*'Product Data'!$P$23)</f>
        <v>#N/A</v>
      </c>
    </row>
    <row r="123" spans="2:16" x14ac:dyDescent="0.25">
      <c r="B123" s="1927">
        <f t="shared" si="8"/>
        <v>0</v>
      </c>
      <c r="C123" s="1928">
        <v>1.01000000000001E-2</v>
      </c>
      <c r="D123" s="1931" t="e">
        <f>($C$9*24)/((($B$8-BBR+'Product Data'!$K$3-'KB Model Suggestions Tr 2yr'!$C123)/12)*(24-'KB Model Suggestions Tr 2yr'!B123)*'Product Data'!$P$18)</f>
        <v>#N/A</v>
      </c>
      <c r="F123" s="1927">
        <f t="shared" si="9"/>
        <v>0</v>
      </c>
      <c r="G123" s="1928">
        <v>1.01000000000001E-2</v>
      </c>
      <c r="H123" s="1931" t="e">
        <f>($G$9*24)/((($F$8-BBR+'Product Data'!$K$3-'KB Model Suggestions Tr 2yr'!$G123)/12)*(24-'KB Model Suggestions Tr 2yr'!F123)*'Product Data'!$P$18)</f>
        <v>#N/A</v>
      </c>
      <c r="J123" s="1927">
        <f t="shared" si="10"/>
        <v>0</v>
      </c>
      <c r="K123" s="1928">
        <v>1.01000000000001E-2</v>
      </c>
      <c r="L123" s="1931" t="e">
        <f>($K$9*24)/((($J$8-BBR+'Product Data'!$K$2-'KB Model Suggestions Tr 2yr'!$K123)/12)*(24-'KB Model Suggestions Tr 2yr'!J123)*'Product Data'!$P$18)</f>
        <v>#N/A</v>
      </c>
      <c r="N123" s="1927">
        <f t="shared" si="11"/>
        <v>0</v>
      </c>
      <c r="O123" s="2392">
        <v>1.01000000000001E-2</v>
      </c>
      <c r="P123" s="1929" t="e">
        <f>($O$9*60)/((($N$8-$O123)/12)*(60-N123)*'Product Data'!$P$23)</f>
        <v>#N/A</v>
      </c>
    </row>
    <row r="124" spans="2:16" x14ac:dyDescent="0.25">
      <c r="B124" s="1927">
        <f t="shared" si="8"/>
        <v>0</v>
      </c>
      <c r="C124" s="1928">
        <v>1.0000000000000101E-2</v>
      </c>
      <c r="D124" s="1931" t="e">
        <f>($C$9*24)/((($B$8-BBR+'Product Data'!$K$3-'KB Model Suggestions Tr 2yr'!$C124)/12)*(24-'KB Model Suggestions Tr 2yr'!B124)*'Product Data'!$P$18)</f>
        <v>#N/A</v>
      </c>
      <c r="F124" s="1927">
        <f t="shared" si="9"/>
        <v>0</v>
      </c>
      <c r="G124" s="1928">
        <v>1.0000000000000101E-2</v>
      </c>
      <c r="H124" s="1931" t="e">
        <f>($G$9*24)/((($F$8-BBR+'Product Data'!$K$3-'KB Model Suggestions Tr 2yr'!$G124)/12)*(24-'KB Model Suggestions Tr 2yr'!F124)*'Product Data'!$P$18)</f>
        <v>#N/A</v>
      </c>
      <c r="J124" s="1927">
        <f t="shared" si="10"/>
        <v>0</v>
      </c>
      <c r="K124" s="1928">
        <v>1.0000000000000101E-2</v>
      </c>
      <c r="L124" s="1931" t="e">
        <f>($K$9*24)/((($J$8-BBR+'Product Data'!$K$2-'KB Model Suggestions Tr 2yr'!$K124)/12)*(24-'KB Model Suggestions Tr 2yr'!J124)*'Product Data'!$P$18)</f>
        <v>#N/A</v>
      </c>
      <c r="N124" s="1927">
        <f t="shared" si="11"/>
        <v>0</v>
      </c>
      <c r="O124" s="2392">
        <v>1.0000000000000101E-2</v>
      </c>
      <c r="P124" s="1929" t="e">
        <f>($O$9*60)/((($N$8-$O124)/12)*(60-N124)*'Product Data'!$P$23)</f>
        <v>#N/A</v>
      </c>
    </row>
    <row r="125" spans="2:16" x14ac:dyDescent="0.25">
      <c r="B125" s="1927">
        <f t="shared" si="8"/>
        <v>0</v>
      </c>
      <c r="C125" s="1928">
        <v>9.9000000000000997E-3</v>
      </c>
      <c r="D125" s="1931" t="e">
        <f>($C$9*24)/((($B$8-BBR+'Product Data'!$K$3-'KB Model Suggestions Tr 2yr'!$C125)/12)*(24-'KB Model Suggestions Tr 2yr'!B125)*'Product Data'!$P$18)</f>
        <v>#N/A</v>
      </c>
      <c r="F125" s="1927">
        <f t="shared" si="9"/>
        <v>0</v>
      </c>
      <c r="G125" s="1928">
        <v>9.9000000000000997E-3</v>
      </c>
      <c r="H125" s="1931" t="e">
        <f>($G$9*24)/((($F$8-BBR+'Product Data'!$K$3-'KB Model Suggestions Tr 2yr'!$G125)/12)*(24-'KB Model Suggestions Tr 2yr'!F125)*'Product Data'!$P$18)</f>
        <v>#N/A</v>
      </c>
      <c r="J125" s="1927">
        <f t="shared" si="10"/>
        <v>0</v>
      </c>
      <c r="K125" s="1928">
        <v>9.9000000000000997E-3</v>
      </c>
      <c r="L125" s="1931" t="e">
        <f>($K$9*24)/((($J$8-BBR+'Product Data'!$K$2-'KB Model Suggestions Tr 2yr'!$K125)/12)*(24-'KB Model Suggestions Tr 2yr'!J125)*'Product Data'!$P$18)</f>
        <v>#N/A</v>
      </c>
      <c r="N125" s="1927">
        <f t="shared" si="11"/>
        <v>0</v>
      </c>
      <c r="O125" s="2392">
        <v>9.9000000000000997E-3</v>
      </c>
      <c r="P125" s="1929" t="e">
        <f>($O$9*60)/((($N$8-$O125)/12)*(60-N125)*'Product Data'!$P$23)</f>
        <v>#N/A</v>
      </c>
    </row>
    <row r="126" spans="2:16" x14ac:dyDescent="0.25">
      <c r="B126" s="1927">
        <f t="shared" si="8"/>
        <v>0</v>
      </c>
      <c r="C126" s="1928">
        <v>9.8000000000001003E-3</v>
      </c>
      <c r="D126" s="1931" t="e">
        <f>($C$9*24)/((($B$8-BBR+'Product Data'!$K$3-'KB Model Suggestions Tr 2yr'!$C126)/12)*(24-'KB Model Suggestions Tr 2yr'!B126)*'Product Data'!$P$18)</f>
        <v>#N/A</v>
      </c>
      <c r="F126" s="1927">
        <f t="shared" si="9"/>
        <v>0</v>
      </c>
      <c r="G126" s="1928">
        <v>9.8000000000001003E-3</v>
      </c>
      <c r="H126" s="1931" t="e">
        <f>($G$9*24)/((($F$8-BBR+'Product Data'!$K$3-'KB Model Suggestions Tr 2yr'!$G126)/12)*(24-'KB Model Suggestions Tr 2yr'!F126)*'Product Data'!$P$18)</f>
        <v>#N/A</v>
      </c>
      <c r="J126" s="1927">
        <f t="shared" si="10"/>
        <v>0</v>
      </c>
      <c r="K126" s="1928">
        <v>9.8000000000001003E-3</v>
      </c>
      <c r="L126" s="1931" t="e">
        <f>($K$9*24)/((($J$8-BBR+'Product Data'!$K$2-'KB Model Suggestions Tr 2yr'!$K126)/12)*(24-'KB Model Suggestions Tr 2yr'!J126)*'Product Data'!$P$18)</f>
        <v>#N/A</v>
      </c>
      <c r="N126" s="1927">
        <f t="shared" si="11"/>
        <v>0</v>
      </c>
      <c r="O126" s="2392">
        <v>9.8000000000001003E-3</v>
      </c>
      <c r="P126" s="1929" t="e">
        <f>($O$9*60)/((($N$8-$O126)/12)*(60-N126)*'Product Data'!$P$23)</f>
        <v>#N/A</v>
      </c>
    </row>
    <row r="127" spans="2:16" x14ac:dyDescent="0.25">
      <c r="B127" s="1927">
        <f t="shared" si="8"/>
        <v>0</v>
      </c>
      <c r="C127" s="1928">
        <v>9.7000000000000992E-3</v>
      </c>
      <c r="D127" s="1931" t="e">
        <f>($C$9*24)/((($B$8-BBR+'Product Data'!$K$3-'KB Model Suggestions Tr 2yr'!$C127)/12)*(24-'KB Model Suggestions Tr 2yr'!B127)*'Product Data'!$P$18)</f>
        <v>#N/A</v>
      </c>
      <c r="F127" s="1927">
        <f t="shared" si="9"/>
        <v>0</v>
      </c>
      <c r="G127" s="1928">
        <v>9.7000000000000992E-3</v>
      </c>
      <c r="H127" s="1931" t="e">
        <f>($G$9*24)/((($F$8-BBR+'Product Data'!$K$3-'KB Model Suggestions Tr 2yr'!$G127)/12)*(24-'KB Model Suggestions Tr 2yr'!F127)*'Product Data'!$P$18)</f>
        <v>#N/A</v>
      </c>
      <c r="J127" s="1927">
        <f t="shared" si="10"/>
        <v>0</v>
      </c>
      <c r="K127" s="1928">
        <v>9.7000000000000992E-3</v>
      </c>
      <c r="L127" s="1931" t="e">
        <f>($K$9*24)/((($J$8-BBR+'Product Data'!$K$2-'KB Model Suggestions Tr 2yr'!$K127)/12)*(24-'KB Model Suggestions Tr 2yr'!J127)*'Product Data'!$P$18)</f>
        <v>#N/A</v>
      </c>
      <c r="N127" s="1927">
        <f t="shared" si="11"/>
        <v>0</v>
      </c>
      <c r="O127" s="2392">
        <v>9.7000000000000992E-3</v>
      </c>
      <c r="P127" s="1929" t="e">
        <f>($O$9*60)/((($N$8-$O127)/12)*(60-N127)*'Product Data'!$P$23)</f>
        <v>#N/A</v>
      </c>
    </row>
    <row r="128" spans="2:16" x14ac:dyDescent="0.25">
      <c r="B128" s="1927">
        <f t="shared" si="8"/>
        <v>0</v>
      </c>
      <c r="C128" s="1928">
        <v>9.6000000000000998E-3</v>
      </c>
      <c r="D128" s="1931" t="e">
        <f>($C$9*24)/((($B$8-BBR+'Product Data'!$K$3-'KB Model Suggestions Tr 2yr'!$C128)/12)*(24-'KB Model Suggestions Tr 2yr'!B128)*'Product Data'!$P$18)</f>
        <v>#N/A</v>
      </c>
      <c r="F128" s="1927">
        <f t="shared" si="9"/>
        <v>0</v>
      </c>
      <c r="G128" s="1928">
        <v>9.6000000000000998E-3</v>
      </c>
      <c r="H128" s="1931" t="e">
        <f>($G$9*24)/((($F$8-BBR+'Product Data'!$K$3-'KB Model Suggestions Tr 2yr'!$G128)/12)*(24-'KB Model Suggestions Tr 2yr'!F128)*'Product Data'!$P$18)</f>
        <v>#N/A</v>
      </c>
      <c r="J128" s="1927">
        <f t="shared" si="10"/>
        <v>0</v>
      </c>
      <c r="K128" s="1928">
        <v>9.6000000000000998E-3</v>
      </c>
      <c r="L128" s="1931" t="e">
        <f>($K$9*24)/((($J$8-BBR+'Product Data'!$K$2-'KB Model Suggestions Tr 2yr'!$K128)/12)*(24-'KB Model Suggestions Tr 2yr'!J128)*'Product Data'!$P$18)</f>
        <v>#N/A</v>
      </c>
      <c r="N128" s="1927">
        <f t="shared" si="11"/>
        <v>0</v>
      </c>
      <c r="O128" s="2392">
        <v>9.6000000000000998E-3</v>
      </c>
      <c r="P128" s="1929" t="e">
        <f>($O$9*60)/((($N$8-$O128)/12)*(60-N128)*'Product Data'!$P$23)</f>
        <v>#N/A</v>
      </c>
    </row>
    <row r="129" spans="2:16" x14ac:dyDescent="0.25">
      <c r="B129" s="1927">
        <f t="shared" si="8"/>
        <v>0</v>
      </c>
      <c r="C129" s="1928">
        <v>9.5000000000001004E-3</v>
      </c>
      <c r="D129" s="1931" t="e">
        <f>($C$9*24)/((($B$8-BBR+'Product Data'!$K$3-'KB Model Suggestions Tr 2yr'!$C129)/12)*(24-'KB Model Suggestions Tr 2yr'!B129)*'Product Data'!$P$18)</f>
        <v>#N/A</v>
      </c>
      <c r="F129" s="1927">
        <f t="shared" si="9"/>
        <v>0</v>
      </c>
      <c r="G129" s="1928">
        <v>9.5000000000001004E-3</v>
      </c>
      <c r="H129" s="1931" t="e">
        <f>($G$9*24)/((($F$8-BBR+'Product Data'!$K$3-'KB Model Suggestions Tr 2yr'!$G129)/12)*(24-'KB Model Suggestions Tr 2yr'!F129)*'Product Data'!$P$18)</f>
        <v>#N/A</v>
      </c>
      <c r="J129" s="1927">
        <f t="shared" si="10"/>
        <v>0</v>
      </c>
      <c r="K129" s="1928">
        <v>9.5000000000001004E-3</v>
      </c>
      <c r="L129" s="1931" t="e">
        <f>($K$9*24)/((($J$8-BBR+'Product Data'!$K$2-'KB Model Suggestions Tr 2yr'!$K129)/12)*(24-'KB Model Suggestions Tr 2yr'!J129)*'Product Data'!$P$18)</f>
        <v>#N/A</v>
      </c>
      <c r="N129" s="1927">
        <f t="shared" si="11"/>
        <v>0</v>
      </c>
      <c r="O129" s="2392">
        <v>9.5000000000001004E-3</v>
      </c>
      <c r="P129" s="1929" t="e">
        <f>($O$9*60)/((($N$8-$O129)/12)*(60-N129)*'Product Data'!$P$23)</f>
        <v>#N/A</v>
      </c>
    </row>
    <row r="130" spans="2:16" x14ac:dyDescent="0.25">
      <c r="B130" s="1927">
        <f t="shared" si="8"/>
        <v>0</v>
      </c>
      <c r="C130" s="1928">
        <v>9.4000000000000992E-3</v>
      </c>
      <c r="D130" s="1931" t="e">
        <f>($C$9*24)/((($B$8-BBR+'Product Data'!$K$3-'KB Model Suggestions Tr 2yr'!$C130)/12)*(24-'KB Model Suggestions Tr 2yr'!B130)*'Product Data'!$P$18)</f>
        <v>#N/A</v>
      </c>
      <c r="F130" s="1927">
        <f t="shared" si="9"/>
        <v>0</v>
      </c>
      <c r="G130" s="1928">
        <v>9.4000000000000992E-3</v>
      </c>
      <c r="H130" s="1931" t="e">
        <f>($G$9*24)/((($F$8-BBR+'Product Data'!$K$3-'KB Model Suggestions Tr 2yr'!$G130)/12)*(24-'KB Model Suggestions Tr 2yr'!F130)*'Product Data'!$P$18)</f>
        <v>#N/A</v>
      </c>
      <c r="J130" s="1927">
        <f t="shared" si="10"/>
        <v>0</v>
      </c>
      <c r="K130" s="1928">
        <v>9.4000000000000992E-3</v>
      </c>
      <c r="L130" s="1931" t="e">
        <f>($K$9*24)/((($J$8-BBR+'Product Data'!$K$2-'KB Model Suggestions Tr 2yr'!$K130)/12)*(24-'KB Model Suggestions Tr 2yr'!J130)*'Product Data'!$P$18)</f>
        <v>#N/A</v>
      </c>
      <c r="N130" s="1927">
        <f t="shared" si="11"/>
        <v>0</v>
      </c>
      <c r="O130" s="2392">
        <v>9.4000000000000992E-3</v>
      </c>
      <c r="P130" s="1929" t="e">
        <f>($O$9*60)/((($N$8-$O130)/12)*(60-N130)*'Product Data'!$P$23)</f>
        <v>#N/A</v>
      </c>
    </row>
    <row r="131" spans="2:16" x14ac:dyDescent="0.25">
      <c r="B131" s="1927">
        <f t="shared" si="8"/>
        <v>0</v>
      </c>
      <c r="C131" s="1928">
        <v>9.3000000000000999E-3</v>
      </c>
      <c r="D131" s="1931" t="e">
        <f>($C$9*24)/((($B$8-BBR+'Product Data'!$K$3-'KB Model Suggestions Tr 2yr'!$C131)/12)*(24-'KB Model Suggestions Tr 2yr'!B131)*'Product Data'!$P$18)</f>
        <v>#N/A</v>
      </c>
      <c r="F131" s="1927">
        <f t="shared" si="9"/>
        <v>0</v>
      </c>
      <c r="G131" s="1928">
        <v>9.3000000000000999E-3</v>
      </c>
      <c r="H131" s="1931" t="e">
        <f>($G$9*24)/((($F$8-BBR+'Product Data'!$K$3-'KB Model Suggestions Tr 2yr'!$G131)/12)*(24-'KB Model Suggestions Tr 2yr'!F131)*'Product Data'!$P$18)</f>
        <v>#N/A</v>
      </c>
      <c r="J131" s="1927">
        <f t="shared" si="10"/>
        <v>0</v>
      </c>
      <c r="K131" s="1928">
        <v>9.3000000000000999E-3</v>
      </c>
      <c r="L131" s="1931" t="e">
        <f>($K$9*24)/((($J$8-BBR+'Product Data'!$K$2-'KB Model Suggestions Tr 2yr'!$K131)/12)*(24-'KB Model Suggestions Tr 2yr'!J131)*'Product Data'!$P$18)</f>
        <v>#N/A</v>
      </c>
      <c r="N131" s="1927">
        <f t="shared" si="11"/>
        <v>0</v>
      </c>
      <c r="O131" s="2392">
        <v>9.3000000000000999E-3</v>
      </c>
      <c r="P131" s="1929" t="e">
        <f>($O$9*60)/((($N$8-$O131)/12)*(60-N131)*'Product Data'!$P$23)</f>
        <v>#N/A</v>
      </c>
    </row>
    <row r="132" spans="2:16" x14ac:dyDescent="0.25">
      <c r="B132" s="1927">
        <f t="shared" si="8"/>
        <v>0</v>
      </c>
      <c r="C132" s="1928">
        <v>9.2000000000001005E-3</v>
      </c>
      <c r="D132" s="1931" t="e">
        <f>($C$9*24)/((($B$8-BBR+'Product Data'!$K$3-'KB Model Suggestions Tr 2yr'!$C132)/12)*(24-'KB Model Suggestions Tr 2yr'!B132)*'Product Data'!$P$18)</f>
        <v>#N/A</v>
      </c>
      <c r="F132" s="1927">
        <f t="shared" si="9"/>
        <v>0</v>
      </c>
      <c r="G132" s="1928">
        <v>9.2000000000001005E-3</v>
      </c>
      <c r="H132" s="1931" t="e">
        <f>($G$9*24)/((($F$8-BBR+'Product Data'!$K$3-'KB Model Suggestions Tr 2yr'!$G132)/12)*(24-'KB Model Suggestions Tr 2yr'!F132)*'Product Data'!$P$18)</f>
        <v>#N/A</v>
      </c>
      <c r="J132" s="1927">
        <f t="shared" si="10"/>
        <v>0</v>
      </c>
      <c r="K132" s="1928">
        <v>9.2000000000001005E-3</v>
      </c>
      <c r="L132" s="1931" t="e">
        <f>($K$9*24)/((($J$8-BBR+'Product Data'!$K$2-'KB Model Suggestions Tr 2yr'!$K132)/12)*(24-'KB Model Suggestions Tr 2yr'!J132)*'Product Data'!$P$18)</f>
        <v>#N/A</v>
      </c>
      <c r="N132" s="1927">
        <f t="shared" si="11"/>
        <v>0</v>
      </c>
      <c r="O132" s="2392">
        <v>9.2000000000001005E-3</v>
      </c>
      <c r="P132" s="1929" t="e">
        <f>($O$9*60)/((($N$8-$O132)/12)*(60-N132)*'Product Data'!$P$23)</f>
        <v>#N/A</v>
      </c>
    </row>
    <row r="133" spans="2:16" x14ac:dyDescent="0.25">
      <c r="B133" s="1927">
        <f t="shared" si="8"/>
        <v>0</v>
      </c>
      <c r="C133" s="1928">
        <v>9.1000000000000993E-3</v>
      </c>
      <c r="D133" s="1931" t="e">
        <f>($C$9*24)/((($B$8-BBR+'Product Data'!$K$3-'KB Model Suggestions Tr 2yr'!$C133)/12)*(24-'KB Model Suggestions Tr 2yr'!B133)*'Product Data'!$P$18)</f>
        <v>#N/A</v>
      </c>
      <c r="F133" s="1927">
        <f t="shared" si="9"/>
        <v>0</v>
      </c>
      <c r="G133" s="1928">
        <v>9.1000000000000993E-3</v>
      </c>
      <c r="H133" s="1931" t="e">
        <f>($G$9*24)/((($F$8-BBR+'Product Data'!$K$3-'KB Model Suggestions Tr 2yr'!$G133)/12)*(24-'KB Model Suggestions Tr 2yr'!F133)*'Product Data'!$P$18)</f>
        <v>#N/A</v>
      </c>
      <c r="J133" s="1927">
        <f t="shared" si="10"/>
        <v>0</v>
      </c>
      <c r="K133" s="1928">
        <v>9.1000000000000993E-3</v>
      </c>
      <c r="L133" s="1931" t="e">
        <f>($K$9*24)/((($J$8-BBR+'Product Data'!$K$2-'KB Model Suggestions Tr 2yr'!$K133)/12)*(24-'KB Model Suggestions Tr 2yr'!J133)*'Product Data'!$P$18)</f>
        <v>#N/A</v>
      </c>
      <c r="N133" s="1927">
        <f t="shared" si="11"/>
        <v>0</v>
      </c>
      <c r="O133" s="2392">
        <v>9.1000000000000993E-3</v>
      </c>
      <c r="P133" s="1929" t="e">
        <f>($O$9*60)/((($N$8-$O133)/12)*(60-N133)*'Product Data'!$P$23)</f>
        <v>#N/A</v>
      </c>
    </row>
    <row r="134" spans="2:16" x14ac:dyDescent="0.25">
      <c r="B134" s="1927">
        <f t="shared" si="8"/>
        <v>0</v>
      </c>
      <c r="C134" s="1928">
        <v>9.0000000000000999E-3</v>
      </c>
      <c r="D134" s="1931" t="e">
        <f>($C$9*24)/((($B$8-BBR+'Product Data'!$K$3-'KB Model Suggestions Tr 2yr'!$C134)/12)*(24-'KB Model Suggestions Tr 2yr'!B134)*'Product Data'!$P$18)</f>
        <v>#N/A</v>
      </c>
      <c r="F134" s="1927">
        <f t="shared" si="9"/>
        <v>0</v>
      </c>
      <c r="G134" s="1928">
        <v>9.0000000000000999E-3</v>
      </c>
      <c r="H134" s="1931" t="e">
        <f>($G$9*24)/((($F$8-BBR+'Product Data'!$K$3-'KB Model Suggestions Tr 2yr'!$G134)/12)*(24-'KB Model Suggestions Tr 2yr'!F134)*'Product Data'!$P$18)</f>
        <v>#N/A</v>
      </c>
      <c r="J134" s="1927">
        <f t="shared" si="10"/>
        <v>0</v>
      </c>
      <c r="K134" s="1928">
        <v>9.0000000000000999E-3</v>
      </c>
      <c r="L134" s="1931" t="e">
        <f>($K$9*24)/((($J$8-BBR+'Product Data'!$K$2-'KB Model Suggestions Tr 2yr'!$K134)/12)*(24-'KB Model Suggestions Tr 2yr'!J134)*'Product Data'!$P$18)</f>
        <v>#N/A</v>
      </c>
      <c r="N134" s="1927">
        <f t="shared" si="11"/>
        <v>0</v>
      </c>
      <c r="O134" s="2392">
        <v>9.0000000000000999E-3</v>
      </c>
      <c r="P134" s="1929" t="e">
        <f>($O$9*60)/((($N$8-$O134)/12)*(60-N134)*'Product Data'!$P$23)</f>
        <v>#N/A</v>
      </c>
    </row>
    <row r="135" spans="2:16" x14ac:dyDescent="0.25">
      <c r="B135" s="1927">
        <f t="shared" si="8"/>
        <v>0</v>
      </c>
      <c r="C135" s="1928">
        <v>8.9000000000001005E-3</v>
      </c>
      <c r="D135" s="1931" t="e">
        <f>($C$9*24)/((($B$8-BBR+'Product Data'!$K$3-'KB Model Suggestions Tr 2yr'!$C135)/12)*(24-'KB Model Suggestions Tr 2yr'!B135)*'Product Data'!$P$18)</f>
        <v>#N/A</v>
      </c>
      <c r="F135" s="1927">
        <f t="shared" si="9"/>
        <v>0</v>
      </c>
      <c r="G135" s="1928">
        <v>8.9000000000001005E-3</v>
      </c>
      <c r="H135" s="1931" t="e">
        <f>($G$9*24)/((($F$8-BBR+'Product Data'!$K$3-'KB Model Suggestions Tr 2yr'!$G135)/12)*(24-'KB Model Suggestions Tr 2yr'!F135)*'Product Data'!$P$18)</f>
        <v>#N/A</v>
      </c>
      <c r="J135" s="1927">
        <f t="shared" si="10"/>
        <v>0</v>
      </c>
      <c r="K135" s="1928">
        <v>8.9000000000001005E-3</v>
      </c>
      <c r="L135" s="1931" t="e">
        <f>($K$9*24)/((($J$8-BBR+'Product Data'!$K$2-'KB Model Suggestions Tr 2yr'!$K135)/12)*(24-'KB Model Suggestions Tr 2yr'!J135)*'Product Data'!$P$18)</f>
        <v>#N/A</v>
      </c>
      <c r="N135" s="1927">
        <f t="shared" si="11"/>
        <v>0</v>
      </c>
      <c r="O135" s="2392">
        <v>8.9000000000001005E-3</v>
      </c>
      <c r="P135" s="1929" t="e">
        <f>($O$9*60)/((($N$8-$O135)/12)*(60-N135)*'Product Data'!$P$23)</f>
        <v>#N/A</v>
      </c>
    </row>
    <row r="136" spans="2:16" x14ac:dyDescent="0.25">
      <c r="B136" s="1927">
        <f t="shared" si="8"/>
        <v>0</v>
      </c>
      <c r="C136" s="1928">
        <v>8.8000000000000994E-3</v>
      </c>
      <c r="D136" s="1931" t="e">
        <f>($C$9*24)/((($B$8-BBR+'Product Data'!$K$3-'KB Model Suggestions Tr 2yr'!$C136)/12)*(24-'KB Model Suggestions Tr 2yr'!B136)*'Product Data'!$P$18)</f>
        <v>#N/A</v>
      </c>
      <c r="F136" s="1927">
        <f t="shared" si="9"/>
        <v>0</v>
      </c>
      <c r="G136" s="1928">
        <v>8.8000000000000994E-3</v>
      </c>
      <c r="H136" s="1931" t="e">
        <f>($G$9*24)/((($F$8-BBR+'Product Data'!$K$3-'KB Model Suggestions Tr 2yr'!$G136)/12)*(24-'KB Model Suggestions Tr 2yr'!F136)*'Product Data'!$P$18)</f>
        <v>#N/A</v>
      </c>
      <c r="J136" s="1927">
        <f t="shared" si="10"/>
        <v>0</v>
      </c>
      <c r="K136" s="1928">
        <v>8.8000000000000994E-3</v>
      </c>
      <c r="L136" s="1931" t="e">
        <f>($K$9*24)/((($J$8-BBR+'Product Data'!$K$2-'KB Model Suggestions Tr 2yr'!$K136)/12)*(24-'KB Model Suggestions Tr 2yr'!J136)*'Product Data'!$P$18)</f>
        <v>#N/A</v>
      </c>
      <c r="N136" s="1927">
        <f t="shared" si="11"/>
        <v>0</v>
      </c>
      <c r="O136" s="2392">
        <v>8.8000000000000994E-3</v>
      </c>
      <c r="P136" s="1929" t="e">
        <f>($O$9*60)/((($N$8-$O136)/12)*(60-N136)*'Product Data'!$P$23)</f>
        <v>#N/A</v>
      </c>
    </row>
    <row r="137" spans="2:16" x14ac:dyDescent="0.25">
      <c r="B137" s="1927">
        <f t="shared" si="8"/>
        <v>0</v>
      </c>
      <c r="C137" s="1928">
        <v>8.7000000000001E-3</v>
      </c>
      <c r="D137" s="1931" t="e">
        <f>($C$9*24)/((($B$8-BBR+'Product Data'!$K$3-'KB Model Suggestions Tr 2yr'!$C137)/12)*(24-'KB Model Suggestions Tr 2yr'!B137)*'Product Data'!$P$18)</f>
        <v>#N/A</v>
      </c>
      <c r="F137" s="1927">
        <f t="shared" si="9"/>
        <v>0</v>
      </c>
      <c r="G137" s="1928">
        <v>8.7000000000001E-3</v>
      </c>
      <c r="H137" s="1931" t="e">
        <f>($G$9*24)/((($F$8-BBR+'Product Data'!$K$3-'KB Model Suggestions Tr 2yr'!$G137)/12)*(24-'KB Model Suggestions Tr 2yr'!F137)*'Product Data'!$P$18)</f>
        <v>#N/A</v>
      </c>
      <c r="J137" s="1927">
        <f t="shared" si="10"/>
        <v>0</v>
      </c>
      <c r="K137" s="1928">
        <v>8.7000000000001E-3</v>
      </c>
      <c r="L137" s="1931" t="e">
        <f>($K$9*24)/((($J$8-BBR+'Product Data'!$K$2-'KB Model Suggestions Tr 2yr'!$K137)/12)*(24-'KB Model Suggestions Tr 2yr'!J137)*'Product Data'!$P$18)</f>
        <v>#N/A</v>
      </c>
      <c r="N137" s="1927">
        <f t="shared" si="11"/>
        <v>0</v>
      </c>
      <c r="O137" s="2392">
        <v>8.7000000000001E-3</v>
      </c>
      <c r="P137" s="1929" t="e">
        <f>($O$9*60)/((($N$8-$O137)/12)*(60-N137)*'Product Data'!$P$23)</f>
        <v>#N/A</v>
      </c>
    </row>
    <row r="138" spans="2:16" x14ac:dyDescent="0.25">
      <c r="B138" s="1927">
        <f t="shared" si="8"/>
        <v>0</v>
      </c>
      <c r="C138" s="1928">
        <v>8.6000000000001006E-3</v>
      </c>
      <c r="D138" s="1931" t="e">
        <f>($C$9*24)/((($B$8-BBR+'Product Data'!$K$3-'KB Model Suggestions Tr 2yr'!$C138)/12)*(24-'KB Model Suggestions Tr 2yr'!B138)*'Product Data'!$P$18)</f>
        <v>#N/A</v>
      </c>
      <c r="F138" s="1927">
        <f t="shared" si="9"/>
        <v>0</v>
      </c>
      <c r="G138" s="1928">
        <v>8.6000000000001006E-3</v>
      </c>
      <c r="H138" s="1931" t="e">
        <f>($G$9*24)/((($F$8-BBR+'Product Data'!$K$3-'KB Model Suggestions Tr 2yr'!$G138)/12)*(24-'KB Model Suggestions Tr 2yr'!F138)*'Product Data'!$P$18)</f>
        <v>#N/A</v>
      </c>
      <c r="J138" s="1927">
        <f t="shared" si="10"/>
        <v>0</v>
      </c>
      <c r="K138" s="1928">
        <v>8.6000000000001006E-3</v>
      </c>
      <c r="L138" s="1931" t="e">
        <f>($K$9*24)/((($J$8-BBR+'Product Data'!$K$2-'KB Model Suggestions Tr 2yr'!$K138)/12)*(24-'KB Model Suggestions Tr 2yr'!J138)*'Product Data'!$P$18)</f>
        <v>#N/A</v>
      </c>
      <c r="N138" s="1927">
        <f t="shared" si="11"/>
        <v>0</v>
      </c>
      <c r="O138" s="2392">
        <v>8.6000000000001006E-3</v>
      </c>
      <c r="P138" s="1929" t="e">
        <f>($O$9*60)/((($N$8-$O138)/12)*(60-N138)*'Product Data'!$P$23)</f>
        <v>#N/A</v>
      </c>
    </row>
    <row r="139" spans="2:16" x14ac:dyDescent="0.25">
      <c r="B139" s="1927">
        <f t="shared" si="8"/>
        <v>0</v>
      </c>
      <c r="C139" s="1928">
        <v>8.5000000000000995E-3</v>
      </c>
      <c r="D139" s="1931" t="e">
        <f>($C$9*24)/((($B$8-BBR+'Product Data'!$K$3-'KB Model Suggestions Tr 2yr'!$C139)/12)*(24-'KB Model Suggestions Tr 2yr'!B139)*'Product Data'!$P$18)</f>
        <v>#N/A</v>
      </c>
      <c r="F139" s="1927">
        <f t="shared" si="9"/>
        <v>0</v>
      </c>
      <c r="G139" s="1928">
        <v>8.5000000000000995E-3</v>
      </c>
      <c r="H139" s="1931" t="e">
        <f>($G$9*24)/((($F$8-BBR+'Product Data'!$K$3-'KB Model Suggestions Tr 2yr'!$G139)/12)*(24-'KB Model Suggestions Tr 2yr'!F139)*'Product Data'!$P$18)</f>
        <v>#N/A</v>
      </c>
      <c r="J139" s="1927">
        <f t="shared" si="10"/>
        <v>0</v>
      </c>
      <c r="K139" s="1928">
        <v>8.5000000000000995E-3</v>
      </c>
      <c r="L139" s="1931" t="e">
        <f>($K$9*24)/((($J$8-BBR+'Product Data'!$K$2-'KB Model Suggestions Tr 2yr'!$K139)/12)*(24-'KB Model Suggestions Tr 2yr'!J139)*'Product Data'!$P$18)</f>
        <v>#N/A</v>
      </c>
      <c r="N139" s="1927">
        <f t="shared" si="11"/>
        <v>0</v>
      </c>
      <c r="O139" s="2392">
        <v>8.5000000000000995E-3</v>
      </c>
      <c r="P139" s="1929" t="e">
        <f>($O$9*60)/((($N$8-$O139)/12)*(60-N139)*'Product Data'!$P$23)</f>
        <v>#N/A</v>
      </c>
    </row>
    <row r="140" spans="2:16" x14ac:dyDescent="0.25">
      <c r="B140" s="1927">
        <f t="shared" si="8"/>
        <v>0</v>
      </c>
      <c r="C140" s="1928">
        <v>8.4000000000001001E-3</v>
      </c>
      <c r="D140" s="1931" t="e">
        <f>($C$9*24)/((($B$8-BBR+'Product Data'!$K$3-'KB Model Suggestions Tr 2yr'!$C140)/12)*(24-'KB Model Suggestions Tr 2yr'!B140)*'Product Data'!$P$18)</f>
        <v>#N/A</v>
      </c>
      <c r="F140" s="1927">
        <f t="shared" si="9"/>
        <v>0</v>
      </c>
      <c r="G140" s="1928">
        <v>8.4000000000001001E-3</v>
      </c>
      <c r="H140" s="1931" t="e">
        <f>($G$9*24)/((($F$8-BBR+'Product Data'!$K$3-'KB Model Suggestions Tr 2yr'!$G140)/12)*(24-'KB Model Suggestions Tr 2yr'!F140)*'Product Data'!$P$18)</f>
        <v>#N/A</v>
      </c>
      <c r="J140" s="1927">
        <f t="shared" si="10"/>
        <v>0</v>
      </c>
      <c r="K140" s="1928">
        <v>8.4000000000001001E-3</v>
      </c>
      <c r="L140" s="1931" t="e">
        <f>($K$9*24)/((($J$8-BBR+'Product Data'!$K$2-'KB Model Suggestions Tr 2yr'!$K140)/12)*(24-'KB Model Suggestions Tr 2yr'!J140)*'Product Data'!$P$18)</f>
        <v>#N/A</v>
      </c>
      <c r="N140" s="1927">
        <f t="shared" si="11"/>
        <v>0</v>
      </c>
      <c r="O140" s="2392">
        <v>8.4000000000001001E-3</v>
      </c>
      <c r="P140" s="1929" t="e">
        <f>($O$9*60)/((($N$8-$O140)/12)*(60-N140)*'Product Data'!$P$23)</f>
        <v>#N/A</v>
      </c>
    </row>
    <row r="141" spans="2:16" x14ac:dyDescent="0.25">
      <c r="B141" s="1927">
        <f t="shared" si="8"/>
        <v>0</v>
      </c>
      <c r="C141" s="1928">
        <v>8.3000000000001007E-3</v>
      </c>
      <c r="D141" s="1931" t="e">
        <f>($C$9*24)/((($B$8-BBR+'Product Data'!$K$3-'KB Model Suggestions Tr 2yr'!$C141)/12)*(24-'KB Model Suggestions Tr 2yr'!B141)*'Product Data'!$P$18)</f>
        <v>#N/A</v>
      </c>
      <c r="F141" s="1927">
        <f t="shared" si="9"/>
        <v>0</v>
      </c>
      <c r="G141" s="1928">
        <v>8.3000000000001007E-3</v>
      </c>
      <c r="H141" s="1931" t="e">
        <f>($G$9*24)/((($F$8-BBR+'Product Data'!$K$3-'KB Model Suggestions Tr 2yr'!$G141)/12)*(24-'KB Model Suggestions Tr 2yr'!F141)*'Product Data'!$P$18)</f>
        <v>#N/A</v>
      </c>
      <c r="J141" s="1927">
        <f t="shared" si="10"/>
        <v>0</v>
      </c>
      <c r="K141" s="1928">
        <v>8.3000000000001007E-3</v>
      </c>
      <c r="L141" s="1931" t="e">
        <f>($K$9*24)/((($J$8-BBR+'Product Data'!$K$2-'KB Model Suggestions Tr 2yr'!$K141)/12)*(24-'KB Model Suggestions Tr 2yr'!J141)*'Product Data'!$P$18)</f>
        <v>#N/A</v>
      </c>
      <c r="N141" s="1927">
        <f t="shared" si="11"/>
        <v>0</v>
      </c>
      <c r="O141" s="2392">
        <v>8.3000000000001007E-3</v>
      </c>
      <c r="P141" s="1929" t="e">
        <f>($O$9*60)/((($N$8-$O141)/12)*(60-N141)*'Product Data'!$P$23)</f>
        <v>#N/A</v>
      </c>
    </row>
    <row r="142" spans="2:16" x14ac:dyDescent="0.25">
      <c r="B142" s="1927">
        <f t="shared" si="8"/>
        <v>0</v>
      </c>
      <c r="C142" s="1928">
        <v>8.2000000000000996E-3</v>
      </c>
      <c r="D142" s="1931" t="e">
        <f>($C$9*24)/((($B$8-BBR+'Product Data'!$K$3-'KB Model Suggestions Tr 2yr'!$C142)/12)*(24-'KB Model Suggestions Tr 2yr'!B142)*'Product Data'!$P$18)</f>
        <v>#N/A</v>
      </c>
      <c r="F142" s="1927">
        <f t="shared" si="9"/>
        <v>0</v>
      </c>
      <c r="G142" s="1928">
        <v>8.2000000000000996E-3</v>
      </c>
      <c r="H142" s="1931" t="e">
        <f>($G$9*24)/((($F$8-BBR+'Product Data'!$K$3-'KB Model Suggestions Tr 2yr'!$G142)/12)*(24-'KB Model Suggestions Tr 2yr'!F142)*'Product Data'!$P$18)</f>
        <v>#N/A</v>
      </c>
      <c r="J142" s="1927">
        <f t="shared" si="10"/>
        <v>0</v>
      </c>
      <c r="K142" s="1928">
        <v>8.2000000000000996E-3</v>
      </c>
      <c r="L142" s="1931" t="e">
        <f>($K$9*24)/((($J$8-BBR+'Product Data'!$K$2-'KB Model Suggestions Tr 2yr'!$K142)/12)*(24-'KB Model Suggestions Tr 2yr'!J142)*'Product Data'!$P$18)</f>
        <v>#N/A</v>
      </c>
      <c r="N142" s="1927">
        <f t="shared" si="11"/>
        <v>0</v>
      </c>
      <c r="O142" s="2392">
        <v>8.2000000000000996E-3</v>
      </c>
      <c r="P142" s="1929" t="e">
        <f>($O$9*60)/((($N$8-$O142)/12)*(60-N142)*'Product Data'!$P$23)</f>
        <v>#N/A</v>
      </c>
    </row>
    <row r="143" spans="2:16" x14ac:dyDescent="0.25">
      <c r="B143" s="1927">
        <f t="shared" si="8"/>
        <v>0</v>
      </c>
      <c r="C143" s="1928">
        <v>8.1000000000001002E-3</v>
      </c>
      <c r="D143" s="1931" t="e">
        <f>($C$9*24)/((($B$8-BBR+'Product Data'!$K$3-'KB Model Suggestions Tr 2yr'!$C143)/12)*(24-'KB Model Suggestions Tr 2yr'!B143)*'Product Data'!$P$18)</f>
        <v>#N/A</v>
      </c>
      <c r="F143" s="1927">
        <f t="shared" si="9"/>
        <v>0</v>
      </c>
      <c r="G143" s="1928">
        <v>8.1000000000001002E-3</v>
      </c>
      <c r="H143" s="1931" t="e">
        <f>($G$9*24)/((($F$8-BBR+'Product Data'!$K$3-'KB Model Suggestions Tr 2yr'!$G143)/12)*(24-'KB Model Suggestions Tr 2yr'!F143)*'Product Data'!$P$18)</f>
        <v>#N/A</v>
      </c>
      <c r="J143" s="1927">
        <f t="shared" si="10"/>
        <v>0</v>
      </c>
      <c r="K143" s="1928">
        <v>8.1000000000001002E-3</v>
      </c>
      <c r="L143" s="1931" t="e">
        <f>($K$9*24)/((($J$8-BBR+'Product Data'!$K$2-'KB Model Suggestions Tr 2yr'!$K143)/12)*(24-'KB Model Suggestions Tr 2yr'!J143)*'Product Data'!$P$18)</f>
        <v>#N/A</v>
      </c>
      <c r="N143" s="1927">
        <f t="shared" si="11"/>
        <v>0</v>
      </c>
      <c r="O143" s="2392">
        <v>8.1000000000001002E-3</v>
      </c>
      <c r="P143" s="1929" t="e">
        <f>($O$9*60)/((($N$8-$O143)/12)*(60-N143)*'Product Data'!$P$23)</f>
        <v>#N/A</v>
      </c>
    </row>
    <row r="144" spans="2:16" x14ac:dyDescent="0.25">
      <c r="B144" s="1927">
        <f t="shared" si="8"/>
        <v>0</v>
      </c>
      <c r="C144" s="1928">
        <v>8.0000000000001008E-3</v>
      </c>
      <c r="D144" s="1931" t="e">
        <f>($C$9*24)/((($B$8-BBR+'Product Data'!$K$3-'KB Model Suggestions Tr 2yr'!$C144)/12)*(24-'KB Model Suggestions Tr 2yr'!B144)*'Product Data'!$P$18)</f>
        <v>#N/A</v>
      </c>
      <c r="F144" s="1927">
        <f t="shared" si="9"/>
        <v>0</v>
      </c>
      <c r="G144" s="1928">
        <v>8.0000000000001008E-3</v>
      </c>
      <c r="H144" s="1931" t="e">
        <f>($G$9*24)/((($F$8-BBR+'Product Data'!$K$3-'KB Model Suggestions Tr 2yr'!$G144)/12)*(24-'KB Model Suggestions Tr 2yr'!F144)*'Product Data'!$P$18)</f>
        <v>#N/A</v>
      </c>
      <c r="J144" s="1927">
        <f t="shared" si="10"/>
        <v>0</v>
      </c>
      <c r="K144" s="1928">
        <v>8.0000000000001008E-3</v>
      </c>
      <c r="L144" s="1931" t="e">
        <f>($K$9*24)/((($J$8-BBR+'Product Data'!$K$2-'KB Model Suggestions Tr 2yr'!$K144)/12)*(24-'KB Model Suggestions Tr 2yr'!J144)*'Product Data'!$P$18)</f>
        <v>#N/A</v>
      </c>
      <c r="N144" s="1927">
        <f t="shared" si="11"/>
        <v>0</v>
      </c>
      <c r="O144" s="2392">
        <v>8.0000000000001008E-3</v>
      </c>
      <c r="P144" s="1929" t="e">
        <f>($O$9*60)/((($N$8-$O144)/12)*(60-N144)*'Product Data'!$P$23)</f>
        <v>#N/A</v>
      </c>
    </row>
    <row r="145" spans="2:16" x14ac:dyDescent="0.25">
      <c r="B145" s="1927">
        <f t="shared" si="8"/>
        <v>0</v>
      </c>
      <c r="C145" s="1928">
        <v>7.9000000000000997E-3</v>
      </c>
      <c r="D145" s="1931" t="e">
        <f>($C$9*24)/((($B$8-BBR+'Product Data'!$K$3-'KB Model Suggestions Tr 2yr'!$C145)/12)*(24-'KB Model Suggestions Tr 2yr'!B145)*'Product Data'!$P$18)</f>
        <v>#N/A</v>
      </c>
      <c r="F145" s="1927">
        <f t="shared" si="9"/>
        <v>0</v>
      </c>
      <c r="G145" s="1928">
        <v>7.9000000000000997E-3</v>
      </c>
      <c r="H145" s="1931" t="e">
        <f>($G$9*24)/((($F$8-BBR+'Product Data'!$K$3-'KB Model Suggestions Tr 2yr'!$G145)/12)*(24-'KB Model Suggestions Tr 2yr'!F145)*'Product Data'!$P$18)</f>
        <v>#N/A</v>
      </c>
      <c r="J145" s="1927">
        <f t="shared" si="10"/>
        <v>0</v>
      </c>
      <c r="K145" s="1928">
        <v>7.9000000000000997E-3</v>
      </c>
      <c r="L145" s="1931" t="e">
        <f>($K$9*24)/((($J$8-BBR+'Product Data'!$K$2-'KB Model Suggestions Tr 2yr'!$K145)/12)*(24-'KB Model Suggestions Tr 2yr'!J145)*'Product Data'!$P$18)</f>
        <v>#N/A</v>
      </c>
      <c r="N145" s="1927">
        <f t="shared" si="11"/>
        <v>0</v>
      </c>
      <c r="O145" s="2392">
        <v>7.9000000000000997E-3</v>
      </c>
      <c r="P145" s="1929" t="e">
        <f>($O$9*60)/((($N$8-$O145)/12)*(60-N145)*'Product Data'!$P$23)</f>
        <v>#N/A</v>
      </c>
    </row>
    <row r="146" spans="2:16" x14ac:dyDescent="0.25">
      <c r="B146" s="1927">
        <f t="shared" si="8"/>
        <v>0</v>
      </c>
      <c r="C146" s="1928">
        <v>7.8000000000001003E-3</v>
      </c>
      <c r="D146" s="1931" t="e">
        <f>($C$9*24)/((($B$8-BBR+'Product Data'!$K$3-'KB Model Suggestions Tr 2yr'!$C146)/12)*(24-'KB Model Suggestions Tr 2yr'!B146)*'Product Data'!$P$18)</f>
        <v>#N/A</v>
      </c>
      <c r="F146" s="1927">
        <f t="shared" si="9"/>
        <v>0</v>
      </c>
      <c r="G146" s="1928">
        <v>7.8000000000001003E-3</v>
      </c>
      <c r="H146" s="1931" t="e">
        <f>($G$9*24)/((($F$8-BBR+'Product Data'!$K$3-'KB Model Suggestions Tr 2yr'!$G146)/12)*(24-'KB Model Suggestions Tr 2yr'!F146)*'Product Data'!$P$18)</f>
        <v>#N/A</v>
      </c>
      <c r="J146" s="1927">
        <f t="shared" si="10"/>
        <v>0</v>
      </c>
      <c r="K146" s="1928">
        <v>7.8000000000001003E-3</v>
      </c>
      <c r="L146" s="1931" t="e">
        <f>($K$9*24)/((($J$8-BBR+'Product Data'!$K$2-'KB Model Suggestions Tr 2yr'!$K146)/12)*(24-'KB Model Suggestions Tr 2yr'!J146)*'Product Data'!$P$18)</f>
        <v>#N/A</v>
      </c>
      <c r="N146" s="1927">
        <f t="shared" si="11"/>
        <v>0</v>
      </c>
      <c r="O146" s="2392">
        <v>7.8000000000001003E-3</v>
      </c>
      <c r="P146" s="1929" t="e">
        <f>($O$9*60)/((($N$8-$O146)/12)*(60-N146)*'Product Data'!$P$23)</f>
        <v>#N/A</v>
      </c>
    </row>
    <row r="147" spans="2:16" x14ac:dyDescent="0.25">
      <c r="B147" s="1927">
        <f t="shared" si="8"/>
        <v>0</v>
      </c>
      <c r="C147" s="1928">
        <v>7.7000000000001E-3</v>
      </c>
      <c r="D147" s="1931" t="e">
        <f>($C$9*24)/((($B$8-BBR+'Product Data'!$K$3-'KB Model Suggestions Tr 2yr'!$C147)/12)*(24-'KB Model Suggestions Tr 2yr'!B147)*'Product Data'!$P$18)</f>
        <v>#N/A</v>
      </c>
      <c r="F147" s="1927">
        <f t="shared" si="9"/>
        <v>0</v>
      </c>
      <c r="G147" s="1928">
        <v>7.7000000000001E-3</v>
      </c>
      <c r="H147" s="1931" t="e">
        <f>($G$9*24)/((($F$8-BBR+'Product Data'!$K$3-'KB Model Suggestions Tr 2yr'!$G147)/12)*(24-'KB Model Suggestions Tr 2yr'!F147)*'Product Data'!$P$18)</f>
        <v>#N/A</v>
      </c>
      <c r="J147" s="1927">
        <f t="shared" si="10"/>
        <v>0</v>
      </c>
      <c r="K147" s="1928">
        <v>7.7000000000001E-3</v>
      </c>
      <c r="L147" s="1931" t="e">
        <f>($K$9*24)/((($J$8-BBR+'Product Data'!$K$2-'KB Model Suggestions Tr 2yr'!$K147)/12)*(24-'KB Model Suggestions Tr 2yr'!J147)*'Product Data'!$P$18)</f>
        <v>#N/A</v>
      </c>
      <c r="N147" s="1927">
        <f t="shared" si="11"/>
        <v>0</v>
      </c>
      <c r="O147" s="2392">
        <v>7.7000000000001E-3</v>
      </c>
      <c r="P147" s="1929" t="e">
        <f>($O$9*60)/((($N$8-$O147)/12)*(60-N147)*'Product Data'!$P$23)</f>
        <v>#N/A</v>
      </c>
    </row>
    <row r="148" spans="2:16" x14ac:dyDescent="0.25">
      <c r="B148" s="1927">
        <f t="shared" si="8"/>
        <v>0</v>
      </c>
      <c r="C148" s="1928">
        <v>7.6000000000000997E-3</v>
      </c>
      <c r="D148" s="1931" t="e">
        <f>($C$9*24)/((($B$8-BBR+'Product Data'!$K$3-'KB Model Suggestions Tr 2yr'!$C148)/12)*(24-'KB Model Suggestions Tr 2yr'!B148)*'Product Data'!$P$18)</f>
        <v>#N/A</v>
      </c>
      <c r="F148" s="1927">
        <f t="shared" si="9"/>
        <v>0</v>
      </c>
      <c r="G148" s="1928">
        <v>7.6000000000000997E-3</v>
      </c>
      <c r="H148" s="1931" t="e">
        <f>($G$9*24)/((($F$8-BBR+'Product Data'!$K$3-'KB Model Suggestions Tr 2yr'!$G148)/12)*(24-'KB Model Suggestions Tr 2yr'!F148)*'Product Data'!$P$18)</f>
        <v>#N/A</v>
      </c>
      <c r="J148" s="1927">
        <f t="shared" si="10"/>
        <v>0</v>
      </c>
      <c r="K148" s="1928">
        <v>7.6000000000000997E-3</v>
      </c>
      <c r="L148" s="1931" t="e">
        <f>($K$9*24)/((($J$8-BBR+'Product Data'!$K$2-'KB Model Suggestions Tr 2yr'!$K148)/12)*(24-'KB Model Suggestions Tr 2yr'!J148)*'Product Data'!$P$18)</f>
        <v>#N/A</v>
      </c>
      <c r="N148" s="1927">
        <f t="shared" si="11"/>
        <v>0</v>
      </c>
      <c r="O148" s="2392">
        <v>7.6000000000000997E-3</v>
      </c>
      <c r="P148" s="1929" t="e">
        <f>($O$9*60)/((($N$8-$O148)/12)*(60-N148)*'Product Data'!$P$23)</f>
        <v>#N/A</v>
      </c>
    </row>
    <row r="149" spans="2:16" x14ac:dyDescent="0.25">
      <c r="B149" s="1927">
        <f t="shared" si="8"/>
        <v>0</v>
      </c>
      <c r="C149" s="1928">
        <v>7.5000000000001003E-3</v>
      </c>
      <c r="D149" s="1931" t="e">
        <f>($C$9*24)/((($B$8-BBR+'Product Data'!$K$3-'KB Model Suggestions Tr 2yr'!$C149)/12)*(24-'KB Model Suggestions Tr 2yr'!B149)*'Product Data'!$P$18)</f>
        <v>#N/A</v>
      </c>
      <c r="F149" s="1927">
        <f t="shared" si="9"/>
        <v>0</v>
      </c>
      <c r="G149" s="1928">
        <v>7.5000000000001003E-3</v>
      </c>
      <c r="H149" s="1931" t="e">
        <f>($G$9*24)/((($F$8-BBR+'Product Data'!$K$3-'KB Model Suggestions Tr 2yr'!$G149)/12)*(24-'KB Model Suggestions Tr 2yr'!F149)*'Product Data'!$P$18)</f>
        <v>#N/A</v>
      </c>
      <c r="J149" s="1927">
        <f t="shared" si="10"/>
        <v>0</v>
      </c>
      <c r="K149" s="1928">
        <v>7.5000000000001003E-3</v>
      </c>
      <c r="L149" s="1931" t="e">
        <f>($K$9*24)/((($J$8-BBR+'Product Data'!$K$2-'KB Model Suggestions Tr 2yr'!$K149)/12)*(24-'KB Model Suggestions Tr 2yr'!J149)*'Product Data'!$P$18)</f>
        <v>#N/A</v>
      </c>
      <c r="N149" s="2431">
        <f t="shared" si="11"/>
        <v>0</v>
      </c>
      <c r="O149" s="2392">
        <v>7.5000000000001003E-3</v>
      </c>
      <c r="P149" s="1929" t="e">
        <f>($O$9*60)/((($N$8-$O149)/12)*(60-N149)*'Product Data'!$P$23)</f>
        <v>#N/A</v>
      </c>
    </row>
    <row r="150" spans="2:16" x14ac:dyDescent="0.25">
      <c r="B150" s="1927">
        <f t="shared" si="8"/>
        <v>0</v>
      </c>
      <c r="C150" s="1928">
        <v>7.4000000000001001E-3</v>
      </c>
      <c r="D150" s="1931" t="e">
        <f>($C$9*24)/((($B$8-BBR+'Product Data'!$K$3-'KB Model Suggestions Tr 2yr'!$C150)/12)*(24-'KB Model Suggestions Tr 2yr'!B150)*'Product Data'!$P$18)</f>
        <v>#N/A</v>
      </c>
      <c r="F150" s="1927">
        <f t="shared" si="9"/>
        <v>0</v>
      </c>
      <c r="G150" s="1928">
        <v>7.4000000000001001E-3</v>
      </c>
      <c r="H150" s="1931" t="e">
        <f>($G$9*24)/((($F$8-BBR+'Product Data'!$K$3-'KB Model Suggestions Tr 2yr'!$G150)/12)*(24-'KB Model Suggestions Tr 2yr'!F150)*'Product Data'!$P$18)</f>
        <v>#N/A</v>
      </c>
      <c r="J150" s="1927">
        <f t="shared" si="10"/>
        <v>0</v>
      </c>
      <c r="K150" s="1928">
        <v>7.4000000000001001E-3</v>
      </c>
      <c r="L150" s="1931" t="e">
        <f>($K$9*24)/((($J$8-BBR+'Product Data'!$K$2-'KB Model Suggestions Tr 2yr'!$K150)/12)*(24-'KB Model Suggestions Tr 2yr'!J150)*'Product Data'!$P$18)</f>
        <v>#N/A</v>
      </c>
      <c r="N150" s="2431">
        <f t="shared" si="11"/>
        <v>0</v>
      </c>
      <c r="O150" s="2392">
        <v>7.4000000000001001E-3</v>
      </c>
      <c r="P150" s="1929" t="e">
        <f>($O$9*60)/((($N$8-$O150)/12)*(60-N150)*'Product Data'!$P$23)</f>
        <v>#N/A</v>
      </c>
    </row>
    <row r="151" spans="2:16" x14ac:dyDescent="0.25">
      <c r="B151" s="1927">
        <f t="shared" si="8"/>
        <v>0</v>
      </c>
      <c r="C151" s="1928">
        <v>7.3000000000000998E-3</v>
      </c>
      <c r="D151" s="1931" t="e">
        <f>($C$9*24)/((($B$8-BBR+'Product Data'!$K$3-'KB Model Suggestions Tr 2yr'!$C151)/12)*(24-'KB Model Suggestions Tr 2yr'!B151)*'Product Data'!$P$18)</f>
        <v>#N/A</v>
      </c>
      <c r="F151" s="1927">
        <f t="shared" si="9"/>
        <v>0</v>
      </c>
      <c r="G151" s="1928">
        <v>7.3000000000000998E-3</v>
      </c>
      <c r="H151" s="1931" t="e">
        <f>($G$9*24)/((($F$8-BBR+'Product Data'!$K$3-'KB Model Suggestions Tr 2yr'!$G151)/12)*(24-'KB Model Suggestions Tr 2yr'!F151)*'Product Data'!$P$18)</f>
        <v>#N/A</v>
      </c>
      <c r="J151" s="1927">
        <f t="shared" si="10"/>
        <v>0</v>
      </c>
      <c r="K151" s="1928">
        <v>7.3000000000000998E-3</v>
      </c>
      <c r="L151" s="1931" t="e">
        <f>($K$9*24)/((($J$8-BBR+'Product Data'!$K$2-'KB Model Suggestions Tr 2yr'!$K151)/12)*(24-'KB Model Suggestions Tr 2yr'!J151)*'Product Data'!$P$18)</f>
        <v>#N/A</v>
      </c>
      <c r="N151" s="2431">
        <f t="shared" si="11"/>
        <v>0</v>
      </c>
      <c r="O151" s="2392">
        <v>7.3000000000000998E-3</v>
      </c>
      <c r="P151" s="1929" t="e">
        <f>($O$9*60)/((($N$8-$O151)/12)*(60-N151)*'Product Data'!$P$23)</f>
        <v>#N/A</v>
      </c>
    </row>
    <row r="152" spans="2:16" x14ac:dyDescent="0.25">
      <c r="B152" s="1927">
        <f t="shared" si="8"/>
        <v>0</v>
      </c>
      <c r="C152" s="1928">
        <v>7.2000000000001004E-3</v>
      </c>
      <c r="D152" s="1931" t="e">
        <f>($C$9*24)/((($B$8-BBR+'Product Data'!$K$3-'KB Model Suggestions Tr 2yr'!$C152)/12)*(24-'KB Model Suggestions Tr 2yr'!B152)*'Product Data'!$P$18)</f>
        <v>#N/A</v>
      </c>
      <c r="F152" s="1927">
        <f t="shared" si="9"/>
        <v>0</v>
      </c>
      <c r="G152" s="1928">
        <v>7.2000000000001004E-3</v>
      </c>
      <c r="H152" s="1931" t="e">
        <f>($G$9*24)/((($F$8-BBR+'Product Data'!$K$3-'KB Model Suggestions Tr 2yr'!$G152)/12)*(24-'KB Model Suggestions Tr 2yr'!F152)*'Product Data'!$P$18)</f>
        <v>#N/A</v>
      </c>
      <c r="J152" s="1927">
        <f t="shared" si="10"/>
        <v>0</v>
      </c>
      <c r="K152" s="1928">
        <v>7.2000000000001004E-3</v>
      </c>
      <c r="L152" s="1931" t="e">
        <f>($K$9*24)/((($J$8-BBR+'Product Data'!$K$2-'KB Model Suggestions Tr 2yr'!$K152)/12)*(24-'KB Model Suggestions Tr 2yr'!J152)*'Product Data'!$P$18)</f>
        <v>#N/A</v>
      </c>
      <c r="N152" s="2431">
        <f t="shared" si="11"/>
        <v>0</v>
      </c>
      <c r="O152" s="2392">
        <v>7.2000000000001004E-3</v>
      </c>
      <c r="P152" s="1929" t="e">
        <f>($O$9*60)/((($N$8-$O152)/12)*(60-N152)*'Product Data'!$P$23)</f>
        <v>#N/A</v>
      </c>
    </row>
    <row r="153" spans="2:16" x14ac:dyDescent="0.25">
      <c r="B153" s="1927">
        <f t="shared" si="8"/>
        <v>0</v>
      </c>
      <c r="C153" s="1928">
        <v>7.1000000000001002E-3</v>
      </c>
      <c r="D153" s="1931" t="e">
        <f>($C$9*24)/((($B$8-BBR+'Product Data'!$K$3-'KB Model Suggestions Tr 2yr'!$C153)/12)*(24-'KB Model Suggestions Tr 2yr'!B153)*'Product Data'!$P$18)</f>
        <v>#N/A</v>
      </c>
      <c r="F153" s="1927">
        <f t="shared" si="9"/>
        <v>0</v>
      </c>
      <c r="G153" s="1928">
        <v>7.1000000000001002E-3</v>
      </c>
      <c r="H153" s="1931" t="e">
        <f>($G$9*24)/((($F$8-BBR+'Product Data'!$K$3-'KB Model Suggestions Tr 2yr'!$G153)/12)*(24-'KB Model Suggestions Tr 2yr'!F153)*'Product Data'!$P$18)</f>
        <v>#N/A</v>
      </c>
      <c r="J153" s="1927">
        <f t="shared" si="10"/>
        <v>0</v>
      </c>
      <c r="K153" s="1928">
        <v>7.1000000000001002E-3</v>
      </c>
      <c r="L153" s="1931" t="e">
        <f>($K$9*24)/((($J$8-BBR+'Product Data'!$K$2-'KB Model Suggestions Tr 2yr'!$K153)/12)*(24-'KB Model Suggestions Tr 2yr'!J153)*'Product Data'!$P$18)</f>
        <v>#N/A</v>
      </c>
      <c r="N153" s="2431">
        <f t="shared" si="11"/>
        <v>0</v>
      </c>
      <c r="O153" s="2392">
        <v>7.1000000000001002E-3</v>
      </c>
      <c r="P153" s="1929" t="e">
        <f>($O$9*60)/((($N$8-$O153)/12)*(60-N153)*'Product Data'!$P$23)</f>
        <v>#N/A</v>
      </c>
    </row>
    <row r="154" spans="2:16" x14ac:dyDescent="0.25">
      <c r="B154" s="1927">
        <f t="shared" ref="B154:B217" si="12">B153</f>
        <v>0</v>
      </c>
      <c r="C154" s="1928">
        <v>7.0000000000000999E-3</v>
      </c>
      <c r="D154" s="1931" t="e">
        <f>($C$9*24)/((($B$8-BBR+'Product Data'!$K$3-'KB Model Suggestions Tr 2yr'!$C154)/12)*(24-'KB Model Suggestions Tr 2yr'!B154)*'Product Data'!$P$18)</f>
        <v>#N/A</v>
      </c>
      <c r="F154" s="1927">
        <f t="shared" ref="F154:F217" si="13">F153</f>
        <v>0</v>
      </c>
      <c r="G154" s="1928">
        <v>7.0000000000000999E-3</v>
      </c>
      <c r="H154" s="1931" t="e">
        <f>($G$9*24)/((($F$8-BBR+'Product Data'!$K$3-'KB Model Suggestions Tr 2yr'!$G154)/12)*(24-'KB Model Suggestions Tr 2yr'!F154)*'Product Data'!$P$18)</f>
        <v>#N/A</v>
      </c>
      <c r="J154" s="1927">
        <f t="shared" ref="J154:J217" si="14">J153</f>
        <v>0</v>
      </c>
      <c r="K154" s="1928">
        <v>7.0000000000000999E-3</v>
      </c>
      <c r="L154" s="1931" t="e">
        <f>($K$9*24)/((($J$8-BBR+'Product Data'!$K$2-'KB Model Suggestions Tr 2yr'!$K154)/12)*(24-'KB Model Suggestions Tr 2yr'!J154)*'Product Data'!$P$18)</f>
        <v>#N/A</v>
      </c>
      <c r="N154" s="2431">
        <f t="shared" ref="N154:N217" si="15">N153</f>
        <v>0</v>
      </c>
      <c r="O154" s="2392">
        <v>7.0000000000000999E-3</v>
      </c>
      <c r="P154" s="1929" t="e">
        <f>($O$9*60)/((($N$8-$O154)/12)*(60-N154)*'Product Data'!$P$23)</f>
        <v>#N/A</v>
      </c>
    </row>
    <row r="155" spans="2:16" x14ac:dyDescent="0.25">
      <c r="B155" s="1927">
        <f t="shared" si="12"/>
        <v>0</v>
      </c>
      <c r="C155" s="1928">
        <v>6.9000000000000996E-3</v>
      </c>
      <c r="D155" s="1931" t="e">
        <f>($C$9*24)/((($B$8-BBR+'Product Data'!$K$3-'KB Model Suggestions Tr 2yr'!$C155)/12)*(24-'KB Model Suggestions Tr 2yr'!B155)*'Product Data'!$P$18)</f>
        <v>#N/A</v>
      </c>
      <c r="F155" s="1927">
        <f t="shared" si="13"/>
        <v>0</v>
      </c>
      <c r="G155" s="1928">
        <v>6.9000000000000996E-3</v>
      </c>
      <c r="H155" s="1931" t="e">
        <f>($G$9*24)/((($F$8-BBR+'Product Data'!$K$3-'KB Model Suggestions Tr 2yr'!$G155)/12)*(24-'KB Model Suggestions Tr 2yr'!F155)*'Product Data'!$P$18)</f>
        <v>#N/A</v>
      </c>
      <c r="J155" s="1927">
        <f t="shared" si="14"/>
        <v>0</v>
      </c>
      <c r="K155" s="1928">
        <v>6.9000000000000996E-3</v>
      </c>
      <c r="L155" s="1931" t="e">
        <f>($K$9*24)/((($J$8-BBR+'Product Data'!$K$2-'KB Model Suggestions Tr 2yr'!$K155)/12)*(24-'KB Model Suggestions Tr 2yr'!J155)*'Product Data'!$P$18)</f>
        <v>#N/A</v>
      </c>
      <c r="N155" s="2431">
        <f t="shared" si="15"/>
        <v>0</v>
      </c>
      <c r="O155" s="2392">
        <v>6.9000000000000996E-3</v>
      </c>
      <c r="P155" s="1929" t="e">
        <f>($O$9*60)/((($N$8-$O155)/12)*(60-N155)*'Product Data'!$P$23)</f>
        <v>#N/A</v>
      </c>
    </row>
    <row r="156" spans="2:16" x14ac:dyDescent="0.25">
      <c r="B156" s="1927">
        <f t="shared" si="12"/>
        <v>0</v>
      </c>
      <c r="C156" s="1928">
        <v>6.8000000000001002E-3</v>
      </c>
      <c r="D156" s="1931" t="e">
        <f>($C$9*24)/((($B$8-BBR+'Product Data'!$K$3-'KB Model Suggestions Tr 2yr'!$C156)/12)*(24-'KB Model Suggestions Tr 2yr'!B156)*'Product Data'!$P$18)</f>
        <v>#N/A</v>
      </c>
      <c r="F156" s="1927">
        <f t="shared" si="13"/>
        <v>0</v>
      </c>
      <c r="G156" s="1928">
        <v>6.8000000000001002E-3</v>
      </c>
      <c r="H156" s="1931" t="e">
        <f>($G$9*24)/((($F$8-BBR+'Product Data'!$K$3-'KB Model Suggestions Tr 2yr'!$G156)/12)*(24-'KB Model Suggestions Tr 2yr'!F156)*'Product Data'!$P$18)</f>
        <v>#N/A</v>
      </c>
      <c r="J156" s="1927">
        <f t="shared" si="14"/>
        <v>0</v>
      </c>
      <c r="K156" s="1928">
        <v>6.8000000000001002E-3</v>
      </c>
      <c r="L156" s="1931" t="e">
        <f>($K$9*24)/((($J$8-BBR+'Product Data'!$K$2-'KB Model Suggestions Tr 2yr'!$K156)/12)*(24-'KB Model Suggestions Tr 2yr'!J156)*'Product Data'!$P$18)</f>
        <v>#N/A</v>
      </c>
      <c r="N156" s="2431">
        <f t="shared" si="15"/>
        <v>0</v>
      </c>
      <c r="O156" s="2392">
        <v>6.8000000000001002E-3</v>
      </c>
      <c r="P156" s="1929" t="e">
        <f>($O$9*60)/((($N$8-$O156)/12)*(60-N156)*'Product Data'!$P$23)</f>
        <v>#N/A</v>
      </c>
    </row>
    <row r="157" spans="2:16" x14ac:dyDescent="0.25">
      <c r="B157" s="1927">
        <f t="shared" si="12"/>
        <v>0</v>
      </c>
      <c r="C157" s="1928">
        <v>6.7000000000001E-3</v>
      </c>
      <c r="D157" s="1931" t="e">
        <f>($C$9*24)/((($B$8-BBR+'Product Data'!$K$3-'KB Model Suggestions Tr 2yr'!$C157)/12)*(24-'KB Model Suggestions Tr 2yr'!B157)*'Product Data'!$P$18)</f>
        <v>#N/A</v>
      </c>
      <c r="F157" s="1927">
        <f t="shared" si="13"/>
        <v>0</v>
      </c>
      <c r="G157" s="1928">
        <v>6.7000000000001E-3</v>
      </c>
      <c r="H157" s="1931" t="e">
        <f>($G$9*24)/((($F$8-BBR+'Product Data'!$K$3-'KB Model Suggestions Tr 2yr'!$G157)/12)*(24-'KB Model Suggestions Tr 2yr'!F157)*'Product Data'!$P$18)</f>
        <v>#N/A</v>
      </c>
      <c r="J157" s="1927">
        <f t="shared" si="14"/>
        <v>0</v>
      </c>
      <c r="K157" s="1928">
        <v>6.7000000000001E-3</v>
      </c>
      <c r="L157" s="1931" t="e">
        <f>($K$9*24)/((($J$8-BBR+'Product Data'!$K$2-'KB Model Suggestions Tr 2yr'!$K157)/12)*(24-'KB Model Suggestions Tr 2yr'!J157)*'Product Data'!$P$18)</f>
        <v>#N/A</v>
      </c>
      <c r="N157" s="2431">
        <f t="shared" si="15"/>
        <v>0</v>
      </c>
      <c r="O157" s="2392">
        <v>6.7000000000001E-3</v>
      </c>
      <c r="P157" s="1929" t="e">
        <f>($O$9*60)/((($N$8-$O157)/12)*(60-N157)*'Product Data'!$P$23)</f>
        <v>#N/A</v>
      </c>
    </row>
    <row r="158" spans="2:16" x14ac:dyDescent="0.25">
      <c r="B158" s="1927">
        <f t="shared" si="12"/>
        <v>0</v>
      </c>
      <c r="C158" s="1928">
        <v>6.6000000000000997E-3</v>
      </c>
      <c r="D158" s="1931" t="e">
        <f>($C$9*24)/((($B$8-BBR+'Product Data'!$K$3-'KB Model Suggestions Tr 2yr'!$C158)/12)*(24-'KB Model Suggestions Tr 2yr'!B158)*'Product Data'!$P$18)</f>
        <v>#N/A</v>
      </c>
      <c r="F158" s="1927">
        <f t="shared" si="13"/>
        <v>0</v>
      </c>
      <c r="G158" s="1928">
        <v>6.6000000000000997E-3</v>
      </c>
      <c r="H158" s="1931" t="e">
        <f>($G$9*24)/((($F$8-BBR+'Product Data'!$K$3-'KB Model Suggestions Tr 2yr'!$G158)/12)*(24-'KB Model Suggestions Tr 2yr'!F158)*'Product Data'!$P$18)</f>
        <v>#N/A</v>
      </c>
      <c r="J158" s="1927">
        <f t="shared" si="14"/>
        <v>0</v>
      </c>
      <c r="K158" s="1928">
        <v>6.6000000000000997E-3</v>
      </c>
      <c r="L158" s="1931" t="e">
        <f>($K$9*24)/((($J$8-BBR+'Product Data'!$K$2-'KB Model Suggestions Tr 2yr'!$K158)/12)*(24-'KB Model Suggestions Tr 2yr'!J158)*'Product Data'!$P$18)</f>
        <v>#N/A</v>
      </c>
      <c r="N158" s="2431">
        <f t="shared" si="15"/>
        <v>0</v>
      </c>
      <c r="O158" s="2392">
        <v>6.6000000000000997E-3</v>
      </c>
      <c r="P158" s="1929" t="e">
        <f>($O$9*60)/((($N$8-$O158)/12)*(60-N158)*'Product Data'!$P$23)</f>
        <v>#N/A</v>
      </c>
    </row>
    <row r="159" spans="2:16" x14ac:dyDescent="0.25">
      <c r="B159" s="1927">
        <f t="shared" si="12"/>
        <v>0</v>
      </c>
      <c r="C159" s="1928">
        <v>6.5000000000001003E-3</v>
      </c>
      <c r="D159" s="1931" t="e">
        <f>($C$9*24)/((($B$8-BBR+'Product Data'!$K$3-'KB Model Suggestions Tr 2yr'!$C159)/12)*(24-'KB Model Suggestions Tr 2yr'!B159)*'Product Data'!$P$18)</f>
        <v>#N/A</v>
      </c>
      <c r="F159" s="1927">
        <f t="shared" si="13"/>
        <v>0</v>
      </c>
      <c r="G159" s="1928">
        <v>6.5000000000001003E-3</v>
      </c>
      <c r="H159" s="1931" t="e">
        <f>($G$9*24)/((($F$8-BBR+'Product Data'!$K$3-'KB Model Suggestions Tr 2yr'!$G159)/12)*(24-'KB Model Suggestions Tr 2yr'!F159)*'Product Data'!$P$18)</f>
        <v>#N/A</v>
      </c>
      <c r="J159" s="1927">
        <f t="shared" si="14"/>
        <v>0</v>
      </c>
      <c r="K159" s="1928">
        <v>6.5000000000001003E-3</v>
      </c>
      <c r="L159" s="1931" t="e">
        <f>($K$9*24)/((($J$8-BBR+'Product Data'!$K$2-'KB Model Suggestions Tr 2yr'!$K159)/12)*(24-'KB Model Suggestions Tr 2yr'!J159)*'Product Data'!$P$18)</f>
        <v>#N/A</v>
      </c>
      <c r="N159" s="2431">
        <f t="shared" si="15"/>
        <v>0</v>
      </c>
      <c r="O159" s="2392">
        <v>6.5000000000001003E-3</v>
      </c>
      <c r="P159" s="1929" t="e">
        <f>($O$9*60)/((($N$8-$O159)/12)*(60-N159)*'Product Data'!$P$23)</f>
        <v>#N/A</v>
      </c>
    </row>
    <row r="160" spans="2:16" x14ac:dyDescent="0.25">
      <c r="B160" s="1927">
        <f t="shared" si="12"/>
        <v>0</v>
      </c>
      <c r="C160" s="1928">
        <v>6.4000000000001001E-3</v>
      </c>
      <c r="D160" s="1931" t="e">
        <f>($C$9*24)/((($B$8-BBR+'Product Data'!$K$3-'KB Model Suggestions Tr 2yr'!$C160)/12)*(24-'KB Model Suggestions Tr 2yr'!B160)*'Product Data'!$P$18)</f>
        <v>#N/A</v>
      </c>
      <c r="F160" s="1927">
        <f t="shared" si="13"/>
        <v>0</v>
      </c>
      <c r="G160" s="1928">
        <v>6.4000000000001001E-3</v>
      </c>
      <c r="H160" s="1931" t="e">
        <f>($G$9*24)/((($F$8-BBR+'Product Data'!$K$3-'KB Model Suggestions Tr 2yr'!$G160)/12)*(24-'KB Model Suggestions Tr 2yr'!F160)*'Product Data'!$P$18)</f>
        <v>#N/A</v>
      </c>
      <c r="J160" s="1927">
        <f t="shared" si="14"/>
        <v>0</v>
      </c>
      <c r="K160" s="1928">
        <v>6.4000000000001001E-3</v>
      </c>
      <c r="L160" s="1931" t="e">
        <f>($K$9*24)/((($J$8-BBR+'Product Data'!$K$2-'KB Model Suggestions Tr 2yr'!$K160)/12)*(24-'KB Model Suggestions Tr 2yr'!J160)*'Product Data'!$P$18)</f>
        <v>#N/A</v>
      </c>
      <c r="N160" s="2431">
        <f t="shared" si="15"/>
        <v>0</v>
      </c>
      <c r="O160" s="2392">
        <v>6.4000000000001001E-3</v>
      </c>
      <c r="P160" s="1929" t="e">
        <f>($O$9*60)/((($N$8-$O160)/12)*(60-N160)*'Product Data'!$P$23)</f>
        <v>#N/A</v>
      </c>
    </row>
    <row r="161" spans="2:16" x14ac:dyDescent="0.25">
      <c r="B161" s="1927">
        <f t="shared" si="12"/>
        <v>0</v>
      </c>
      <c r="C161" s="1928">
        <v>6.3000000000000998E-3</v>
      </c>
      <c r="D161" s="1931" t="e">
        <f>($C$9*24)/((($B$8-BBR+'Product Data'!$K$3-'KB Model Suggestions Tr 2yr'!$C161)/12)*(24-'KB Model Suggestions Tr 2yr'!B161)*'Product Data'!$P$18)</f>
        <v>#N/A</v>
      </c>
      <c r="F161" s="1927">
        <f t="shared" si="13"/>
        <v>0</v>
      </c>
      <c r="G161" s="1928">
        <v>6.3000000000000998E-3</v>
      </c>
      <c r="H161" s="1931" t="e">
        <f>($G$9*24)/((($F$8-BBR+'Product Data'!$K$3-'KB Model Suggestions Tr 2yr'!$G161)/12)*(24-'KB Model Suggestions Tr 2yr'!F161)*'Product Data'!$P$18)</f>
        <v>#N/A</v>
      </c>
      <c r="J161" s="1927">
        <f t="shared" si="14"/>
        <v>0</v>
      </c>
      <c r="K161" s="1928">
        <v>6.3000000000000998E-3</v>
      </c>
      <c r="L161" s="1931" t="e">
        <f>($K$9*24)/((($J$8-BBR+'Product Data'!$K$2-'KB Model Suggestions Tr 2yr'!$K161)/12)*(24-'KB Model Suggestions Tr 2yr'!J161)*'Product Data'!$P$18)</f>
        <v>#N/A</v>
      </c>
      <c r="N161" s="2431">
        <f t="shared" si="15"/>
        <v>0</v>
      </c>
      <c r="O161" s="2392">
        <v>6.3000000000000998E-3</v>
      </c>
      <c r="P161" s="1929" t="e">
        <f>($O$9*60)/((($N$8-$O161)/12)*(60-N161)*'Product Data'!$P$23)</f>
        <v>#N/A</v>
      </c>
    </row>
    <row r="162" spans="2:16" x14ac:dyDescent="0.25">
      <c r="B162" s="1927">
        <f t="shared" si="12"/>
        <v>0</v>
      </c>
      <c r="C162" s="1928">
        <v>6.2000000000001004E-3</v>
      </c>
      <c r="D162" s="1931" t="e">
        <f>($C$9*24)/((($B$8-BBR+'Product Data'!$K$3-'KB Model Suggestions Tr 2yr'!$C162)/12)*(24-'KB Model Suggestions Tr 2yr'!B162)*'Product Data'!$P$18)</f>
        <v>#N/A</v>
      </c>
      <c r="F162" s="1927">
        <f t="shared" si="13"/>
        <v>0</v>
      </c>
      <c r="G162" s="1928">
        <v>6.2000000000001004E-3</v>
      </c>
      <c r="H162" s="1931" t="e">
        <f>($G$9*24)/((($F$8-BBR+'Product Data'!$K$3-'KB Model Suggestions Tr 2yr'!$G162)/12)*(24-'KB Model Suggestions Tr 2yr'!F162)*'Product Data'!$P$18)</f>
        <v>#N/A</v>
      </c>
      <c r="J162" s="1927">
        <f t="shared" si="14"/>
        <v>0</v>
      </c>
      <c r="K162" s="1928">
        <v>6.2000000000001004E-3</v>
      </c>
      <c r="L162" s="1931" t="e">
        <f>($K$9*24)/((($J$8-BBR+'Product Data'!$K$2-'KB Model Suggestions Tr 2yr'!$K162)/12)*(24-'KB Model Suggestions Tr 2yr'!J162)*'Product Data'!$P$18)</f>
        <v>#N/A</v>
      </c>
      <c r="N162" s="2431">
        <f t="shared" si="15"/>
        <v>0</v>
      </c>
      <c r="O162" s="2392">
        <v>6.2000000000001004E-3</v>
      </c>
      <c r="P162" s="1929" t="e">
        <f>($O$9*60)/((($N$8-$O162)/12)*(60-N162)*'Product Data'!$P$23)</f>
        <v>#N/A</v>
      </c>
    </row>
    <row r="163" spans="2:16" x14ac:dyDescent="0.25">
      <c r="B163" s="1927">
        <f t="shared" si="12"/>
        <v>0</v>
      </c>
      <c r="C163" s="1928">
        <v>6.1000000000001001E-3</v>
      </c>
      <c r="D163" s="1931" t="e">
        <f>($C$9*24)/((($B$8-BBR+'Product Data'!$K$3-'KB Model Suggestions Tr 2yr'!$C163)/12)*(24-'KB Model Suggestions Tr 2yr'!B163)*'Product Data'!$P$18)</f>
        <v>#N/A</v>
      </c>
      <c r="F163" s="1927">
        <f t="shared" si="13"/>
        <v>0</v>
      </c>
      <c r="G163" s="1928">
        <v>6.1000000000001001E-3</v>
      </c>
      <c r="H163" s="1931" t="e">
        <f>($G$9*24)/((($F$8-BBR+'Product Data'!$K$3-'KB Model Suggestions Tr 2yr'!$G163)/12)*(24-'KB Model Suggestions Tr 2yr'!F163)*'Product Data'!$P$18)</f>
        <v>#N/A</v>
      </c>
      <c r="J163" s="1927">
        <f t="shared" si="14"/>
        <v>0</v>
      </c>
      <c r="K163" s="1928">
        <v>6.1000000000001001E-3</v>
      </c>
      <c r="L163" s="1931" t="e">
        <f>($K$9*24)/((($J$8-BBR+'Product Data'!$K$2-'KB Model Suggestions Tr 2yr'!$K163)/12)*(24-'KB Model Suggestions Tr 2yr'!J163)*'Product Data'!$P$18)</f>
        <v>#N/A</v>
      </c>
      <c r="N163" s="2431">
        <f t="shared" si="15"/>
        <v>0</v>
      </c>
      <c r="O163" s="2392">
        <v>6.1000000000001001E-3</v>
      </c>
      <c r="P163" s="1929" t="e">
        <f>($O$9*60)/((($N$8-$O163)/12)*(60-N163)*'Product Data'!$P$23)</f>
        <v>#N/A</v>
      </c>
    </row>
    <row r="164" spans="2:16" x14ac:dyDescent="0.25">
      <c r="B164" s="1927">
        <f t="shared" si="12"/>
        <v>0</v>
      </c>
      <c r="C164" s="1928">
        <v>6.0000000000000999E-3</v>
      </c>
      <c r="D164" s="1931" t="e">
        <f>($C$9*24)/((($B$8-BBR+'Product Data'!$K$3-'KB Model Suggestions Tr 2yr'!$C164)/12)*(24-'KB Model Suggestions Tr 2yr'!B164)*'Product Data'!$P$18)</f>
        <v>#N/A</v>
      </c>
      <c r="F164" s="1927">
        <f t="shared" si="13"/>
        <v>0</v>
      </c>
      <c r="G164" s="1928">
        <v>6.0000000000000999E-3</v>
      </c>
      <c r="H164" s="1931" t="e">
        <f>($G$9*24)/((($F$8-BBR+'Product Data'!$K$3-'KB Model Suggestions Tr 2yr'!$G164)/12)*(24-'KB Model Suggestions Tr 2yr'!F164)*'Product Data'!$P$18)</f>
        <v>#N/A</v>
      </c>
      <c r="J164" s="1927">
        <f t="shared" si="14"/>
        <v>0</v>
      </c>
      <c r="K164" s="1928">
        <v>6.0000000000000999E-3</v>
      </c>
      <c r="L164" s="1931" t="e">
        <f>($K$9*24)/((($J$8-BBR+'Product Data'!$K$2-'KB Model Suggestions Tr 2yr'!$K164)/12)*(24-'KB Model Suggestions Tr 2yr'!J164)*'Product Data'!$P$18)</f>
        <v>#N/A</v>
      </c>
      <c r="N164" s="2431">
        <f t="shared" si="15"/>
        <v>0</v>
      </c>
      <c r="O164" s="2392">
        <v>6.0000000000000999E-3</v>
      </c>
      <c r="P164" s="1929" t="e">
        <f>($O$9*60)/((($N$8-$O164)/12)*(60-N164)*'Product Data'!$P$23)</f>
        <v>#N/A</v>
      </c>
    </row>
    <row r="165" spans="2:16" x14ac:dyDescent="0.25">
      <c r="B165" s="1927">
        <f t="shared" si="12"/>
        <v>0</v>
      </c>
      <c r="C165" s="1928">
        <v>5.9000000000000996E-3</v>
      </c>
      <c r="D165" s="1931" t="e">
        <f>($C$9*24)/((($B$8-BBR+'Product Data'!$K$3-'KB Model Suggestions Tr 2yr'!$C165)/12)*(24-'KB Model Suggestions Tr 2yr'!B165)*'Product Data'!$P$18)</f>
        <v>#N/A</v>
      </c>
      <c r="F165" s="1927">
        <f t="shared" si="13"/>
        <v>0</v>
      </c>
      <c r="G165" s="1928">
        <v>5.9000000000000996E-3</v>
      </c>
      <c r="H165" s="1931" t="e">
        <f>($G$9*24)/((($F$8-BBR+'Product Data'!$K$3-'KB Model Suggestions Tr 2yr'!$G165)/12)*(24-'KB Model Suggestions Tr 2yr'!F165)*'Product Data'!$P$18)</f>
        <v>#N/A</v>
      </c>
      <c r="J165" s="1927">
        <f t="shared" si="14"/>
        <v>0</v>
      </c>
      <c r="K165" s="1928">
        <v>5.9000000000000996E-3</v>
      </c>
      <c r="L165" s="1931" t="e">
        <f>($K$9*24)/((($J$8-BBR+'Product Data'!$K$2-'KB Model Suggestions Tr 2yr'!$K165)/12)*(24-'KB Model Suggestions Tr 2yr'!J165)*'Product Data'!$P$18)</f>
        <v>#N/A</v>
      </c>
      <c r="N165" s="2431">
        <f t="shared" si="15"/>
        <v>0</v>
      </c>
      <c r="O165" s="2392">
        <v>5.9000000000000996E-3</v>
      </c>
      <c r="P165" s="1929" t="e">
        <f>($O$9*60)/((($N$8-$O165)/12)*(60-N165)*'Product Data'!$P$23)</f>
        <v>#N/A</v>
      </c>
    </row>
    <row r="166" spans="2:16" x14ac:dyDescent="0.25">
      <c r="B166" s="1927">
        <f t="shared" si="12"/>
        <v>0</v>
      </c>
      <c r="C166" s="1928">
        <v>5.8000000000001002E-3</v>
      </c>
      <c r="D166" s="1931" t="e">
        <f>($C$9*24)/((($B$8-BBR+'Product Data'!$K$3-'KB Model Suggestions Tr 2yr'!$C166)/12)*(24-'KB Model Suggestions Tr 2yr'!B166)*'Product Data'!$P$18)</f>
        <v>#N/A</v>
      </c>
      <c r="F166" s="1927">
        <f t="shared" si="13"/>
        <v>0</v>
      </c>
      <c r="G166" s="1928">
        <v>5.8000000000001002E-3</v>
      </c>
      <c r="H166" s="1931" t="e">
        <f>($G$9*24)/((($F$8-BBR+'Product Data'!$K$3-'KB Model Suggestions Tr 2yr'!$G166)/12)*(24-'KB Model Suggestions Tr 2yr'!F166)*'Product Data'!$P$18)</f>
        <v>#N/A</v>
      </c>
      <c r="J166" s="1927">
        <f t="shared" si="14"/>
        <v>0</v>
      </c>
      <c r="K166" s="1928">
        <v>5.8000000000001002E-3</v>
      </c>
      <c r="L166" s="1931" t="e">
        <f>($K$9*24)/((($J$8-BBR+'Product Data'!$K$2-'KB Model Suggestions Tr 2yr'!$K166)/12)*(24-'KB Model Suggestions Tr 2yr'!J166)*'Product Data'!$P$18)</f>
        <v>#N/A</v>
      </c>
      <c r="N166" s="2431">
        <f t="shared" si="15"/>
        <v>0</v>
      </c>
      <c r="O166" s="2392">
        <v>5.8000000000001002E-3</v>
      </c>
      <c r="P166" s="1929" t="e">
        <f>($O$9*60)/((($N$8-$O166)/12)*(60-N166)*'Product Data'!$P$23)</f>
        <v>#N/A</v>
      </c>
    </row>
    <row r="167" spans="2:16" x14ac:dyDescent="0.25">
      <c r="B167" s="1927">
        <f t="shared" si="12"/>
        <v>0</v>
      </c>
      <c r="C167" s="1928">
        <v>5.7000000000001E-3</v>
      </c>
      <c r="D167" s="1931" t="e">
        <f>($C$9*24)/((($B$8-BBR+'Product Data'!$K$3-'KB Model Suggestions Tr 2yr'!$C167)/12)*(24-'KB Model Suggestions Tr 2yr'!B167)*'Product Data'!$P$18)</f>
        <v>#N/A</v>
      </c>
      <c r="F167" s="1927">
        <f t="shared" si="13"/>
        <v>0</v>
      </c>
      <c r="G167" s="1928">
        <v>5.7000000000001E-3</v>
      </c>
      <c r="H167" s="1931" t="e">
        <f>($G$9*24)/((($F$8-BBR+'Product Data'!$K$3-'KB Model Suggestions Tr 2yr'!$G167)/12)*(24-'KB Model Suggestions Tr 2yr'!F167)*'Product Data'!$P$18)</f>
        <v>#N/A</v>
      </c>
      <c r="J167" s="1927">
        <f t="shared" si="14"/>
        <v>0</v>
      </c>
      <c r="K167" s="1928">
        <v>5.7000000000001E-3</v>
      </c>
      <c r="L167" s="1931" t="e">
        <f>($K$9*24)/((($J$8-BBR+'Product Data'!$K$2-'KB Model Suggestions Tr 2yr'!$K167)/12)*(24-'KB Model Suggestions Tr 2yr'!J167)*'Product Data'!$P$18)</f>
        <v>#N/A</v>
      </c>
      <c r="N167" s="2431">
        <f t="shared" si="15"/>
        <v>0</v>
      </c>
      <c r="O167" s="2392">
        <v>5.7000000000001E-3</v>
      </c>
      <c r="P167" s="1929" t="e">
        <f>($O$9*60)/((($N$8-$O167)/12)*(60-N167)*'Product Data'!$P$23)</f>
        <v>#N/A</v>
      </c>
    </row>
    <row r="168" spans="2:16" x14ac:dyDescent="0.25">
      <c r="B168" s="1927">
        <f t="shared" si="12"/>
        <v>0</v>
      </c>
      <c r="C168" s="1928">
        <v>5.6000000000000997E-3</v>
      </c>
      <c r="D168" s="1931" t="e">
        <f>($C$9*24)/((($B$8-BBR+'Product Data'!$K$3-'KB Model Suggestions Tr 2yr'!$C168)/12)*(24-'KB Model Suggestions Tr 2yr'!B168)*'Product Data'!$P$18)</f>
        <v>#N/A</v>
      </c>
      <c r="F168" s="1927">
        <f t="shared" si="13"/>
        <v>0</v>
      </c>
      <c r="G168" s="1928">
        <v>5.6000000000000997E-3</v>
      </c>
      <c r="H168" s="1931" t="e">
        <f>($G$9*24)/((($F$8-BBR+'Product Data'!$K$3-'KB Model Suggestions Tr 2yr'!$G168)/12)*(24-'KB Model Suggestions Tr 2yr'!F168)*'Product Data'!$P$18)</f>
        <v>#N/A</v>
      </c>
      <c r="J168" s="1927">
        <f t="shared" si="14"/>
        <v>0</v>
      </c>
      <c r="K168" s="1928">
        <v>5.6000000000000997E-3</v>
      </c>
      <c r="L168" s="1931" t="e">
        <f>($K$9*24)/((($J$8-BBR+'Product Data'!$K$2-'KB Model Suggestions Tr 2yr'!$K168)/12)*(24-'KB Model Suggestions Tr 2yr'!J168)*'Product Data'!$P$18)</f>
        <v>#N/A</v>
      </c>
      <c r="N168" s="2431">
        <f t="shared" si="15"/>
        <v>0</v>
      </c>
      <c r="O168" s="2392">
        <v>5.6000000000000997E-3</v>
      </c>
      <c r="P168" s="1929" t="e">
        <f>($O$9*60)/((($N$8-$O168)/12)*(60-N168)*'Product Data'!$P$23)</f>
        <v>#N/A</v>
      </c>
    </row>
    <row r="169" spans="2:16" x14ac:dyDescent="0.25">
      <c r="B169" s="1927">
        <f t="shared" si="12"/>
        <v>0</v>
      </c>
      <c r="C169" s="1928">
        <v>5.5000000000001003E-3</v>
      </c>
      <c r="D169" s="1931" t="e">
        <f>($C$9*24)/((($B$8-BBR+'Product Data'!$K$3-'KB Model Suggestions Tr 2yr'!$C169)/12)*(24-'KB Model Suggestions Tr 2yr'!B169)*'Product Data'!$P$18)</f>
        <v>#N/A</v>
      </c>
      <c r="F169" s="1927">
        <f t="shared" si="13"/>
        <v>0</v>
      </c>
      <c r="G169" s="1928">
        <v>5.5000000000001003E-3</v>
      </c>
      <c r="H169" s="1931" t="e">
        <f>($G$9*24)/((($F$8-BBR+'Product Data'!$K$3-'KB Model Suggestions Tr 2yr'!$G169)/12)*(24-'KB Model Suggestions Tr 2yr'!F169)*'Product Data'!$P$18)</f>
        <v>#N/A</v>
      </c>
      <c r="J169" s="1927">
        <f t="shared" si="14"/>
        <v>0</v>
      </c>
      <c r="K169" s="1928">
        <v>5.5000000000001003E-3</v>
      </c>
      <c r="L169" s="1931" t="e">
        <f>($K$9*24)/((($J$8-BBR+'Product Data'!$K$2-'KB Model Suggestions Tr 2yr'!$K169)/12)*(24-'KB Model Suggestions Tr 2yr'!J169)*'Product Data'!$P$18)</f>
        <v>#N/A</v>
      </c>
      <c r="N169" s="2431">
        <f t="shared" si="15"/>
        <v>0</v>
      </c>
      <c r="O169" s="2392">
        <v>5.5000000000001003E-3</v>
      </c>
      <c r="P169" s="1929" t="e">
        <f>($O$9*60)/((($N$8-$O169)/12)*(60-N169)*'Product Data'!$P$23)</f>
        <v>#N/A</v>
      </c>
    </row>
    <row r="170" spans="2:16" x14ac:dyDescent="0.25">
      <c r="B170" s="1927">
        <f t="shared" si="12"/>
        <v>0</v>
      </c>
      <c r="C170" s="1928">
        <v>5.4000000000001E-3</v>
      </c>
      <c r="D170" s="1931" t="e">
        <f>($C$9*24)/((($B$8-BBR+'Product Data'!$K$3-'KB Model Suggestions Tr 2yr'!$C170)/12)*(24-'KB Model Suggestions Tr 2yr'!B170)*'Product Data'!$P$18)</f>
        <v>#N/A</v>
      </c>
      <c r="F170" s="1927">
        <f t="shared" si="13"/>
        <v>0</v>
      </c>
      <c r="G170" s="1928">
        <v>5.4000000000001E-3</v>
      </c>
      <c r="H170" s="1931" t="e">
        <f>($G$9*24)/((($F$8-BBR+'Product Data'!$K$3-'KB Model Suggestions Tr 2yr'!$G170)/12)*(24-'KB Model Suggestions Tr 2yr'!F170)*'Product Data'!$P$18)</f>
        <v>#N/A</v>
      </c>
      <c r="J170" s="1927">
        <f t="shared" si="14"/>
        <v>0</v>
      </c>
      <c r="K170" s="1928">
        <v>5.4000000000001E-3</v>
      </c>
      <c r="L170" s="1931" t="e">
        <f>($K$9*24)/((($J$8-BBR+'Product Data'!$K$2-'KB Model Suggestions Tr 2yr'!$K170)/12)*(24-'KB Model Suggestions Tr 2yr'!J170)*'Product Data'!$P$18)</f>
        <v>#N/A</v>
      </c>
      <c r="N170" s="2431">
        <f t="shared" si="15"/>
        <v>0</v>
      </c>
      <c r="O170" s="2392">
        <v>5.4000000000001E-3</v>
      </c>
      <c r="P170" s="1929" t="e">
        <f>($O$9*60)/((($N$8-$O170)/12)*(60-N170)*'Product Data'!$P$23)</f>
        <v>#N/A</v>
      </c>
    </row>
    <row r="171" spans="2:16" x14ac:dyDescent="0.25">
      <c r="B171" s="1927">
        <f t="shared" si="12"/>
        <v>0</v>
      </c>
      <c r="C171" s="1928">
        <v>5.3000000000000998E-3</v>
      </c>
      <c r="D171" s="1931" t="e">
        <f>($C$9*24)/((($B$8-BBR+'Product Data'!$K$3-'KB Model Suggestions Tr 2yr'!$C171)/12)*(24-'KB Model Suggestions Tr 2yr'!B171)*'Product Data'!$P$18)</f>
        <v>#N/A</v>
      </c>
      <c r="F171" s="1927">
        <f t="shared" si="13"/>
        <v>0</v>
      </c>
      <c r="G171" s="1928">
        <v>5.3000000000000998E-3</v>
      </c>
      <c r="H171" s="1931" t="e">
        <f>($G$9*24)/((($F$8-BBR+'Product Data'!$K$3-'KB Model Suggestions Tr 2yr'!$G171)/12)*(24-'KB Model Suggestions Tr 2yr'!F171)*'Product Data'!$P$18)</f>
        <v>#N/A</v>
      </c>
      <c r="J171" s="1927">
        <f t="shared" si="14"/>
        <v>0</v>
      </c>
      <c r="K171" s="1928">
        <v>5.3000000000000998E-3</v>
      </c>
      <c r="L171" s="1931" t="e">
        <f>($K$9*24)/((($J$8-BBR+'Product Data'!$K$2-'KB Model Suggestions Tr 2yr'!$K171)/12)*(24-'KB Model Suggestions Tr 2yr'!J171)*'Product Data'!$P$18)</f>
        <v>#N/A</v>
      </c>
      <c r="N171" s="2431">
        <f t="shared" si="15"/>
        <v>0</v>
      </c>
      <c r="O171" s="2392">
        <v>5.3000000000000998E-3</v>
      </c>
      <c r="P171" s="1929" t="e">
        <f>($O$9*60)/((($N$8-$O171)/12)*(60-N171)*'Product Data'!$P$23)</f>
        <v>#N/A</v>
      </c>
    </row>
    <row r="172" spans="2:16" x14ac:dyDescent="0.25">
      <c r="B172" s="1927">
        <f t="shared" si="12"/>
        <v>0</v>
      </c>
      <c r="C172" s="1928">
        <v>5.2000000000001004E-3</v>
      </c>
      <c r="D172" s="1931" t="e">
        <f>($C$9*24)/((($B$8-BBR+'Product Data'!$K$3-'KB Model Suggestions Tr 2yr'!$C172)/12)*(24-'KB Model Suggestions Tr 2yr'!B172)*'Product Data'!$P$18)</f>
        <v>#N/A</v>
      </c>
      <c r="F172" s="1927">
        <f t="shared" si="13"/>
        <v>0</v>
      </c>
      <c r="G172" s="1928">
        <v>5.2000000000001004E-3</v>
      </c>
      <c r="H172" s="1931" t="e">
        <f>($G$9*24)/((($F$8-BBR+'Product Data'!$K$3-'KB Model Suggestions Tr 2yr'!$G172)/12)*(24-'KB Model Suggestions Tr 2yr'!F172)*'Product Data'!$P$18)</f>
        <v>#N/A</v>
      </c>
      <c r="J172" s="1927">
        <f t="shared" si="14"/>
        <v>0</v>
      </c>
      <c r="K172" s="1928">
        <v>5.2000000000001004E-3</v>
      </c>
      <c r="L172" s="1931" t="e">
        <f>($K$9*24)/((($J$8-BBR+'Product Data'!$K$2-'KB Model Suggestions Tr 2yr'!$K172)/12)*(24-'KB Model Suggestions Tr 2yr'!J172)*'Product Data'!$P$18)</f>
        <v>#N/A</v>
      </c>
      <c r="N172" s="2431">
        <f t="shared" si="15"/>
        <v>0</v>
      </c>
      <c r="O172" s="2392">
        <v>5.2000000000001004E-3</v>
      </c>
      <c r="P172" s="1929" t="e">
        <f>($O$9*60)/((($N$8-$O172)/12)*(60-N172)*'Product Data'!$P$23)</f>
        <v>#N/A</v>
      </c>
    </row>
    <row r="173" spans="2:16" x14ac:dyDescent="0.25">
      <c r="B173" s="1927">
        <f t="shared" si="12"/>
        <v>0</v>
      </c>
      <c r="C173" s="1928">
        <v>5.1000000000001001E-3</v>
      </c>
      <c r="D173" s="1931" t="e">
        <f>($C$9*24)/((($B$8-BBR+'Product Data'!$K$3-'KB Model Suggestions Tr 2yr'!$C173)/12)*(24-'KB Model Suggestions Tr 2yr'!B173)*'Product Data'!$P$18)</f>
        <v>#N/A</v>
      </c>
      <c r="F173" s="1927">
        <f t="shared" si="13"/>
        <v>0</v>
      </c>
      <c r="G173" s="1928">
        <v>5.1000000000001001E-3</v>
      </c>
      <c r="H173" s="1931" t="e">
        <f>($G$9*24)/((($F$8-BBR+'Product Data'!$K$3-'KB Model Suggestions Tr 2yr'!$G173)/12)*(24-'KB Model Suggestions Tr 2yr'!F173)*'Product Data'!$P$18)</f>
        <v>#N/A</v>
      </c>
      <c r="J173" s="1927">
        <f t="shared" si="14"/>
        <v>0</v>
      </c>
      <c r="K173" s="1928">
        <v>5.1000000000001001E-3</v>
      </c>
      <c r="L173" s="1931" t="e">
        <f>($K$9*24)/((($J$8-BBR+'Product Data'!$K$2-'KB Model Suggestions Tr 2yr'!$K173)/12)*(24-'KB Model Suggestions Tr 2yr'!J173)*'Product Data'!$P$18)</f>
        <v>#N/A</v>
      </c>
      <c r="N173" s="2431">
        <f t="shared" si="15"/>
        <v>0</v>
      </c>
      <c r="O173" s="2392">
        <v>5.1000000000001001E-3</v>
      </c>
      <c r="P173" s="1929" t="e">
        <f>($O$9*60)/((($N$8-$O173)/12)*(60-N173)*'Product Data'!$P$23)</f>
        <v>#N/A</v>
      </c>
    </row>
    <row r="174" spans="2:16" x14ac:dyDescent="0.25">
      <c r="B174" s="1927">
        <f t="shared" si="12"/>
        <v>0</v>
      </c>
      <c r="C174" s="1928">
        <v>5.0000000000000999E-3</v>
      </c>
      <c r="D174" s="1931" t="e">
        <f>($C$9*24)/((($B$8-BBR+'Product Data'!$K$3-'KB Model Suggestions Tr 2yr'!$C174)/12)*(24-'KB Model Suggestions Tr 2yr'!B174)*'Product Data'!$P$18)</f>
        <v>#N/A</v>
      </c>
      <c r="F174" s="1927">
        <f t="shared" si="13"/>
        <v>0</v>
      </c>
      <c r="G174" s="1928">
        <v>5.0000000000000999E-3</v>
      </c>
      <c r="H174" s="1931" t="e">
        <f>($G$9*24)/((($F$8-BBR+'Product Data'!$K$3-'KB Model Suggestions Tr 2yr'!$G174)/12)*(24-'KB Model Suggestions Tr 2yr'!F174)*'Product Data'!$P$18)</f>
        <v>#N/A</v>
      </c>
      <c r="J174" s="1927">
        <f t="shared" si="14"/>
        <v>0</v>
      </c>
      <c r="K174" s="1928">
        <v>5.0000000000000999E-3</v>
      </c>
      <c r="L174" s="1931" t="e">
        <f>($K$9*24)/((($J$8-BBR+'Product Data'!$K$2-'KB Model Suggestions Tr 2yr'!$K174)/12)*(24-'KB Model Suggestions Tr 2yr'!J174)*'Product Data'!$P$18)</f>
        <v>#N/A</v>
      </c>
      <c r="N174" s="2431">
        <f t="shared" si="15"/>
        <v>0</v>
      </c>
      <c r="O174" s="2392">
        <v>5.0000000000000999E-3</v>
      </c>
      <c r="P174" s="1929" t="e">
        <f>($O$9*60)/((($N$8-$O174)/12)*(60-N174)*'Product Data'!$P$23)</f>
        <v>#N/A</v>
      </c>
    </row>
    <row r="175" spans="2:16" x14ac:dyDescent="0.25">
      <c r="B175" s="1927">
        <f t="shared" si="12"/>
        <v>0</v>
      </c>
      <c r="C175" s="1928">
        <v>4.9000000000000996E-3</v>
      </c>
      <c r="D175" s="1931" t="e">
        <f>($C$9*24)/((($B$8-BBR+'Product Data'!$K$3-'KB Model Suggestions Tr 2yr'!$C175)/12)*(24-'KB Model Suggestions Tr 2yr'!B175)*'Product Data'!$P$18)</f>
        <v>#N/A</v>
      </c>
      <c r="F175" s="1927">
        <f t="shared" si="13"/>
        <v>0</v>
      </c>
      <c r="G175" s="1928">
        <v>4.9000000000000996E-3</v>
      </c>
      <c r="H175" s="1931" t="e">
        <f>($G$9*24)/((($F$8-BBR+'Product Data'!$K$3-'KB Model Suggestions Tr 2yr'!$G175)/12)*(24-'KB Model Suggestions Tr 2yr'!F175)*'Product Data'!$P$18)</f>
        <v>#N/A</v>
      </c>
      <c r="J175" s="1927">
        <f t="shared" si="14"/>
        <v>0</v>
      </c>
      <c r="K175" s="1928">
        <v>4.9000000000000996E-3</v>
      </c>
      <c r="L175" s="1931" t="e">
        <f>($K$9*24)/((($J$8-BBR+'Product Data'!$K$2-'KB Model Suggestions Tr 2yr'!$K175)/12)*(24-'KB Model Suggestions Tr 2yr'!J175)*'Product Data'!$P$18)</f>
        <v>#N/A</v>
      </c>
      <c r="N175" s="2431">
        <f t="shared" si="15"/>
        <v>0</v>
      </c>
      <c r="O175" s="2392">
        <v>4.9000000000000996E-3</v>
      </c>
      <c r="P175" s="1929" t="e">
        <f>($O$9*60)/((($N$8-$O175)/12)*(60-N175)*'Product Data'!$P$23)</f>
        <v>#N/A</v>
      </c>
    </row>
    <row r="176" spans="2:16" x14ac:dyDescent="0.25">
      <c r="B176" s="1927">
        <f t="shared" si="12"/>
        <v>0</v>
      </c>
      <c r="C176" s="1928">
        <v>4.8000000000001002E-3</v>
      </c>
      <c r="D176" s="1931" t="e">
        <f>($C$9*24)/((($B$8-BBR+'Product Data'!$K$3-'KB Model Suggestions Tr 2yr'!$C176)/12)*(24-'KB Model Suggestions Tr 2yr'!B176)*'Product Data'!$P$18)</f>
        <v>#N/A</v>
      </c>
      <c r="F176" s="1927">
        <f t="shared" si="13"/>
        <v>0</v>
      </c>
      <c r="G176" s="1928">
        <v>4.8000000000001002E-3</v>
      </c>
      <c r="H176" s="1931" t="e">
        <f>($G$9*24)/((($F$8-BBR+'Product Data'!$K$3-'KB Model Suggestions Tr 2yr'!$G176)/12)*(24-'KB Model Suggestions Tr 2yr'!F176)*'Product Data'!$P$18)</f>
        <v>#N/A</v>
      </c>
      <c r="J176" s="1927">
        <f t="shared" si="14"/>
        <v>0</v>
      </c>
      <c r="K176" s="1928">
        <v>4.8000000000001002E-3</v>
      </c>
      <c r="L176" s="1931" t="e">
        <f>($K$9*24)/((($J$8-BBR+'Product Data'!$K$2-'KB Model Suggestions Tr 2yr'!$K176)/12)*(24-'KB Model Suggestions Tr 2yr'!J176)*'Product Data'!$P$18)</f>
        <v>#N/A</v>
      </c>
      <c r="N176" s="2431">
        <f t="shared" si="15"/>
        <v>0</v>
      </c>
      <c r="O176" s="2392">
        <v>4.8000000000001002E-3</v>
      </c>
      <c r="P176" s="1929" t="e">
        <f>($O$9*60)/((($N$8-$O176)/12)*(60-N176)*'Product Data'!$P$23)</f>
        <v>#N/A</v>
      </c>
    </row>
    <row r="177" spans="2:16" x14ac:dyDescent="0.25">
      <c r="B177" s="1927">
        <f t="shared" si="12"/>
        <v>0</v>
      </c>
      <c r="C177" s="1928">
        <v>4.7000000000000999E-3</v>
      </c>
      <c r="D177" s="1931" t="e">
        <f>($C$9*24)/((($B$8-BBR+'Product Data'!$K$3-'KB Model Suggestions Tr 2yr'!$C177)/12)*(24-'KB Model Suggestions Tr 2yr'!B177)*'Product Data'!$P$18)</f>
        <v>#N/A</v>
      </c>
      <c r="F177" s="1927">
        <f t="shared" si="13"/>
        <v>0</v>
      </c>
      <c r="G177" s="1928">
        <v>4.7000000000000999E-3</v>
      </c>
      <c r="H177" s="1931" t="e">
        <f>($G$9*24)/((($F$8-BBR+'Product Data'!$K$3-'KB Model Suggestions Tr 2yr'!$G177)/12)*(24-'KB Model Suggestions Tr 2yr'!F177)*'Product Data'!$P$18)</f>
        <v>#N/A</v>
      </c>
      <c r="J177" s="1927">
        <f t="shared" si="14"/>
        <v>0</v>
      </c>
      <c r="K177" s="1928">
        <v>4.7000000000000999E-3</v>
      </c>
      <c r="L177" s="1931" t="e">
        <f>($K$9*24)/((($J$8-BBR+'Product Data'!$K$2-'KB Model Suggestions Tr 2yr'!$K177)/12)*(24-'KB Model Suggestions Tr 2yr'!J177)*'Product Data'!$P$18)</f>
        <v>#N/A</v>
      </c>
      <c r="N177" s="2431">
        <f t="shared" si="15"/>
        <v>0</v>
      </c>
      <c r="O177" s="2392">
        <v>4.7000000000000999E-3</v>
      </c>
      <c r="P177" s="1929" t="e">
        <f>($O$9*60)/((($N$8-$O177)/12)*(60-N177)*'Product Data'!$P$23)</f>
        <v>#N/A</v>
      </c>
    </row>
    <row r="178" spans="2:16" x14ac:dyDescent="0.25">
      <c r="B178" s="1927">
        <f t="shared" si="12"/>
        <v>0</v>
      </c>
      <c r="C178" s="1928">
        <v>4.6000000000000997E-3</v>
      </c>
      <c r="D178" s="1931" t="e">
        <f>($C$9*24)/((($B$8-BBR+'Product Data'!$K$3-'KB Model Suggestions Tr 2yr'!$C178)/12)*(24-'KB Model Suggestions Tr 2yr'!B178)*'Product Data'!$P$18)</f>
        <v>#N/A</v>
      </c>
      <c r="F178" s="1927">
        <f t="shared" si="13"/>
        <v>0</v>
      </c>
      <c r="G178" s="1928">
        <v>4.6000000000000997E-3</v>
      </c>
      <c r="H178" s="1931" t="e">
        <f>($G$9*24)/((($F$8-BBR+'Product Data'!$K$3-'KB Model Suggestions Tr 2yr'!$G178)/12)*(24-'KB Model Suggestions Tr 2yr'!F178)*'Product Data'!$P$18)</f>
        <v>#N/A</v>
      </c>
      <c r="J178" s="1927">
        <f t="shared" si="14"/>
        <v>0</v>
      </c>
      <c r="K178" s="1928">
        <v>4.6000000000000997E-3</v>
      </c>
      <c r="L178" s="1931" t="e">
        <f>($K$9*24)/((($J$8-BBR+'Product Data'!$K$2-'KB Model Suggestions Tr 2yr'!$K178)/12)*(24-'KB Model Suggestions Tr 2yr'!J178)*'Product Data'!$P$18)</f>
        <v>#N/A</v>
      </c>
      <c r="N178" s="2431">
        <f t="shared" si="15"/>
        <v>0</v>
      </c>
      <c r="O178" s="2392">
        <v>4.6000000000000997E-3</v>
      </c>
      <c r="P178" s="1929" t="e">
        <f>($O$9*60)/((($N$8-$O178)/12)*(60-N178)*'Product Data'!$P$23)</f>
        <v>#N/A</v>
      </c>
    </row>
    <row r="179" spans="2:16" x14ac:dyDescent="0.25">
      <c r="B179" s="1927">
        <f t="shared" si="12"/>
        <v>0</v>
      </c>
      <c r="C179" s="1928">
        <v>4.5000000000001003E-3</v>
      </c>
      <c r="D179" s="1931" t="e">
        <f>($C$9*24)/((($B$8-BBR+'Product Data'!$K$3-'KB Model Suggestions Tr 2yr'!$C179)/12)*(24-'KB Model Suggestions Tr 2yr'!B179)*'Product Data'!$P$18)</f>
        <v>#N/A</v>
      </c>
      <c r="F179" s="1927">
        <f t="shared" si="13"/>
        <v>0</v>
      </c>
      <c r="G179" s="1928">
        <v>4.5000000000001003E-3</v>
      </c>
      <c r="H179" s="1931" t="e">
        <f>($G$9*24)/((($F$8-BBR+'Product Data'!$K$3-'KB Model Suggestions Tr 2yr'!$G179)/12)*(24-'KB Model Suggestions Tr 2yr'!F179)*'Product Data'!$P$18)</f>
        <v>#N/A</v>
      </c>
      <c r="J179" s="1927">
        <f t="shared" si="14"/>
        <v>0</v>
      </c>
      <c r="K179" s="1928">
        <v>4.5000000000001003E-3</v>
      </c>
      <c r="L179" s="1931" t="e">
        <f>($K$9*24)/((($J$8-BBR+'Product Data'!$K$2-'KB Model Suggestions Tr 2yr'!$K179)/12)*(24-'KB Model Suggestions Tr 2yr'!J179)*'Product Data'!$P$18)</f>
        <v>#N/A</v>
      </c>
      <c r="N179" s="2431">
        <f t="shared" si="15"/>
        <v>0</v>
      </c>
      <c r="O179" s="2392">
        <v>4.5000000000001003E-3</v>
      </c>
      <c r="P179" s="1929" t="e">
        <f>($O$9*60)/((($N$8-$O179)/12)*(60-N179)*'Product Data'!$P$23)</f>
        <v>#N/A</v>
      </c>
    </row>
    <row r="180" spans="2:16" x14ac:dyDescent="0.25">
      <c r="B180" s="1927">
        <f t="shared" si="12"/>
        <v>0</v>
      </c>
      <c r="C180" s="1928">
        <v>4.4000000000001E-3</v>
      </c>
      <c r="D180" s="1931" t="e">
        <f>($C$9*24)/((($B$8-BBR+'Product Data'!$K$3-'KB Model Suggestions Tr 2yr'!$C180)/12)*(24-'KB Model Suggestions Tr 2yr'!B180)*'Product Data'!$P$18)</f>
        <v>#N/A</v>
      </c>
      <c r="F180" s="1927">
        <f t="shared" si="13"/>
        <v>0</v>
      </c>
      <c r="G180" s="1928">
        <v>4.4000000000001E-3</v>
      </c>
      <c r="H180" s="1931" t="e">
        <f>($G$9*24)/((($F$8-BBR+'Product Data'!$K$3-'KB Model Suggestions Tr 2yr'!$G180)/12)*(24-'KB Model Suggestions Tr 2yr'!F180)*'Product Data'!$P$18)</f>
        <v>#N/A</v>
      </c>
      <c r="J180" s="1927">
        <f t="shared" si="14"/>
        <v>0</v>
      </c>
      <c r="K180" s="1928">
        <v>4.4000000000001E-3</v>
      </c>
      <c r="L180" s="1931" t="e">
        <f>($K$9*24)/((($J$8-BBR+'Product Data'!$K$2-'KB Model Suggestions Tr 2yr'!$K180)/12)*(24-'KB Model Suggestions Tr 2yr'!J180)*'Product Data'!$P$18)</f>
        <v>#N/A</v>
      </c>
      <c r="N180" s="2431">
        <f t="shared" si="15"/>
        <v>0</v>
      </c>
      <c r="O180" s="2392">
        <v>4.4000000000001E-3</v>
      </c>
      <c r="P180" s="1929" t="e">
        <f>($O$9*60)/((($N$8-$O180)/12)*(60-N180)*'Product Data'!$P$23)</f>
        <v>#N/A</v>
      </c>
    </row>
    <row r="181" spans="2:16" x14ac:dyDescent="0.25">
      <c r="B181" s="1927">
        <f t="shared" si="12"/>
        <v>0</v>
      </c>
      <c r="C181" s="1928">
        <v>4.3000000000000997E-3</v>
      </c>
      <c r="D181" s="1931" t="e">
        <f>($C$9*24)/((($B$8-BBR+'Product Data'!$K$3-'KB Model Suggestions Tr 2yr'!$C181)/12)*(24-'KB Model Suggestions Tr 2yr'!B181)*'Product Data'!$P$18)</f>
        <v>#N/A</v>
      </c>
      <c r="F181" s="1927">
        <f t="shared" si="13"/>
        <v>0</v>
      </c>
      <c r="G181" s="1928">
        <v>4.3000000000000997E-3</v>
      </c>
      <c r="H181" s="1931" t="e">
        <f>($G$9*24)/((($F$8-BBR+'Product Data'!$K$3-'KB Model Suggestions Tr 2yr'!$G181)/12)*(24-'KB Model Suggestions Tr 2yr'!F181)*'Product Data'!$P$18)</f>
        <v>#N/A</v>
      </c>
      <c r="J181" s="1927">
        <f t="shared" si="14"/>
        <v>0</v>
      </c>
      <c r="K181" s="1928">
        <v>4.3000000000000997E-3</v>
      </c>
      <c r="L181" s="1931" t="e">
        <f>($K$9*24)/((($J$8-BBR+'Product Data'!$K$2-'KB Model Suggestions Tr 2yr'!$K181)/12)*(24-'KB Model Suggestions Tr 2yr'!J181)*'Product Data'!$P$18)</f>
        <v>#N/A</v>
      </c>
      <c r="N181" s="2431">
        <f t="shared" si="15"/>
        <v>0</v>
      </c>
      <c r="O181" s="2392">
        <v>4.3000000000000997E-3</v>
      </c>
      <c r="P181" s="1929" t="e">
        <f>($O$9*60)/((($N$8-$O181)/12)*(60-N181)*'Product Data'!$P$23)</f>
        <v>#N/A</v>
      </c>
    </row>
    <row r="182" spans="2:16" x14ac:dyDescent="0.25">
      <c r="B182" s="1927">
        <f t="shared" si="12"/>
        <v>0</v>
      </c>
      <c r="C182" s="1928">
        <v>4.2000000000001004E-3</v>
      </c>
      <c r="D182" s="1931" t="e">
        <f>($C$9*24)/((($B$8-BBR+'Product Data'!$K$3-'KB Model Suggestions Tr 2yr'!$C182)/12)*(24-'KB Model Suggestions Tr 2yr'!B182)*'Product Data'!$P$18)</f>
        <v>#N/A</v>
      </c>
      <c r="F182" s="1927">
        <f t="shared" si="13"/>
        <v>0</v>
      </c>
      <c r="G182" s="1928">
        <v>4.2000000000001004E-3</v>
      </c>
      <c r="H182" s="1931" t="e">
        <f>($G$9*24)/((($F$8-BBR+'Product Data'!$K$3-'KB Model Suggestions Tr 2yr'!$G182)/12)*(24-'KB Model Suggestions Tr 2yr'!F182)*'Product Data'!$P$18)</f>
        <v>#N/A</v>
      </c>
      <c r="J182" s="1927">
        <f t="shared" si="14"/>
        <v>0</v>
      </c>
      <c r="K182" s="1928">
        <v>4.2000000000001004E-3</v>
      </c>
      <c r="L182" s="1931" t="e">
        <f>($K$9*24)/((($J$8-BBR+'Product Data'!$K$2-'KB Model Suggestions Tr 2yr'!$K182)/12)*(24-'KB Model Suggestions Tr 2yr'!J182)*'Product Data'!$P$18)</f>
        <v>#N/A</v>
      </c>
      <c r="N182" s="2431">
        <f t="shared" si="15"/>
        <v>0</v>
      </c>
      <c r="O182" s="2392">
        <v>4.2000000000001004E-3</v>
      </c>
      <c r="P182" s="1929" t="e">
        <f>($O$9*60)/((($N$8-$O182)/12)*(60-N182)*'Product Data'!$P$23)</f>
        <v>#N/A</v>
      </c>
    </row>
    <row r="183" spans="2:16" x14ac:dyDescent="0.25">
      <c r="B183" s="1927">
        <f t="shared" si="12"/>
        <v>0</v>
      </c>
      <c r="C183" s="1928">
        <v>4.1000000000001001E-3</v>
      </c>
      <c r="D183" s="1931" t="e">
        <f>($C$9*24)/((($B$8-BBR+'Product Data'!$K$3-'KB Model Suggestions Tr 2yr'!$C183)/12)*(24-'KB Model Suggestions Tr 2yr'!B183)*'Product Data'!$P$18)</f>
        <v>#N/A</v>
      </c>
      <c r="F183" s="1927">
        <f t="shared" si="13"/>
        <v>0</v>
      </c>
      <c r="G183" s="1928">
        <v>4.1000000000001001E-3</v>
      </c>
      <c r="H183" s="1931" t="e">
        <f>($G$9*24)/((($F$8-BBR+'Product Data'!$K$3-'KB Model Suggestions Tr 2yr'!$G183)/12)*(24-'KB Model Suggestions Tr 2yr'!F183)*'Product Data'!$P$18)</f>
        <v>#N/A</v>
      </c>
      <c r="J183" s="1927">
        <f t="shared" si="14"/>
        <v>0</v>
      </c>
      <c r="K183" s="1928">
        <v>4.1000000000001001E-3</v>
      </c>
      <c r="L183" s="1931" t="e">
        <f>($K$9*24)/((($J$8-BBR+'Product Data'!$K$2-'KB Model Suggestions Tr 2yr'!$K183)/12)*(24-'KB Model Suggestions Tr 2yr'!J183)*'Product Data'!$P$18)</f>
        <v>#N/A</v>
      </c>
      <c r="N183" s="2431">
        <f t="shared" si="15"/>
        <v>0</v>
      </c>
      <c r="O183" s="2392">
        <v>4.1000000000001001E-3</v>
      </c>
      <c r="P183" s="1929" t="e">
        <f>($O$9*60)/((($N$8-$O183)/12)*(60-N183)*'Product Data'!$P$23)</f>
        <v>#N/A</v>
      </c>
    </row>
    <row r="184" spans="2:16" x14ac:dyDescent="0.25">
      <c r="B184" s="1927">
        <f t="shared" si="12"/>
        <v>0</v>
      </c>
      <c r="C184" s="1928">
        <v>4.0000000000000998E-3</v>
      </c>
      <c r="D184" s="1931" t="e">
        <f>($C$9*24)/((($B$8-BBR+'Product Data'!$K$3-'KB Model Suggestions Tr 2yr'!$C184)/12)*(24-'KB Model Suggestions Tr 2yr'!B184)*'Product Data'!$P$18)</f>
        <v>#N/A</v>
      </c>
      <c r="F184" s="1927">
        <f t="shared" si="13"/>
        <v>0</v>
      </c>
      <c r="G184" s="1928">
        <v>4.0000000000000998E-3</v>
      </c>
      <c r="H184" s="1931" t="e">
        <f>($G$9*24)/((($F$8-BBR+'Product Data'!$K$3-'KB Model Suggestions Tr 2yr'!$G184)/12)*(24-'KB Model Suggestions Tr 2yr'!F184)*'Product Data'!$P$18)</f>
        <v>#N/A</v>
      </c>
      <c r="J184" s="1927">
        <f t="shared" si="14"/>
        <v>0</v>
      </c>
      <c r="K184" s="1928">
        <v>4.0000000000000998E-3</v>
      </c>
      <c r="L184" s="1931" t="e">
        <f>($K$9*24)/((($J$8-BBR+'Product Data'!$K$2-'KB Model Suggestions Tr 2yr'!$K184)/12)*(24-'KB Model Suggestions Tr 2yr'!J184)*'Product Data'!$P$18)</f>
        <v>#N/A</v>
      </c>
      <c r="N184" s="2431">
        <f t="shared" si="15"/>
        <v>0</v>
      </c>
      <c r="O184" s="2392">
        <v>4.0000000000000998E-3</v>
      </c>
      <c r="P184" s="1929" t="e">
        <f>($O$9*60)/((($N$8-$O184)/12)*(60-N184)*'Product Data'!$P$23)</f>
        <v>#N/A</v>
      </c>
    </row>
    <row r="185" spans="2:16" x14ac:dyDescent="0.25">
      <c r="B185" s="1927">
        <f t="shared" si="12"/>
        <v>0</v>
      </c>
      <c r="C185" s="1928">
        <v>3.9000000000001E-3</v>
      </c>
      <c r="D185" s="1931" t="e">
        <f>($C$9*24)/((($B$8-BBR+'Product Data'!$K$3-'KB Model Suggestions Tr 2yr'!$C185)/12)*(24-'KB Model Suggestions Tr 2yr'!B185)*'Product Data'!$P$18)</f>
        <v>#N/A</v>
      </c>
      <c r="F185" s="1927">
        <f t="shared" si="13"/>
        <v>0</v>
      </c>
      <c r="G185" s="1928">
        <v>3.9000000000001E-3</v>
      </c>
      <c r="H185" s="1931" t="e">
        <f>($G$9*24)/((($F$8-BBR+'Product Data'!$K$3-'KB Model Suggestions Tr 2yr'!$G185)/12)*(24-'KB Model Suggestions Tr 2yr'!F185)*'Product Data'!$P$18)</f>
        <v>#N/A</v>
      </c>
      <c r="J185" s="1927">
        <f t="shared" si="14"/>
        <v>0</v>
      </c>
      <c r="K185" s="1928">
        <v>3.9000000000001E-3</v>
      </c>
      <c r="L185" s="1931" t="e">
        <f>($K$9*24)/((($J$8-BBR+'Product Data'!$K$2-'KB Model Suggestions Tr 2yr'!$K185)/12)*(24-'KB Model Suggestions Tr 2yr'!J185)*'Product Data'!$P$18)</f>
        <v>#N/A</v>
      </c>
      <c r="N185" s="2431">
        <f t="shared" si="15"/>
        <v>0</v>
      </c>
      <c r="O185" s="2392">
        <v>3.9000000000001E-3</v>
      </c>
      <c r="P185" s="1929" t="e">
        <f>($O$9*60)/((($N$8-$O185)/12)*(60-N185)*'Product Data'!$P$23)</f>
        <v>#N/A</v>
      </c>
    </row>
    <row r="186" spans="2:16" x14ac:dyDescent="0.25">
      <c r="B186" s="1927">
        <f t="shared" si="12"/>
        <v>0</v>
      </c>
      <c r="C186" s="1928">
        <v>3.8000000000001002E-3</v>
      </c>
      <c r="D186" s="1931" t="e">
        <f>($C$9*24)/((($B$8-BBR+'Product Data'!$K$3-'KB Model Suggestions Tr 2yr'!$C186)/12)*(24-'KB Model Suggestions Tr 2yr'!B186)*'Product Data'!$P$18)</f>
        <v>#N/A</v>
      </c>
      <c r="F186" s="1927">
        <f t="shared" si="13"/>
        <v>0</v>
      </c>
      <c r="G186" s="1928">
        <v>3.8000000000001002E-3</v>
      </c>
      <c r="H186" s="1931" t="e">
        <f>($G$9*24)/((($F$8-BBR+'Product Data'!$K$3-'KB Model Suggestions Tr 2yr'!$G186)/12)*(24-'KB Model Suggestions Tr 2yr'!F186)*'Product Data'!$P$18)</f>
        <v>#N/A</v>
      </c>
      <c r="J186" s="1927">
        <f t="shared" si="14"/>
        <v>0</v>
      </c>
      <c r="K186" s="1928">
        <v>3.8000000000001002E-3</v>
      </c>
      <c r="L186" s="1931" t="e">
        <f>($K$9*24)/((($J$8-BBR+'Product Data'!$K$2-'KB Model Suggestions Tr 2yr'!$K186)/12)*(24-'KB Model Suggestions Tr 2yr'!J186)*'Product Data'!$P$18)</f>
        <v>#N/A</v>
      </c>
      <c r="N186" s="2431">
        <f t="shared" si="15"/>
        <v>0</v>
      </c>
      <c r="O186" s="2392">
        <v>3.8000000000001002E-3</v>
      </c>
      <c r="P186" s="1929" t="e">
        <f>($O$9*60)/((($N$8-$O186)/12)*(60-N186)*'Product Data'!$P$23)</f>
        <v>#N/A</v>
      </c>
    </row>
    <row r="187" spans="2:16" x14ac:dyDescent="0.25">
      <c r="B187" s="1927">
        <f t="shared" si="12"/>
        <v>0</v>
      </c>
      <c r="C187" s="1928">
        <v>3.7000000000000999E-3</v>
      </c>
      <c r="D187" s="1931" t="e">
        <f>($C$9*24)/((($B$8-BBR+'Product Data'!$K$3-'KB Model Suggestions Tr 2yr'!$C187)/12)*(24-'KB Model Suggestions Tr 2yr'!B187)*'Product Data'!$P$18)</f>
        <v>#N/A</v>
      </c>
      <c r="F187" s="1927">
        <f t="shared" si="13"/>
        <v>0</v>
      </c>
      <c r="G187" s="1928">
        <v>3.7000000000000999E-3</v>
      </c>
      <c r="H187" s="1931" t="e">
        <f>($G$9*24)/((($F$8-BBR+'Product Data'!$K$3-'KB Model Suggestions Tr 2yr'!$G187)/12)*(24-'KB Model Suggestions Tr 2yr'!F187)*'Product Data'!$P$18)</f>
        <v>#N/A</v>
      </c>
      <c r="J187" s="1927">
        <f t="shared" si="14"/>
        <v>0</v>
      </c>
      <c r="K187" s="1928">
        <v>3.7000000000000999E-3</v>
      </c>
      <c r="L187" s="1931" t="e">
        <f>($K$9*24)/((($J$8-BBR+'Product Data'!$K$2-'KB Model Suggestions Tr 2yr'!$K187)/12)*(24-'KB Model Suggestions Tr 2yr'!J187)*'Product Data'!$P$18)</f>
        <v>#N/A</v>
      </c>
      <c r="N187" s="2431">
        <f t="shared" si="15"/>
        <v>0</v>
      </c>
      <c r="O187" s="2392">
        <v>3.7000000000000999E-3</v>
      </c>
      <c r="P187" s="1929" t="e">
        <f>($O$9*60)/((($N$8-$O187)/12)*(60-N187)*'Product Data'!$P$23)</f>
        <v>#N/A</v>
      </c>
    </row>
    <row r="188" spans="2:16" x14ac:dyDescent="0.25">
      <c r="B188" s="1927">
        <f t="shared" si="12"/>
        <v>0</v>
      </c>
      <c r="C188" s="1928">
        <v>3.6000000000001001E-3</v>
      </c>
      <c r="D188" s="1931" t="e">
        <f>($C$9*24)/((($B$8-BBR+'Product Data'!$K$3-'KB Model Suggestions Tr 2yr'!$C188)/12)*(24-'KB Model Suggestions Tr 2yr'!B188)*'Product Data'!$P$18)</f>
        <v>#N/A</v>
      </c>
      <c r="F188" s="1927">
        <f t="shared" si="13"/>
        <v>0</v>
      </c>
      <c r="G188" s="1928">
        <v>3.6000000000001001E-3</v>
      </c>
      <c r="H188" s="1931" t="e">
        <f>($G$9*24)/((($F$8-BBR+'Product Data'!$K$3-'KB Model Suggestions Tr 2yr'!$G188)/12)*(24-'KB Model Suggestions Tr 2yr'!F188)*'Product Data'!$P$18)</f>
        <v>#N/A</v>
      </c>
      <c r="J188" s="1927">
        <f t="shared" si="14"/>
        <v>0</v>
      </c>
      <c r="K188" s="1928">
        <v>3.6000000000001001E-3</v>
      </c>
      <c r="L188" s="1931" t="e">
        <f>($K$9*24)/((($J$8-BBR+'Product Data'!$K$2-'KB Model Suggestions Tr 2yr'!$K188)/12)*(24-'KB Model Suggestions Tr 2yr'!J188)*'Product Data'!$P$18)</f>
        <v>#N/A</v>
      </c>
      <c r="N188" s="2431">
        <f t="shared" si="15"/>
        <v>0</v>
      </c>
      <c r="O188" s="2392">
        <v>3.6000000000001001E-3</v>
      </c>
      <c r="P188" s="1929" t="e">
        <f>($O$9*60)/((($N$8-$O188)/12)*(60-N188)*'Product Data'!$P$23)</f>
        <v>#N/A</v>
      </c>
    </row>
    <row r="189" spans="2:16" x14ac:dyDescent="0.25">
      <c r="B189" s="1927">
        <f t="shared" si="12"/>
        <v>0</v>
      </c>
      <c r="C189" s="1928">
        <v>3.5000000000000998E-3</v>
      </c>
      <c r="D189" s="1931" t="e">
        <f>($C$9*24)/((($B$8-BBR+'Product Data'!$K$3-'KB Model Suggestions Tr 2yr'!$C189)/12)*(24-'KB Model Suggestions Tr 2yr'!B189)*'Product Data'!$P$18)</f>
        <v>#N/A</v>
      </c>
      <c r="F189" s="1927">
        <f t="shared" si="13"/>
        <v>0</v>
      </c>
      <c r="G189" s="1928">
        <v>3.5000000000000998E-3</v>
      </c>
      <c r="H189" s="1931" t="e">
        <f>($G$9*24)/((($F$8-BBR+'Product Data'!$K$3-'KB Model Suggestions Tr 2yr'!$G189)/12)*(24-'KB Model Suggestions Tr 2yr'!F189)*'Product Data'!$P$18)</f>
        <v>#N/A</v>
      </c>
      <c r="J189" s="1927">
        <f t="shared" si="14"/>
        <v>0</v>
      </c>
      <c r="K189" s="1928">
        <v>3.5000000000000998E-3</v>
      </c>
      <c r="L189" s="1931" t="e">
        <f>($K$9*24)/((($J$8-BBR+'Product Data'!$K$2-'KB Model Suggestions Tr 2yr'!$K189)/12)*(24-'KB Model Suggestions Tr 2yr'!J189)*'Product Data'!$P$18)</f>
        <v>#N/A</v>
      </c>
      <c r="N189" s="2431">
        <f t="shared" si="15"/>
        <v>0</v>
      </c>
      <c r="O189" s="2392">
        <v>3.5000000000000998E-3</v>
      </c>
      <c r="P189" s="1929" t="e">
        <f>($O$9*60)/((($N$8-$O189)/12)*(60-N189)*'Product Data'!$P$23)</f>
        <v>#N/A</v>
      </c>
    </row>
    <row r="190" spans="2:16" x14ac:dyDescent="0.25">
      <c r="B190" s="1927">
        <f t="shared" si="12"/>
        <v>0</v>
      </c>
      <c r="C190" s="1928">
        <v>3.4000000000001E-3</v>
      </c>
      <c r="D190" s="1931" t="e">
        <f>($C$9*24)/((($B$8-BBR+'Product Data'!$K$3-'KB Model Suggestions Tr 2yr'!$C190)/12)*(24-'KB Model Suggestions Tr 2yr'!B190)*'Product Data'!$P$18)</f>
        <v>#N/A</v>
      </c>
      <c r="F190" s="1927">
        <f t="shared" si="13"/>
        <v>0</v>
      </c>
      <c r="G190" s="1928">
        <v>3.4000000000001E-3</v>
      </c>
      <c r="H190" s="1931" t="e">
        <f>($G$9*24)/((($F$8-BBR+'Product Data'!$K$3-'KB Model Suggestions Tr 2yr'!$G190)/12)*(24-'KB Model Suggestions Tr 2yr'!F190)*'Product Data'!$P$18)</f>
        <v>#N/A</v>
      </c>
      <c r="J190" s="1927">
        <f t="shared" si="14"/>
        <v>0</v>
      </c>
      <c r="K190" s="1928">
        <v>3.4000000000001E-3</v>
      </c>
      <c r="L190" s="1931" t="e">
        <f>($K$9*24)/((($J$8-BBR+'Product Data'!$K$2-'KB Model Suggestions Tr 2yr'!$K190)/12)*(24-'KB Model Suggestions Tr 2yr'!J190)*'Product Data'!$P$18)</f>
        <v>#N/A</v>
      </c>
      <c r="N190" s="2431">
        <f t="shared" si="15"/>
        <v>0</v>
      </c>
      <c r="O190" s="2392">
        <v>3.4000000000001E-3</v>
      </c>
      <c r="P190" s="1929" t="e">
        <f>($O$9*60)/((($N$8-$O190)/12)*(60-N190)*'Product Data'!$P$23)</f>
        <v>#N/A</v>
      </c>
    </row>
    <row r="191" spans="2:16" x14ac:dyDescent="0.25">
      <c r="B191" s="1927">
        <f t="shared" si="12"/>
        <v>0</v>
      </c>
      <c r="C191" s="1928">
        <v>3.3000000000001002E-3</v>
      </c>
      <c r="D191" s="1931" t="e">
        <f>($C$9*24)/((($B$8-BBR+'Product Data'!$K$3-'KB Model Suggestions Tr 2yr'!$C191)/12)*(24-'KB Model Suggestions Tr 2yr'!B191)*'Product Data'!$P$18)</f>
        <v>#N/A</v>
      </c>
      <c r="F191" s="1927">
        <f t="shared" si="13"/>
        <v>0</v>
      </c>
      <c r="G191" s="1928">
        <v>3.3000000000001002E-3</v>
      </c>
      <c r="H191" s="1931" t="e">
        <f>($G$9*24)/((($F$8-BBR+'Product Data'!$K$3-'KB Model Suggestions Tr 2yr'!$G191)/12)*(24-'KB Model Suggestions Tr 2yr'!F191)*'Product Data'!$P$18)</f>
        <v>#N/A</v>
      </c>
      <c r="J191" s="1927">
        <f t="shared" si="14"/>
        <v>0</v>
      </c>
      <c r="K191" s="1928">
        <v>3.3000000000001002E-3</v>
      </c>
      <c r="L191" s="1931" t="e">
        <f>($K$9*24)/((($J$8-BBR+'Product Data'!$K$2-'KB Model Suggestions Tr 2yr'!$K191)/12)*(24-'KB Model Suggestions Tr 2yr'!J191)*'Product Data'!$P$18)</f>
        <v>#N/A</v>
      </c>
      <c r="N191" s="2431">
        <f t="shared" si="15"/>
        <v>0</v>
      </c>
      <c r="O191" s="2392">
        <v>3.3000000000001002E-3</v>
      </c>
      <c r="P191" s="1929" t="e">
        <f>($O$9*60)/((($N$8-$O191)/12)*(60-N191)*'Product Data'!$P$23)</f>
        <v>#N/A</v>
      </c>
    </row>
    <row r="192" spans="2:16" x14ac:dyDescent="0.25">
      <c r="B192" s="1927">
        <f t="shared" si="12"/>
        <v>0</v>
      </c>
      <c r="C192" s="1928">
        <v>3.2000000000000999E-3</v>
      </c>
      <c r="D192" s="1931" t="e">
        <f>($C$9*24)/((($B$8-BBR+'Product Data'!$K$3-'KB Model Suggestions Tr 2yr'!$C192)/12)*(24-'KB Model Suggestions Tr 2yr'!B192)*'Product Data'!$P$18)</f>
        <v>#N/A</v>
      </c>
      <c r="F192" s="1927">
        <f t="shared" si="13"/>
        <v>0</v>
      </c>
      <c r="G192" s="1928">
        <v>3.2000000000000999E-3</v>
      </c>
      <c r="H192" s="1931" t="e">
        <f>($G$9*24)/((($F$8-BBR+'Product Data'!$K$3-'KB Model Suggestions Tr 2yr'!$G192)/12)*(24-'KB Model Suggestions Tr 2yr'!F192)*'Product Data'!$P$18)</f>
        <v>#N/A</v>
      </c>
      <c r="J192" s="1927">
        <f t="shared" si="14"/>
        <v>0</v>
      </c>
      <c r="K192" s="1928">
        <v>3.2000000000000999E-3</v>
      </c>
      <c r="L192" s="1931" t="e">
        <f>($K$9*24)/((($J$8-BBR+'Product Data'!$K$2-'KB Model Suggestions Tr 2yr'!$K192)/12)*(24-'KB Model Suggestions Tr 2yr'!J192)*'Product Data'!$P$18)</f>
        <v>#N/A</v>
      </c>
      <c r="N192" s="2431">
        <f t="shared" si="15"/>
        <v>0</v>
      </c>
      <c r="O192" s="2392">
        <v>3.2000000000000999E-3</v>
      </c>
      <c r="P192" s="1929" t="e">
        <f>($O$9*60)/((($N$8-$O192)/12)*(60-N192)*'Product Data'!$P$23)</f>
        <v>#N/A</v>
      </c>
    </row>
    <row r="193" spans="2:16" x14ac:dyDescent="0.25">
      <c r="B193" s="1927">
        <f t="shared" si="12"/>
        <v>0</v>
      </c>
      <c r="C193" s="1928">
        <v>3.1000000000001001E-3</v>
      </c>
      <c r="D193" s="1931" t="e">
        <f>($C$9*24)/((($B$8-BBR+'Product Data'!$K$3-'KB Model Suggestions Tr 2yr'!$C193)/12)*(24-'KB Model Suggestions Tr 2yr'!B193)*'Product Data'!$P$18)</f>
        <v>#N/A</v>
      </c>
      <c r="F193" s="1927">
        <f t="shared" si="13"/>
        <v>0</v>
      </c>
      <c r="G193" s="1928">
        <v>3.1000000000001001E-3</v>
      </c>
      <c r="H193" s="1931" t="e">
        <f>($G$9*24)/((($F$8-BBR+'Product Data'!$K$3-'KB Model Suggestions Tr 2yr'!$G193)/12)*(24-'KB Model Suggestions Tr 2yr'!F193)*'Product Data'!$P$18)</f>
        <v>#N/A</v>
      </c>
      <c r="J193" s="1927">
        <f t="shared" si="14"/>
        <v>0</v>
      </c>
      <c r="K193" s="1928">
        <v>3.1000000000001001E-3</v>
      </c>
      <c r="L193" s="1931" t="e">
        <f>($K$9*24)/((($J$8-BBR+'Product Data'!$K$2-'KB Model Suggestions Tr 2yr'!$K193)/12)*(24-'KB Model Suggestions Tr 2yr'!J193)*'Product Data'!$P$18)</f>
        <v>#N/A</v>
      </c>
      <c r="N193" s="2431">
        <f t="shared" si="15"/>
        <v>0</v>
      </c>
      <c r="O193" s="2392">
        <v>3.1000000000001001E-3</v>
      </c>
      <c r="P193" s="1929" t="e">
        <f>($O$9*60)/((($N$8-$O193)/12)*(60-N193)*'Product Data'!$P$23)</f>
        <v>#N/A</v>
      </c>
    </row>
    <row r="194" spans="2:16" x14ac:dyDescent="0.25">
      <c r="B194" s="1927">
        <f t="shared" si="12"/>
        <v>0</v>
      </c>
      <c r="C194" s="1928">
        <v>3.0000000000000998E-3</v>
      </c>
      <c r="D194" s="1931" t="e">
        <f>($C$9*24)/((($B$8-BBR+'Product Data'!$K$3-'KB Model Suggestions Tr 2yr'!$C194)/12)*(24-'KB Model Suggestions Tr 2yr'!B194)*'Product Data'!$P$18)</f>
        <v>#N/A</v>
      </c>
      <c r="F194" s="1927">
        <f t="shared" si="13"/>
        <v>0</v>
      </c>
      <c r="G194" s="1928">
        <v>3.0000000000000998E-3</v>
      </c>
      <c r="H194" s="1931" t="e">
        <f>($G$9*24)/((($F$8-BBR+'Product Data'!$K$3-'KB Model Suggestions Tr 2yr'!$G194)/12)*(24-'KB Model Suggestions Tr 2yr'!F194)*'Product Data'!$P$18)</f>
        <v>#N/A</v>
      </c>
      <c r="J194" s="1927">
        <f t="shared" si="14"/>
        <v>0</v>
      </c>
      <c r="K194" s="1928">
        <v>3.0000000000000998E-3</v>
      </c>
      <c r="L194" s="1931" t="e">
        <f>($K$9*24)/((($J$8-BBR+'Product Data'!$K$2-'KB Model Suggestions Tr 2yr'!$K194)/12)*(24-'KB Model Suggestions Tr 2yr'!J194)*'Product Data'!$P$18)</f>
        <v>#N/A</v>
      </c>
      <c r="N194" s="2431">
        <f t="shared" si="15"/>
        <v>0</v>
      </c>
      <c r="O194" s="2392">
        <v>3.0000000000000998E-3</v>
      </c>
      <c r="P194" s="1929" t="e">
        <f>($O$9*60)/((($N$8-$O194)/12)*(60-N194)*'Product Data'!$P$23)</f>
        <v>#N/A</v>
      </c>
    </row>
    <row r="195" spans="2:16" x14ac:dyDescent="0.25">
      <c r="B195" s="1927">
        <f t="shared" si="12"/>
        <v>0</v>
      </c>
      <c r="C195" s="1928">
        <v>2.9000000000001E-3</v>
      </c>
      <c r="D195" s="1931" t="e">
        <f>($C$9*24)/((($B$8-BBR+'Product Data'!$K$3-'KB Model Suggestions Tr 2yr'!$C195)/12)*(24-'KB Model Suggestions Tr 2yr'!B195)*'Product Data'!$P$18)</f>
        <v>#N/A</v>
      </c>
      <c r="F195" s="1927">
        <f t="shared" si="13"/>
        <v>0</v>
      </c>
      <c r="G195" s="1928">
        <v>2.9000000000001E-3</v>
      </c>
      <c r="H195" s="1931" t="e">
        <f>($G$9*24)/((($F$8-BBR+'Product Data'!$K$3-'KB Model Suggestions Tr 2yr'!$G195)/12)*(24-'KB Model Suggestions Tr 2yr'!F195)*'Product Data'!$P$18)</f>
        <v>#N/A</v>
      </c>
      <c r="J195" s="1927">
        <f t="shared" si="14"/>
        <v>0</v>
      </c>
      <c r="K195" s="1928">
        <v>2.9000000000001E-3</v>
      </c>
      <c r="L195" s="1931" t="e">
        <f>($K$9*24)/((($J$8-BBR+'Product Data'!$K$2-'KB Model Suggestions Tr 2yr'!$K195)/12)*(24-'KB Model Suggestions Tr 2yr'!J195)*'Product Data'!$P$18)</f>
        <v>#N/A</v>
      </c>
      <c r="N195" s="2431">
        <f t="shared" si="15"/>
        <v>0</v>
      </c>
      <c r="O195" s="2392">
        <v>2.9000000000001E-3</v>
      </c>
      <c r="P195" s="1929" t="e">
        <f>($O$9*60)/((($N$8-$O195)/12)*(60-N195)*'Product Data'!$P$23)</f>
        <v>#N/A</v>
      </c>
    </row>
    <row r="196" spans="2:16" x14ac:dyDescent="0.25">
      <c r="B196" s="1927">
        <f t="shared" si="12"/>
        <v>0</v>
      </c>
      <c r="C196" s="1928">
        <v>2.8000000000001002E-3</v>
      </c>
      <c r="D196" s="1931" t="e">
        <f>($C$9*24)/((($B$8-BBR+'Product Data'!$K$3-'KB Model Suggestions Tr 2yr'!$C196)/12)*(24-'KB Model Suggestions Tr 2yr'!B196)*'Product Data'!$P$18)</f>
        <v>#N/A</v>
      </c>
      <c r="F196" s="1927">
        <f t="shared" si="13"/>
        <v>0</v>
      </c>
      <c r="G196" s="1928">
        <v>2.8000000000001002E-3</v>
      </c>
      <c r="H196" s="1931" t="e">
        <f>($G$9*24)/((($F$8-BBR+'Product Data'!$K$3-'KB Model Suggestions Tr 2yr'!$G196)/12)*(24-'KB Model Suggestions Tr 2yr'!F196)*'Product Data'!$P$18)</f>
        <v>#N/A</v>
      </c>
      <c r="J196" s="1927">
        <f t="shared" si="14"/>
        <v>0</v>
      </c>
      <c r="K196" s="1928">
        <v>2.8000000000001002E-3</v>
      </c>
      <c r="L196" s="1931" t="e">
        <f>($K$9*24)/((($J$8-BBR+'Product Data'!$K$2-'KB Model Suggestions Tr 2yr'!$K196)/12)*(24-'KB Model Suggestions Tr 2yr'!J196)*'Product Data'!$P$18)</f>
        <v>#N/A</v>
      </c>
      <c r="N196" s="2431">
        <f t="shared" si="15"/>
        <v>0</v>
      </c>
      <c r="O196" s="2392">
        <v>2.8000000000001002E-3</v>
      </c>
      <c r="P196" s="1929" t="e">
        <f>($O$9*60)/((($N$8-$O196)/12)*(60-N196)*'Product Data'!$P$23)</f>
        <v>#N/A</v>
      </c>
    </row>
    <row r="197" spans="2:16" x14ac:dyDescent="0.25">
      <c r="B197" s="1927">
        <f t="shared" si="12"/>
        <v>0</v>
      </c>
      <c r="C197" s="1928">
        <v>2.7000000000000999E-3</v>
      </c>
      <c r="D197" s="1931" t="e">
        <f>($C$9*24)/((($B$8-BBR+'Product Data'!$K$3-'KB Model Suggestions Tr 2yr'!$C197)/12)*(24-'KB Model Suggestions Tr 2yr'!B197)*'Product Data'!$P$18)</f>
        <v>#N/A</v>
      </c>
      <c r="F197" s="1927">
        <f t="shared" si="13"/>
        <v>0</v>
      </c>
      <c r="G197" s="1928">
        <v>2.7000000000000999E-3</v>
      </c>
      <c r="H197" s="1931" t="e">
        <f>($G$9*24)/((($F$8-BBR+'Product Data'!$K$3-'KB Model Suggestions Tr 2yr'!$G197)/12)*(24-'KB Model Suggestions Tr 2yr'!F197)*'Product Data'!$P$18)</f>
        <v>#N/A</v>
      </c>
      <c r="J197" s="1927">
        <f t="shared" si="14"/>
        <v>0</v>
      </c>
      <c r="K197" s="1928">
        <v>2.7000000000000999E-3</v>
      </c>
      <c r="L197" s="1931" t="e">
        <f>($K$9*24)/((($J$8-BBR+'Product Data'!$K$2-'KB Model Suggestions Tr 2yr'!$K197)/12)*(24-'KB Model Suggestions Tr 2yr'!J197)*'Product Data'!$P$18)</f>
        <v>#N/A</v>
      </c>
      <c r="N197" s="2431">
        <f t="shared" si="15"/>
        <v>0</v>
      </c>
      <c r="O197" s="2392">
        <v>2.7000000000000999E-3</v>
      </c>
      <c r="P197" s="1929" t="e">
        <f>($O$9*60)/((($N$8-$O197)/12)*(60-N197)*'Product Data'!$P$23)</f>
        <v>#N/A</v>
      </c>
    </row>
    <row r="198" spans="2:16" x14ac:dyDescent="0.25">
      <c r="B198" s="1927">
        <f t="shared" si="12"/>
        <v>0</v>
      </c>
      <c r="C198" s="1928">
        <v>2.6000000000001001E-3</v>
      </c>
      <c r="D198" s="1931" t="e">
        <f>($C$9*24)/((($B$8-BBR+'Product Data'!$K$3-'KB Model Suggestions Tr 2yr'!$C198)/12)*(24-'KB Model Suggestions Tr 2yr'!B198)*'Product Data'!$P$18)</f>
        <v>#N/A</v>
      </c>
      <c r="F198" s="1927">
        <f t="shared" si="13"/>
        <v>0</v>
      </c>
      <c r="G198" s="1928">
        <v>2.6000000000001001E-3</v>
      </c>
      <c r="H198" s="1931" t="e">
        <f>($G$9*24)/((($F$8-BBR+'Product Data'!$K$3-'KB Model Suggestions Tr 2yr'!$G198)/12)*(24-'KB Model Suggestions Tr 2yr'!F198)*'Product Data'!$P$18)</f>
        <v>#N/A</v>
      </c>
      <c r="J198" s="1927">
        <f t="shared" si="14"/>
        <v>0</v>
      </c>
      <c r="K198" s="1928">
        <v>2.6000000000001001E-3</v>
      </c>
      <c r="L198" s="1931" t="e">
        <f>($K$9*24)/((($J$8-BBR+'Product Data'!$K$2-'KB Model Suggestions Tr 2yr'!$K198)/12)*(24-'KB Model Suggestions Tr 2yr'!J198)*'Product Data'!$P$18)</f>
        <v>#N/A</v>
      </c>
      <c r="N198" s="2431">
        <f t="shared" si="15"/>
        <v>0</v>
      </c>
      <c r="O198" s="2392">
        <v>2.6000000000001001E-3</v>
      </c>
      <c r="P198" s="1929" t="e">
        <f>($O$9*60)/((($N$8-$O198)/12)*(60-N198)*'Product Data'!$P$23)</f>
        <v>#N/A</v>
      </c>
    </row>
    <row r="199" spans="2:16" x14ac:dyDescent="0.25">
      <c r="B199" s="1927">
        <f t="shared" si="12"/>
        <v>0</v>
      </c>
      <c r="C199" s="1928">
        <v>2.5000000000000998E-3</v>
      </c>
      <c r="D199" s="1931" t="e">
        <f>($C$9*24)/((($B$8-BBR+'Product Data'!$K$3-'KB Model Suggestions Tr 2yr'!$C199)/12)*(24-'KB Model Suggestions Tr 2yr'!B199)*'Product Data'!$P$18)</f>
        <v>#N/A</v>
      </c>
      <c r="F199" s="1927">
        <f t="shared" si="13"/>
        <v>0</v>
      </c>
      <c r="G199" s="1928">
        <v>2.5000000000000998E-3</v>
      </c>
      <c r="H199" s="1931" t="e">
        <f>($G$9*24)/((($F$8-BBR+'Product Data'!$K$3-'KB Model Suggestions Tr 2yr'!$G199)/12)*(24-'KB Model Suggestions Tr 2yr'!F199)*'Product Data'!$P$18)</f>
        <v>#N/A</v>
      </c>
      <c r="J199" s="1927">
        <f t="shared" si="14"/>
        <v>0</v>
      </c>
      <c r="K199" s="1928">
        <v>2.5000000000000998E-3</v>
      </c>
      <c r="L199" s="1931" t="e">
        <f>($K$9*24)/((($J$8-BBR+'Product Data'!$K$2-'KB Model Suggestions Tr 2yr'!$K199)/12)*(24-'KB Model Suggestions Tr 2yr'!J199)*'Product Data'!$P$18)</f>
        <v>#N/A</v>
      </c>
      <c r="N199" s="2431">
        <f t="shared" si="15"/>
        <v>0</v>
      </c>
      <c r="O199" s="2392">
        <v>2.5000000000000998E-3</v>
      </c>
      <c r="P199" s="1929" t="e">
        <f>($O$9*60)/((($N$8-$O199)/12)*(60-N199)*'Product Data'!$P$23)</f>
        <v>#N/A</v>
      </c>
    </row>
    <row r="200" spans="2:16" x14ac:dyDescent="0.25">
      <c r="B200" s="1927">
        <f t="shared" si="12"/>
        <v>0</v>
      </c>
      <c r="C200" s="1928">
        <v>2.4000000000001E-3</v>
      </c>
      <c r="D200" s="1931" t="e">
        <f>($C$9*24)/((($B$8-BBR+'Product Data'!$K$3-'KB Model Suggestions Tr 2yr'!$C200)/12)*(24-'KB Model Suggestions Tr 2yr'!B200)*'Product Data'!$P$18)</f>
        <v>#N/A</v>
      </c>
      <c r="F200" s="1927">
        <f t="shared" si="13"/>
        <v>0</v>
      </c>
      <c r="G200" s="1928">
        <v>2.4000000000001E-3</v>
      </c>
      <c r="H200" s="1931" t="e">
        <f>($G$9*24)/((($F$8-BBR+'Product Data'!$K$3-'KB Model Suggestions Tr 2yr'!$G200)/12)*(24-'KB Model Suggestions Tr 2yr'!F200)*'Product Data'!$P$18)</f>
        <v>#N/A</v>
      </c>
      <c r="J200" s="1927">
        <f t="shared" si="14"/>
        <v>0</v>
      </c>
      <c r="K200" s="1928">
        <v>2.4000000000001E-3</v>
      </c>
      <c r="L200" s="1931" t="e">
        <f>($K$9*24)/((($J$8-BBR+'Product Data'!$K$2-'KB Model Suggestions Tr 2yr'!$K200)/12)*(24-'KB Model Suggestions Tr 2yr'!J200)*'Product Data'!$P$18)</f>
        <v>#N/A</v>
      </c>
      <c r="N200" s="2431">
        <f t="shared" si="15"/>
        <v>0</v>
      </c>
      <c r="O200" s="2392">
        <v>2.4000000000001E-3</v>
      </c>
      <c r="P200" s="1929" t="e">
        <f>($O$9*60)/((($N$8-$O200)/12)*(60-N200)*'Product Data'!$P$23)</f>
        <v>#N/A</v>
      </c>
    </row>
    <row r="201" spans="2:16" x14ac:dyDescent="0.25">
      <c r="B201" s="1927">
        <f t="shared" si="12"/>
        <v>0</v>
      </c>
      <c r="C201" s="1928">
        <v>2.3000000000001001E-3</v>
      </c>
      <c r="D201" s="1931" t="e">
        <f>($C$9*24)/((($B$8-BBR+'Product Data'!$K$3-'KB Model Suggestions Tr 2yr'!$C201)/12)*(24-'KB Model Suggestions Tr 2yr'!B201)*'Product Data'!$P$18)</f>
        <v>#N/A</v>
      </c>
      <c r="F201" s="1927">
        <f t="shared" si="13"/>
        <v>0</v>
      </c>
      <c r="G201" s="1928">
        <v>2.3000000000001001E-3</v>
      </c>
      <c r="H201" s="1931" t="e">
        <f>($G$9*24)/((($F$8-BBR+'Product Data'!$K$3-'KB Model Suggestions Tr 2yr'!$G201)/12)*(24-'KB Model Suggestions Tr 2yr'!F201)*'Product Data'!$P$18)</f>
        <v>#N/A</v>
      </c>
      <c r="J201" s="1927">
        <f t="shared" si="14"/>
        <v>0</v>
      </c>
      <c r="K201" s="1928">
        <v>2.3000000000001001E-3</v>
      </c>
      <c r="L201" s="1931" t="e">
        <f>($K$9*24)/((($J$8-BBR+'Product Data'!$K$2-'KB Model Suggestions Tr 2yr'!$K201)/12)*(24-'KB Model Suggestions Tr 2yr'!J201)*'Product Data'!$P$18)</f>
        <v>#N/A</v>
      </c>
      <c r="N201" s="2431">
        <f t="shared" si="15"/>
        <v>0</v>
      </c>
      <c r="O201" s="2392">
        <v>2.3000000000001001E-3</v>
      </c>
      <c r="P201" s="1929" t="e">
        <f>($O$9*60)/((($N$8-$O201)/12)*(60-N201)*'Product Data'!$P$23)</f>
        <v>#N/A</v>
      </c>
    </row>
    <row r="202" spans="2:16" x14ac:dyDescent="0.25">
      <c r="B202" s="1927">
        <f t="shared" si="12"/>
        <v>0</v>
      </c>
      <c r="C202" s="1928">
        <v>2.2000000000000999E-3</v>
      </c>
      <c r="D202" s="1931" t="e">
        <f>($C$9*24)/((($B$8-BBR+'Product Data'!$K$3-'KB Model Suggestions Tr 2yr'!$C202)/12)*(24-'KB Model Suggestions Tr 2yr'!B202)*'Product Data'!$P$18)</f>
        <v>#N/A</v>
      </c>
      <c r="F202" s="1927">
        <f t="shared" si="13"/>
        <v>0</v>
      </c>
      <c r="G202" s="1928">
        <v>2.2000000000000999E-3</v>
      </c>
      <c r="H202" s="1931" t="e">
        <f>($G$9*24)/((($F$8-BBR+'Product Data'!$K$3-'KB Model Suggestions Tr 2yr'!$G202)/12)*(24-'KB Model Suggestions Tr 2yr'!F202)*'Product Data'!$P$18)</f>
        <v>#N/A</v>
      </c>
      <c r="J202" s="1927">
        <f t="shared" si="14"/>
        <v>0</v>
      </c>
      <c r="K202" s="1928">
        <v>2.2000000000000999E-3</v>
      </c>
      <c r="L202" s="1931" t="e">
        <f>($K$9*24)/((($J$8-BBR+'Product Data'!$K$2-'KB Model Suggestions Tr 2yr'!$K202)/12)*(24-'KB Model Suggestions Tr 2yr'!J202)*'Product Data'!$P$18)</f>
        <v>#N/A</v>
      </c>
      <c r="N202" s="2431">
        <f t="shared" si="15"/>
        <v>0</v>
      </c>
      <c r="O202" s="2392">
        <v>2.2000000000000999E-3</v>
      </c>
      <c r="P202" s="1929" t="e">
        <f>($O$9*60)/((($N$8-$O202)/12)*(60-N202)*'Product Data'!$P$23)</f>
        <v>#N/A</v>
      </c>
    </row>
    <row r="203" spans="2:16" x14ac:dyDescent="0.25">
      <c r="B203" s="1927">
        <f t="shared" si="12"/>
        <v>0</v>
      </c>
      <c r="C203" s="1928">
        <v>2.1000000000001001E-3</v>
      </c>
      <c r="D203" s="1931" t="e">
        <f>($C$9*24)/((($B$8-BBR+'Product Data'!$K$3-'KB Model Suggestions Tr 2yr'!$C203)/12)*(24-'KB Model Suggestions Tr 2yr'!B203)*'Product Data'!$P$18)</f>
        <v>#N/A</v>
      </c>
      <c r="F203" s="1927">
        <f t="shared" si="13"/>
        <v>0</v>
      </c>
      <c r="G203" s="1928">
        <v>2.1000000000001001E-3</v>
      </c>
      <c r="H203" s="1931" t="e">
        <f>($G$9*24)/((($F$8-BBR+'Product Data'!$K$3-'KB Model Suggestions Tr 2yr'!$G203)/12)*(24-'KB Model Suggestions Tr 2yr'!F203)*'Product Data'!$P$18)</f>
        <v>#N/A</v>
      </c>
      <c r="J203" s="1927">
        <f t="shared" si="14"/>
        <v>0</v>
      </c>
      <c r="K203" s="1928">
        <v>2.1000000000001001E-3</v>
      </c>
      <c r="L203" s="1931" t="e">
        <f>($K$9*24)/((($J$8-BBR+'Product Data'!$K$2-'KB Model Suggestions Tr 2yr'!$K203)/12)*(24-'KB Model Suggestions Tr 2yr'!J203)*'Product Data'!$P$18)</f>
        <v>#N/A</v>
      </c>
      <c r="N203" s="2431">
        <f t="shared" si="15"/>
        <v>0</v>
      </c>
      <c r="O203" s="2392">
        <v>2.1000000000001001E-3</v>
      </c>
      <c r="P203" s="1929" t="e">
        <f>($O$9*60)/((($N$8-$O203)/12)*(60-N203)*'Product Data'!$P$23)</f>
        <v>#N/A</v>
      </c>
    </row>
    <row r="204" spans="2:16" x14ac:dyDescent="0.25">
      <c r="B204" s="1927">
        <f t="shared" si="12"/>
        <v>0</v>
      </c>
      <c r="C204" s="1928">
        <v>2.0000000000000998E-3</v>
      </c>
      <c r="D204" s="1931" t="e">
        <f>($C$9*24)/((($B$8-BBR+'Product Data'!$K$3-'KB Model Suggestions Tr 2yr'!$C204)/12)*(24-'KB Model Suggestions Tr 2yr'!B204)*'Product Data'!$P$18)</f>
        <v>#N/A</v>
      </c>
      <c r="F204" s="1927">
        <f t="shared" si="13"/>
        <v>0</v>
      </c>
      <c r="G204" s="1928">
        <v>2.0000000000000998E-3</v>
      </c>
      <c r="H204" s="1931" t="e">
        <f>($G$9*24)/((($F$8-BBR+'Product Data'!$K$3-'KB Model Suggestions Tr 2yr'!$G204)/12)*(24-'KB Model Suggestions Tr 2yr'!F204)*'Product Data'!$P$18)</f>
        <v>#N/A</v>
      </c>
      <c r="J204" s="1927">
        <f t="shared" si="14"/>
        <v>0</v>
      </c>
      <c r="K204" s="1928">
        <v>2.0000000000000998E-3</v>
      </c>
      <c r="L204" s="1931" t="e">
        <f>($K$9*24)/((($J$8-BBR+'Product Data'!$K$2-'KB Model Suggestions Tr 2yr'!$K204)/12)*(24-'KB Model Suggestions Tr 2yr'!J204)*'Product Data'!$P$18)</f>
        <v>#N/A</v>
      </c>
      <c r="N204" s="2431">
        <f t="shared" si="15"/>
        <v>0</v>
      </c>
      <c r="O204" s="2392">
        <v>2.0000000000000998E-3</v>
      </c>
      <c r="P204" s="1929" t="e">
        <f>($O$9*60)/((($N$8-$O204)/12)*(60-N204)*'Product Data'!$P$23)</f>
        <v>#N/A</v>
      </c>
    </row>
    <row r="205" spans="2:16" x14ac:dyDescent="0.25">
      <c r="B205" s="1927">
        <f t="shared" si="12"/>
        <v>0</v>
      </c>
      <c r="C205" s="1928">
        <v>1.9000000000001E-3</v>
      </c>
      <c r="D205" s="1931" t="e">
        <f>($C$9*24)/((($B$8-BBR+'Product Data'!$K$3-'KB Model Suggestions Tr 2yr'!$C205)/12)*(24-'KB Model Suggestions Tr 2yr'!B205)*'Product Data'!$P$18)</f>
        <v>#N/A</v>
      </c>
      <c r="F205" s="1927">
        <f t="shared" si="13"/>
        <v>0</v>
      </c>
      <c r="G205" s="1928">
        <v>1.9000000000001E-3</v>
      </c>
      <c r="H205" s="1931" t="e">
        <f>($G$9*24)/((($F$8-BBR+'Product Data'!$K$3-'KB Model Suggestions Tr 2yr'!$G205)/12)*(24-'KB Model Suggestions Tr 2yr'!F205)*'Product Data'!$P$18)</f>
        <v>#N/A</v>
      </c>
      <c r="J205" s="1927">
        <f t="shared" si="14"/>
        <v>0</v>
      </c>
      <c r="K205" s="1928">
        <v>1.9000000000001E-3</v>
      </c>
      <c r="L205" s="1931" t="e">
        <f>($K$9*24)/((($J$8-BBR+'Product Data'!$K$2-'KB Model Suggestions Tr 2yr'!$K205)/12)*(24-'KB Model Suggestions Tr 2yr'!J205)*'Product Data'!$P$18)</f>
        <v>#N/A</v>
      </c>
      <c r="N205" s="2431">
        <f t="shared" si="15"/>
        <v>0</v>
      </c>
      <c r="O205" s="2392">
        <v>1.9000000000001E-3</v>
      </c>
      <c r="P205" s="1929" t="e">
        <f>($O$9*60)/((($N$8-$O205)/12)*(60-N205)*'Product Data'!$P$23)</f>
        <v>#N/A</v>
      </c>
    </row>
    <row r="206" spans="2:16" x14ac:dyDescent="0.25">
      <c r="B206" s="1927">
        <f t="shared" si="12"/>
        <v>0</v>
      </c>
      <c r="C206" s="1928">
        <v>1.8000000000000999E-3</v>
      </c>
      <c r="D206" s="1931" t="e">
        <f>($C$9*24)/((($B$8-BBR+'Product Data'!$K$3-'KB Model Suggestions Tr 2yr'!$C206)/12)*(24-'KB Model Suggestions Tr 2yr'!B206)*'Product Data'!$P$18)</f>
        <v>#N/A</v>
      </c>
      <c r="F206" s="1927">
        <f t="shared" si="13"/>
        <v>0</v>
      </c>
      <c r="G206" s="1928">
        <v>1.8000000000000999E-3</v>
      </c>
      <c r="H206" s="1931" t="e">
        <f>($G$9*24)/((($F$8-BBR+'Product Data'!$K$3-'KB Model Suggestions Tr 2yr'!$G206)/12)*(24-'KB Model Suggestions Tr 2yr'!F206)*'Product Data'!$P$18)</f>
        <v>#N/A</v>
      </c>
      <c r="J206" s="1927">
        <f t="shared" si="14"/>
        <v>0</v>
      </c>
      <c r="K206" s="1928">
        <v>1.8000000000000999E-3</v>
      </c>
      <c r="L206" s="1931" t="e">
        <f>($K$9*24)/((($J$8-BBR+'Product Data'!$K$2-'KB Model Suggestions Tr 2yr'!$K206)/12)*(24-'KB Model Suggestions Tr 2yr'!J206)*'Product Data'!$P$18)</f>
        <v>#N/A</v>
      </c>
      <c r="N206" s="2431">
        <f t="shared" si="15"/>
        <v>0</v>
      </c>
      <c r="O206" s="2392">
        <v>1.8000000000000999E-3</v>
      </c>
      <c r="P206" s="1929" t="e">
        <f>($O$9*60)/((($N$8-$O206)/12)*(60-N206)*'Product Data'!$P$23)</f>
        <v>#N/A</v>
      </c>
    </row>
    <row r="207" spans="2:16" x14ac:dyDescent="0.25">
      <c r="B207" s="1927">
        <f t="shared" si="12"/>
        <v>0</v>
      </c>
      <c r="C207" s="1928">
        <v>1.7000000000001001E-3</v>
      </c>
      <c r="D207" s="1931" t="e">
        <f>($C$9*24)/((($B$8-BBR+'Product Data'!$K$3-'KB Model Suggestions Tr 2yr'!$C207)/12)*(24-'KB Model Suggestions Tr 2yr'!B207)*'Product Data'!$P$18)</f>
        <v>#N/A</v>
      </c>
      <c r="F207" s="1927">
        <f t="shared" si="13"/>
        <v>0</v>
      </c>
      <c r="G207" s="1928">
        <v>1.7000000000001001E-3</v>
      </c>
      <c r="H207" s="1931" t="e">
        <f>($G$9*24)/((($F$8-BBR+'Product Data'!$K$3-'KB Model Suggestions Tr 2yr'!$G207)/12)*(24-'KB Model Suggestions Tr 2yr'!F207)*'Product Data'!$P$18)</f>
        <v>#N/A</v>
      </c>
      <c r="J207" s="1927">
        <f t="shared" si="14"/>
        <v>0</v>
      </c>
      <c r="K207" s="1928">
        <v>1.7000000000001001E-3</v>
      </c>
      <c r="L207" s="1931" t="e">
        <f>($K$9*24)/((($J$8-BBR+'Product Data'!$K$2-'KB Model Suggestions Tr 2yr'!$K207)/12)*(24-'KB Model Suggestions Tr 2yr'!J207)*'Product Data'!$P$18)</f>
        <v>#N/A</v>
      </c>
      <c r="N207" s="2431">
        <f t="shared" si="15"/>
        <v>0</v>
      </c>
      <c r="O207" s="2392">
        <v>1.7000000000001001E-3</v>
      </c>
      <c r="P207" s="1929" t="e">
        <f>($O$9*60)/((($N$8-$O207)/12)*(60-N207)*'Product Data'!$P$23)</f>
        <v>#N/A</v>
      </c>
    </row>
    <row r="208" spans="2:16" x14ac:dyDescent="0.25">
      <c r="B208" s="1927">
        <f t="shared" si="12"/>
        <v>0</v>
      </c>
      <c r="C208" s="1928">
        <v>1.6000000000001E-3</v>
      </c>
      <c r="D208" s="1931" t="e">
        <f>($C$9*24)/((($B$8-BBR+'Product Data'!$K$3-'KB Model Suggestions Tr 2yr'!$C208)/12)*(24-'KB Model Suggestions Tr 2yr'!B208)*'Product Data'!$P$18)</f>
        <v>#N/A</v>
      </c>
      <c r="F208" s="1927">
        <f t="shared" si="13"/>
        <v>0</v>
      </c>
      <c r="G208" s="1928">
        <v>1.6000000000001E-3</v>
      </c>
      <c r="H208" s="1931" t="e">
        <f>($G$9*24)/((($F$8-BBR+'Product Data'!$K$3-'KB Model Suggestions Tr 2yr'!$G208)/12)*(24-'KB Model Suggestions Tr 2yr'!F208)*'Product Data'!$P$18)</f>
        <v>#N/A</v>
      </c>
      <c r="J208" s="1927">
        <f t="shared" si="14"/>
        <v>0</v>
      </c>
      <c r="K208" s="1928">
        <v>1.6000000000001E-3</v>
      </c>
      <c r="L208" s="1931" t="e">
        <f>($K$9*24)/((($J$8-BBR+'Product Data'!$K$2-'KB Model Suggestions Tr 2yr'!$K208)/12)*(24-'KB Model Suggestions Tr 2yr'!J208)*'Product Data'!$P$18)</f>
        <v>#N/A</v>
      </c>
      <c r="N208" s="2431">
        <f t="shared" si="15"/>
        <v>0</v>
      </c>
      <c r="O208" s="2392">
        <v>1.6000000000001E-3</v>
      </c>
      <c r="P208" s="1929" t="e">
        <f>($O$9*60)/((($N$8-$O208)/12)*(60-N208)*'Product Data'!$P$23)</f>
        <v>#N/A</v>
      </c>
    </row>
    <row r="209" spans="2:16" x14ac:dyDescent="0.25">
      <c r="B209" s="1927">
        <f t="shared" si="12"/>
        <v>0</v>
      </c>
      <c r="C209" s="1928">
        <v>1.5000000000001E-3</v>
      </c>
      <c r="D209" s="1931" t="e">
        <f>($C$9*24)/((($B$8-BBR+'Product Data'!$K$3-'KB Model Suggestions Tr 2yr'!$C209)/12)*(24-'KB Model Suggestions Tr 2yr'!B209)*'Product Data'!$P$18)</f>
        <v>#N/A</v>
      </c>
      <c r="F209" s="1927">
        <f t="shared" si="13"/>
        <v>0</v>
      </c>
      <c r="G209" s="1928">
        <v>1.5000000000001E-3</v>
      </c>
      <c r="H209" s="1931" t="e">
        <f>($G$9*24)/((($F$8-BBR+'Product Data'!$K$3-'KB Model Suggestions Tr 2yr'!$G209)/12)*(24-'KB Model Suggestions Tr 2yr'!F209)*'Product Data'!$P$18)</f>
        <v>#N/A</v>
      </c>
      <c r="J209" s="1927">
        <f t="shared" si="14"/>
        <v>0</v>
      </c>
      <c r="K209" s="1928">
        <v>1.5000000000001E-3</v>
      </c>
      <c r="L209" s="1931" t="e">
        <f>($K$9*24)/((($J$8-BBR+'Product Data'!$K$2-'KB Model Suggestions Tr 2yr'!$K209)/12)*(24-'KB Model Suggestions Tr 2yr'!J209)*'Product Data'!$P$18)</f>
        <v>#N/A</v>
      </c>
      <c r="N209" s="2431">
        <f t="shared" si="15"/>
        <v>0</v>
      </c>
      <c r="O209" s="2392">
        <v>1.5000000000001E-3</v>
      </c>
      <c r="P209" s="1929" t="e">
        <f>($O$9*60)/((($N$8-$O209)/12)*(60-N209)*'Product Data'!$P$23)</f>
        <v>#N/A</v>
      </c>
    </row>
    <row r="210" spans="2:16" x14ac:dyDescent="0.25">
      <c r="B210" s="1927">
        <f t="shared" si="12"/>
        <v>0</v>
      </c>
      <c r="C210" s="1928">
        <v>1.4000000000000999E-3</v>
      </c>
      <c r="D210" s="1931" t="e">
        <f>($C$9*24)/((($B$8-BBR+'Product Data'!$K$3-'KB Model Suggestions Tr 2yr'!$C210)/12)*(24-'KB Model Suggestions Tr 2yr'!B210)*'Product Data'!$P$18)</f>
        <v>#N/A</v>
      </c>
      <c r="F210" s="1927">
        <f t="shared" si="13"/>
        <v>0</v>
      </c>
      <c r="G210" s="1928">
        <v>1.4000000000000999E-3</v>
      </c>
      <c r="H210" s="1931" t="e">
        <f>($G$9*24)/((($F$8-BBR+'Product Data'!$K$3-'KB Model Suggestions Tr 2yr'!$G210)/12)*(24-'KB Model Suggestions Tr 2yr'!F210)*'Product Data'!$P$18)</f>
        <v>#N/A</v>
      </c>
      <c r="J210" s="1927">
        <f t="shared" si="14"/>
        <v>0</v>
      </c>
      <c r="K210" s="1928">
        <v>1.4000000000000999E-3</v>
      </c>
      <c r="L210" s="1931" t="e">
        <f>($K$9*24)/((($J$8-BBR+'Product Data'!$K$2-'KB Model Suggestions Tr 2yr'!$K210)/12)*(24-'KB Model Suggestions Tr 2yr'!J210)*'Product Data'!$P$18)</f>
        <v>#N/A</v>
      </c>
      <c r="N210" s="2431">
        <f t="shared" si="15"/>
        <v>0</v>
      </c>
      <c r="O210" s="2392">
        <v>1.4000000000000999E-3</v>
      </c>
      <c r="P210" s="1929" t="e">
        <f>($O$9*60)/((($N$8-$O210)/12)*(60-N210)*'Product Data'!$P$23)</f>
        <v>#N/A</v>
      </c>
    </row>
    <row r="211" spans="2:16" x14ac:dyDescent="0.25">
      <c r="B211" s="1927">
        <f t="shared" si="12"/>
        <v>0</v>
      </c>
      <c r="C211" s="1928">
        <v>1.3000000000000999E-3</v>
      </c>
      <c r="D211" s="1931" t="e">
        <f>($C$9*24)/((($B$8-BBR+'Product Data'!$K$3-'KB Model Suggestions Tr 2yr'!$C211)/12)*(24-'KB Model Suggestions Tr 2yr'!B211)*'Product Data'!$P$18)</f>
        <v>#N/A</v>
      </c>
      <c r="F211" s="1927">
        <f t="shared" si="13"/>
        <v>0</v>
      </c>
      <c r="G211" s="1928">
        <v>1.3000000000000999E-3</v>
      </c>
      <c r="H211" s="1931" t="e">
        <f>($G$9*24)/((($F$8-BBR+'Product Data'!$K$3-'KB Model Suggestions Tr 2yr'!$G211)/12)*(24-'KB Model Suggestions Tr 2yr'!F211)*'Product Data'!$P$18)</f>
        <v>#N/A</v>
      </c>
      <c r="J211" s="1927">
        <f t="shared" si="14"/>
        <v>0</v>
      </c>
      <c r="K211" s="1928">
        <v>1.3000000000000999E-3</v>
      </c>
      <c r="L211" s="1931" t="e">
        <f>($K$9*24)/((($J$8-BBR+'Product Data'!$K$2-'KB Model Suggestions Tr 2yr'!$K211)/12)*(24-'KB Model Suggestions Tr 2yr'!J211)*'Product Data'!$P$18)</f>
        <v>#N/A</v>
      </c>
      <c r="N211" s="2431">
        <f t="shared" si="15"/>
        <v>0</v>
      </c>
      <c r="O211" s="2392">
        <v>1.3000000000000999E-3</v>
      </c>
      <c r="P211" s="1929" t="e">
        <f>($O$9*60)/((($N$8-$O211)/12)*(60-N211)*'Product Data'!$P$23)</f>
        <v>#N/A</v>
      </c>
    </row>
    <row r="212" spans="2:16" x14ac:dyDescent="0.25">
      <c r="B212" s="1927">
        <f t="shared" si="12"/>
        <v>0</v>
      </c>
      <c r="C212" s="1928">
        <v>1.2000000000001001E-3</v>
      </c>
      <c r="D212" s="1931" t="e">
        <f>($C$9*24)/((($B$8-BBR+'Product Data'!$K$3-'KB Model Suggestions Tr 2yr'!$C212)/12)*(24-'KB Model Suggestions Tr 2yr'!B212)*'Product Data'!$P$18)</f>
        <v>#N/A</v>
      </c>
      <c r="F212" s="1927">
        <f t="shared" si="13"/>
        <v>0</v>
      </c>
      <c r="G212" s="1928">
        <v>1.2000000000001001E-3</v>
      </c>
      <c r="H212" s="1931" t="e">
        <f>($G$9*24)/((($F$8-BBR+'Product Data'!$K$3-'KB Model Suggestions Tr 2yr'!$G212)/12)*(24-'KB Model Suggestions Tr 2yr'!F212)*'Product Data'!$P$18)</f>
        <v>#N/A</v>
      </c>
      <c r="J212" s="1927">
        <f t="shared" si="14"/>
        <v>0</v>
      </c>
      <c r="K212" s="1928">
        <v>1.2000000000001001E-3</v>
      </c>
      <c r="L212" s="1931" t="e">
        <f>($K$9*24)/((($J$8-BBR+'Product Data'!$K$2-'KB Model Suggestions Tr 2yr'!$K212)/12)*(24-'KB Model Suggestions Tr 2yr'!J212)*'Product Data'!$P$18)</f>
        <v>#N/A</v>
      </c>
      <c r="N212" s="2431">
        <f t="shared" si="15"/>
        <v>0</v>
      </c>
      <c r="O212" s="2392">
        <v>1.2000000000001001E-3</v>
      </c>
      <c r="P212" s="1929" t="e">
        <f>($O$9*60)/((($N$8-$O212)/12)*(60-N212)*'Product Data'!$P$23)</f>
        <v>#N/A</v>
      </c>
    </row>
    <row r="213" spans="2:16" x14ac:dyDescent="0.25">
      <c r="B213" s="1927">
        <f t="shared" si="12"/>
        <v>0</v>
      </c>
      <c r="C213" s="1928">
        <v>1.1000000000001E-3</v>
      </c>
      <c r="D213" s="1931" t="e">
        <f>($C$9*24)/((($B$8-BBR+'Product Data'!$K$3-'KB Model Suggestions Tr 2yr'!$C213)/12)*(24-'KB Model Suggestions Tr 2yr'!B213)*'Product Data'!$P$18)</f>
        <v>#N/A</v>
      </c>
      <c r="F213" s="1927">
        <f t="shared" si="13"/>
        <v>0</v>
      </c>
      <c r="G213" s="1928">
        <v>1.1000000000001E-3</v>
      </c>
      <c r="H213" s="1931" t="e">
        <f>($G$9*24)/((($F$8-BBR+'Product Data'!$K$3-'KB Model Suggestions Tr 2yr'!$G213)/12)*(24-'KB Model Suggestions Tr 2yr'!F213)*'Product Data'!$P$18)</f>
        <v>#N/A</v>
      </c>
      <c r="J213" s="1927">
        <f t="shared" si="14"/>
        <v>0</v>
      </c>
      <c r="K213" s="1928">
        <v>1.1000000000001E-3</v>
      </c>
      <c r="L213" s="1931" t="e">
        <f>($K$9*24)/((($J$8-BBR+'Product Data'!$K$2-'KB Model Suggestions Tr 2yr'!$K213)/12)*(24-'KB Model Suggestions Tr 2yr'!J213)*'Product Data'!$P$18)</f>
        <v>#N/A</v>
      </c>
      <c r="N213" s="2431">
        <f t="shared" si="15"/>
        <v>0</v>
      </c>
      <c r="O213" s="2392">
        <v>1.1000000000001E-3</v>
      </c>
      <c r="P213" s="1929" t="e">
        <f>($O$9*60)/((($N$8-$O213)/12)*(60-N213)*'Product Data'!$P$23)</f>
        <v>#N/A</v>
      </c>
    </row>
    <row r="214" spans="2:16" x14ac:dyDescent="0.25">
      <c r="B214" s="1927">
        <f t="shared" si="12"/>
        <v>0</v>
      </c>
      <c r="C214" s="1928">
        <v>1.0000000000001E-3</v>
      </c>
      <c r="D214" s="1931" t="e">
        <f>($C$9*24)/((($B$8-BBR+'Product Data'!$K$3-'KB Model Suggestions Tr 2yr'!$C214)/12)*(24-'KB Model Suggestions Tr 2yr'!B214)*'Product Data'!$P$18)</f>
        <v>#N/A</v>
      </c>
      <c r="F214" s="1927">
        <f t="shared" si="13"/>
        <v>0</v>
      </c>
      <c r="G214" s="1928">
        <v>1.0000000000001E-3</v>
      </c>
      <c r="H214" s="1931" t="e">
        <f>($G$9*24)/((($F$8-BBR+'Product Data'!$K$3-'KB Model Suggestions Tr 2yr'!$G214)/12)*(24-'KB Model Suggestions Tr 2yr'!F214)*'Product Data'!$P$18)</f>
        <v>#N/A</v>
      </c>
      <c r="J214" s="1927">
        <f t="shared" si="14"/>
        <v>0</v>
      </c>
      <c r="K214" s="1928">
        <v>1.0000000000001E-3</v>
      </c>
      <c r="L214" s="1931" t="e">
        <f>($K$9*24)/((($J$8-BBR+'Product Data'!$K$2-'KB Model Suggestions Tr 2yr'!$K214)/12)*(24-'KB Model Suggestions Tr 2yr'!J214)*'Product Data'!$P$18)</f>
        <v>#N/A</v>
      </c>
      <c r="N214" s="2431">
        <f t="shared" si="15"/>
        <v>0</v>
      </c>
      <c r="O214" s="2392">
        <v>1.0000000000001E-3</v>
      </c>
      <c r="P214" s="1929" t="e">
        <f>($O$9*60)/((($N$8-$O214)/12)*(60-N214)*'Product Data'!$P$23)</f>
        <v>#N/A</v>
      </c>
    </row>
    <row r="215" spans="2:16" x14ac:dyDescent="0.25">
      <c r="B215" s="1927">
        <f t="shared" si="12"/>
        <v>0</v>
      </c>
      <c r="C215" s="1928">
        <v>9.00000000000102E-4</v>
      </c>
      <c r="D215" s="1931" t="e">
        <f>($C$9*24)/((($B$8-BBR+'Product Data'!$K$3-'KB Model Suggestions Tr 2yr'!$C215)/12)*(24-'KB Model Suggestions Tr 2yr'!B215)*'Product Data'!$P$18)</f>
        <v>#N/A</v>
      </c>
      <c r="F215" s="1927">
        <f t="shared" si="13"/>
        <v>0</v>
      </c>
      <c r="G215" s="1928">
        <v>9.00000000000102E-4</v>
      </c>
      <c r="H215" s="1931" t="e">
        <f>($G$9*24)/((($F$8-BBR+'Product Data'!$K$3-'KB Model Suggestions Tr 2yr'!$G215)/12)*(24-'KB Model Suggestions Tr 2yr'!F215)*'Product Data'!$P$18)</f>
        <v>#N/A</v>
      </c>
      <c r="J215" s="1927">
        <f t="shared" si="14"/>
        <v>0</v>
      </c>
      <c r="K215" s="1928">
        <v>9.00000000000102E-4</v>
      </c>
      <c r="L215" s="1931" t="e">
        <f>($K$9*24)/((($J$8-BBR+'Product Data'!$K$2-'KB Model Suggestions Tr 2yr'!$K215)/12)*(24-'KB Model Suggestions Tr 2yr'!J215)*'Product Data'!$P$18)</f>
        <v>#N/A</v>
      </c>
      <c r="N215" s="2431">
        <f t="shared" si="15"/>
        <v>0</v>
      </c>
      <c r="O215" s="2392">
        <v>9.00000000000102E-4</v>
      </c>
      <c r="P215" s="1929" t="e">
        <f>($O$9*60)/((($N$8-$O215)/12)*(60-N215)*'Product Data'!$P$23)</f>
        <v>#N/A</v>
      </c>
    </row>
    <row r="216" spans="2:16" x14ac:dyDescent="0.25">
      <c r="B216" s="1927">
        <f t="shared" si="12"/>
        <v>0</v>
      </c>
      <c r="C216" s="1928">
        <v>8.0000000000009903E-4</v>
      </c>
      <c r="D216" s="1931" t="e">
        <f>($C$9*24)/((($B$8-BBR+'Product Data'!$K$3-'KB Model Suggestions Tr 2yr'!$C216)/12)*(24-'KB Model Suggestions Tr 2yr'!B216)*'Product Data'!$P$18)</f>
        <v>#N/A</v>
      </c>
      <c r="F216" s="1927">
        <f t="shared" si="13"/>
        <v>0</v>
      </c>
      <c r="G216" s="1928">
        <v>8.0000000000009903E-4</v>
      </c>
      <c r="H216" s="1931" t="e">
        <f>($G$9*24)/((($F$8-BBR+'Product Data'!$K$3-'KB Model Suggestions Tr 2yr'!$G216)/12)*(24-'KB Model Suggestions Tr 2yr'!F216)*'Product Data'!$P$18)</f>
        <v>#N/A</v>
      </c>
      <c r="J216" s="1927">
        <f t="shared" si="14"/>
        <v>0</v>
      </c>
      <c r="K216" s="1928">
        <v>8.0000000000009903E-4</v>
      </c>
      <c r="L216" s="1931" t="e">
        <f>($K$9*24)/((($J$8-BBR+'Product Data'!$K$2-'KB Model Suggestions Tr 2yr'!$K216)/12)*(24-'KB Model Suggestions Tr 2yr'!J216)*'Product Data'!$P$18)</f>
        <v>#N/A</v>
      </c>
      <c r="N216" s="2431">
        <f t="shared" si="15"/>
        <v>0</v>
      </c>
      <c r="O216" s="2392">
        <v>8.0000000000009903E-4</v>
      </c>
      <c r="P216" s="1929" t="e">
        <f>($O$9*60)/((($N$8-$O216)/12)*(60-N216)*'Product Data'!$P$23)</f>
        <v>#N/A</v>
      </c>
    </row>
    <row r="217" spans="2:16" x14ac:dyDescent="0.25">
      <c r="B217" s="1927">
        <f t="shared" si="12"/>
        <v>0</v>
      </c>
      <c r="C217" s="1928">
        <v>7.0000000000009996E-4</v>
      </c>
      <c r="D217" s="1931" t="e">
        <f>($C$9*24)/((($B$8-BBR+'Product Data'!$K$3-'KB Model Suggestions Tr 2yr'!$C217)/12)*(24-'KB Model Suggestions Tr 2yr'!B217)*'Product Data'!$P$18)</f>
        <v>#N/A</v>
      </c>
      <c r="F217" s="1927">
        <f t="shared" si="13"/>
        <v>0</v>
      </c>
      <c r="G217" s="1928">
        <v>7.0000000000009996E-4</v>
      </c>
      <c r="H217" s="1931" t="e">
        <f>($G$9*24)/((($F$8-BBR+'Product Data'!$K$3-'KB Model Suggestions Tr 2yr'!$G217)/12)*(24-'KB Model Suggestions Tr 2yr'!F217)*'Product Data'!$P$18)</f>
        <v>#N/A</v>
      </c>
      <c r="J217" s="1927">
        <f t="shared" si="14"/>
        <v>0</v>
      </c>
      <c r="K217" s="1928">
        <v>7.0000000000009996E-4</v>
      </c>
      <c r="L217" s="1931" t="e">
        <f>($K$9*24)/((($J$8-BBR+'Product Data'!$K$2-'KB Model Suggestions Tr 2yr'!$K217)/12)*(24-'KB Model Suggestions Tr 2yr'!J217)*'Product Data'!$P$18)</f>
        <v>#N/A</v>
      </c>
      <c r="N217" s="2431">
        <f t="shared" si="15"/>
        <v>0</v>
      </c>
      <c r="O217" s="2392">
        <v>7.0000000000009996E-4</v>
      </c>
      <c r="P217" s="1929" t="e">
        <f>($O$9*60)/((($N$8-$O217)/12)*(60-N217)*'Product Data'!$P$23)</f>
        <v>#N/A</v>
      </c>
    </row>
    <row r="218" spans="2:16" x14ac:dyDescent="0.25">
      <c r="B218" s="1927">
        <f t="shared" ref="B218:B224" si="16">B217</f>
        <v>0</v>
      </c>
      <c r="C218" s="1928">
        <v>6.0000000000010002E-4</v>
      </c>
      <c r="D218" s="1931" t="e">
        <f>($C$9*24)/((($B$8-BBR+'Product Data'!$K$3-'KB Model Suggestions Tr 2yr'!$C218)/12)*(24-'KB Model Suggestions Tr 2yr'!B218)*'Product Data'!$P$18)</f>
        <v>#N/A</v>
      </c>
      <c r="F218" s="1927">
        <f t="shared" ref="F218:F224" si="17">F217</f>
        <v>0</v>
      </c>
      <c r="G218" s="1928">
        <v>6.0000000000010002E-4</v>
      </c>
      <c r="H218" s="1931" t="e">
        <f>($G$9*24)/((($F$8-BBR+'Product Data'!$K$3-'KB Model Suggestions Tr 2yr'!$G218)/12)*(24-'KB Model Suggestions Tr 2yr'!F218)*'Product Data'!$P$18)</f>
        <v>#N/A</v>
      </c>
      <c r="J218" s="1927">
        <f t="shared" ref="J218:J224" si="18">J217</f>
        <v>0</v>
      </c>
      <c r="K218" s="1928">
        <v>6.0000000000010002E-4</v>
      </c>
      <c r="L218" s="1931" t="e">
        <f>($K$9*24)/((($J$8-BBR+'Product Data'!$K$2-'KB Model Suggestions Tr 2yr'!$K218)/12)*(24-'KB Model Suggestions Tr 2yr'!J218)*'Product Data'!$P$18)</f>
        <v>#N/A</v>
      </c>
      <c r="N218" s="2431">
        <f t="shared" ref="N218:N224" si="19">N217</f>
        <v>0</v>
      </c>
      <c r="O218" s="2392">
        <v>6.0000000000010002E-4</v>
      </c>
      <c r="P218" s="1929" t="e">
        <f>($O$9*60)/((($N$8-$O218)/12)*(60-N218)*'Product Data'!$P$23)</f>
        <v>#N/A</v>
      </c>
    </row>
    <row r="219" spans="2:16" x14ac:dyDescent="0.25">
      <c r="B219" s="1927">
        <f t="shared" si="16"/>
        <v>0</v>
      </c>
      <c r="C219" s="1928">
        <v>5.0000000000010095E-4</v>
      </c>
      <c r="D219" s="1931" t="e">
        <f>($C$9*24)/((($B$8-BBR+'Product Data'!$K$3-'KB Model Suggestions Tr 2yr'!$C219)/12)*(24-'KB Model Suggestions Tr 2yr'!B219)*'Product Data'!$P$18)</f>
        <v>#N/A</v>
      </c>
      <c r="F219" s="1927">
        <f t="shared" si="17"/>
        <v>0</v>
      </c>
      <c r="G219" s="1928">
        <v>5.0000000000010095E-4</v>
      </c>
      <c r="H219" s="1931" t="e">
        <f>($G$9*24)/((($F$8-BBR+'Product Data'!$K$3-'KB Model Suggestions Tr 2yr'!$G219)/12)*(24-'KB Model Suggestions Tr 2yr'!F219)*'Product Data'!$P$18)</f>
        <v>#N/A</v>
      </c>
      <c r="J219" s="1927">
        <f t="shared" si="18"/>
        <v>0</v>
      </c>
      <c r="K219" s="1928">
        <v>5.0000000000010095E-4</v>
      </c>
      <c r="L219" s="1931" t="e">
        <f>($K$9*24)/((($J$8-BBR+'Product Data'!$K$2-'KB Model Suggestions Tr 2yr'!$K219)/12)*(24-'KB Model Suggestions Tr 2yr'!J219)*'Product Data'!$P$18)</f>
        <v>#N/A</v>
      </c>
      <c r="N219" s="2431">
        <f t="shared" si="19"/>
        <v>0</v>
      </c>
      <c r="O219" s="2392">
        <v>5.0000000000010095E-4</v>
      </c>
      <c r="P219" s="1929" t="e">
        <f>($O$9*60)/((($N$8-$O219)/12)*(60-N219)*'Product Data'!$P$23)</f>
        <v>#N/A</v>
      </c>
    </row>
    <row r="220" spans="2:16" x14ac:dyDescent="0.25">
      <c r="B220" s="1927">
        <f t="shared" si="16"/>
        <v>0</v>
      </c>
      <c r="C220" s="1928">
        <v>4.0000000000010199E-4</v>
      </c>
      <c r="D220" s="1931" t="e">
        <f>($C$9*24)/((($B$8-BBR+'Product Data'!$K$3-'KB Model Suggestions Tr 2yr'!$C220)/12)*(24-'KB Model Suggestions Tr 2yr'!B220)*'Product Data'!$P$18)</f>
        <v>#N/A</v>
      </c>
      <c r="F220" s="1927">
        <f t="shared" si="17"/>
        <v>0</v>
      </c>
      <c r="G220" s="1928">
        <v>4.0000000000010199E-4</v>
      </c>
      <c r="H220" s="1931" t="e">
        <f>($G$9*24)/((($F$8-BBR+'Product Data'!$K$3-'KB Model Suggestions Tr 2yr'!$G220)/12)*(24-'KB Model Suggestions Tr 2yr'!F220)*'Product Data'!$P$18)</f>
        <v>#N/A</v>
      </c>
      <c r="J220" s="1927">
        <f t="shared" si="18"/>
        <v>0</v>
      </c>
      <c r="K220" s="1928">
        <v>4.0000000000010199E-4</v>
      </c>
      <c r="L220" s="1931" t="e">
        <f>($K$9*24)/((($J$8-BBR+'Product Data'!$K$2-'KB Model Suggestions Tr 2yr'!$K220)/12)*(24-'KB Model Suggestions Tr 2yr'!J220)*'Product Data'!$P$18)</f>
        <v>#N/A</v>
      </c>
      <c r="N220" s="2431">
        <f t="shared" si="19"/>
        <v>0</v>
      </c>
      <c r="O220" s="2392">
        <v>4.0000000000010199E-4</v>
      </c>
      <c r="P220" s="1929" t="e">
        <f>($O$9*60)/((($N$8-$O220)/12)*(60-N220)*'Product Data'!$P$23)</f>
        <v>#N/A</v>
      </c>
    </row>
    <row r="221" spans="2:16" x14ac:dyDescent="0.25">
      <c r="B221" s="1927">
        <f t="shared" si="16"/>
        <v>0</v>
      </c>
      <c r="C221" s="1928">
        <v>3.0000000000009902E-4</v>
      </c>
      <c r="D221" s="1931" t="e">
        <f>($C$9*24)/((($B$8-BBR+'Product Data'!$K$3-'KB Model Suggestions Tr 2yr'!$C221)/12)*(24-'KB Model Suggestions Tr 2yr'!B221)*'Product Data'!$P$18)</f>
        <v>#N/A</v>
      </c>
      <c r="F221" s="1927">
        <f t="shared" si="17"/>
        <v>0</v>
      </c>
      <c r="G221" s="1928">
        <v>3.0000000000009902E-4</v>
      </c>
      <c r="H221" s="1931" t="e">
        <f>($G$9*24)/((($F$8-BBR+'Product Data'!$K$3-'KB Model Suggestions Tr 2yr'!$G221)/12)*(24-'KB Model Suggestions Tr 2yr'!F221)*'Product Data'!$P$18)</f>
        <v>#N/A</v>
      </c>
      <c r="J221" s="1927">
        <f t="shared" si="18"/>
        <v>0</v>
      </c>
      <c r="K221" s="1928">
        <v>3.0000000000009902E-4</v>
      </c>
      <c r="L221" s="1931" t="e">
        <f>($K$9*24)/((($J$8-BBR+'Product Data'!$K$2-'KB Model Suggestions Tr 2yr'!$K221)/12)*(24-'KB Model Suggestions Tr 2yr'!J221)*'Product Data'!$P$18)</f>
        <v>#N/A</v>
      </c>
      <c r="N221" s="2431">
        <f t="shared" si="19"/>
        <v>0</v>
      </c>
      <c r="O221" s="2392">
        <v>3.0000000000009902E-4</v>
      </c>
      <c r="P221" s="1929" t="e">
        <f>($O$9*60)/((($N$8-$O221)/12)*(60-N221)*'Product Data'!$P$23)</f>
        <v>#N/A</v>
      </c>
    </row>
    <row r="222" spans="2:16" x14ac:dyDescent="0.25">
      <c r="B222" s="1927">
        <f t="shared" si="16"/>
        <v>0</v>
      </c>
      <c r="C222" s="1928">
        <v>2.00000000000099E-4</v>
      </c>
      <c r="D222" s="1931" t="e">
        <f>($C$9*24)/((($B$8-BBR+'Product Data'!$K$3-'KB Model Suggestions Tr 2yr'!$C222)/12)*(24-'KB Model Suggestions Tr 2yr'!B222)*'Product Data'!$P$18)</f>
        <v>#N/A</v>
      </c>
      <c r="F222" s="1927">
        <f t="shared" si="17"/>
        <v>0</v>
      </c>
      <c r="G222" s="1928">
        <v>2.00000000000099E-4</v>
      </c>
      <c r="H222" s="1931" t="e">
        <f>($G$9*24)/((($F$8-BBR+'Product Data'!$K$3-'KB Model Suggestions Tr 2yr'!$G222)/12)*(24-'KB Model Suggestions Tr 2yr'!F222)*'Product Data'!$P$18)</f>
        <v>#N/A</v>
      </c>
      <c r="J222" s="1927">
        <f t="shared" si="18"/>
        <v>0</v>
      </c>
      <c r="K222" s="1928">
        <v>2.00000000000099E-4</v>
      </c>
      <c r="L222" s="1931" t="e">
        <f>($K$9*24)/((($J$8-BBR+'Product Data'!$K$2-'KB Model Suggestions Tr 2yr'!$K222)/12)*(24-'KB Model Suggestions Tr 2yr'!J222)*'Product Data'!$P$18)</f>
        <v>#N/A</v>
      </c>
      <c r="N222" s="2431">
        <f t="shared" si="19"/>
        <v>0</v>
      </c>
      <c r="O222" s="2392">
        <v>2.00000000000099E-4</v>
      </c>
      <c r="P222" s="1929" t="e">
        <f>($O$9*60)/((($N$8-$O222)/12)*(60-N222)*'Product Data'!$P$23)</f>
        <v>#N/A</v>
      </c>
    </row>
    <row r="223" spans="2:16" x14ac:dyDescent="0.25">
      <c r="B223" s="1927">
        <f t="shared" si="16"/>
        <v>0</v>
      </c>
      <c r="C223" s="1928">
        <v>1.000000000001E-4</v>
      </c>
      <c r="D223" s="1931" t="e">
        <f>($C$9*24)/((($B$8-BBR+'Product Data'!$K$3-'KB Model Suggestions Tr 2yr'!$C223)/12)*(24-'KB Model Suggestions Tr 2yr'!B223)*'Product Data'!$P$18)</f>
        <v>#N/A</v>
      </c>
      <c r="F223" s="1927">
        <f t="shared" si="17"/>
        <v>0</v>
      </c>
      <c r="G223" s="1928">
        <v>1.000000000001E-4</v>
      </c>
      <c r="H223" s="1931" t="e">
        <f>($G$9*24)/((($F$8-BBR+'Product Data'!$K$3-'KB Model Suggestions Tr 2yr'!$G223)/12)*(24-'KB Model Suggestions Tr 2yr'!F223)*'Product Data'!$P$18)</f>
        <v>#N/A</v>
      </c>
      <c r="J223" s="1927">
        <f t="shared" si="18"/>
        <v>0</v>
      </c>
      <c r="K223" s="1928">
        <v>1.000000000001E-4</v>
      </c>
      <c r="L223" s="1931" t="e">
        <f>($K$9*24)/((($J$8-BBR+'Product Data'!$K$2-'KB Model Suggestions Tr 2yr'!$K223)/12)*(24-'KB Model Suggestions Tr 2yr'!J223)*'Product Data'!$P$18)</f>
        <v>#N/A</v>
      </c>
      <c r="N223" s="2431">
        <f t="shared" si="19"/>
        <v>0</v>
      </c>
      <c r="O223" s="2392">
        <v>1.000000000001E-4</v>
      </c>
      <c r="P223" s="1929" t="e">
        <f>($O$9*60)/((($N$8-$O223)/12)*(60-N223)*'Product Data'!$P$23)</f>
        <v>#N/A</v>
      </c>
    </row>
    <row r="224" spans="2:16" x14ac:dyDescent="0.25">
      <c r="B224" s="1927">
        <f t="shared" si="16"/>
        <v>0</v>
      </c>
      <c r="C224" s="1928">
        <v>1.00613961606655E-16</v>
      </c>
      <c r="D224" s="1931" t="e">
        <f>($C$9*24)/((($B$8-BBR+'Product Data'!$K$3-'KB Model Suggestions Tr 2yr'!$C224)/12)*(24-'KB Model Suggestions Tr 2yr'!B224)*'Product Data'!$P$18)</f>
        <v>#N/A</v>
      </c>
      <c r="F224" s="1927">
        <f t="shared" si="17"/>
        <v>0</v>
      </c>
      <c r="G224" s="1928">
        <v>1.00613961606655E-16</v>
      </c>
      <c r="H224" s="1931" t="e">
        <f>($G$9*24)/((($F$8-BBR+'Product Data'!$K$3-'KB Model Suggestions Tr 2yr'!$G224)/12)*(24-'KB Model Suggestions Tr 2yr'!F224)*'Product Data'!$P$18)</f>
        <v>#N/A</v>
      </c>
      <c r="J224" s="1927">
        <f t="shared" si="18"/>
        <v>0</v>
      </c>
      <c r="K224" s="1928">
        <v>1.00613961606655E-16</v>
      </c>
      <c r="L224" s="1931" t="e">
        <f>($K$9*24)/((($J$8-BBR+'Product Data'!$K$2-'KB Model Suggestions Tr 2yr'!$K224)/12)*(24-'KB Model Suggestions Tr 2yr'!J224)*'Product Data'!$P$18)</f>
        <v>#N/A</v>
      </c>
      <c r="N224" s="1927">
        <f t="shared" si="19"/>
        <v>0</v>
      </c>
      <c r="O224" s="1928">
        <v>1.00613961606655E-16</v>
      </c>
      <c r="P224" s="1929" t="e">
        <f>($O$9*60)/((($N$8-$O224)/12)*(60-N224)*'Product Data'!$P$23)</f>
        <v>#N/A</v>
      </c>
    </row>
    <row r="225" spans="16:16" x14ac:dyDescent="0.25">
      <c r="P225" s="2249"/>
    </row>
    <row r="226" spans="16:16" x14ac:dyDescent="0.25">
      <c r="P226" s="2249"/>
    </row>
    <row r="227" spans="16:16" x14ac:dyDescent="0.25">
      <c r="P227" s="2249"/>
    </row>
    <row r="228" spans="16:16" x14ac:dyDescent="0.25">
      <c r="P228" s="2249"/>
    </row>
    <row r="229" spans="16:16" x14ac:dyDescent="0.25">
      <c r="P229" s="2249"/>
    </row>
    <row r="230" spans="16:16" x14ac:dyDescent="0.25">
      <c r="P230" s="2249"/>
    </row>
    <row r="231" spans="16:16" x14ac:dyDescent="0.25">
      <c r="P231" s="2249"/>
    </row>
    <row r="232" spans="16:16" x14ac:dyDescent="0.25">
      <c r="P232" s="2249"/>
    </row>
    <row r="233" spans="16:16" x14ac:dyDescent="0.25">
      <c r="P233" s="2249"/>
    </row>
    <row r="234" spans="16:16" x14ac:dyDescent="0.25">
      <c r="P234" s="2249"/>
    </row>
    <row r="235" spans="16:16" x14ac:dyDescent="0.25">
      <c r="P235" s="2249"/>
    </row>
    <row r="236" spans="16:16" x14ac:dyDescent="0.25">
      <c r="P236" s="2249"/>
    </row>
    <row r="237" spans="16:16" x14ac:dyDescent="0.25">
      <c r="P237" s="2249"/>
    </row>
    <row r="238" spans="16:16" x14ac:dyDescent="0.25">
      <c r="P238" s="2249"/>
    </row>
    <row r="239" spans="16:16" x14ac:dyDescent="0.25">
      <c r="P239" s="2249"/>
    </row>
    <row r="240" spans="16:16" x14ac:dyDescent="0.25">
      <c r="P240" s="2249"/>
    </row>
    <row r="241" spans="16:16" x14ac:dyDescent="0.25">
      <c r="P241" s="2249"/>
    </row>
    <row r="242" spans="16:16" x14ac:dyDescent="0.25">
      <c r="P242" s="2249"/>
    </row>
    <row r="243" spans="16:16" x14ac:dyDescent="0.25">
      <c r="P243" s="2249"/>
    </row>
    <row r="244" spans="16:16" x14ac:dyDescent="0.25">
      <c r="P244" s="2249"/>
    </row>
    <row r="245" spans="16:16" x14ac:dyDescent="0.25">
      <c r="P245" s="2249"/>
    </row>
    <row r="246" spans="16:16" x14ac:dyDescent="0.25">
      <c r="P246" s="2249"/>
    </row>
    <row r="247" spans="16:16" x14ac:dyDescent="0.25">
      <c r="P247" s="2249"/>
    </row>
    <row r="248" spans="16:16" x14ac:dyDescent="0.25">
      <c r="P248" s="2249"/>
    </row>
    <row r="249" spans="16:16" x14ac:dyDescent="0.25">
      <c r="P249" s="2249"/>
    </row>
    <row r="250" spans="16:16" x14ac:dyDescent="0.25">
      <c r="P250" s="2249"/>
    </row>
    <row r="251" spans="16:16" x14ac:dyDescent="0.25">
      <c r="P251" s="2249"/>
    </row>
    <row r="252" spans="16:16" x14ac:dyDescent="0.25">
      <c r="P252" s="2249"/>
    </row>
    <row r="253" spans="16:16" x14ac:dyDescent="0.25">
      <c r="P253" s="2249"/>
    </row>
    <row r="254" spans="16:16" x14ac:dyDescent="0.25">
      <c r="P254" s="2249"/>
    </row>
    <row r="255" spans="16:16" x14ac:dyDescent="0.25">
      <c r="P255" s="2249"/>
    </row>
    <row r="256" spans="16:16" x14ac:dyDescent="0.25">
      <c r="P256" s="2249"/>
    </row>
    <row r="257" spans="16:16" x14ac:dyDescent="0.25">
      <c r="P257" s="2249"/>
    </row>
    <row r="258" spans="16:16" x14ac:dyDescent="0.25">
      <c r="P258" s="2249"/>
    </row>
    <row r="259" spans="16:16" x14ac:dyDescent="0.25">
      <c r="P259" s="2249"/>
    </row>
    <row r="260" spans="16:16" x14ac:dyDescent="0.25">
      <c r="P260" s="2249"/>
    </row>
    <row r="261" spans="16:16" x14ac:dyDescent="0.25">
      <c r="P261" s="2249"/>
    </row>
    <row r="262" spans="16:16" x14ac:dyDescent="0.25">
      <c r="P262" s="2249"/>
    </row>
    <row r="263" spans="16:16" x14ac:dyDescent="0.25">
      <c r="P263" s="2249"/>
    </row>
    <row r="264" spans="16:16" x14ac:dyDescent="0.25">
      <c r="P264" s="2249"/>
    </row>
    <row r="265" spans="16:16" x14ac:dyDescent="0.25">
      <c r="P265" s="2249"/>
    </row>
    <row r="266" spans="16:16" x14ac:dyDescent="0.25">
      <c r="P266" s="2249"/>
    </row>
    <row r="267" spans="16:16" x14ac:dyDescent="0.25">
      <c r="P267" s="2249"/>
    </row>
    <row r="268" spans="16:16" x14ac:dyDescent="0.25">
      <c r="P268" s="2249"/>
    </row>
    <row r="269" spans="16:16" x14ac:dyDescent="0.25">
      <c r="P269" s="2249"/>
    </row>
    <row r="270" spans="16:16" x14ac:dyDescent="0.25">
      <c r="P270" s="2249"/>
    </row>
    <row r="271" spans="16:16" x14ac:dyDescent="0.25">
      <c r="P271" s="2249"/>
    </row>
    <row r="272" spans="16:16" x14ac:dyDescent="0.25">
      <c r="P272" s="2249"/>
    </row>
    <row r="273" spans="16:16" x14ac:dyDescent="0.25">
      <c r="P273" s="2249"/>
    </row>
    <row r="274" spans="16:16" x14ac:dyDescent="0.25">
      <c r="P274" s="2249"/>
    </row>
    <row r="275" spans="16:16" x14ac:dyDescent="0.25">
      <c r="P275" s="2249"/>
    </row>
    <row r="276" spans="16:16" x14ac:dyDescent="0.25">
      <c r="P276" s="2249"/>
    </row>
    <row r="277" spans="16:16" x14ac:dyDescent="0.25">
      <c r="P277" s="2249"/>
    </row>
    <row r="278" spans="16:16" x14ac:dyDescent="0.25">
      <c r="P278" s="2249"/>
    </row>
    <row r="279" spans="16:16" x14ac:dyDescent="0.25">
      <c r="P279" s="2249"/>
    </row>
    <row r="280" spans="16:16" x14ac:dyDescent="0.25">
      <c r="P280" s="2249"/>
    </row>
    <row r="281" spans="16:16" x14ac:dyDescent="0.25">
      <c r="P281" s="2249"/>
    </row>
    <row r="282" spans="16:16" x14ac:dyDescent="0.25">
      <c r="P282" s="2249"/>
    </row>
    <row r="283" spans="16:16" x14ac:dyDescent="0.25">
      <c r="P283" s="2249"/>
    </row>
  </sheetData>
  <mergeCells count="14">
    <mergeCell ref="N2:P2"/>
    <mergeCell ref="N3:P4"/>
    <mergeCell ref="R13:S13"/>
    <mergeCell ref="B2:D2"/>
    <mergeCell ref="F2:H2"/>
    <mergeCell ref="J2:L2"/>
    <mergeCell ref="B3:D4"/>
    <mergeCell ref="F3:H4"/>
    <mergeCell ref="J3:L4"/>
    <mergeCell ref="U8:U9"/>
    <mergeCell ref="R9:T9"/>
    <mergeCell ref="R10:S10"/>
    <mergeCell ref="R11:S11"/>
    <mergeCell ref="R12:S1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A9C79-6B7E-421B-8BCD-7393AA9BE4D7}">
  <sheetPr codeName="Sheet18">
    <tabColor theme="5"/>
  </sheetPr>
  <dimension ref="A1:U159"/>
  <sheetViews>
    <sheetView zoomScale="85" zoomScaleNormal="85" zoomScaleSheetLayoutView="85" workbookViewId="0">
      <selection activeCell="G30" sqref="G30"/>
    </sheetView>
  </sheetViews>
  <sheetFormatPr defaultRowHeight="18" x14ac:dyDescent="0.35"/>
  <cols>
    <col min="1" max="1" width="30.5703125" style="67" customWidth="1"/>
    <col min="2" max="2" width="22.42578125" style="67" customWidth="1"/>
    <col min="3" max="3" width="24.28515625" style="67" customWidth="1"/>
    <col min="4" max="4" width="32.5703125" style="67" customWidth="1"/>
    <col min="5" max="5" width="1.28515625" style="287" customWidth="1"/>
    <col min="6" max="6" width="15" style="137" customWidth="1"/>
    <col min="7" max="7" width="33.28515625" style="67" customWidth="1"/>
    <col min="8" max="8" width="24.7109375" style="67" customWidth="1"/>
    <col min="9" max="9" width="34.28515625" style="137" customWidth="1"/>
    <col min="10" max="10" width="2.5703125" style="67" customWidth="1"/>
    <col min="11" max="11" width="47.140625" style="536" customWidth="1"/>
    <col min="12" max="12" width="43.42578125" style="287" customWidth="1"/>
    <col min="13" max="13" width="63.7109375" style="67" customWidth="1"/>
    <col min="14" max="14" width="40.140625" style="67" customWidth="1"/>
    <col min="15" max="15" width="16.28515625" style="67" customWidth="1"/>
    <col min="16" max="16384" width="9.140625" style="67"/>
  </cols>
  <sheetData>
    <row r="1" spans="1:21" ht="35.25" customHeight="1" x14ac:dyDescent="0.35">
      <c r="A1" s="1158" t="str">
        <f>IF('BTL Calculator'!AL90&gt;0, "Automatic DIP production - choose Print to Microsft PDF for a email DIP", "PLEASE SELECT A PRODUCT IN THE BTL CALCULATOR TAB CELL AL 81")</f>
        <v>PLEASE SELECT A PRODUCT IN THE BTL CALCULATOR TAB CELL AL 81</v>
      </c>
      <c r="B1"/>
      <c r="C1"/>
      <c r="D1"/>
      <c r="E1"/>
      <c r="F1" s="862"/>
      <c r="G1"/>
      <c r="H1" s="1227" t="str">
        <f>'BTL Calculator'!AI20&amp;" "&amp;Term&amp;"m "&amp;TEXT(INDEX(Funders!I2:I25,MATCH('BTL Calculator'!AI20,Funders!A2:A25,0)),"Mmm YY")</f>
        <v>ZBL 24m Mar 22</v>
      </c>
      <c r="I1"/>
      <c r="J1"/>
      <c r="K1"/>
      <c r="L1" s="3589"/>
      <c r="M1"/>
      <c r="N1"/>
      <c r="O1"/>
      <c r="P1"/>
      <c r="Q1"/>
    </row>
    <row r="2" spans="1:21" ht="30.75" customHeight="1" thickBot="1" x14ac:dyDescent="0.4">
      <c r="A2" s="3590" t="s">
        <v>883</v>
      </c>
      <c r="B2" s="3590"/>
      <c r="C2" s="3590"/>
      <c r="D2" s="3590"/>
      <c r="E2" s="1159"/>
      <c r="F2" s="1160" t="s">
        <v>884</v>
      </c>
      <c r="G2"/>
      <c r="H2" s="1226"/>
      <c r="I2" s="862"/>
      <c r="J2"/>
      <c r="K2" s="1161"/>
      <c r="L2" s="3589"/>
      <c r="M2"/>
      <c r="N2"/>
      <c r="O2"/>
      <c r="P2"/>
      <c r="Q2"/>
    </row>
    <row r="3" spans="1:21" x14ac:dyDescent="0.35">
      <c r="A3" s="3594"/>
      <c r="B3" s="3594"/>
      <c r="C3" s="3594"/>
      <c r="D3" s="3594"/>
      <c r="E3" s="1162"/>
      <c r="F3" s="1163" t="s">
        <v>885</v>
      </c>
      <c r="G3" s="1164" t="s">
        <v>886</v>
      </c>
      <c r="H3" s="1165" t="s">
        <v>887</v>
      </c>
      <c r="I3" s="1166" t="s">
        <v>888</v>
      </c>
      <c r="J3" s="1167"/>
      <c r="K3" s="1168" t="s">
        <v>889</v>
      </c>
      <c r="L3" s="3589"/>
      <c r="M3"/>
      <c r="N3"/>
      <c r="O3"/>
      <c r="P3"/>
      <c r="Q3"/>
    </row>
    <row r="4" spans="1:21" s="534" customFormat="1" ht="18" customHeight="1" x14ac:dyDescent="0.2">
      <c r="A4" s="1169" t="s">
        <v>890</v>
      </c>
      <c r="B4" s="3596">
        <f ca="1">IF(H4="",K4,H4)</f>
        <v>45989</v>
      </c>
      <c r="C4" s="3596"/>
      <c r="D4" s="3596"/>
      <c r="E4" s="1170"/>
      <c r="F4" s="1171" t="s">
        <v>891</v>
      </c>
      <c r="G4" s="3599" t="s">
        <v>892</v>
      </c>
      <c r="H4" s="1172"/>
      <c r="I4" s="862" t="s">
        <v>893</v>
      </c>
      <c r="J4" s="862"/>
      <c r="K4" s="1173">
        <f ca="1">IF(H4="",TODAY(),H4)</f>
        <v>45989</v>
      </c>
      <c r="L4" s="1174"/>
      <c r="M4" s="1175"/>
      <c r="N4" s="1175"/>
      <c r="O4" s="1175"/>
      <c r="P4" s="1175"/>
      <c r="Q4" s="1175"/>
    </row>
    <row r="5" spans="1:21" s="534" customFormat="1" ht="18" customHeight="1" x14ac:dyDescent="0.25">
      <c r="A5" s="1169" t="s">
        <v>894</v>
      </c>
      <c r="B5" s="3597" t="str">
        <f>IF(H5="",K5,H5)</f>
        <v>xxxxxxx</v>
      </c>
      <c r="C5" s="3597"/>
      <c r="D5" s="3597"/>
      <c r="E5" s="1176"/>
      <c r="F5" s="1171" t="s">
        <v>891</v>
      </c>
      <c r="G5" s="3600"/>
      <c r="H5" s="1269"/>
      <c r="I5" s="3602" t="s">
        <v>895</v>
      </c>
      <c r="J5" s="862"/>
      <c r="K5" s="1177" t="str">
        <f>IF(H5="",'BTL Calculator'!H8,H5)</f>
        <v>xxxxxxx</v>
      </c>
      <c r="L5" s="1174"/>
      <c r="M5" s="1175"/>
      <c r="N5" s="1175"/>
      <c r="O5" s="1175"/>
      <c r="P5" s="1175"/>
      <c r="Q5" s="1175"/>
    </row>
    <row r="6" spans="1:21" s="534" customFormat="1" ht="18" customHeight="1" thickBot="1" x14ac:dyDescent="0.3">
      <c r="A6" s="1169" t="s">
        <v>896</v>
      </c>
      <c r="B6" s="3597" t="str">
        <f>IF(H6="",K6,H6)</f>
        <v>xxxxxxx</v>
      </c>
      <c r="C6" s="3597"/>
      <c r="D6" s="3597"/>
      <c r="E6" s="1176"/>
      <c r="F6" s="1171" t="s">
        <v>891</v>
      </c>
      <c r="G6" s="3600"/>
      <c r="H6" s="1270"/>
      <c r="I6" s="3602"/>
      <c r="J6" s="862"/>
      <c r="K6" s="1177" t="str">
        <f>'BTL Calculator'!H10</f>
        <v>xxxxxxx</v>
      </c>
      <c r="L6" s="1174"/>
      <c r="M6" s="1175"/>
      <c r="N6" s="1175"/>
      <c r="O6" s="1175"/>
      <c r="P6" s="1175"/>
      <c r="Q6" s="1175"/>
    </row>
    <row r="7" spans="1:21" ht="183" customHeight="1" x14ac:dyDescent="0.35">
      <c r="A7" s="3559" t="s">
        <v>3768</v>
      </c>
      <c r="B7" s="3559"/>
      <c r="C7" s="3559"/>
      <c r="D7" s="3559"/>
      <c r="E7" s="1178"/>
      <c r="F7" s="898"/>
      <c r="G7" s="898"/>
      <c r="H7" s="898"/>
      <c r="I7" s="1179"/>
      <c r="J7" s="1179"/>
      <c r="K7" s="1180"/>
      <c r="L7" s="1"/>
      <c r="M7"/>
      <c r="N7"/>
      <c r="O7"/>
      <c r="P7"/>
      <c r="Q7"/>
    </row>
    <row r="8" spans="1:21" ht="20.25" customHeight="1" thickBot="1" x14ac:dyDescent="0.4">
      <c r="A8" s="3595" t="s">
        <v>897</v>
      </c>
      <c r="B8" s="3595"/>
      <c r="C8" s="3595"/>
      <c r="D8" s="3595"/>
      <c r="E8" s="1181"/>
      <c r="F8" s="3601" t="s">
        <v>898</v>
      </c>
      <c r="G8" s="3601"/>
      <c r="H8" s="3601"/>
      <c r="I8" s="3601"/>
      <c r="J8" s="3601"/>
      <c r="K8" s="3601"/>
      <c r="L8" s="1"/>
      <c r="M8"/>
      <c r="N8"/>
      <c r="O8"/>
      <c r="P8"/>
      <c r="Q8"/>
    </row>
    <row r="9" spans="1:21" ht="20.25" customHeight="1" thickBot="1" x14ac:dyDescent="0.4">
      <c r="A9" s="1308" t="s">
        <v>899</v>
      </c>
      <c r="B9" s="3559" t="str">
        <f>IF(H9="",K9,H9)</f>
        <v>xxxxxxx</v>
      </c>
      <c r="C9" s="3559"/>
      <c r="D9" s="3559"/>
      <c r="E9" s="1178"/>
      <c r="F9" s="1171" t="s">
        <v>891</v>
      </c>
      <c r="G9" s="1182"/>
      <c r="H9" s="1268" t="str">
        <f>IF(H5="",K5,H5)</f>
        <v>xxxxxxx</v>
      </c>
      <c r="I9" s="862"/>
      <c r="J9" s="862"/>
      <c r="K9" s="1177" t="str">
        <f>B5</f>
        <v>xxxxxxx</v>
      </c>
      <c r="L9"/>
      <c r="M9" s="2289"/>
      <c r="N9"/>
      <c r="O9"/>
      <c r="P9"/>
      <c r="Q9"/>
    </row>
    <row r="10" spans="1:21" ht="20.25" customHeight="1" x14ac:dyDescent="0.35">
      <c r="A10" s="2263" t="s">
        <v>900</v>
      </c>
      <c r="B10" s="3560" t="b">
        <f>K10</f>
        <v>0</v>
      </c>
      <c r="C10" s="3560"/>
      <c r="D10" s="3560"/>
      <c r="E10" s="1178"/>
      <c r="F10" s="1171"/>
      <c r="G10" s="1182"/>
      <c r="H10" s="2262"/>
      <c r="I10" s="862"/>
      <c r="J10" s="862"/>
      <c r="K10" s="1776" t="b">
        <f>IF('BTL Calculator'!V3="Residential BTL","Buy to Let  Standard Residential ",IF('BTL Calculator'!V3="Semi-Commercial","Buy to Let Semi Commercial",IF('BTL Calculator'!V3="Commercial","Buy to Let Commercial")))</f>
        <v>0</v>
      </c>
      <c r="L10"/>
      <c r="M10" s="2290"/>
      <c r="N10"/>
      <c r="O10"/>
      <c r="P10"/>
      <c r="Q10"/>
    </row>
    <row r="11" spans="1:21" ht="39.75" customHeight="1" x14ac:dyDescent="0.35">
      <c r="A11" s="2574" t="s">
        <v>3762</v>
      </c>
      <c r="B11" s="3598" t="str">
        <f>IF(Rate_Type="Tracker",K11,M11)</f>
        <v>10 years, made up of an initial fixed rate of 2 years (the “Initial Fixed Rate Period”), then followed by a variable rate (the “Revert Rate”) for the remaining term.</v>
      </c>
      <c r="C11" s="3559"/>
      <c r="D11" s="3559"/>
      <c r="E11" s="1178"/>
      <c r="F11" s="1171" t="s">
        <v>891</v>
      </c>
      <c r="G11" s="898"/>
      <c r="H11" s="862"/>
      <c r="I11" s="862"/>
      <c r="J11" s="862"/>
      <c r="K11" s="2346" t="str">
        <f>IF('BTL Calculator'!V2="Core","25 years, made up of an initial tracker rate of 2 years (the ''Initial Tracker Rate Period''), then followed by a variable rate (the “Revert Rate”) for the remaining term.","10 years, made up of an initial tracker rate of 2 years (the ''Initial Tracker Rate Period''), then followed by a variable rate (the “Revert Rate”) for the remaining term.")</f>
        <v>10 years, made up of an initial tracker rate of 2 years (the ''Initial Tracker Rate Period''), then followed by a variable rate (the “Revert Rate”) for the remaining term.</v>
      </c>
      <c r="L11" s="1183"/>
      <c r="M11" s="1183" t="str">
        <f>IF('BTL Calculator'!V2="Core","25 years, made up of an initial fixed rate of"&amp;IF('BTL Calculator'!V5="3 year fixed", " 3",IF('BTL Calculator'!V5="5 year fixed", " 5"," 2"))&amp;" years (the “Initial Fixed Rate Period”), then followed by a variable rate (the “Revert Rate”) for the remaining term.","10 years, made up of an initial fixed rate of"&amp;IF('BTL Calculator'!V5="3 year fixed", " 3",IF('BTL Calculator'!V5="5 year fixed", " 5"," 2"))&amp;" years (the “Initial Fixed Rate Period”), then followed by a variable rate (the “Revert Rate”) for the remaining term.")</f>
        <v>10 years, made up of an initial fixed rate of 2 years (the “Initial Fixed Rate Period”), then followed by a variable rate (the “Revert Rate”) for the remaining term.</v>
      </c>
      <c r="N11" s="1183"/>
      <c r="O11" s="1183"/>
      <c r="P11" s="1183"/>
      <c r="Q11" s="1183"/>
      <c r="R11" s="535"/>
      <c r="S11" s="535"/>
      <c r="T11" s="535"/>
    </row>
    <row r="12" spans="1:21" ht="50.25" customHeight="1" x14ac:dyDescent="0.35">
      <c r="A12" s="1308" t="s">
        <v>901</v>
      </c>
      <c r="B12" s="3570" t="str">
        <f>K12&amp;L12&amp;M12&amp;N12&amp;O12&amp;P12</f>
        <v>For the first 2 years a fixed rate of 0.00%. 2 years from the date of completion, the interest rate will change to the MFS Variable Rate, currently 8.59% plus a set margin of -8.59% for the remaining 8 years.</v>
      </c>
      <c r="C12" s="3565"/>
      <c r="D12" s="3565"/>
      <c r="E12" s="1184"/>
      <c r="F12" s="1171" t="s">
        <v>891</v>
      </c>
      <c r="G12" s="898"/>
      <c r="H12" s="862"/>
      <c r="I12" s="1072" t="s">
        <v>3723</v>
      </c>
      <c r="J12" s="862"/>
      <c r="K12" s="2526" t="str">
        <f>IF(AND('BTL Calculator'!V5="Tracker",'BTL Calculator'!AL81="2% Fee",'BTL Calculator'!V3="Residential BTL"),
"For the first "&amp;(Term/12)&amp;" years, a variable rate made up of the Bank of England Base Rate (BBR), currently "&amp;TEXT('Product Data'!E4*100,"0.00")&amp;"% plus a set margin of "&amp;TEXT('BTL Calculator'!AL87*100,"0.00")&amp;"% giving a current rate payable of "&amp;TEXT('BTL Calculator'!AL85*100,"0.00")&amp;"%. "&amp;(Term/12)&amp;" years from the date of completion, the interest rate will change to the MFS Variable Rate, currently 8.59%"&amp;IF('BTL Calculator'!$I$109=8.59%,""," plus a set margin of "&amp;TEXT('BTL Calculator'!$I$109-8.59%,"0.00%"))&amp;" for the remaining "&amp;(IF('BTL Calculator'!V2="Core",25,10)-Term/12)&amp;" years.",
"")</f>
        <v/>
      </c>
      <c r="L12" s="2526" t="str">
        <f>IF(AND('BTL Calculator'!V5="Tracker", OR('BTL Calculator'!AL81 = "4% Fee",'BTL Calculator'!AL81 = "6% Fee",'BTL Calculator'!AL81 = "3% Fee"),'BTL Calculator'!V3="Residential BTL"),
"For the first "&amp;(Term/12)&amp;" years, a variable rate made up of the Bank of England Base Rate (BBR), currently "&amp;TEXT('Product Data'!E4*100,"0.00")&amp;"% plus a set margin of "&amp;TEXT('BTL Calculator'!AL87*100,"0.00")&amp;"% giving a current rate payable of "&amp;TEXT('BTL Calculator'!AL85*100,"0.00")&amp;"%. "&amp;(Term/12)&amp;" years from the date of completion, the interest rate will change to the MFS Variable Rate, currently 8.59%"&amp;IF('BTL Calculator'!$I$109=8.59%,""," plus a set margin of "&amp;TEXT('BTL Calculator'!$I$109-8.59%,"0.00%"))&amp;" for the remaining "&amp;(IF('BTL Calculator'!V2="Core",25,10)-Term/12)&amp;" years.""",
"")</f>
        <v/>
      </c>
      <c r="M12" s="2526" t="str">
        <f>IF(AND(Rate_Type="Fixed",'BTL Calculator'!AL81="2% Fee",'BTL Calculator'!V3="Residential BTL"),
"For the first "&amp;(Term/12)&amp;" years a fixed rate of "&amp;TEXT('BTL Calculator'!$AL$85,"0.00%")&amp;". "&amp;(Term/12)&amp;" years from the date of completion, the interest rate will change to the MFS Variable Rate, currently 8.59%"&amp;IF('BTL Calculator'!$I$109=8.59%,""," plus a set margin of "&amp;TEXT('BTL Calculator'!$I$109-8.59%,"0.00%"))&amp;" for the remaining "&amp;(IF('BTL Calculator'!V2="Core",25,10)-Term/12)&amp;" years.""",
"")</f>
        <v/>
      </c>
      <c r="N12" s="2526" t="str">
        <f>IF(AND(Rate_Type="Fixed",OR('BTL Calculator'!AL81 = "4% Fee",'BTL Calculator'!AL81 = "6% Fee",'BTL Calculator'!AL81 = "3% Fee"),'BTL Calculator'!V3="Residential BTL"),
"For the first "&amp;(Term/12)&amp;" years a fixed rate of "&amp;TEXT('BTL Calculator'!$AL$85,"0.00%")&amp;". "&amp;(Term/12)&amp;" years from the date of completion, the interest rate will change to the MFS Variable Rate, currently 8.59%"
&amp;IF('BTL Calculator'!$I$109=8.59%,""," plus a set margin of "&amp;TEXT('BTL Calculator'!$I$109-8.59%,"0.00%"))&amp;" for the remaining "&amp;(IF('BTL Calculator'!V2="Core",25,10)-Term/12)&amp;" years.",
"")</f>
        <v/>
      </c>
      <c r="O12" s="2526" t="str">
        <f>IF(AND('BTL Calculator'!V5="Tracker", 'BTL Calculator'!V3&lt;&gt;"Residential BTL"),
"For the first "&amp;(Term/12)&amp;" years, a variable rate made up of the Bank of England Base Rate (BBR), currently "&amp;TEXT('Product Data'!E4*100,"0.00")&amp;"% plus a set margin of "&amp;TEXT('BTL Calculator'!AL87*100,"0.00")&amp;"% giving a current rate payable of "&amp;TEXT('BTL Calculator'!AL85*100,"0.00")&amp;"%. "&amp;(Term/12)&amp;" years from the date of completion, the interest rate will change to the MFS Variable Rate, currently 8.59%"
&amp;IF('BTL Calculator'!$I$109=8.59%,""," plus a set margin of "&amp;TEXT('BTL Calculator'!$I$109-8.59%,"0.00%"))&amp;" for the remaining "&amp;(IF('BTL Calculator'!V2="Core",25,10)-Term/12)&amp;" years.","")</f>
        <v/>
      </c>
      <c r="P12" s="2526" t="str">
        <f>IF(AND(Rate_Type="Fixed",'BTL Calculator'!V3&lt;&gt;"Residential BTL"),
"For the first "&amp;(Term/12)&amp;" years a fixed rate of "&amp;TEXT('BTL Calculator'!$AL$85,"0.00%")&amp;". "&amp;(Term/12)&amp;" years from the date of completion, the interest rate will change to the MFS Variable Rate, currently 8.59%"
&amp;IF('BTL Calculator'!$I$109=8.59%,""," plus a set margin of "&amp;TEXT('BTL Calculator'!$I$109-8.59%,"0.00%"))&amp;" for the remaining "&amp;(IF('BTL Calculator'!V2="Core",25,10)-Term/12)&amp;" years.",
"")</f>
        <v>For the first 2 years a fixed rate of 0.00%. 2 years from the date of completion, the interest rate will change to the MFS Variable Rate, currently 8.59% plus a set margin of -8.59% for the remaining 8 years.</v>
      </c>
      <c r="Q12"/>
      <c r="T12" s="864" t="str">
        <f>" The MVR, currently 8.59%, for the remaining " &amp; IF('BTL Calculator'!V5="3 years fixed", "7", "8")&amp;" years. The MVR is reviewed periodically in response to changes in the financial markets, including but not limited to changes in the Bank of England Base Rate, changes in the cost of funding, and changes in the law and regulatory requirements."</f>
        <v xml:space="preserve"> The MVR, currently 8.59%, for the remaining 8 years. The MVR is reviewed periodically in response to changes in the financial markets, including but not limited to changes in the Bank of England Base Rate, changes in the cost of funding, and changes in the law and regulatory requirements.</v>
      </c>
      <c r="U12" s="864" t="s">
        <v>902</v>
      </c>
    </row>
    <row r="13" spans="1:21" ht="20.25" customHeight="1" x14ac:dyDescent="0.35">
      <c r="A13" s="1308" t="s">
        <v>903</v>
      </c>
      <c r="B13" s="3569" t="str">
        <f>IF(H13="",K13,H13)</f>
        <v>0.00%</v>
      </c>
      <c r="C13" s="3569"/>
      <c r="D13" s="3569"/>
      <c r="E13" s="1184"/>
      <c r="F13" s="1171" t="s">
        <v>891</v>
      </c>
      <c r="G13" s="898"/>
      <c r="H13" s="862"/>
      <c r="I13" s="862"/>
      <c r="J13" s="862"/>
      <c r="K13" s="2291" t="str">
        <f>TEXT('BTL Calculator'!AO87,"0.00%")</f>
        <v>0.00%</v>
      </c>
      <c r="L13"/>
      <c r="M13"/>
      <c r="N13"/>
      <c r="O13"/>
      <c r="P13"/>
      <c r="Q13"/>
    </row>
    <row r="14" spans="1:21" ht="20.25" customHeight="1" x14ac:dyDescent="0.35">
      <c r="A14" s="1308" t="s">
        <v>904</v>
      </c>
      <c r="B14" s="3559" t="str">
        <f t="shared" ref="B14:B19" si="0">IF(H14="",K14,H14)</f>
        <v>£0</v>
      </c>
      <c r="C14" s="3559"/>
      <c r="D14" s="3559"/>
      <c r="E14" s="1178"/>
      <c r="F14" s="1171" t="s">
        <v>891</v>
      </c>
      <c r="G14" s="898"/>
      <c r="H14" s="862"/>
      <c r="I14" s="862"/>
      <c r="J14" s="862"/>
      <c r="K14" s="2291" t="str">
        <f>TEXT('BTL Calculator'!AL95,"£#,##0")</f>
        <v>£0</v>
      </c>
      <c r="L14"/>
      <c r="M14"/>
      <c r="N14"/>
      <c r="O14"/>
      <c r="P14"/>
      <c r="Q14"/>
    </row>
    <row r="15" spans="1:21" ht="44.25" customHeight="1" x14ac:dyDescent="0.35">
      <c r="A15" s="1850" t="s">
        <v>3748</v>
      </c>
      <c r="B15" s="3564" t="str">
        <f>IF(H15="",K15,H15)</f>
        <v>£0, on estimated valuation of £0. The Gross Loan is the total principal owed at the end of the term, and is made up of the Net Loan advanced, and the following:</v>
      </c>
      <c r="C15" s="3564"/>
      <c r="D15" s="3564"/>
      <c r="E15" s="1178"/>
      <c r="F15" s="1171" t="s">
        <v>891</v>
      </c>
      <c r="G15" s="898"/>
      <c r="H15" s="862"/>
      <c r="I15" s="862"/>
      <c r="J15" s="862"/>
      <c r="K15" s="2292" t="str">
        <f>TEXT('BTL Calculator'!AL90, "£#,##0") &amp;", on estimated valuation of " &amp; TEXT( Property_Value, "£###,##0") &amp;". The Gross Loan is the total principal owed at the end of the term, and is made up of the Net Loan advanced, and the following:"</f>
        <v>£0, on estimated valuation of £0. The Gross Loan is the total principal owed at the end of the term, and is made up of the Net Loan advanced, and the following:</v>
      </c>
      <c r="L15"/>
      <c r="M15"/>
      <c r="N15"/>
      <c r="O15"/>
      <c r="P15"/>
      <c r="Q15"/>
    </row>
    <row r="16" spans="1:21" ht="18.75" x14ac:dyDescent="0.35">
      <c r="A16" s="1850" t="s">
        <v>3749</v>
      </c>
      <c r="B16" s="3564" t="str">
        <f t="shared" ref="B16" si="1">IF(H16="",K16,H16)</f>
        <v>£0 (including the Broker Client Fee, as below)</v>
      </c>
      <c r="C16" s="3564"/>
      <c r="D16" s="3564"/>
      <c r="E16" s="1178"/>
      <c r="F16" s="1171"/>
      <c r="G16" s="898"/>
      <c r="H16" s="862"/>
      <c r="I16" s="862"/>
      <c r="J16" s="862"/>
      <c r="K16" s="2292" t="str">
        <f>TEXT('BTL Calculator'!AL91, "£#,##0") &amp;IF(A21="",""," (including the Broker Client Fee, as below)")</f>
        <v>£0 (including the Broker Client Fee, as below)</v>
      </c>
      <c r="L16"/>
      <c r="M16"/>
      <c r="N16"/>
      <c r="O16"/>
      <c r="P16"/>
      <c r="Q16"/>
    </row>
    <row r="17" spans="1:17" ht="21.75" customHeight="1" x14ac:dyDescent="0.35">
      <c r="A17" s="1308" t="s">
        <v>114</v>
      </c>
      <c r="B17" s="3563" t="str">
        <f t="shared" si="0"/>
        <v>0.00% (£0) of the Gross Loan Amount</v>
      </c>
      <c r="C17" s="3563"/>
      <c r="D17" s="3563"/>
      <c r="E17" s="1184"/>
      <c r="F17" s="1171" t="s">
        <v>891</v>
      </c>
      <c r="G17" s="898"/>
      <c r="H17" s="862"/>
      <c r="I17" s="862"/>
      <c r="J17" s="862"/>
      <c r="K17" s="2291" t="str">
        <f>TEXT('BTL Calculator'!AL89, "0.00% ") &amp;TEXT('BTL Calculator'!AM89, "(£#,##0)")&amp; " of the Gross Loan Amount"</f>
        <v>0.00% (£0) of the Gross Loan Amount</v>
      </c>
      <c r="L17"/>
      <c r="M17"/>
      <c r="N17"/>
      <c r="O17"/>
      <c r="P17"/>
      <c r="Q17"/>
    </row>
    <row r="18" spans="1:17" s="401" customFormat="1" ht="17.25" customHeight="1" x14ac:dyDescent="0.35">
      <c r="A18" s="2283" t="s">
        <v>3767</v>
      </c>
      <c r="B18" s="3562" t="str">
        <f t="shared" si="0"/>
        <v>Not applicable</v>
      </c>
      <c r="C18" s="3562"/>
      <c r="D18" s="3562"/>
      <c r="E18" s="1185"/>
      <c r="F18" s="1851" t="str">
        <f>IF('BTL Calculator'!AL92=0,"HIDE ROW","")</f>
        <v>HIDE ROW</v>
      </c>
      <c r="G18" s="1187" t="e">
        <f>IF(RollupMonths=0,"Row to be hidden as no rolled months","")</f>
        <v>#N/A</v>
      </c>
      <c r="H18" s="1043"/>
      <c r="I18" s="1188"/>
      <c r="J18" s="1043"/>
      <c r="K18" s="2293" t="str">
        <f>IF('BTL Calculator'!AL92=0, "Not applicable", "Yes, "&amp;TEXT('BTL Calculator'!AL92, "0")&amp;" months equivalent to "&amp;TEXT('BTL Calculator'!AM92, "£#,##0"))</f>
        <v>Not applicable</v>
      </c>
      <c r="L18" s="1043"/>
      <c r="M18" s="1043"/>
      <c r="N18" s="1043"/>
      <c r="O18" s="1043"/>
      <c r="P18" s="1043"/>
      <c r="Q18" s="1043"/>
    </row>
    <row r="19" spans="1:17" s="401" customFormat="1" ht="32.25" hidden="1" customHeight="1" x14ac:dyDescent="0.35">
      <c r="A19" s="2283" t="s">
        <v>905</v>
      </c>
      <c r="B19" s="3562" t="str">
        <f t="shared" si="0"/>
        <v>0.00% deferred, equivalent to £ over 24 months. Pay Rate now 0.00% for Initial Fixed Rate Period only (used for Direct Debit payments).</v>
      </c>
      <c r="C19" s="3562"/>
      <c r="D19" s="3562"/>
      <c r="E19" s="1185"/>
      <c r="F19" s="1852" t="str">
        <f>IF('BTL Calculator'!AL93=0,"HIDE ROW","")</f>
        <v>HIDE ROW</v>
      </c>
      <c r="G19" s="1187" t="e">
        <f>IF(DeferedIntPercent=0,"Row to be hidden as no deferred interest","")</f>
        <v>#N/A</v>
      </c>
      <c r="H19" s="1043"/>
      <c r="I19" s="1188"/>
      <c r="J19" s="1043"/>
      <c r="K19" s="2351" t="str">
        <f>TEXT('BTL Calculator'!AL93*100,"0.00")&amp;"% deferred, equivalent to "&amp;TEXT('BTL Calculator'!$AM$93,"£#,#")&amp;" over "&amp; Term &amp; " months. Pay Rate now "&amp;TEXT('BTL Calculator'!AL86,"0.00%")&amp;IF(Rate_Type="tracker"," for Initial Tracker Rate Period"," for Initial Fixed Rate Period")&amp;" only (used for Direct Debit payments)."</f>
        <v>0.00% deferred, equivalent to £ over 24 months. Pay Rate now 0.00% for Initial Fixed Rate Period only (used for Direct Debit payments).</v>
      </c>
      <c r="L19" s="2293"/>
      <c r="M19" s="2293"/>
      <c r="N19" s="2293"/>
      <c r="O19" s="2293"/>
      <c r="P19" s="2293"/>
      <c r="Q19" s="1781"/>
    </row>
    <row r="20" spans="1:17" ht="24" customHeight="1" x14ac:dyDescent="0.35">
      <c r="A20" s="1304" t="s">
        <v>3750</v>
      </c>
      <c r="B20" s="3559" t="str">
        <f>K20</f>
        <v>£0 (to be deducted from the Product Fee)</v>
      </c>
      <c r="C20" s="3559"/>
      <c r="D20" s="3559"/>
      <c r="E20" s="1178"/>
      <c r="F20" s="1171" t="s">
        <v>891</v>
      </c>
      <c r="G20" s="1"/>
      <c r="H20"/>
      <c r="I20"/>
      <c r="J20"/>
      <c r="K20" s="2349" t="str">
        <f>TEXT('BTL Calculator'!AL97,"£#,##0") &amp; " (to be deducted from the Product Fee)"</f>
        <v>£0 (to be deducted from the Product Fee)</v>
      </c>
      <c r="L20"/>
      <c r="M20"/>
      <c r="N20"/>
      <c r="O20"/>
      <c r="P20"/>
      <c r="Q20"/>
    </row>
    <row r="21" spans="1:17" ht="28.5" hidden="1" customHeight="1" x14ac:dyDescent="0.35">
      <c r="A21" s="1304" t="str">
        <f>IF('BTL Calculator'!AL96="Not Applicable","","Broker Client Fee:")</f>
        <v>Broker Client Fee:</v>
      </c>
      <c r="B21" s="3559" t="str">
        <f>K21</f>
        <v>£ (to be deducted from the Net Loan Amount).</v>
      </c>
      <c r="C21" s="3559"/>
      <c r="D21" s="3559"/>
      <c r="E21" s="1178"/>
      <c r="F21" s="1171" t="s">
        <v>891</v>
      </c>
      <c r="G21" s="1" t="str">
        <f>IF(A21="","Row to be hidden as no broker client fee","")</f>
        <v/>
      </c>
      <c r="H21"/>
      <c r="I21"/>
      <c r="J21"/>
      <c r="K21" s="2349" t="str">
        <f>IF('BTL Calculator'!AL96="Not Applicable","",TEXT('BTL Calculator'!AL96,"£#,#")&amp;" (to be deducted from the Net Loan Amount).")</f>
        <v>£ (to be deducted from the Net Loan Amount).</v>
      </c>
      <c r="L21"/>
      <c r="M21"/>
      <c r="N21"/>
      <c r="O21"/>
      <c r="P21"/>
      <c r="Q21"/>
    </row>
    <row r="22" spans="1:17" ht="28.5" customHeight="1" x14ac:dyDescent="0.35">
      <c r="A22" s="2566" t="s">
        <v>3751</v>
      </c>
      <c r="B22" s="3559" t="str">
        <f>K22</f>
        <v>3% of loan balance in yr1, 2.5% of loan balance in yr2. No charge thereafter.</v>
      </c>
      <c r="C22" s="3559"/>
      <c r="D22" s="3559"/>
      <c r="E22" s="1178"/>
      <c r="F22" s="1171" t="s">
        <v>891</v>
      </c>
      <c r="G22" s="1"/>
      <c r="H22"/>
      <c r="I22"/>
      <c r="J22">
        <f>IF('BTL Calculator'!H26&lt;=24,1,0)</f>
        <v>1</v>
      </c>
      <c r="K22" s="2349" t="str">
        <f>'BTL Calculator'!X111</f>
        <v>3% of loan balance in yr1, 2.5% of loan balance in yr2. No charge thereafter.</v>
      </c>
      <c r="L22"/>
      <c r="M22"/>
      <c r="N22"/>
      <c r="O22"/>
      <c r="P22"/>
      <c r="Q22"/>
    </row>
    <row r="23" spans="1:17" s="401" customFormat="1" ht="56.25" customHeight="1" x14ac:dyDescent="0.35">
      <c r="A23" s="1223" t="s">
        <v>906</v>
      </c>
      <c r="B23" s="3562" t="str">
        <f>"Permitted up to 10% of the capital amount outstanding per annum during the "&amp;IF(Rate_Type="tracker","Initial Tracker Rate","Initial Fixed Rate")&amp;" Period without incurring an ERC. Any prepayments over 10% will be subject to the Early Repayment Charge stated above. No limit after the "&amp;IF(Rate_Type="tracker","Initial Tracker Rate","Initial Fixed Rate")&amp;" Period has expired. "</f>
        <v xml:space="preserve">Permitted up to 10% of the capital amount outstanding per annum during the Initial Fixed Rate Period without incurring an ERC. Any prepayments over 10% will be subject to the Early Repayment Charge stated above. No limit after the Initial Fixed Rate Period has expired. </v>
      </c>
      <c r="C23" s="3562"/>
      <c r="D23" s="3562"/>
      <c r="E23" s="1185"/>
      <c r="F23" s="1191"/>
      <c r="G23" s="1192"/>
      <c r="H23" s="1192"/>
      <c r="I23" s="1192"/>
      <c r="J23" s="1189"/>
      <c r="K23" s="2350"/>
      <c r="L23" s="1043"/>
      <c r="M23" s="1043"/>
      <c r="N23" s="1043"/>
      <c r="O23" s="1043"/>
      <c r="P23" s="1043"/>
      <c r="Q23" s="1043"/>
    </row>
    <row r="24" spans="1:17" ht="24" customHeight="1" x14ac:dyDescent="0.35">
      <c r="A24" s="1304" t="s">
        <v>907</v>
      </c>
      <c r="B24" s="3559" t="str">
        <f>IF(H24="",K24,H24)</f>
        <v xml:space="preserve">Direct Debit of £0.00 will start in following drawdown from a valid UK bank account. </v>
      </c>
      <c r="C24" s="3559"/>
      <c r="D24" s="3559"/>
      <c r="E24" s="1178"/>
      <c r="F24" s="1171" t="s">
        <v>891</v>
      </c>
      <c r="G24" s="1"/>
      <c r="H24"/>
      <c r="I24" s="862"/>
      <c r="J24"/>
      <c r="K24" s="1177" t="str">
        <f>"Direct Debit of "&amp;TEXT('BTL Calculator'!AL94,"£#,#0.00")&amp;" will start in"&amp;TEXT('BTL Calculator'!AM94,"")&amp;" following drawdown from a valid UK bank account. "</f>
        <v xml:space="preserve">Direct Debit of £0.00 will start in following drawdown from a valid UK bank account. </v>
      </c>
      <c r="L24"/>
      <c r="M24"/>
      <c r="N24"/>
      <c r="O24"/>
      <c r="P24"/>
      <c r="Q24"/>
    </row>
    <row r="25" spans="1:17" ht="58.5" customHeight="1" thickBot="1" x14ac:dyDescent="0.4">
      <c r="A25" s="1304"/>
      <c r="B25" s="3555" t="s">
        <v>3717</v>
      </c>
      <c r="C25" s="3555"/>
      <c r="D25" s="3555"/>
      <c r="E25" s="1178"/>
      <c r="F25" s="1171"/>
      <c r="G25" s="1"/>
      <c r="H25"/>
      <c r="I25" s="862"/>
      <c r="J25"/>
      <c r="K25" s="1177"/>
      <c r="L25"/>
      <c r="M25"/>
      <c r="N25"/>
      <c r="O25"/>
      <c r="P25"/>
      <c r="Q25"/>
    </row>
    <row r="26" spans="1:17" ht="27.75" customHeight="1" x14ac:dyDescent="0.35">
      <c r="A26" s="1304" t="s">
        <v>908</v>
      </c>
      <c r="B26" s="3559" t="str">
        <f>K26</f>
        <v xml:space="preserve">A non-refundable fee of £250 per property payable to MFS along with the Valuation Fee. </v>
      </c>
      <c r="C26" s="3559"/>
      <c r="D26" s="3559"/>
      <c r="E26" s="1178"/>
      <c r="F26" s="1171" t="s">
        <v>891</v>
      </c>
      <c r="G26" s="1"/>
      <c r="H26" s="1779" t="str">
        <f>'BTL Calculator'!X108</f>
        <v>£250</v>
      </c>
      <c r="I26" s="1193" t="s">
        <v>909</v>
      </c>
      <c r="J26"/>
      <c r="K26" s="1780" t="str">
        <f>"A non-refundable fee of "&amp;TEXT(IF(H26="TBC by Underwriters",199,H26),"£#,##")&amp;" per property payable to MFS along with the Valuation Fee. "</f>
        <v xml:space="preserve">A non-refundable fee of £250 per property payable to MFS along with the Valuation Fee. </v>
      </c>
      <c r="L26"/>
      <c r="M26"/>
      <c r="N26"/>
      <c r="O26"/>
      <c r="P26"/>
      <c r="Q26"/>
    </row>
    <row r="27" spans="1:17" ht="65.25" customHeight="1" x14ac:dyDescent="0.35">
      <c r="A27" s="1304" t="s">
        <v>910</v>
      </c>
      <c r="B27" s="3559" t="str">
        <f>K27</f>
        <v>A non-refundable Valuation Fee of TBC by the Underwriter is to be paid to us or an associated company as directed by us prior to instructing valuers. This represents the cost incurred by us for arranging the valuation. We may also instruct third party services like National Field Agency for a review of the application and fees incurred in the event of instructing any third party services will be payable by you.</v>
      </c>
      <c r="C27" s="3559"/>
      <c r="D27" s="3559"/>
      <c r="E27" s="1178"/>
      <c r="F27" s="1171" t="s">
        <v>891</v>
      </c>
      <c r="G27" s="1"/>
      <c r="H27" s="1271" t="s">
        <v>425</v>
      </c>
      <c r="I27" s="1193" t="s">
        <v>911</v>
      </c>
      <c r="J27"/>
      <c r="K27" s="3592" t="str">
        <f>"A non-refundable Valuation Fee of "&amp;TEXT(IF(H27="TBC by Underwriters",100,H27),"£#,##")&amp;" is to be paid to us or an associated company as directed by us prior to instructing valuers. "&amp;"This represents the cost incurred by us for arranging the valuation. We may also instruct third party services like National Field Agency for a review of "&amp;"the application and fees incurred in the event of instructing any third party services will be payable by you."</f>
        <v>A non-refundable Valuation Fee of TBC by the Underwriter is to be paid to us or an associated company as directed by us prior to instructing valuers. This represents the cost incurred by us for arranging the valuation. We may also instruct third party services like National Field Agency for a review of the application and fees incurred in the event of instructing any third party services will be payable by you.</v>
      </c>
      <c r="L27" s="3592"/>
      <c r="M27" s="3592"/>
      <c r="N27" s="3592"/>
      <c r="O27" s="3592"/>
      <c r="P27" s="3592"/>
      <c r="Q27"/>
    </row>
    <row r="28" spans="1:17" ht="18" customHeight="1" x14ac:dyDescent="0.35">
      <c r="A28" s="1304" t="s">
        <v>912</v>
      </c>
      <c r="B28" s="3559" t="str">
        <f>IF(H28= "TBC by the Underwriter", "TBC by underwriter.",K28)</f>
        <v>TBC by underwriter.</v>
      </c>
      <c r="C28" s="3559"/>
      <c r="D28" s="3559"/>
      <c r="E28" s="1178"/>
      <c r="F28" s="1194" t="s">
        <v>913</v>
      </c>
      <c r="G28" s="1"/>
      <c r="H28" s="1272" t="str">
        <f>'BTL Calculator'!X110</f>
        <v>TBC by the Underwriter</v>
      </c>
      <c r="I28" s="1193" t="s">
        <v>914</v>
      </c>
      <c r="J28"/>
      <c r="K28" s="1161" t="str">
        <f>TEXT(H28, "£#,##0") &amp; ", to be payable by you."</f>
        <v>TBC by the Underwriter, to be payable by you.</v>
      </c>
      <c r="L28"/>
      <c r="M28"/>
      <c r="N28"/>
      <c r="O28"/>
      <c r="P28"/>
      <c r="Q28"/>
    </row>
    <row r="29" spans="1:17" s="401" customFormat="1" ht="25.5" customHeight="1" thickBot="1" x14ac:dyDescent="0.4">
      <c r="A29" s="1304" t="str">
        <f>IF('BTL Calculator'!AO89="","","Title Insurance Cost:")</f>
        <v/>
      </c>
      <c r="B29" s="3559" t="str">
        <f>K29</f>
        <v/>
      </c>
      <c r="C29" s="3559"/>
      <c r="D29" s="3559"/>
      <c r="E29" s="1185"/>
      <c r="F29" s="1186" t="str">
        <f>IF('BTL Calculator'!AO89="","HIDE ROW","")</f>
        <v>HIDE ROW</v>
      </c>
      <c r="G29" s="1195" t="s">
        <v>3831</v>
      </c>
      <c r="H29" s="1043"/>
      <c r="I29" s="1188"/>
      <c r="J29" s="1043"/>
      <c r="K29" s="2294" t="str">
        <f>IF('BTL Calculator'!AO89="","",TEXT('BTL Calculator'!AO89,"£#,#0.00")&amp;" "&amp;"(to be deducted from the net loan amount)")</f>
        <v/>
      </c>
      <c r="L29" s="1043"/>
      <c r="M29" s="1043"/>
      <c r="N29" s="1043"/>
      <c r="O29" s="1043"/>
      <c r="P29" s="1043"/>
      <c r="Q29" s="1043"/>
    </row>
    <row r="30" spans="1:17" s="2577" customFormat="1" ht="58.5" customHeight="1" thickBot="1" x14ac:dyDescent="0.3">
      <c r="A30" s="1213" t="s">
        <v>3752</v>
      </c>
      <c r="B30" s="3560" t="str">
        <f>K30</f>
        <v>A first legal charge over the Security Property.</v>
      </c>
      <c r="C30" s="3560"/>
      <c r="D30" s="3560"/>
      <c r="E30" s="2575"/>
      <c r="F30" s="1171" t="s">
        <v>891</v>
      </c>
      <c r="G30" s="1343" t="str">
        <f>IF('BTL Calculator'!H45= "Yes","ANY OTHER SECURITY provided by","")</f>
        <v/>
      </c>
      <c r="H30" s="2576"/>
      <c r="I30" s="2572" t="str">
        <f>IF('BTL Calculator'!H45= "Yes","'&lt;- please enter details of any other security provided (and the type of charge, e.g., AN1, or charge on a freehold)","")</f>
        <v/>
      </c>
      <c r="J30" s="1188"/>
      <c r="K30" s="2294" t="str">
        <f>IF(I30="",IF('BTL Calculator'!H24="Individual","A first legal charge over the Security Property.","A fixed and floating Debenture. 
A charge over the shares in the Borrower.
A first legal charge over the Security Property."),IF('BTL Calculator'!H24="Individual","A first legal charge over the Security Property.
ANY OTHER SECURITY provided by " &amp;H30,"A fixed and floating Debenture. 
A charge over the shares in the Borrower.
A first legal charge over the Security Property.
ANY OTHER SECURITY provided by " &amp;H30))</f>
        <v>A first legal charge over the Security Property.</v>
      </c>
      <c r="L30" s="1188"/>
      <c r="M30" s="1188"/>
      <c r="N30" s="1188"/>
      <c r="O30" s="1188"/>
      <c r="P30" s="1188"/>
      <c r="Q30" s="1188"/>
    </row>
    <row r="31" spans="1:17" s="2577" customFormat="1" ht="33.75" customHeight="1" thickBot="1" x14ac:dyDescent="0.3">
      <c r="A31" s="1304" t="str">
        <f>IF('BTL Calculator'!H24="Corporate","Guarantee:","")</f>
        <v/>
      </c>
      <c r="B31" s="3559" t="str">
        <f>IF('BTL Calculator'!H24="Corporate","A guarantee from " &amp;H31&amp;" for the Gross Loan Amount plus all interest, default interest and costs and expenses.","")</f>
        <v/>
      </c>
      <c r="C31" s="3559"/>
      <c r="D31" s="3559"/>
      <c r="E31" s="2575"/>
      <c r="F31" s="1171" t="s">
        <v>891</v>
      </c>
      <c r="G31" s="1343"/>
      <c r="H31" s="2586"/>
      <c r="I31" s="2572" t="str">
        <f>IF('BTL Calculator'!H24="Corporate","'&lt;- please enter guarantee details","")</f>
        <v/>
      </c>
      <c r="J31" s="1188"/>
      <c r="K31" s="2294"/>
      <c r="L31" s="1188"/>
      <c r="M31" s="1188"/>
      <c r="N31" s="1188"/>
      <c r="O31" s="1188"/>
      <c r="P31" s="1188"/>
      <c r="Q31" s="1188"/>
    </row>
    <row r="32" spans="1:17" s="2577" customFormat="1" ht="16.5" customHeight="1" x14ac:dyDescent="0.25">
      <c r="A32" s="1304" t="s">
        <v>3769</v>
      </c>
      <c r="B32" s="3559" t="e">
        <f>"Loan to Value must not exceed " &amp; TEXT(K32,"0%") &amp;"."</f>
        <v>#DIV/0!</v>
      </c>
      <c r="C32" s="3559"/>
      <c r="D32" s="3559"/>
      <c r="E32" s="2575"/>
      <c r="F32" s="1171"/>
      <c r="G32" s="1343"/>
      <c r="H32" s="2582"/>
      <c r="I32" s="2572"/>
      <c r="J32" s="1188"/>
      <c r="K32" s="2583" t="e">
        <f>'BTL Calculator'!AL90/Property_Value</f>
        <v>#DIV/0!</v>
      </c>
      <c r="L32" s="1188"/>
      <c r="M32" s="1188"/>
      <c r="N32" s="1188"/>
      <c r="O32" s="1188"/>
      <c r="P32" s="1188"/>
      <c r="Q32" s="1188"/>
    </row>
    <row r="33" spans="1:17" s="2577" customFormat="1" ht="16.5" customHeight="1" x14ac:dyDescent="0.25">
      <c r="A33" s="1304"/>
      <c r="B33" s="3559" t="str">
        <f>"Interest Cover to be at least " &amp;TEXT(K33,"0%")&amp;"."</f>
        <v>Interest Cover to be at least 0%.</v>
      </c>
      <c r="C33" s="3559"/>
      <c r="D33" s="3559"/>
      <c r="E33" s="2575"/>
      <c r="F33" s="1171"/>
      <c r="G33" s="1343"/>
      <c r="H33" s="2582"/>
      <c r="I33" s="2572"/>
      <c r="J33" s="1188"/>
      <c r="K33" s="2583">
        <f>'BTL Calculator'!AO91</f>
        <v>0</v>
      </c>
      <c r="L33" s="1188"/>
      <c r="M33" s="1188"/>
      <c r="N33" s="1188"/>
      <c r="O33" s="1188"/>
      <c r="P33" s="1188"/>
      <c r="Q33" s="1188"/>
    </row>
    <row r="34" spans="1:17" ht="24" customHeight="1" x14ac:dyDescent="0.35">
      <c r="A34" s="3580" t="s">
        <v>915</v>
      </c>
      <c r="B34" s="3580"/>
      <c r="C34" s="3580"/>
      <c r="D34" s="3580"/>
      <c r="E34" s="1181"/>
      <c r="F34" s="898"/>
      <c r="G34" s="1"/>
      <c r="H34" s="1"/>
      <c r="I34" s="898"/>
      <c r="J34" s="1"/>
      <c r="K34" s="1196"/>
      <c r="L34" s="1"/>
      <c r="M34"/>
      <c r="N34"/>
      <c r="O34"/>
      <c r="P34"/>
      <c r="Q34"/>
    </row>
    <row r="35" spans="1:17" x14ac:dyDescent="0.35">
      <c r="A35" s="3558" t="s">
        <v>916</v>
      </c>
      <c r="B35" s="3558"/>
      <c r="C35" s="3558"/>
      <c r="D35" s="3558"/>
      <c r="E35" s="1181"/>
      <c r="F35" s="898"/>
      <c r="G35" s="1"/>
      <c r="H35" s="1"/>
      <c r="I35" s="898"/>
      <c r="J35" s="1"/>
      <c r="K35" s="1196"/>
      <c r="L35" s="1"/>
      <c r="M35"/>
      <c r="N35"/>
      <c r="O35"/>
      <c r="P35"/>
      <c r="Q35"/>
    </row>
    <row r="36" spans="1:17" ht="19.5" customHeight="1" x14ac:dyDescent="0.35">
      <c r="A36" s="3559" t="s">
        <v>917</v>
      </c>
      <c r="B36" s="3559"/>
      <c r="C36" s="3559"/>
      <c r="D36" s="3559"/>
      <c r="E36" s="1178"/>
      <c r="F36" s="898"/>
      <c r="G36" s="1"/>
      <c r="H36" s="1"/>
      <c r="I36" s="898"/>
      <c r="J36" s="1"/>
      <c r="K36" s="1196"/>
      <c r="L36" s="1"/>
      <c r="M36"/>
      <c r="N36"/>
      <c r="O36"/>
      <c r="P36"/>
      <c r="Q36"/>
    </row>
    <row r="37" spans="1:17" ht="18" customHeight="1" thickBot="1" x14ac:dyDescent="0.4">
      <c r="A37" s="3558" t="s">
        <v>918</v>
      </c>
      <c r="B37" s="3558"/>
      <c r="C37" s="3558"/>
      <c r="D37" s="3558"/>
      <c r="E37" s="1181"/>
      <c r="F37" s="898"/>
      <c r="G37" s="1"/>
      <c r="H37" s="1"/>
      <c r="I37" s="898"/>
      <c r="J37" s="1"/>
      <c r="K37" s="1196"/>
      <c r="L37" s="1"/>
      <c r="M37"/>
      <c r="N37"/>
      <c r="O37"/>
      <c r="P37"/>
      <c r="Q37"/>
    </row>
    <row r="38" spans="1:17" ht="80.25" customHeight="1" thickBot="1" x14ac:dyDescent="0.4">
      <c r="A38" s="3559" t="str">
        <f ca="1">K38</f>
        <v>Please note that the terms offered are valid for 14 days from the date of this document, (until 12 December 2025).  If this document is signed and accepted by all applicants within this time, the Loan as per the terms offered within The Summary above must be drawn down within 28 days of the solicitor being instructed. We will regularly check with our solicitors for progress.  If the drawdown of the Loan isn’t complete by this date you (or your broker/solicitor) will need to contact us to see if an extension can be granted or to make new arrangements. If the Loan is not drawn you will be liable to pay our costs incurred including our solicitors’ abortive legal fees and disbursements.</v>
      </c>
      <c r="B38" s="3559"/>
      <c r="C38" s="3559"/>
      <c r="D38" s="3559"/>
      <c r="E38" s="1178"/>
      <c r="F38" s="1171" t="s">
        <v>919</v>
      </c>
      <c r="G38"/>
      <c r="H38" s="1273">
        <f ca="1">B4+14</f>
        <v>46003</v>
      </c>
      <c r="I38" s="1197" t="s">
        <v>920</v>
      </c>
      <c r="J38"/>
      <c r="K38" s="3591" t="str">
        <f ca="1">"Please note that the terms offered are valid for 14 days from the date of this document, (until "&amp;TEXT(H38,"dd Mmmm yyyy")&amp;").  If this document is signed and accepted by all applicants within this time, the Loan as per the terms offered within "&amp;"The Summary above must be drawn down within 28 days of the solicitor being instructed. "&amp;"We will regularly check with our solicitors for progress.  "&amp;"If the drawdown of the Loan isn’t complete by this date you (or your broker/solicitor)"&amp;" will need to contact us to see if an extension can be granted or to make new arrangements. If the Loan is not drawn you will be liable to pay our costs incurred including our solicitors’ abortive legal fees and disbursements."</f>
        <v>Please note that the terms offered are valid for 14 days from the date of this document, (until 12 December 2025).  If this document is signed and accepted by all applicants within this time, the Loan as per the terms offered within The Summary above must be drawn down within 28 days of the solicitor being instructed. We will regularly check with our solicitors for progress.  If the drawdown of the Loan isn’t complete by this date you (or your broker/solicitor) will need to contact us to see if an extension can be granted or to make new arrangements. If the Loan is not drawn you will be liable to pay our costs incurred including our solicitors’ abortive legal fees and disbursements.</v>
      </c>
      <c r="L38" s="3591"/>
      <c r="M38" s="3591"/>
      <c r="N38" s="3591"/>
      <c r="O38" s="3591"/>
      <c r="P38" s="3591"/>
      <c r="Q38"/>
    </row>
    <row r="39" spans="1:17" x14ac:dyDescent="0.35">
      <c r="A39" s="3558" t="s">
        <v>921</v>
      </c>
      <c r="B39" s="3558"/>
      <c r="C39" s="3558"/>
      <c r="D39" s="3558"/>
      <c r="E39" s="1181"/>
      <c r="F39" s="898"/>
      <c r="G39" s="1"/>
      <c r="H39" s="1"/>
      <c r="I39" s="898"/>
      <c r="J39" s="1"/>
      <c r="K39" s="1196"/>
      <c r="L39" s="1"/>
      <c r="M39"/>
      <c r="N39"/>
      <c r="O39"/>
      <c r="P39"/>
      <c r="Q39"/>
    </row>
    <row r="40" spans="1:17" ht="140.25" customHeight="1" x14ac:dyDescent="0.35">
      <c r="A40" s="3565" t="s">
        <v>3753</v>
      </c>
      <c r="B40" s="3565"/>
      <c r="C40" s="3565"/>
      <c r="D40" s="3565"/>
      <c r="E40" s="1178"/>
      <c r="F40" s="898"/>
      <c r="G40" s="1"/>
      <c r="H40" s="1"/>
      <c r="I40" s="898"/>
      <c r="J40" s="1"/>
      <c r="K40" s="1196"/>
      <c r="L40" s="1"/>
      <c r="M40"/>
      <c r="N40"/>
      <c r="O40"/>
      <c r="P40"/>
      <c r="Q40"/>
    </row>
    <row r="41" spans="1:17" ht="249" customHeight="1" x14ac:dyDescent="0.35">
      <c r="A41" s="3565" t="s">
        <v>3754</v>
      </c>
      <c r="B41" s="3565"/>
      <c r="C41" s="3565"/>
      <c r="D41" s="3565"/>
      <c r="E41" s="1178"/>
      <c r="F41" s="898"/>
      <c r="G41" s="1"/>
      <c r="H41" s="1"/>
      <c r="I41" s="898"/>
      <c r="J41" s="1"/>
      <c r="K41" s="1196"/>
      <c r="L41" s="1"/>
      <c r="M41"/>
      <c r="N41"/>
      <c r="O41"/>
      <c r="P41"/>
      <c r="Q41"/>
    </row>
    <row r="42" spans="1:17" ht="124.5" customHeight="1" x14ac:dyDescent="0.35">
      <c r="A42" s="3565" t="s">
        <v>3827</v>
      </c>
      <c r="B42" s="3565"/>
      <c r="C42" s="3565"/>
      <c r="D42" s="3565"/>
      <c r="E42" s="1178"/>
      <c r="F42" s="898"/>
      <c r="G42" s="1"/>
      <c r="H42" s="1"/>
      <c r="I42" s="898"/>
      <c r="J42" s="1"/>
      <c r="K42" s="1196"/>
      <c r="L42" s="1"/>
      <c r="M42"/>
      <c r="N42"/>
      <c r="O42"/>
      <c r="P42"/>
      <c r="Q42"/>
    </row>
    <row r="43" spans="1:17" ht="63" hidden="1" customHeight="1" x14ac:dyDescent="0.35">
      <c r="A43" s="3565"/>
      <c r="B43" s="3565"/>
      <c r="C43" s="3565"/>
      <c r="D43" s="3565"/>
      <c r="E43" s="1178"/>
      <c r="F43" s="898"/>
      <c r="G43" s="1"/>
      <c r="H43" s="1"/>
      <c r="I43" s="898"/>
      <c r="J43" s="1"/>
      <c r="K43" s="1196"/>
      <c r="L43" s="1"/>
      <c r="M43"/>
      <c r="N43"/>
      <c r="O43"/>
      <c r="P43"/>
      <c r="Q43"/>
    </row>
    <row r="44" spans="1:17" s="137" customFormat="1" ht="25.5" customHeight="1" x14ac:dyDescent="0.25">
      <c r="A44" s="3582" t="s">
        <v>922</v>
      </c>
      <c r="B44" s="3582"/>
      <c r="C44" s="3582"/>
      <c r="D44" s="3582"/>
      <c r="E44" s="1198"/>
      <c r="F44" s="898"/>
      <c r="G44" s="532"/>
      <c r="H44" s="532"/>
      <c r="I44" s="532"/>
      <c r="J44" s="898"/>
      <c r="K44" s="1180"/>
      <c r="L44" s="898"/>
      <c r="M44" s="862"/>
      <c r="N44" s="862"/>
      <c r="O44" s="862"/>
      <c r="P44" s="862"/>
      <c r="Q44" s="862"/>
    </row>
    <row r="45" spans="1:17" s="137" customFormat="1" ht="74.25" customHeight="1" x14ac:dyDescent="0.25">
      <c r="A45" s="3559" t="s">
        <v>923</v>
      </c>
      <c r="B45" s="3559"/>
      <c r="C45" s="3559"/>
      <c r="D45" s="3559"/>
      <c r="E45" s="1198"/>
      <c r="F45" s="898"/>
      <c r="G45" s="2286" t="s">
        <v>619</v>
      </c>
      <c r="H45" s="2286" t="s">
        <v>606</v>
      </c>
      <c r="I45" s="2286" t="s">
        <v>332</v>
      </c>
      <c r="J45" s="898"/>
      <c r="K45" s="1180"/>
      <c r="L45" s="898"/>
      <c r="M45" s="862"/>
      <c r="N45" s="862"/>
      <c r="O45" s="862"/>
      <c r="P45" s="862"/>
      <c r="Q45" s="862"/>
    </row>
    <row r="46" spans="1:17" s="137" customFormat="1" ht="40.5" customHeight="1" x14ac:dyDescent="0.25">
      <c r="A46" s="3559" t="str">
        <f>"You confirm to us that "&amp;IF('BTL Calculator'!V3=G45,DIP!G46,IF('BTL Calculator'!V3=H45,H46,I46))</f>
        <v>You confirm to us that the Security Property has never been used as a dwelling by you or any spouse, unmarried partner, civil partner, parents, grandparents, siblings, children and grandchildren or any other related person and will not be occupied by you or any of the above-stated persons or any other related person in the future.</v>
      </c>
      <c r="B46" s="3559"/>
      <c r="C46" s="3559"/>
      <c r="D46" s="3559"/>
      <c r="E46" s="1198"/>
      <c r="F46" s="898"/>
      <c r="G46" s="2295" t="s">
        <v>924</v>
      </c>
      <c r="H46" s="2295" t="s">
        <v>925</v>
      </c>
      <c r="I46" s="2295" t="s">
        <v>926</v>
      </c>
      <c r="J46" s="898"/>
      <c r="K46" s="1180"/>
      <c r="L46" s="898"/>
      <c r="M46" s="862"/>
      <c r="N46" s="862"/>
      <c r="O46" s="862"/>
      <c r="P46" s="862"/>
      <c r="Q46" s="862"/>
    </row>
    <row r="47" spans="1:17" ht="63.75" customHeight="1" x14ac:dyDescent="0.35">
      <c r="A47" s="3559" t="s">
        <v>927</v>
      </c>
      <c r="B47" s="3559"/>
      <c r="C47" s="3559"/>
      <c r="D47" s="3559"/>
      <c r="E47" s="1178"/>
      <c r="F47" s="898"/>
      <c r="G47" s="1"/>
      <c r="H47" s="1"/>
      <c r="I47" s="898"/>
      <c r="J47" s="1"/>
      <c r="K47" s="1196"/>
      <c r="L47" s="1"/>
      <c r="M47"/>
      <c r="N47"/>
      <c r="O47"/>
      <c r="P47"/>
      <c r="Q47"/>
    </row>
    <row r="48" spans="1:17" x14ac:dyDescent="0.35">
      <c r="A48" s="1199" t="s">
        <v>3764</v>
      </c>
      <c r="B48" s="1200"/>
      <c r="C48" s="1200"/>
      <c r="D48" s="1201"/>
      <c r="E48" s="1181"/>
      <c r="F48" s="898"/>
      <c r="G48"/>
      <c r="H48"/>
      <c r="I48" s="862"/>
      <c r="J48"/>
      <c r="K48" s="1161"/>
      <c r="L48" s="1"/>
      <c r="M48"/>
      <c r="N48"/>
      <c r="O48"/>
      <c r="P48"/>
      <c r="Q48"/>
    </row>
    <row r="49" spans="1:17" ht="40.5" customHeight="1" x14ac:dyDescent="0.35">
      <c r="A49" s="3559" t="s">
        <v>3765</v>
      </c>
      <c r="B49" s="3559"/>
      <c r="C49" s="3559"/>
      <c r="D49" s="3559"/>
      <c r="E49" s="1178"/>
      <c r="F49" s="2571"/>
      <c r="G49" s="2571"/>
      <c r="H49" s="2571"/>
      <c r="I49" s="2571"/>
      <c r="J49" s="2571"/>
      <c r="K49" s="2571"/>
      <c r="L49" s="2571"/>
      <c r="M49" s="2571"/>
      <c r="N49" s="2571"/>
      <c r="O49"/>
      <c r="P49"/>
      <c r="Q49"/>
    </row>
    <row r="50" spans="1:17" ht="57" customHeight="1" x14ac:dyDescent="0.35">
      <c r="A50" s="3559" t="str">
        <f>K50</f>
        <v>You authorise us to deduct (and/or to instruct our solicitor), any Product Fee (which includes the Broker’s Commission as specified in The Summary), Legal Fees and expenses, any Interest (months of interest rolled and deferred until loan redemption), and any other fees, costs, or expenses payable by you (which have not already been paid), from the Gross Loan Amount upon completion of the Loan.</v>
      </c>
      <c r="B50" s="3559"/>
      <c r="C50" s="3559"/>
      <c r="D50" s="3559"/>
      <c r="E50" s="1178"/>
      <c r="F50" s="2568"/>
      <c r="G50" s="1251" t="str">
        <f>H50&amp;I50</f>
        <v>00</v>
      </c>
      <c r="H50" s="2581">
        <f>'BTL Calculator'!AL92</f>
        <v>0</v>
      </c>
      <c r="I50" s="2580">
        <f>'BTL Calculator'!AL93</f>
        <v>0</v>
      </c>
      <c r="J50" s="1251"/>
      <c r="K50" s="2571" t="str">
        <f>"You authorise us to deduct (and/or to instruct our solicitor), any Product Fee (which includes the Broker’s Commission as specified in The Summary), Legal Fees and expenses, "&amp;IF(A29="Title Insurance Cost:","Title Insurance fee, ","")&amp;IF(G50&gt;0,"any Interest (months of interest rolled and deferred until loan redemption), ","")&amp;L50</f>
        <v>You authorise us to deduct (and/or to instruct our solicitor), any Product Fee (which includes the Broker’s Commission as specified in The Summary), Legal Fees and expenses, any Interest (months of interest rolled and deferred until loan redemption), and any other fees, costs, or expenses payable by you (which have not already been paid), from the Gross Loan Amount upon completion of the Loan.</v>
      </c>
      <c r="L50" s="2579" t="s">
        <v>3766</v>
      </c>
      <c r="M50" s="2571"/>
      <c r="N50" s="2571"/>
      <c r="O50"/>
      <c r="P50"/>
      <c r="Q50"/>
    </row>
    <row r="51" spans="1:17" x14ac:dyDescent="0.35">
      <c r="A51" s="3558" t="s">
        <v>3755</v>
      </c>
      <c r="B51" s="3558"/>
      <c r="C51" s="3558"/>
      <c r="D51" s="3558"/>
      <c r="E51" s="1181"/>
      <c r="F51" s="898"/>
      <c r="G51" s="1"/>
      <c r="H51" s="1"/>
      <c r="I51" s="898"/>
      <c r="J51" s="1"/>
      <c r="K51" s="1196"/>
      <c r="L51" s="1"/>
      <c r="M51"/>
      <c r="N51"/>
      <c r="O51"/>
      <c r="P51"/>
      <c r="Q51"/>
    </row>
    <row r="52" spans="1:17" ht="87" customHeight="1" x14ac:dyDescent="0.35">
      <c r="A52" s="3559" t="str">
        <f>K52</f>
        <v xml:space="preserve">You authorise us to deduct the Broker Client Fee from the Net Loan Amount which is in line with your agreement with your Broker/Intermediary and payable to your Broker/Intermediary. No part of the Broker Client Fee is payable to us. 
In addition to any Broker Client Fee, Market Financial Solutions or its investors pay a part of the Product Fee to your Introducer/Broker as Broker’s Commission upon drawdown of the Loan, in the amount as specified in The Summary. This means that your Broker/Intermediary may be unable to provide impartial advice about the Loan to you. </v>
      </c>
      <c r="B52" s="3559"/>
      <c r="C52" s="3559"/>
      <c r="D52" s="3559"/>
      <c r="E52" s="1178"/>
      <c r="F52" s="1171" t="s">
        <v>891</v>
      </c>
      <c r="G52" s="1460" t="s">
        <v>928</v>
      </c>
      <c r="H52" s="1925">
        <f>'BTL Calculator'!AL96</f>
        <v>0</v>
      </c>
      <c r="I52" s="1202"/>
      <c r="J52"/>
      <c r="K52" s="2569" t="str">
        <f>IF(H52="Not Applicable",M52,L52)</f>
        <v xml:space="preserve">You authorise us to deduct the Broker Client Fee from the Net Loan Amount which is in line with your agreement with your Broker/Intermediary and payable to your Broker/Intermediary. No part of the Broker Client Fee is payable to us. 
In addition to any Broker Client Fee, Market Financial Solutions or its investors pay a part of the Product Fee to your Introducer/Broker as Broker’s Commission upon drawdown of the Loan, in the amount as specified in The Summary. This means that your Broker/Intermediary may be unable to provide impartial advice about the Loan to you. </v>
      </c>
      <c r="L52" s="2570" t="s">
        <v>3757</v>
      </c>
      <c r="M52" s="2569" t="s">
        <v>3756</v>
      </c>
      <c r="N52"/>
      <c r="O52"/>
      <c r="P52"/>
      <c r="Q52"/>
    </row>
    <row r="53" spans="1:17" ht="11.25" customHeight="1" x14ac:dyDescent="0.35">
      <c r="A53" s="3558"/>
      <c r="B53" s="3558"/>
      <c r="C53" s="3558"/>
      <c r="D53" s="3558"/>
      <c r="E53" s="1181"/>
      <c r="F53" s="898"/>
      <c r="G53" s="1"/>
      <c r="H53" s="1"/>
      <c r="I53" s="898"/>
      <c r="J53" s="1"/>
      <c r="K53" s="1196"/>
      <c r="L53" s="1"/>
      <c r="M53"/>
      <c r="N53"/>
      <c r="O53"/>
      <c r="P53"/>
      <c r="Q53"/>
    </row>
    <row r="54" spans="1:17" ht="0.75" customHeight="1" x14ac:dyDescent="0.35">
      <c r="A54" s="1304"/>
      <c r="B54" s="1304"/>
      <c r="C54" s="1304"/>
      <c r="D54" s="1304"/>
      <c r="E54" s="1181"/>
      <c r="F54" s="898"/>
      <c r="G54" s="1"/>
      <c r="H54" s="1"/>
      <c r="I54" s="898"/>
      <c r="J54" s="1"/>
      <c r="K54" s="1196"/>
      <c r="L54" s="1"/>
      <c r="M54"/>
      <c r="N54"/>
      <c r="O54"/>
      <c r="P54"/>
      <c r="Q54"/>
    </row>
    <row r="55" spans="1:17" ht="4.5" customHeight="1" x14ac:dyDescent="0.35">
      <c r="A55" s="3559"/>
      <c r="B55" s="3559"/>
      <c r="C55" s="3559"/>
      <c r="D55" s="3559"/>
      <c r="E55" s="1178"/>
      <c r="F55" s="898"/>
      <c r="G55" s="1"/>
      <c r="H55" s="1"/>
      <c r="I55" s="898"/>
      <c r="J55" s="1"/>
      <c r="K55" s="1196"/>
      <c r="L55" s="1"/>
      <c r="M55"/>
      <c r="N55"/>
      <c r="O55"/>
      <c r="P55"/>
      <c r="Q55"/>
    </row>
    <row r="56" spans="1:17" ht="16.5" customHeight="1" x14ac:dyDescent="0.35">
      <c r="A56" s="3557" t="s">
        <v>929</v>
      </c>
      <c r="B56" s="3557"/>
      <c r="C56" s="3557"/>
      <c r="D56" s="3557"/>
      <c r="E56" s="1181"/>
      <c r="F56" s="898"/>
      <c r="G56" s="1"/>
      <c r="H56" s="1"/>
      <c r="I56" s="898"/>
      <c r="J56" s="1"/>
      <c r="K56" s="1196"/>
      <c r="L56" s="1"/>
      <c r="M56"/>
      <c r="N56"/>
      <c r="O56"/>
      <c r="P56"/>
      <c r="Q56"/>
    </row>
    <row r="57" spans="1:17" ht="192.75" customHeight="1" x14ac:dyDescent="0.35">
      <c r="A57" s="3559" t="s">
        <v>3771</v>
      </c>
      <c r="B57" s="3559"/>
      <c r="C57" s="3559"/>
      <c r="D57" s="3559"/>
      <c r="E57" s="1178"/>
      <c r="F57" s="898"/>
      <c r="G57" s="1"/>
      <c r="H57" s="1"/>
      <c r="I57" s="898"/>
      <c r="J57" s="1"/>
      <c r="K57" s="2348"/>
      <c r="L57" s="1"/>
      <c r="M57" s="2347"/>
      <c r="N57"/>
      <c r="O57"/>
      <c r="P57"/>
      <c r="Q57"/>
    </row>
    <row r="58" spans="1:17" ht="22.5" customHeight="1" x14ac:dyDescent="0.35">
      <c r="A58" s="3593" t="s">
        <v>930</v>
      </c>
      <c r="B58" s="3593"/>
      <c r="C58" s="3593"/>
      <c r="D58" s="3593"/>
      <c r="E58" s="1181"/>
      <c r="F58" s="898"/>
      <c r="G58" s="1"/>
      <c r="H58" s="1"/>
      <c r="I58" s="898"/>
      <c r="J58" s="1"/>
      <c r="K58" s="1196"/>
      <c r="L58" s="1"/>
      <c r="M58"/>
      <c r="N58"/>
      <c r="O58"/>
      <c r="P58"/>
      <c r="Q58"/>
    </row>
    <row r="59" spans="1:17" ht="45" customHeight="1" x14ac:dyDescent="0.35">
      <c r="A59" s="3581" t="str">
        <f>CONCATENATE(K59,Funders!N2)</f>
        <v>The Loan shall be for the Loan Term, which will commence from the date of drawdown of the Loan.  Please note that this is an interest only BTL Loan facility, and you must be in a position to repay the capital in full at the end of the Term. You should not assume that the Loan Term will be extended.</v>
      </c>
      <c r="B59" s="3581"/>
      <c r="C59" s="3581"/>
      <c r="D59" s="3581"/>
      <c r="E59" s="1178"/>
      <c r="F59" s="1230" t="s">
        <v>931</v>
      </c>
      <c r="G59" s="1"/>
      <c r="H59" s="1"/>
      <c r="I59" s="898"/>
      <c r="J59" s="1"/>
      <c r="K59" s="1196" t="s">
        <v>932</v>
      </c>
      <c r="L59" s="1"/>
      <c r="M59"/>
      <c r="N59"/>
      <c r="O59"/>
      <c r="P59"/>
      <c r="Q59"/>
    </row>
    <row r="60" spans="1:17" x14ac:dyDescent="0.35">
      <c r="A60" s="3582" t="s">
        <v>933</v>
      </c>
      <c r="B60" s="3582"/>
      <c r="C60" s="3582"/>
      <c r="D60" s="3582"/>
      <c r="E60" s="1181"/>
      <c r="F60" s="898"/>
      <c r="G60" s="1"/>
      <c r="H60" s="1"/>
      <c r="I60" s="898"/>
      <c r="J60" s="1"/>
      <c r="K60" s="1196"/>
      <c r="L60" s="1"/>
      <c r="M60"/>
      <c r="N60"/>
      <c r="O60"/>
      <c r="P60"/>
      <c r="Q60"/>
    </row>
    <row r="61" spans="1:17" ht="93" customHeight="1" x14ac:dyDescent="0.35">
      <c r="A61" s="3559" t="s">
        <v>3758</v>
      </c>
      <c r="B61" s="3559"/>
      <c r="C61" s="3559"/>
      <c r="D61" s="3559"/>
      <c r="E61" s="1178"/>
      <c r="F61" s="898"/>
      <c r="G61" s="1"/>
      <c r="H61" s="1"/>
      <c r="I61" s="898"/>
      <c r="J61" s="1"/>
      <c r="K61" s="1196"/>
      <c r="L61" s="1"/>
      <c r="M61"/>
      <c r="N61"/>
      <c r="O61"/>
      <c r="P61"/>
      <c r="Q61"/>
    </row>
    <row r="62" spans="1:17" ht="26.25" customHeight="1" x14ac:dyDescent="0.35">
      <c r="A62" s="3556" t="s">
        <v>934</v>
      </c>
      <c r="B62" s="3556"/>
      <c r="C62" s="3556"/>
      <c r="D62" s="3556"/>
      <c r="E62" s="1181"/>
      <c r="F62" s="898"/>
      <c r="G62" s="1"/>
      <c r="H62" s="1"/>
      <c r="I62" s="898"/>
      <c r="J62" s="1"/>
      <c r="K62" s="1196"/>
      <c r="L62" s="1"/>
      <c r="M62"/>
      <c r="N62"/>
      <c r="O62"/>
      <c r="P62"/>
      <c r="Q62"/>
    </row>
    <row r="63" spans="1:17" ht="25.5" customHeight="1" x14ac:dyDescent="0.35">
      <c r="A63" s="3566" t="s">
        <v>935</v>
      </c>
      <c r="B63" s="3567"/>
      <c r="C63" s="3567"/>
      <c r="D63" s="3568"/>
      <c r="E63" s="1203"/>
      <c r="F63" s="3561" t="s">
        <v>936</v>
      </c>
      <c r="G63" s="3561"/>
      <c r="H63" s="3561"/>
      <c r="I63" s="3561"/>
      <c r="J63" s="3561"/>
      <c r="K63" s="3561"/>
      <c r="L63" s="1204"/>
      <c r="M63"/>
      <c r="N63"/>
      <c r="O63"/>
      <c r="P63"/>
      <c r="Q63"/>
    </row>
    <row r="64" spans="1:17" x14ac:dyDescent="0.35">
      <c r="A64" s="3574" t="s">
        <v>937</v>
      </c>
      <c r="B64" s="3575"/>
      <c r="C64" s="3574" t="s">
        <v>938</v>
      </c>
      <c r="D64" s="3575"/>
      <c r="E64" s="1205"/>
      <c r="F64" s="1206"/>
      <c r="G64"/>
      <c r="H64" s="1043"/>
      <c r="I64" s="862"/>
      <c r="J64"/>
      <c r="K64" s="1161"/>
      <c r="L64" s="1"/>
      <c r="M64"/>
      <c r="N64"/>
      <c r="O64"/>
      <c r="P64"/>
      <c r="Q64"/>
    </row>
    <row r="65" spans="1:17" ht="14.25" customHeight="1" x14ac:dyDescent="0.35">
      <c r="A65" s="3553" t="s">
        <v>939</v>
      </c>
      <c r="B65" s="3554"/>
      <c r="C65" s="3576">
        <f t="shared" ref="C65:C86" si="2">H65</f>
        <v>0</v>
      </c>
      <c r="D65" s="3577"/>
      <c r="E65" s="1207"/>
      <c r="F65" s="1206"/>
      <c r="G65"/>
      <c r="H65" s="1208">
        <v>0</v>
      </c>
      <c r="I65" s="862"/>
      <c r="J65"/>
      <c r="K65" s="1161"/>
      <c r="L65" s="1"/>
      <c r="M65"/>
      <c r="N65"/>
      <c r="O65"/>
      <c r="P65"/>
      <c r="Q65"/>
    </row>
    <row r="66" spans="1:17" ht="14.25" customHeight="1" x14ac:dyDescent="0.35">
      <c r="A66" s="3553" t="s">
        <v>940</v>
      </c>
      <c r="B66" s="3554"/>
      <c r="C66" s="3576">
        <f t="shared" si="2"/>
        <v>0</v>
      </c>
      <c r="D66" s="3577"/>
      <c r="E66" s="1207"/>
      <c r="F66" s="1206"/>
      <c r="G66"/>
      <c r="H66" s="1208">
        <v>0</v>
      </c>
      <c r="I66" s="862"/>
      <c r="J66"/>
      <c r="K66" s="1161"/>
      <c r="L66" s="1"/>
      <c r="M66"/>
      <c r="N66"/>
      <c r="O66"/>
      <c r="P66"/>
      <c r="Q66"/>
    </row>
    <row r="67" spans="1:17" ht="14.25" customHeight="1" x14ac:dyDescent="0.35">
      <c r="A67" s="3553" t="s">
        <v>941</v>
      </c>
      <c r="B67" s="3554"/>
      <c r="C67" s="3576">
        <f t="shared" si="2"/>
        <v>250</v>
      </c>
      <c r="D67" s="3577"/>
      <c r="E67" s="1207"/>
      <c r="F67" s="1206"/>
      <c r="G67"/>
      <c r="H67" s="1208">
        <v>250</v>
      </c>
      <c r="I67" s="862"/>
      <c r="J67"/>
      <c r="K67" s="1161"/>
      <c r="L67" s="1"/>
      <c r="M67"/>
      <c r="N67"/>
      <c r="O67"/>
      <c r="P67"/>
      <c r="Q67"/>
    </row>
    <row r="68" spans="1:17" ht="14.25" customHeight="1" x14ac:dyDescent="0.35">
      <c r="A68" s="3553" t="s">
        <v>942</v>
      </c>
      <c r="B68" s="3554"/>
      <c r="C68" s="3576">
        <f t="shared" si="2"/>
        <v>500</v>
      </c>
      <c r="D68" s="3577"/>
      <c r="E68" s="1207"/>
      <c r="F68" s="1206"/>
      <c r="G68"/>
      <c r="H68" s="1208">
        <v>500</v>
      </c>
      <c r="I68" s="862"/>
      <c r="J68"/>
      <c r="K68" s="1161"/>
      <c r="L68" s="1"/>
      <c r="M68"/>
      <c r="N68"/>
      <c r="O68"/>
      <c r="P68"/>
      <c r="Q68"/>
    </row>
    <row r="69" spans="1:17" ht="14.25" customHeight="1" x14ac:dyDescent="0.35">
      <c r="A69" s="3553" t="s">
        <v>943</v>
      </c>
      <c r="B69" s="3554"/>
      <c r="C69" s="3576">
        <f t="shared" si="2"/>
        <v>35</v>
      </c>
      <c r="D69" s="3577"/>
      <c r="E69" s="1207"/>
      <c r="F69" s="1206"/>
      <c r="G69"/>
      <c r="H69" s="1208">
        <v>35</v>
      </c>
      <c r="I69" s="862"/>
      <c r="J69"/>
      <c r="K69" s="1161"/>
      <c r="L69" s="1"/>
      <c r="M69"/>
      <c r="N69"/>
      <c r="O69"/>
      <c r="P69"/>
      <c r="Q69"/>
    </row>
    <row r="70" spans="1:17" ht="14.25" customHeight="1" x14ac:dyDescent="0.35">
      <c r="A70" s="3553" t="s">
        <v>944</v>
      </c>
      <c r="B70" s="3554"/>
      <c r="C70" s="3576">
        <f t="shared" si="2"/>
        <v>55</v>
      </c>
      <c r="D70" s="3577"/>
      <c r="E70" s="1207"/>
      <c r="F70" s="1206"/>
      <c r="G70"/>
      <c r="H70" s="1208">
        <v>55</v>
      </c>
      <c r="I70" s="862"/>
      <c r="J70"/>
      <c r="K70" s="1161"/>
      <c r="L70" s="1"/>
      <c r="M70"/>
      <c r="N70"/>
      <c r="O70"/>
      <c r="P70"/>
      <c r="Q70"/>
    </row>
    <row r="71" spans="1:17" ht="14.25" customHeight="1" x14ac:dyDescent="0.35">
      <c r="A71" s="3553" t="s">
        <v>945</v>
      </c>
      <c r="B71" s="3554"/>
      <c r="C71" s="3576">
        <f t="shared" si="2"/>
        <v>0</v>
      </c>
      <c r="D71" s="3577"/>
      <c r="E71" s="1207"/>
      <c r="F71" s="1206"/>
      <c r="G71"/>
      <c r="H71" s="1208">
        <v>0</v>
      </c>
      <c r="I71" s="862"/>
      <c r="J71"/>
      <c r="K71" s="1161"/>
      <c r="L71" s="1"/>
      <c r="M71"/>
      <c r="N71"/>
      <c r="O71"/>
      <c r="P71"/>
      <c r="Q71"/>
    </row>
    <row r="72" spans="1:17" ht="14.25" customHeight="1" x14ac:dyDescent="0.35">
      <c r="A72" s="3553" t="s">
        <v>946</v>
      </c>
      <c r="B72" s="3554"/>
      <c r="C72" s="3576">
        <f t="shared" si="2"/>
        <v>250</v>
      </c>
      <c r="D72" s="3577"/>
      <c r="E72" s="1207"/>
      <c r="F72" s="1206"/>
      <c r="G72"/>
      <c r="H72" s="1208">
        <v>250</v>
      </c>
      <c r="I72" s="862"/>
      <c r="J72"/>
      <c r="K72" s="1161"/>
      <c r="L72" s="1"/>
      <c r="M72"/>
      <c r="N72"/>
      <c r="O72"/>
      <c r="P72"/>
      <c r="Q72"/>
    </row>
    <row r="73" spans="1:17" ht="14.25" customHeight="1" x14ac:dyDescent="0.35">
      <c r="A73" s="3553" t="s">
        <v>947</v>
      </c>
      <c r="B73" s="3554"/>
      <c r="C73" s="3576">
        <f t="shared" si="2"/>
        <v>75</v>
      </c>
      <c r="D73" s="3577"/>
      <c r="E73" s="1207"/>
      <c r="F73" s="1206"/>
      <c r="G73"/>
      <c r="H73" s="1208">
        <v>75</v>
      </c>
      <c r="I73" s="862"/>
      <c r="J73"/>
      <c r="K73" s="1161"/>
      <c r="L73" s="1"/>
      <c r="M73"/>
      <c r="N73"/>
      <c r="O73"/>
      <c r="P73"/>
      <c r="Q73"/>
    </row>
    <row r="74" spans="1:17" ht="14.25" customHeight="1" x14ac:dyDescent="0.35">
      <c r="A74" s="3553" t="s">
        <v>948</v>
      </c>
      <c r="B74" s="3554"/>
      <c r="C74" s="3576">
        <f t="shared" si="2"/>
        <v>475</v>
      </c>
      <c r="D74" s="3577"/>
      <c r="E74" s="1207"/>
      <c r="F74" s="1206"/>
      <c r="G74"/>
      <c r="H74" s="1208">
        <v>475</v>
      </c>
      <c r="I74" s="862"/>
      <c r="J74"/>
      <c r="K74" s="1161"/>
      <c r="L74" s="1"/>
      <c r="M74"/>
      <c r="N74"/>
      <c r="O74"/>
      <c r="P74"/>
      <c r="Q74"/>
    </row>
    <row r="75" spans="1:17" ht="14.25" customHeight="1" x14ac:dyDescent="0.35">
      <c r="A75" s="3553" t="s">
        <v>949</v>
      </c>
      <c r="B75" s="3554"/>
      <c r="C75" s="3576">
        <f t="shared" si="2"/>
        <v>0</v>
      </c>
      <c r="D75" s="3577"/>
      <c r="E75" s="1207"/>
      <c r="F75" s="1206"/>
      <c r="G75"/>
      <c r="H75" s="1208">
        <v>0</v>
      </c>
      <c r="I75" s="862"/>
      <c r="J75"/>
      <c r="K75" s="1161"/>
      <c r="L75" s="1"/>
      <c r="M75"/>
      <c r="N75"/>
      <c r="O75"/>
      <c r="P75"/>
      <c r="Q75"/>
    </row>
    <row r="76" spans="1:17" ht="14.25" customHeight="1" x14ac:dyDescent="0.35">
      <c r="A76" s="3553" t="s">
        <v>950</v>
      </c>
      <c r="B76" s="3554"/>
      <c r="C76" s="3576">
        <f t="shared" si="2"/>
        <v>250</v>
      </c>
      <c r="D76" s="3577"/>
      <c r="E76" s="1207"/>
      <c r="F76" s="1206"/>
      <c r="G76"/>
      <c r="H76" s="1208">
        <v>250</v>
      </c>
      <c r="I76" s="862"/>
      <c r="J76"/>
      <c r="K76" s="1161"/>
      <c r="L76" s="1"/>
      <c r="M76"/>
      <c r="N76"/>
      <c r="O76"/>
      <c r="P76"/>
      <c r="Q76"/>
    </row>
    <row r="77" spans="1:17" ht="14.25" customHeight="1" x14ac:dyDescent="0.35">
      <c r="A77" s="3553" t="s">
        <v>951</v>
      </c>
      <c r="B77" s="3554"/>
      <c r="C77" s="3576">
        <f t="shared" si="2"/>
        <v>250</v>
      </c>
      <c r="D77" s="3577"/>
      <c r="E77" s="1207"/>
      <c r="F77" s="1206"/>
      <c r="G77"/>
      <c r="H77" s="1208">
        <v>250</v>
      </c>
      <c r="I77" s="862"/>
      <c r="J77"/>
      <c r="K77" s="1161"/>
      <c r="L77" s="1"/>
      <c r="M77"/>
      <c r="N77"/>
      <c r="O77"/>
      <c r="P77"/>
      <c r="Q77"/>
    </row>
    <row r="78" spans="1:17" ht="14.25" customHeight="1" x14ac:dyDescent="0.35">
      <c r="A78" s="3553" t="s">
        <v>952</v>
      </c>
      <c r="B78" s="3554"/>
      <c r="C78" s="3576">
        <f t="shared" si="2"/>
        <v>250</v>
      </c>
      <c r="D78" s="3577"/>
      <c r="E78" s="1207"/>
      <c r="F78" s="1206"/>
      <c r="G78"/>
      <c r="H78" s="1208">
        <v>250</v>
      </c>
      <c r="I78" s="862"/>
      <c r="J78"/>
      <c r="K78" s="1161"/>
      <c r="L78" s="1"/>
      <c r="M78"/>
      <c r="N78"/>
      <c r="O78"/>
      <c r="P78"/>
      <c r="Q78"/>
    </row>
    <row r="79" spans="1:17" ht="14.25" customHeight="1" x14ac:dyDescent="0.35">
      <c r="A79" s="3553" t="s">
        <v>953</v>
      </c>
      <c r="B79" s="3554"/>
      <c r="C79" s="3576">
        <f t="shared" si="2"/>
        <v>75</v>
      </c>
      <c r="D79" s="3577"/>
      <c r="E79" s="1207"/>
      <c r="F79" s="1206"/>
      <c r="G79"/>
      <c r="H79" s="1208">
        <v>75</v>
      </c>
      <c r="I79" s="862"/>
      <c r="J79"/>
      <c r="K79" s="1161"/>
      <c r="L79" s="1"/>
      <c r="M79"/>
      <c r="N79"/>
      <c r="O79"/>
      <c r="P79"/>
      <c r="Q79"/>
    </row>
    <row r="80" spans="1:17" ht="14.25" customHeight="1" x14ac:dyDescent="0.35">
      <c r="A80" s="3553" t="s">
        <v>954</v>
      </c>
      <c r="B80" s="3554"/>
      <c r="C80" s="3576">
        <f t="shared" si="2"/>
        <v>0</v>
      </c>
      <c r="D80" s="3577"/>
      <c r="E80" s="1207"/>
      <c r="F80" s="1206"/>
      <c r="G80"/>
      <c r="H80" s="1208">
        <v>0</v>
      </c>
      <c r="I80" s="862"/>
      <c r="J80"/>
      <c r="K80" s="1161"/>
      <c r="L80" s="1"/>
      <c r="M80"/>
      <c r="N80"/>
      <c r="O80"/>
      <c r="P80"/>
      <c r="Q80"/>
    </row>
    <row r="81" spans="1:17" ht="14.25" customHeight="1" x14ac:dyDescent="0.35">
      <c r="A81" s="3553" t="s">
        <v>955</v>
      </c>
      <c r="B81" s="3554"/>
      <c r="C81" s="3576">
        <f t="shared" si="2"/>
        <v>0</v>
      </c>
      <c r="D81" s="3577"/>
      <c r="E81" s="1207"/>
      <c r="F81" s="1206"/>
      <c r="G81"/>
      <c r="H81" s="1208">
        <v>0</v>
      </c>
      <c r="I81" s="862"/>
      <c r="J81"/>
      <c r="K81" s="1161"/>
      <c r="L81" s="1"/>
      <c r="M81"/>
      <c r="N81"/>
      <c r="O81"/>
      <c r="P81"/>
      <c r="Q81"/>
    </row>
    <row r="82" spans="1:17" ht="14.25" customHeight="1" x14ac:dyDescent="0.35">
      <c r="A82" s="3553" t="s">
        <v>956</v>
      </c>
      <c r="B82" s="3554"/>
      <c r="C82" s="3576">
        <f t="shared" si="2"/>
        <v>0</v>
      </c>
      <c r="D82" s="3577"/>
      <c r="E82" s="1207"/>
      <c r="F82" s="1206"/>
      <c r="G82"/>
      <c r="H82" s="1208">
        <v>0</v>
      </c>
      <c r="I82" s="862"/>
      <c r="J82"/>
      <c r="K82" s="1161"/>
      <c r="L82" s="1"/>
      <c r="M82"/>
      <c r="N82"/>
      <c r="O82"/>
      <c r="P82"/>
      <c r="Q82"/>
    </row>
    <row r="83" spans="1:17" ht="14.25" customHeight="1" x14ac:dyDescent="0.35">
      <c r="A83" s="3553" t="s">
        <v>957</v>
      </c>
      <c r="B83" s="3554"/>
      <c r="C83" s="3576">
        <f t="shared" si="2"/>
        <v>25</v>
      </c>
      <c r="D83" s="3577"/>
      <c r="E83" s="1207"/>
      <c r="F83" s="1206"/>
      <c r="G83"/>
      <c r="H83" s="1208">
        <v>25</v>
      </c>
      <c r="I83" s="862"/>
      <c r="J83"/>
      <c r="K83" s="1161"/>
      <c r="L83" s="1"/>
      <c r="M83"/>
      <c r="N83"/>
      <c r="O83"/>
      <c r="P83"/>
      <c r="Q83"/>
    </row>
    <row r="84" spans="1:17" ht="14.25" customHeight="1" x14ac:dyDescent="0.35">
      <c r="A84" s="3553" t="s">
        <v>958</v>
      </c>
      <c r="B84" s="3554"/>
      <c r="C84" s="3576">
        <f t="shared" si="2"/>
        <v>0</v>
      </c>
      <c r="D84" s="3577"/>
      <c r="E84" s="1207"/>
      <c r="F84" s="1206"/>
      <c r="G84"/>
      <c r="H84" s="1208">
        <v>0</v>
      </c>
      <c r="I84" s="862"/>
      <c r="J84"/>
      <c r="K84" s="1161"/>
      <c r="L84" s="1"/>
      <c r="M84"/>
      <c r="N84"/>
      <c r="O84"/>
      <c r="P84"/>
      <c r="Q84"/>
    </row>
    <row r="85" spans="1:17" ht="14.25" customHeight="1" x14ac:dyDescent="0.35">
      <c r="A85" s="3553" t="s">
        <v>959</v>
      </c>
      <c r="B85" s="3554"/>
      <c r="C85" s="3576">
        <f t="shared" si="2"/>
        <v>0</v>
      </c>
      <c r="D85" s="3577"/>
      <c r="E85" s="1207"/>
      <c r="F85" s="1206"/>
      <c r="G85"/>
      <c r="H85" s="1208">
        <v>0</v>
      </c>
      <c r="I85" s="862"/>
      <c r="J85"/>
      <c r="K85" s="1161"/>
      <c r="L85" s="1"/>
      <c r="M85"/>
      <c r="N85"/>
      <c r="O85"/>
      <c r="P85"/>
      <c r="Q85"/>
    </row>
    <row r="86" spans="1:17" ht="14.25" customHeight="1" x14ac:dyDescent="0.35">
      <c r="A86" s="3553" t="s">
        <v>960</v>
      </c>
      <c r="B86" s="3554"/>
      <c r="C86" s="3576">
        <f t="shared" si="2"/>
        <v>0</v>
      </c>
      <c r="D86" s="3577"/>
      <c r="E86" s="1207"/>
      <c r="F86" s="1206"/>
      <c r="G86"/>
      <c r="H86" s="1208">
        <v>0</v>
      </c>
      <c r="I86" s="862"/>
      <c r="J86"/>
      <c r="K86" s="1161"/>
      <c r="L86" s="1"/>
      <c r="M86"/>
      <c r="N86"/>
      <c r="O86"/>
      <c r="P86"/>
      <c r="Q86"/>
    </row>
    <row r="87" spans="1:17" ht="24" customHeight="1" x14ac:dyDescent="0.35">
      <c r="A87" s="3566" t="s">
        <v>961</v>
      </c>
      <c r="B87" s="3567"/>
      <c r="C87" s="3567"/>
      <c r="D87" s="3568"/>
      <c r="E87" s="1203"/>
      <c r="F87" s="1206"/>
      <c r="G87"/>
      <c r="H87" s="1209"/>
      <c r="I87" s="862"/>
      <c r="J87"/>
      <c r="K87" s="1161"/>
      <c r="L87" s="1"/>
      <c r="M87"/>
      <c r="N87"/>
      <c r="O87"/>
      <c r="P87"/>
      <c r="Q87"/>
    </row>
    <row r="88" spans="1:17" x14ac:dyDescent="0.35">
      <c r="A88" s="3585" t="s">
        <v>937</v>
      </c>
      <c r="B88" s="3586"/>
      <c r="C88" s="3574" t="s">
        <v>938</v>
      </c>
      <c r="D88" s="3575"/>
      <c r="E88" s="1205"/>
      <c r="F88" s="1206"/>
      <c r="G88"/>
      <c r="H88" s="1209"/>
      <c r="I88" s="862"/>
      <c r="J88"/>
      <c r="K88" s="1161"/>
      <c r="L88" s="1"/>
      <c r="M88"/>
      <c r="N88"/>
      <c r="O88"/>
      <c r="P88"/>
      <c r="Q88"/>
    </row>
    <row r="89" spans="1:17" ht="14.25" customHeight="1" x14ac:dyDescent="0.35">
      <c r="A89" s="3583" t="s">
        <v>962</v>
      </c>
      <c r="B89" s="3584"/>
      <c r="C89" s="3576">
        <f t="shared" ref="C89:C104" si="3">H89</f>
        <v>35</v>
      </c>
      <c r="D89" s="3577"/>
      <c r="E89" s="1207"/>
      <c r="F89" s="1206"/>
      <c r="G89"/>
      <c r="H89" s="1208">
        <v>35</v>
      </c>
      <c r="I89" s="862"/>
      <c r="J89"/>
      <c r="K89" s="1161"/>
      <c r="L89" s="1"/>
      <c r="M89"/>
      <c r="N89"/>
      <c r="O89"/>
      <c r="P89"/>
      <c r="Q89"/>
    </row>
    <row r="90" spans="1:17" ht="14.25" customHeight="1" x14ac:dyDescent="0.35">
      <c r="A90" s="3583" t="s">
        <v>963</v>
      </c>
      <c r="B90" s="3584"/>
      <c r="C90" s="3576">
        <f t="shared" si="3"/>
        <v>35</v>
      </c>
      <c r="D90" s="3577"/>
      <c r="E90" s="1207"/>
      <c r="F90" s="1206"/>
      <c r="G90"/>
      <c r="H90" s="1208">
        <v>35</v>
      </c>
      <c r="I90" s="862"/>
      <c r="J90"/>
      <c r="K90" s="1161"/>
      <c r="L90" s="1"/>
      <c r="M90"/>
      <c r="N90"/>
      <c r="O90"/>
      <c r="P90"/>
      <c r="Q90"/>
    </row>
    <row r="91" spans="1:17" ht="14.25" customHeight="1" x14ac:dyDescent="0.35">
      <c r="A91" s="3583" t="s">
        <v>964</v>
      </c>
      <c r="B91" s="3584"/>
      <c r="C91" s="3576">
        <f t="shared" si="3"/>
        <v>100</v>
      </c>
      <c r="D91" s="3577"/>
      <c r="E91" s="1207"/>
      <c r="F91" s="1206"/>
      <c r="G91"/>
      <c r="H91" s="1208">
        <v>100</v>
      </c>
      <c r="I91" s="862"/>
      <c r="J91"/>
      <c r="K91" s="1161"/>
      <c r="L91" s="1"/>
      <c r="M91"/>
      <c r="N91"/>
      <c r="O91"/>
      <c r="P91"/>
      <c r="Q91"/>
    </row>
    <row r="92" spans="1:17" ht="14.25" customHeight="1" x14ac:dyDescent="0.35">
      <c r="A92" s="3583" t="s">
        <v>965</v>
      </c>
      <c r="B92" s="3584"/>
      <c r="C92" s="3576">
        <f t="shared" si="3"/>
        <v>70</v>
      </c>
      <c r="D92" s="3577"/>
      <c r="E92" s="1207"/>
      <c r="F92" s="1206"/>
      <c r="G92"/>
      <c r="H92" s="1208">
        <v>70</v>
      </c>
      <c r="I92" s="862"/>
      <c r="J92"/>
      <c r="K92" s="1161"/>
      <c r="L92" s="1"/>
      <c r="M92"/>
      <c r="N92"/>
      <c r="O92"/>
      <c r="P92"/>
      <c r="Q92"/>
    </row>
    <row r="93" spans="1:17" ht="14.25" customHeight="1" x14ac:dyDescent="0.35">
      <c r="A93" s="3583" t="s">
        <v>966</v>
      </c>
      <c r="B93" s="3584"/>
      <c r="C93" s="3576">
        <f t="shared" si="3"/>
        <v>150</v>
      </c>
      <c r="D93" s="3577"/>
      <c r="E93" s="1207"/>
      <c r="F93" s="1206"/>
      <c r="G93"/>
      <c r="H93" s="1208">
        <v>150</v>
      </c>
      <c r="I93" s="862"/>
      <c r="J93"/>
      <c r="K93" s="1161"/>
      <c r="L93" s="1"/>
      <c r="M93"/>
      <c r="N93"/>
      <c r="O93"/>
      <c r="P93"/>
      <c r="Q93"/>
    </row>
    <row r="94" spans="1:17" ht="14.25" customHeight="1" x14ac:dyDescent="0.35">
      <c r="A94" s="3583" t="s">
        <v>967</v>
      </c>
      <c r="B94" s="3584"/>
      <c r="C94" s="3576">
        <f t="shared" si="3"/>
        <v>195</v>
      </c>
      <c r="D94" s="3577"/>
      <c r="E94" s="1207"/>
      <c r="F94" s="1206"/>
      <c r="G94"/>
      <c r="H94" s="1208">
        <v>195</v>
      </c>
      <c r="I94" s="862"/>
      <c r="J94"/>
      <c r="K94" s="1161"/>
      <c r="L94" s="1"/>
      <c r="M94"/>
      <c r="N94"/>
      <c r="O94"/>
      <c r="P94"/>
      <c r="Q94"/>
    </row>
    <row r="95" spans="1:17" ht="14.25" customHeight="1" x14ac:dyDescent="0.35">
      <c r="A95" s="3583" t="s">
        <v>968</v>
      </c>
      <c r="B95" s="3584"/>
      <c r="C95" s="3576">
        <f t="shared" si="3"/>
        <v>250</v>
      </c>
      <c r="D95" s="3577"/>
      <c r="E95" s="1207"/>
      <c r="F95" s="1206"/>
      <c r="G95"/>
      <c r="H95" s="1208">
        <v>250</v>
      </c>
      <c r="I95" s="862"/>
      <c r="J95"/>
      <c r="K95" s="1161"/>
      <c r="L95" s="1"/>
      <c r="M95"/>
      <c r="N95"/>
      <c r="O95"/>
      <c r="P95"/>
      <c r="Q95"/>
    </row>
    <row r="96" spans="1:17" ht="14.25" customHeight="1" x14ac:dyDescent="0.35">
      <c r="A96" s="3583" t="s">
        <v>969</v>
      </c>
      <c r="B96" s="3584"/>
      <c r="C96" s="3576">
        <f t="shared" si="3"/>
        <v>175</v>
      </c>
      <c r="D96" s="3577"/>
      <c r="E96" s="1207"/>
      <c r="F96" s="1206"/>
      <c r="G96"/>
      <c r="H96" s="1208">
        <v>175</v>
      </c>
      <c r="I96" s="862"/>
      <c r="J96"/>
      <c r="K96" s="1161"/>
      <c r="L96" s="1"/>
      <c r="M96"/>
      <c r="N96"/>
      <c r="O96"/>
      <c r="P96"/>
      <c r="Q96"/>
    </row>
    <row r="97" spans="1:17" ht="14.25" customHeight="1" x14ac:dyDescent="0.35">
      <c r="A97" s="3583" t="s">
        <v>970</v>
      </c>
      <c r="B97" s="3584"/>
      <c r="C97" s="3576">
        <f t="shared" si="3"/>
        <v>155</v>
      </c>
      <c r="D97" s="3577"/>
      <c r="E97" s="1207"/>
      <c r="F97" s="1206"/>
      <c r="G97"/>
      <c r="H97" s="1208">
        <v>155</v>
      </c>
      <c r="I97" s="862"/>
      <c r="J97"/>
      <c r="K97" s="1161"/>
      <c r="L97" s="1"/>
      <c r="M97"/>
      <c r="N97"/>
      <c r="O97"/>
      <c r="P97"/>
      <c r="Q97"/>
    </row>
    <row r="98" spans="1:17" ht="14.25" customHeight="1" x14ac:dyDescent="0.35">
      <c r="A98" s="3583" t="s">
        <v>971</v>
      </c>
      <c r="B98" s="3584"/>
      <c r="C98" s="3576">
        <f t="shared" si="3"/>
        <v>175</v>
      </c>
      <c r="D98" s="3577"/>
      <c r="E98" s="1207"/>
      <c r="F98" s="1206"/>
      <c r="G98"/>
      <c r="H98" s="1208">
        <v>175</v>
      </c>
      <c r="I98" s="862"/>
      <c r="J98"/>
      <c r="K98" s="1161"/>
      <c r="L98" s="1"/>
      <c r="M98"/>
      <c r="N98"/>
      <c r="O98"/>
      <c r="P98"/>
      <c r="Q98"/>
    </row>
    <row r="99" spans="1:17" ht="14.25" customHeight="1" x14ac:dyDescent="0.35">
      <c r="A99" s="3583" t="s">
        <v>972</v>
      </c>
      <c r="B99" s="3584"/>
      <c r="C99" s="3576">
        <f t="shared" si="3"/>
        <v>250</v>
      </c>
      <c r="D99" s="3577"/>
      <c r="E99" s="1207"/>
      <c r="F99" s="1206"/>
      <c r="G99"/>
      <c r="H99" s="1208">
        <v>250</v>
      </c>
      <c r="I99" s="862"/>
      <c r="J99"/>
      <c r="K99" s="1161"/>
      <c r="L99" s="1"/>
      <c r="M99"/>
      <c r="N99"/>
      <c r="O99"/>
      <c r="P99"/>
      <c r="Q99"/>
    </row>
    <row r="100" spans="1:17" ht="14.25" customHeight="1" x14ac:dyDescent="0.35">
      <c r="A100" s="3583" t="s">
        <v>973</v>
      </c>
      <c r="B100" s="3584"/>
      <c r="C100" s="3576">
        <f t="shared" si="3"/>
        <v>300</v>
      </c>
      <c r="D100" s="3577"/>
      <c r="E100" s="1207"/>
      <c r="F100" s="1206"/>
      <c r="G100"/>
      <c r="H100" s="1208">
        <v>300</v>
      </c>
      <c r="I100" s="862"/>
      <c r="J100"/>
      <c r="K100" s="1161"/>
      <c r="L100" s="1"/>
      <c r="M100"/>
      <c r="N100"/>
      <c r="O100"/>
      <c r="P100"/>
      <c r="Q100"/>
    </row>
    <row r="101" spans="1:17" ht="14.25" customHeight="1" x14ac:dyDescent="0.35">
      <c r="A101" s="3583" t="s">
        <v>974</v>
      </c>
      <c r="B101" s="3584"/>
      <c r="C101" s="3576">
        <f t="shared" si="3"/>
        <v>750</v>
      </c>
      <c r="D101" s="3577"/>
      <c r="E101" s="1207"/>
      <c r="F101" s="1206"/>
      <c r="G101"/>
      <c r="H101" s="1208">
        <v>750</v>
      </c>
      <c r="I101" s="862"/>
      <c r="J101"/>
      <c r="K101" s="1161"/>
      <c r="L101" s="1"/>
      <c r="M101"/>
      <c r="N101"/>
      <c r="O101"/>
      <c r="P101"/>
      <c r="Q101"/>
    </row>
    <row r="102" spans="1:17" ht="14.25" customHeight="1" x14ac:dyDescent="0.35">
      <c r="A102" s="3583" t="s">
        <v>975</v>
      </c>
      <c r="B102" s="3584"/>
      <c r="C102" s="3576">
        <f t="shared" si="3"/>
        <v>2500</v>
      </c>
      <c r="D102" s="3577"/>
      <c r="E102" s="1207"/>
      <c r="F102" s="1206"/>
      <c r="G102"/>
      <c r="H102" s="1208">
        <v>2500</v>
      </c>
      <c r="I102" s="862"/>
      <c r="J102"/>
      <c r="K102" s="1161"/>
      <c r="L102" s="1"/>
      <c r="M102"/>
      <c r="N102"/>
      <c r="O102"/>
      <c r="P102"/>
      <c r="Q102"/>
    </row>
    <row r="103" spans="1:17" ht="14.25" customHeight="1" x14ac:dyDescent="0.35">
      <c r="A103" s="3583" t="s">
        <v>976</v>
      </c>
      <c r="B103" s="3584"/>
      <c r="C103" s="3576">
        <f t="shared" si="3"/>
        <v>150</v>
      </c>
      <c r="D103" s="3577"/>
      <c r="E103" s="1207"/>
      <c r="F103" s="1206"/>
      <c r="G103"/>
      <c r="H103" s="1208">
        <v>150</v>
      </c>
      <c r="I103" s="862"/>
      <c r="J103"/>
      <c r="K103" s="1161"/>
      <c r="L103" s="1"/>
      <c r="M103"/>
      <c r="N103"/>
      <c r="O103"/>
      <c r="P103"/>
      <c r="Q103"/>
    </row>
    <row r="104" spans="1:17" ht="14.25" customHeight="1" x14ac:dyDescent="0.35">
      <c r="A104" s="3583" t="s">
        <v>977</v>
      </c>
      <c r="B104" s="3584"/>
      <c r="C104" s="3576">
        <f t="shared" si="3"/>
        <v>400</v>
      </c>
      <c r="D104" s="3577"/>
      <c r="E104" s="1207"/>
      <c r="F104" s="1206"/>
      <c r="G104"/>
      <c r="H104" s="1208">
        <v>400</v>
      </c>
      <c r="I104" s="862"/>
      <c r="J104"/>
      <c r="K104" s="1161"/>
      <c r="L104" s="1"/>
      <c r="M104"/>
      <c r="N104"/>
      <c r="O104"/>
      <c r="P104"/>
      <c r="Q104"/>
    </row>
    <row r="105" spans="1:17" ht="27.75" customHeight="1" x14ac:dyDescent="0.35">
      <c r="A105" s="3588" t="s">
        <v>978</v>
      </c>
      <c r="B105" s="3588"/>
      <c r="C105" s="3588"/>
      <c r="D105" s="3588"/>
      <c r="E105" s="1210"/>
      <c r="F105" s="898"/>
      <c r="G105" s="1"/>
      <c r="H105" s="1"/>
      <c r="I105" s="898"/>
      <c r="J105" s="1"/>
      <c r="K105" s="1196"/>
      <c r="L105" s="1"/>
      <c r="M105"/>
      <c r="N105"/>
      <c r="O105"/>
      <c r="P105"/>
      <c r="Q105"/>
    </row>
    <row r="106" spans="1:17" x14ac:dyDescent="0.35">
      <c r="A106" s="1211" t="s">
        <v>979</v>
      </c>
      <c r="B106" s="1201"/>
      <c r="C106" s="1201"/>
      <c r="D106" s="1201"/>
      <c r="E106" s="1181"/>
      <c r="F106" s="898"/>
      <c r="G106" s="1"/>
      <c r="H106" s="1"/>
      <c r="I106" s="898"/>
      <c r="J106" s="1"/>
      <c r="K106" s="1196"/>
      <c r="L106" s="1"/>
      <c r="M106"/>
      <c r="N106"/>
      <c r="O106"/>
      <c r="P106"/>
      <c r="Q106"/>
    </row>
    <row r="107" spans="1:17" ht="33" customHeight="1" x14ac:dyDescent="0.35">
      <c r="A107" s="3559" t="s">
        <v>980</v>
      </c>
      <c r="B107" s="3559"/>
      <c r="C107" s="3559"/>
      <c r="D107" s="3559"/>
      <c r="E107" s="1178"/>
      <c r="F107" s="898"/>
      <c r="G107" s="1"/>
      <c r="H107" s="1"/>
      <c r="I107" s="898"/>
      <c r="J107" s="1"/>
      <c r="K107" s="1196"/>
      <c r="L107" s="1"/>
      <c r="M107"/>
      <c r="N107"/>
      <c r="O107"/>
      <c r="P107"/>
      <c r="Q107"/>
    </row>
    <row r="108" spans="1:17" ht="91.5" customHeight="1" x14ac:dyDescent="0.35">
      <c r="A108" s="3559" t="s">
        <v>3759</v>
      </c>
      <c r="B108" s="3559"/>
      <c r="C108" s="3559"/>
      <c r="D108" s="3559"/>
      <c r="E108" s="1178"/>
      <c r="F108" s="898"/>
      <c r="G108" s="1"/>
      <c r="H108" s="1"/>
      <c r="I108" s="898"/>
      <c r="J108" s="1"/>
      <c r="K108" s="1196"/>
      <c r="L108" s="1"/>
      <c r="M108"/>
      <c r="N108"/>
      <c r="O108"/>
      <c r="P108"/>
      <c r="Q108"/>
    </row>
    <row r="109" spans="1:17" ht="29.25" customHeight="1" x14ac:dyDescent="0.35">
      <c r="A109" s="3579" t="s">
        <v>981</v>
      </c>
      <c r="B109" s="3579"/>
      <c r="C109" s="3579"/>
      <c r="D109" s="3579"/>
      <c r="E109" s="1212"/>
      <c r="F109" s="898"/>
      <c r="G109" s="1"/>
      <c r="H109" s="1"/>
      <c r="I109" s="898"/>
      <c r="J109" s="1"/>
      <c r="K109" s="1196"/>
      <c r="L109" s="1"/>
      <c r="M109"/>
      <c r="N109"/>
      <c r="O109"/>
      <c r="P109"/>
      <c r="Q109"/>
    </row>
    <row r="110" spans="1:17" x14ac:dyDescent="0.35">
      <c r="A110" s="1211" t="s">
        <v>982</v>
      </c>
      <c r="B110" s="1201"/>
      <c r="C110" s="1201"/>
      <c r="D110" s="1201"/>
      <c r="E110" s="1181"/>
      <c r="F110" s="898"/>
      <c r="G110" s="1"/>
      <c r="H110" s="1"/>
      <c r="I110" s="898"/>
      <c r="J110" s="1"/>
      <c r="K110" s="1196"/>
      <c r="L110" s="1"/>
      <c r="M110"/>
      <c r="N110"/>
      <c r="O110"/>
      <c r="P110"/>
      <c r="Q110"/>
    </row>
    <row r="111" spans="1:17" ht="48.75" customHeight="1" x14ac:dyDescent="0.35">
      <c r="A111" s="3559" t="s">
        <v>983</v>
      </c>
      <c r="B111" s="3559"/>
      <c r="C111" s="3559"/>
      <c r="D111" s="3559"/>
      <c r="E111" s="1178"/>
      <c r="F111" s="898"/>
      <c r="G111" s="1"/>
      <c r="H111" s="1"/>
      <c r="I111" s="898"/>
      <c r="J111" s="1"/>
      <c r="K111" s="1196"/>
      <c r="L111" s="1"/>
      <c r="M111"/>
      <c r="N111"/>
      <c r="O111"/>
      <c r="P111"/>
      <c r="Q111"/>
    </row>
    <row r="112" spans="1:17" x14ac:dyDescent="0.35">
      <c r="A112" s="1213" t="s">
        <v>984</v>
      </c>
      <c r="B112" s="1201"/>
      <c r="C112" s="1201"/>
      <c r="D112" s="1201"/>
      <c r="E112" s="1181"/>
      <c r="F112" s="898"/>
      <c r="G112" s="1"/>
      <c r="H112" s="1"/>
      <c r="I112" s="898"/>
      <c r="J112" s="1"/>
      <c r="K112" s="1196"/>
      <c r="L112" s="1"/>
      <c r="M112"/>
      <c r="N112"/>
      <c r="O112"/>
      <c r="P112"/>
      <c r="Q112"/>
    </row>
    <row r="113" spans="1:17" ht="48.75" customHeight="1" x14ac:dyDescent="0.35">
      <c r="A113" s="3559" t="s">
        <v>985</v>
      </c>
      <c r="B113" s="3559"/>
      <c r="C113" s="3559"/>
      <c r="D113" s="3559"/>
      <c r="E113" s="1178"/>
      <c r="F113" s="898"/>
      <c r="G113" s="1"/>
      <c r="H113" s="1"/>
      <c r="I113" s="898"/>
      <c r="J113" s="1"/>
      <c r="K113" s="1196"/>
      <c r="L113" s="1"/>
      <c r="M113"/>
      <c r="N113"/>
      <c r="O113"/>
      <c r="P113"/>
      <c r="Q113"/>
    </row>
    <row r="114" spans="1:17" x14ac:dyDescent="0.35">
      <c r="A114" s="1211" t="s">
        <v>986</v>
      </c>
      <c r="B114" s="1201"/>
      <c r="C114" s="1201"/>
      <c r="D114" s="1201"/>
      <c r="E114" s="1181"/>
      <c r="F114" s="898"/>
      <c r="G114" s="1"/>
      <c r="H114" s="1"/>
      <c r="I114" s="898"/>
      <c r="J114" s="1"/>
      <c r="K114" s="1196"/>
      <c r="L114" s="1"/>
      <c r="M114"/>
      <c r="N114"/>
      <c r="O114"/>
      <c r="P114"/>
      <c r="Q114"/>
    </row>
    <row r="115" spans="1:17" ht="75" customHeight="1" x14ac:dyDescent="0.35">
      <c r="A115" s="3559" t="s">
        <v>3760</v>
      </c>
      <c r="B115" s="3559"/>
      <c r="C115" s="3559"/>
      <c r="D115" s="3559"/>
      <c r="E115" s="1178"/>
      <c r="F115" s="898"/>
      <c r="G115" s="1"/>
      <c r="H115" s="1"/>
      <c r="I115" s="898"/>
      <c r="J115" s="1"/>
      <c r="K115" s="1196"/>
      <c r="L115" s="1"/>
      <c r="M115"/>
      <c r="N115"/>
      <c r="O115"/>
      <c r="P115"/>
      <c r="Q115"/>
    </row>
    <row r="116" spans="1:17" ht="21" customHeight="1" x14ac:dyDescent="0.35">
      <c r="A116" s="1211" t="s">
        <v>987</v>
      </c>
      <c r="B116" s="1201"/>
      <c r="C116" s="1201"/>
      <c r="D116" s="1201"/>
      <c r="E116" s="1181"/>
      <c r="F116" s="898"/>
      <c r="G116" s="1"/>
      <c r="H116" s="1"/>
      <c r="I116" s="898"/>
      <c r="J116" s="1"/>
      <c r="K116" s="1196"/>
      <c r="L116" s="1"/>
      <c r="M116"/>
      <c r="N116"/>
      <c r="O116"/>
      <c r="P116"/>
      <c r="Q116"/>
    </row>
    <row r="117" spans="1:17" ht="21" customHeight="1" x14ac:dyDescent="0.35">
      <c r="A117" s="3559" t="s">
        <v>988</v>
      </c>
      <c r="B117" s="3559"/>
      <c r="C117" s="3559"/>
      <c r="D117" s="3559"/>
      <c r="E117" s="1178"/>
      <c r="F117" s="898"/>
      <c r="G117" s="1"/>
      <c r="H117" s="1"/>
      <c r="I117" s="898"/>
      <c r="J117" s="1"/>
      <c r="K117" s="1196"/>
      <c r="L117" s="1"/>
      <c r="M117"/>
      <c r="N117"/>
      <c r="O117"/>
      <c r="P117"/>
      <c r="Q117"/>
    </row>
    <row r="118" spans="1:17" ht="19.5" customHeight="1" x14ac:dyDescent="0.35">
      <c r="A118" s="3559" t="s">
        <v>989</v>
      </c>
      <c r="B118" s="3559"/>
      <c r="C118" s="3559"/>
      <c r="D118" s="3559"/>
      <c r="E118" s="1178"/>
      <c r="F118" s="898"/>
      <c r="G118" s="1"/>
      <c r="H118" s="1"/>
      <c r="I118" s="898"/>
      <c r="J118" s="1"/>
      <c r="K118" s="1196"/>
      <c r="L118" s="1"/>
      <c r="M118"/>
      <c r="N118"/>
      <c r="O118"/>
      <c r="P118"/>
      <c r="Q118"/>
    </row>
    <row r="119" spans="1:17" ht="19.5" customHeight="1" x14ac:dyDescent="0.35">
      <c r="A119" s="3559" t="s">
        <v>3828</v>
      </c>
      <c r="B119" s="3559"/>
      <c r="C119" s="3559"/>
      <c r="D119" s="3559"/>
      <c r="E119" s="1178"/>
      <c r="F119" s="898"/>
      <c r="G119" s="1"/>
      <c r="H119" s="1"/>
      <c r="I119" s="898"/>
      <c r="J119" s="1"/>
      <c r="K119" s="1196"/>
      <c r="L119" s="1"/>
      <c r="M119"/>
      <c r="N119"/>
      <c r="O119"/>
      <c r="P119"/>
      <c r="Q119"/>
    </row>
    <row r="120" spans="1:17" ht="19.5" customHeight="1" x14ac:dyDescent="0.35">
      <c r="A120" s="3559" t="s">
        <v>990</v>
      </c>
      <c r="B120" s="3559"/>
      <c r="C120" s="3559"/>
      <c r="D120" s="3559"/>
      <c r="E120" s="1178"/>
      <c r="F120" s="898"/>
      <c r="G120" s="1"/>
      <c r="H120" s="1"/>
      <c r="I120" s="898"/>
      <c r="J120" s="1"/>
      <c r="K120" s="1196"/>
      <c r="L120" s="1"/>
      <c r="M120"/>
      <c r="N120"/>
      <c r="O120"/>
      <c r="P120"/>
      <c r="Q120"/>
    </row>
    <row r="121" spans="1:17" ht="26.25" customHeight="1" x14ac:dyDescent="0.35">
      <c r="A121" s="3559" t="s">
        <v>3722</v>
      </c>
      <c r="B121" s="3559"/>
      <c r="C121" s="3559"/>
      <c r="D121" s="3559"/>
      <c r="E121" s="1178"/>
      <c r="F121" s="898"/>
      <c r="G121" s="1"/>
      <c r="H121" s="1"/>
      <c r="I121" s="898"/>
      <c r="J121" s="1"/>
      <c r="K121" s="1196"/>
      <c r="L121" s="1"/>
      <c r="M121"/>
      <c r="N121"/>
      <c r="O121"/>
      <c r="P121"/>
      <c r="Q121"/>
    </row>
    <row r="122" spans="1:17" x14ac:dyDescent="0.35">
      <c r="A122" s="1214"/>
      <c r="B122" s="1215"/>
      <c r="C122" s="1215"/>
      <c r="D122" s="1215"/>
      <c r="E122" s="1181"/>
      <c r="F122" s="898"/>
      <c r="G122" s="1"/>
      <c r="H122" s="1"/>
      <c r="I122" s="898"/>
      <c r="J122" s="1"/>
      <c r="K122" s="1196"/>
      <c r="L122" s="1"/>
      <c r="M122"/>
      <c r="N122"/>
      <c r="O122"/>
      <c r="P122"/>
      <c r="Q122"/>
    </row>
    <row r="123" spans="1:17" x14ac:dyDescent="0.35">
      <c r="A123" s="1216"/>
      <c r="B123" s="1217"/>
      <c r="C123" s="1217"/>
      <c r="D123" s="1217"/>
      <c r="E123" s="1181"/>
      <c r="F123" s="898"/>
      <c r="G123" s="1"/>
      <c r="H123" s="1"/>
      <c r="I123" s="898"/>
      <c r="J123" s="1"/>
      <c r="K123" s="1196"/>
      <c r="L123" s="1"/>
      <c r="M123"/>
      <c r="N123"/>
      <c r="O123"/>
      <c r="P123"/>
      <c r="Q123"/>
    </row>
    <row r="124" spans="1:17" x14ac:dyDescent="0.35">
      <c r="A124" s="2587" t="str">
        <f>"Signed by each " &amp; IF('BTL Calculator'!H24="Individual", "Borrower","Director/Member")</f>
        <v>Signed by each Borrower</v>
      </c>
      <c r="B124" s="1217"/>
      <c r="C124" s="1217"/>
      <c r="D124" s="1217"/>
      <c r="E124" s="1201"/>
      <c r="F124" s="898"/>
      <c r="G124" s="1"/>
      <c r="H124" s="1"/>
      <c r="I124" s="898"/>
      <c r="J124" s="1"/>
      <c r="K124" s="1196"/>
      <c r="L124" s="1"/>
      <c r="M124"/>
      <c r="N124"/>
      <c r="O124"/>
      <c r="P124"/>
      <c r="Q124"/>
    </row>
    <row r="125" spans="1:17" ht="15" customHeight="1" x14ac:dyDescent="0.35">
      <c r="A125" s="3587"/>
      <c r="B125" s="3587"/>
      <c r="C125" s="3587"/>
      <c r="D125" s="3587"/>
      <c r="E125" s="2566"/>
      <c r="F125" s="898"/>
      <c r="G125" s="1"/>
      <c r="H125" s="1"/>
      <c r="I125" s="898"/>
      <c r="J125" s="1"/>
      <c r="K125" s="1196"/>
      <c r="L125" s="1"/>
      <c r="M125"/>
      <c r="N125"/>
      <c r="O125"/>
      <c r="P125"/>
      <c r="Q125"/>
    </row>
    <row r="126" spans="1:17" x14ac:dyDescent="0.35">
      <c r="A126" s="1216"/>
      <c r="B126" s="1217"/>
      <c r="C126" s="1217"/>
      <c r="D126" s="1217"/>
      <c r="E126" s="1181"/>
      <c r="F126" s="898"/>
      <c r="G126" s="1"/>
      <c r="H126" s="1"/>
      <c r="I126" s="3578"/>
      <c r="J126" s="1"/>
      <c r="K126" s="1196"/>
      <c r="L126" s="1"/>
      <c r="M126"/>
      <c r="N126"/>
      <c r="O126"/>
      <c r="P126"/>
      <c r="Q126"/>
    </row>
    <row r="127" spans="1:17" x14ac:dyDescent="0.35">
      <c r="A127" s="1216"/>
      <c r="B127" s="1217"/>
      <c r="C127" s="1217"/>
      <c r="D127" s="1217"/>
      <c r="E127" s="1181"/>
      <c r="F127" s="898"/>
      <c r="G127" s="1"/>
      <c r="H127" s="1"/>
      <c r="I127" s="3578"/>
      <c r="J127" s="1"/>
      <c r="K127" s="1196"/>
      <c r="L127" s="1"/>
      <c r="M127"/>
      <c r="N127"/>
      <c r="O127"/>
      <c r="P127"/>
      <c r="Q127"/>
    </row>
    <row r="128" spans="1:17" x14ac:dyDescent="0.35">
      <c r="A128" s="1216"/>
      <c r="B128" s="1217"/>
      <c r="C128" s="1217"/>
      <c r="D128" s="1217"/>
      <c r="E128" s="1181"/>
      <c r="F128" s="898"/>
      <c r="G128" s="1"/>
      <c r="H128" s="1"/>
      <c r="I128" s="3578"/>
      <c r="J128" s="1"/>
      <c r="K128" s="1196"/>
      <c r="L128" s="1"/>
      <c r="M128"/>
      <c r="N128"/>
      <c r="O128"/>
      <c r="P128"/>
      <c r="Q128"/>
    </row>
    <row r="129" spans="1:17" x14ac:dyDescent="0.35">
      <c r="A129" s="1218" t="s">
        <v>991</v>
      </c>
      <c r="B129" s="1218"/>
      <c r="C129" s="1218" t="s">
        <v>992</v>
      </c>
      <c r="D129" s="1218"/>
      <c r="E129" s="1219"/>
      <c r="F129" s="898"/>
      <c r="G129" s="1"/>
      <c r="H129" s="1"/>
      <c r="I129" s="3578"/>
      <c r="J129" s="1"/>
      <c r="K129" s="1196"/>
      <c r="L129" s="1"/>
      <c r="M129"/>
      <c r="N129"/>
      <c r="O129"/>
      <c r="P129"/>
      <c r="Q129"/>
    </row>
    <row r="130" spans="1:17" x14ac:dyDescent="0.35">
      <c r="A130" s="1220"/>
      <c r="B130" s="1217"/>
      <c r="C130" s="1217"/>
      <c r="D130" s="1217"/>
      <c r="E130" s="1181"/>
      <c r="F130" s="898"/>
      <c r="G130" s="1"/>
      <c r="H130" s="1"/>
      <c r="I130" s="3578"/>
      <c r="J130" s="1"/>
      <c r="K130" s="1196"/>
      <c r="L130" s="1"/>
      <c r="M130"/>
      <c r="N130"/>
      <c r="O130"/>
      <c r="P130"/>
      <c r="Q130"/>
    </row>
    <row r="131" spans="1:17" x14ac:dyDescent="0.35">
      <c r="A131" s="1221" t="s">
        <v>993</v>
      </c>
      <c r="B131" s="1217"/>
      <c r="C131" s="1222" t="s">
        <v>994</v>
      </c>
      <c r="D131" s="1217"/>
      <c r="E131" s="1181"/>
      <c r="F131" s="898"/>
      <c r="G131" s="1"/>
      <c r="H131" s="1"/>
      <c r="I131" s="898"/>
      <c r="J131" s="1"/>
      <c r="K131" s="1196"/>
      <c r="L131" s="1"/>
      <c r="M131"/>
      <c r="N131" t="s">
        <v>995</v>
      </c>
      <c r="O131"/>
      <c r="P131"/>
      <c r="Q131"/>
    </row>
    <row r="132" spans="1:17" x14ac:dyDescent="0.35">
      <c r="A132" s="1218"/>
      <c r="B132" s="1217"/>
      <c r="C132" s="1217"/>
      <c r="D132" s="1217"/>
      <c r="E132" s="1181"/>
      <c r="F132" s="898"/>
      <c r="G132" s="1"/>
      <c r="H132" s="1"/>
      <c r="I132" s="3571" t="s">
        <v>996</v>
      </c>
      <c r="J132"/>
      <c r="K132" s="1196"/>
      <c r="L132" s="1"/>
      <c r="M132"/>
      <c r="N132">
        <v>1</v>
      </c>
      <c r="O132"/>
      <c r="P132"/>
      <c r="Q132"/>
    </row>
    <row r="133" spans="1:17" ht="18.75" thickBot="1" x14ac:dyDescent="0.4">
      <c r="A133" s="1223" t="s">
        <v>997</v>
      </c>
      <c r="B133" s="1218"/>
      <c r="C133" s="1224" t="s">
        <v>998</v>
      </c>
      <c r="D133" s="1217"/>
      <c r="E133" s="1181"/>
      <c r="F133" s="898"/>
      <c r="G133" s="1"/>
      <c r="H133" s="1225" t="s">
        <v>999</v>
      </c>
      <c r="I133" s="3571"/>
      <c r="J133"/>
      <c r="K133" s="1196"/>
      <c r="L133" s="1"/>
      <c r="M133"/>
      <c r="N133">
        <v>2</v>
      </c>
      <c r="O133"/>
      <c r="P133"/>
      <c r="Q133"/>
    </row>
    <row r="134" spans="1:17" ht="18.75" x14ac:dyDescent="0.35">
      <c r="A134" s="1217"/>
      <c r="B134" s="1217"/>
      <c r="C134" s="1217"/>
      <c r="D134" s="1217"/>
      <c r="E134" s="1181"/>
      <c r="F134" s="1171" t="s">
        <v>891</v>
      </c>
      <c r="G134" s="1"/>
      <c r="H134" s="3572">
        <v>1</v>
      </c>
      <c r="I134" s="3571"/>
      <c r="J134"/>
      <c r="K134" s="1196"/>
      <c r="L134" s="1"/>
      <c r="M134"/>
      <c r="N134">
        <v>3</v>
      </c>
      <c r="O134"/>
      <c r="P134"/>
      <c r="Q134"/>
    </row>
    <row r="135" spans="1:17" ht="18.75" thickBot="1" x14ac:dyDescent="0.4">
      <c r="A135" s="1222" t="s">
        <v>1000</v>
      </c>
      <c r="B135" s="1217"/>
      <c r="C135" s="1222" t="s">
        <v>1001</v>
      </c>
      <c r="D135" s="1217"/>
      <c r="E135" s="1181"/>
      <c r="F135" s="898"/>
      <c r="G135" s="1"/>
      <c r="H135" s="3573"/>
      <c r="I135" s="3571"/>
      <c r="J135"/>
      <c r="K135" s="1196"/>
      <c r="L135" s="1"/>
      <c r="M135"/>
      <c r="N135">
        <v>4</v>
      </c>
      <c r="O135"/>
      <c r="P135"/>
      <c r="Q135"/>
    </row>
    <row r="136" spans="1:17" x14ac:dyDescent="0.35">
      <c r="A136" s="1189"/>
      <c r="B136" s="1189"/>
      <c r="C136" s="1189"/>
      <c r="D136" s="1189"/>
      <c r="E136" s="1162"/>
      <c r="F136" s="898"/>
      <c r="G136" s="1"/>
      <c r="H136" s="1"/>
      <c r="I136" s="3571"/>
      <c r="J136"/>
      <c r="K136" s="1196"/>
      <c r="L136" s="1"/>
      <c r="M136"/>
      <c r="N136"/>
      <c r="O136"/>
      <c r="P136"/>
      <c r="Q136"/>
    </row>
    <row r="137" spans="1:17" x14ac:dyDescent="0.35">
      <c r="A137" s="1189"/>
      <c r="B137" s="1189"/>
      <c r="C137" s="1189"/>
      <c r="D137" s="1189"/>
      <c r="E137" s="1162"/>
      <c r="F137" s="898"/>
      <c r="G137" s="1"/>
      <c r="H137" s="1"/>
      <c r="I137" s="3571"/>
      <c r="J137"/>
      <c r="K137" s="1196"/>
      <c r="L137" s="1"/>
      <c r="M137"/>
      <c r="N137"/>
      <c r="O137"/>
      <c r="P137"/>
      <c r="Q137"/>
    </row>
    <row r="138" spans="1:17" x14ac:dyDescent="0.35">
      <c r="A138" s="1189"/>
      <c r="B138" s="1189"/>
      <c r="C138" s="1189"/>
      <c r="D138" s="1189"/>
      <c r="E138" s="1162"/>
      <c r="F138" s="898"/>
      <c r="G138" s="1"/>
      <c r="H138" s="1"/>
      <c r="I138" s="898"/>
      <c r="J138" s="1"/>
      <c r="K138" s="1196"/>
      <c r="L138" s="1"/>
      <c r="M138"/>
      <c r="N138"/>
      <c r="O138"/>
      <c r="P138"/>
      <c r="Q138"/>
    </row>
    <row r="139" spans="1:17" x14ac:dyDescent="0.35">
      <c r="A139" s="1189"/>
      <c r="B139" s="1189"/>
      <c r="C139" s="1189"/>
      <c r="D139" s="1189"/>
      <c r="E139" s="1162"/>
      <c r="F139" s="898"/>
      <c r="G139" s="1"/>
      <c r="H139" s="1"/>
      <c r="I139" s="898"/>
      <c r="J139" s="1"/>
      <c r="K139" s="1196"/>
      <c r="L139" s="1"/>
      <c r="M139"/>
      <c r="N139"/>
      <c r="O139"/>
      <c r="P139"/>
      <c r="Q139"/>
    </row>
    <row r="140" spans="1:17" x14ac:dyDescent="0.35">
      <c r="A140" s="1218" t="s">
        <v>1002</v>
      </c>
      <c r="B140" s="1218"/>
      <c r="C140" s="1218" t="s">
        <v>992</v>
      </c>
      <c r="D140" s="1218"/>
      <c r="E140" s="1162"/>
      <c r="F140" s="898"/>
      <c r="G140" s="1"/>
      <c r="H140" s="1"/>
      <c r="I140" s="898"/>
      <c r="J140" s="1"/>
      <c r="K140" s="1196"/>
      <c r="L140" s="1"/>
      <c r="M140"/>
      <c r="N140"/>
      <c r="O140"/>
      <c r="P140"/>
      <c r="Q140"/>
    </row>
    <row r="141" spans="1:17" x14ac:dyDescent="0.35">
      <c r="A141" s="1220"/>
      <c r="B141" s="1217"/>
      <c r="C141" s="1217"/>
      <c r="D141" s="1217"/>
      <c r="E141" s="1162"/>
      <c r="F141" s="898"/>
      <c r="G141" s="1"/>
      <c r="H141" s="1"/>
      <c r="I141" s="898"/>
      <c r="J141" s="1"/>
      <c r="K141" s="1196"/>
      <c r="L141" s="1"/>
      <c r="M141"/>
      <c r="N141"/>
      <c r="O141"/>
      <c r="P141"/>
      <c r="Q141"/>
    </row>
    <row r="142" spans="1:17" x14ac:dyDescent="0.35">
      <c r="A142" s="1221" t="s">
        <v>993</v>
      </c>
      <c r="B142" s="1217"/>
      <c r="C142" s="1222" t="s">
        <v>994</v>
      </c>
      <c r="D142" s="1217"/>
      <c r="E142" s="1162"/>
      <c r="F142" s="898"/>
      <c r="G142" s="1"/>
      <c r="H142" s="1"/>
      <c r="I142" s="898"/>
      <c r="J142" s="1"/>
      <c r="K142" s="1196"/>
      <c r="L142" s="1"/>
      <c r="M142"/>
      <c r="N142"/>
      <c r="O142"/>
      <c r="P142"/>
      <c r="Q142"/>
    </row>
    <row r="143" spans="1:17" x14ac:dyDescent="0.35">
      <c r="A143" s="1218"/>
      <c r="B143" s="1217"/>
      <c r="C143" s="1217"/>
      <c r="D143" s="1217"/>
      <c r="E143" s="1162"/>
      <c r="F143" s="898"/>
      <c r="G143" s="1"/>
      <c r="H143" s="1"/>
      <c r="I143" s="898"/>
      <c r="J143" s="1"/>
      <c r="K143" s="1196"/>
      <c r="L143" s="1"/>
      <c r="M143"/>
      <c r="N143"/>
      <c r="O143"/>
      <c r="P143"/>
      <c r="Q143"/>
    </row>
    <row r="144" spans="1:17" x14ac:dyDescent="0.35">
      <c r="A144" s="1223" t="s">
        <v>1003</v>
      </c>
      <c r="B144" s="1218"/>
      <c r="C144" s="1224" t="s">
        <v>998</v>
      </c>
      <c r="D144" s="1217"/>
      <c r="E144" s="1162"/>
      <c r="F144" s="898"/>
      <c r="G144" s="1"/>
      <c r="H144" s="1"/>
      <c r="I144" s="898"/>
      <c r="J144" s="1"/>
      <c r="K144" s="1196"/>
      <c r="L144" s="1"/>
      <c r="M144"/>
      <c r="N144"/>
      <c r="O144"/>
      <c r="P144"/>
      <c r="Q144"/>
    </row>
    <row r="145" spans="1:17" x14ac:dyDescent="0.35">
      <c r="A145" s="1217"/>
      <c r="B145" s="1217"/>
      <c r="C145" s="1217"/>
      <c r="D145" s="1217"/>
      <c r="E145" s="1162"/>
      <c r="F145" s="898"/>
      <c r="G145" s="1"/>
      <c r="H145" s="1"/>
      <c r="I145" s="898"/>
      <c r="J145" s="1"/>
      <c r="K145" s="1196"/>
      <c r="L145" s="1"/>
      <c r="M145"/>
      <c r="N145"/>
      <c r="O145"/>
      <c r="P145"/>
      <c r="Q145"/>
    </row>
    <row r="146" spans="1:17" x14ac:dyDescent="0.35">
      <c r="A146" s="1222" t="s">
        <v>1004</v>
      </c>
      <c r="B146" s="1217"/>
      <c r="C146" s="1222" t="s">
        <v>1001</v>
      </c>
      <c r="D146" s="1217"/>
      <c r="E146" s="1162"/>
      <c r="F146" s="898"/>
      <c r="G146" s="1"/>
      <c r="H146" s="1"/>
      <c r="I146" s="898"/>
      <c r="J146" s="1"/>
      <c r="K146" s="1196"/>
      <c r="L146" s="1"/>
      <c r="M146"/>
      <c r="N146"/>
      <c r="O146"/>
      <c r="P146"/>
      <c r="Q146"/>
    </row>
    <row r="147" spans="1:17" x14ac:dyDescent="0.35">
      <c r="A147" s="1189"/>
      <c r="B147" s="1189"/>
      <c r="C147" s="1189"/>
      <c r="D147" s="1189"/>
      <c r="E147" s="1162"/>
      <c r="F147" s="898"/>
      <c r="G147" s="1"/>
      <c r="H147" s="1"/>
      <c r="I147" s="898"/>
      <c r="J147" s="1"/>
      <c r="K147" s="1196"/>
      <c r="L147" s="1"/>
      <c r="M147"/>
      <c r="N147"/>
      <c r="O147"/>
      <c r="P147"/>
      <c r="Q147"/>
    </row>
    <row r="148" spans="1:17" x14ac:dyDescent="0.35">
      <c r="A148" s="1189"/>
      <c r="B148" s="1189"/>
      <c r="C148" s="1189"/>
      <c r="D148" s="1189"/>
      <c r="E148" s="1162"/>
      <c r="F148" s="898"/>
      <c r="G148" s="1"/>
      <c r="H148" s="1"/>
      <c r="I148" s="898"/>
      <c r="J148" s="1"/>
      <c r="K148" s="1196"/>
      <c r="L148" s="1"/>
      <c r="M148"/>
      <c r="N148"/>
      <c r="O148"/>
      <c r="P148"/>
      <c r="Q148"/>
    </row>
    <row r="149" spans="1:17" x14ac:dyDescent="0.35">
      <c r="A149" s="1189"/>
      <c r="B149" s="1189"/>
      <c r="C149" s="1189"/>
      <c r="D149" s="1189"/>
      <c r="E149" s="1162"/>
      <c r="F149" s="898"/>
      <c r="G149" s="1"/>
      <c r="H149" s="1"/>
      <c r="I149" s="898"/>
      <c r="J149" s="1"/>
      <c r="K149" s="1196"/>
      <c r="L149" s="1"/>
      <c r="M149"/>
      <c r="N149"/>
      <c r="O149"/>
      <c r="P149"/>
      <c r="Q149"/>
    </row>
    <row r="150" spans="1:17" x14ac:dyDescent="0.35">
      <c r="A150" s="1189"/>
      <c r="B150" s="1189"/>
      <c r="C150" s="1189"/>
      <c r="D150" s="1189"/>
      <c r="E150" s="1162"/>
      <c r="F150" s="898"/>
      <c r="G150" s="1"/>
      <c r="H150" s="1"/>
      <c r="I150" s="898"/>
      <c r="J150" s="1"/>
      <c r="K150" s="1196"/>
      <c r="L150" s="1"/>
      <c r="M150"/>
      <c r="N150"/>
      <c r="O150"/>
      <c r="P150"/>
      <c r="Q150"/>
    </row>
    <row r="151" spans="1:17" x14ac:dyDescent="0.35">
      <c r="A151" s="1189"/>
      <c r="B151" s="1189"/>
      <c r="C151" s="1189"/>
      <c r="D151" s="1189"/>
      <c r="E151" s="1162"/>
      <c r="F151" s="898"/>
      <c r="G151" s="1"/>
      <c r="H151" s="1"/>
      <c r="I151" s="898"/>
      <c r="J151" s="1"/>
      <c r="K151" s="1196"/>
      <c r="L151" s="1"/>
      <c r="M151"/>
      <c r="N151"/>
      <c r="O151"/>
      <c r="P151"/>
      <c r="Q151"/>
    </row>
    <row r="152" spans="1:17" x14ac:dyDescent="0.35">
      <c r="A152" s="1162"/>
      <c r="B152" s="1162"/>
      <c r="C152" s="1162"/>
      <c r="D152" s="1162"/>
      <c r="E152" s="1162"/>
      <c r="F152" s="898"/>
      <c r="G152" s="1"/>
      <c r="H152" s="1"/>
      <c r="I152" s="898"/>
      <c r="J152" s="1"/>
      <c r="K152" s="1196"/>
      <c r="L152" s="1"/>
      <c r="M152"/>
      <c r="N152"/>
      <c r="O152"/>
      <c r="P152"/>
      <c r="Q152"/>
    </row>
    <row r="153" spans="1:17" x14ac:dyDescent="0.35">
      <c r="A153" s="1189"/>
      <c r="B153" s="1189"/>
      <c r="C153" s="1189"/>
      <c r="D153" s="1189"/>
      <c r="E153" s="1"/>
      <c r="F153" s="898"/>
      <c r="G153" s="1"/>
      <c r="H153" s="1"/>
      <c r="I153" s="898"/>
      <c r="J153" s="1"/>
      <c r="K153" s="1196"/>
      <c r="L153" s="1"/>
      <c r="M153"/>
      <c r="N153"/>
      <c r="O153"/>
      <c r="P153"/>
      <c r="Q153"/>
    </row>
    <row r="154" spans="1:17" x14ac:dyDescent="0.35">
      <c r="A154" s="1"/>
      <c r="B154" s="1"/>
      <c r="C154" s="1"/>
      <c r="D154" s="1"/>
      <c r="E154" s="1"/>
      <c r="F154" s="898"/>
      <c r="G154" s="1"/>
      <c r="H154" s="1"/>
      <c r="I154" s="898"/>
      <c r="J154" s="1"/>
      <c r="K154" s="1196"/>
      <c r="L154" s="1"/>
      <c r="M154"/>
      <c r="N154"/>
      <c r="O154"/>
      <c r="P154"/>
      <c r="Q154"/>
    </row>
    <row r="155" spans="1:17" x14ac:dyDescent="0.35">
      <c r="A155" s="287"/>
      <c r="B155" s="287"/>
      <c r="C155" s="287"/>
      <c r="D155" s="287"/>
      <c r="F155" s="532"/>
      <c r="G155" s="287"/>
      <c r="H155" s="287"/>
      <c r="I155" s="532"/>
      <c r="J155" s="287"/>
      <c r="K155" s="533"/>
    </row>
    <row r="156" spans="1:17" x14ac:dyDescent="0.35">
      <c r="A156" s="287"/>
      <c r="B156" s="287"/>
      <c r="C156" s="287"/>
      <c r="D156" s="287"/>
      <c r="F156" s="532"/>
      <c r="G156" s="287"/>
      <c r="H156" s="287"/>
      <c r="I156" s="532"/>
      <c r="J156" s="287"/>
      <c r="K156" s="533"/>
    </row>
    <row r="157" spans="1:17" x14ac:dyDescent="0.35">
      <c r="A157" s="287"/>
      <c r="B157" s="287"/>
      <c r="C157" s="287"/>
      <c r="D157" s="287"/>
      <c r="F157" s="532"/>
      <c r="G157" s="287"/>
      <c r="H157" s="287"/>
      <c r="I157" s="532"/>
      <c r="J157" s="287"/>
      <c r="K157" s="533"/>
    </row>
    <row r="158" spans="1:17" x14ac:dyDescent="0.35">
      <c r="A158" s="287"/>
      <c r="B158" s="287"/>
      <c r="C158" s="287"/>
      <c r="D158" s="287"/>
      <c r="F158" s="532"/>
      <c r="G158" s="287"/>
      <c r="H158" s="287"/>
      <c r="I158" s="532"/>
      <c r="J158" s="287"/>
      <c r="K158" s="533"/>
    </row>
    <row r="159" spans="1:17" x14ac:dyDescent="0.35">
      <c r="A159" s="287"/>
      <c r="B159" s="287"/>
      <c r="C159" s="287"/>
      <c r="D159" s="287"/>
      <c r="F159" s="532"/>
      <c r="G159" s="287"/>
      <c r="H159" s="287"/>
      <c r="I159" s="532"/>
      <c r="J159" s="287"/>
      <c r="K159" s="533"/>
    </row>
  </sheetData>
  <mergeCells count="164">
    <mergeCell ref="L1:L3"/>
    <mergeCell ref="A2:D2"/>
    <mergeCell ref="K38:P38"/>
    <mergeCell ref="K27:P27"/>
    <mergeCell ref="A58:D58"/>
    <mergeCell ref="A60:D60"/>
    <mergeCell ref="A3:D3"/>
    <mergeCell ref="A8:D8"/>
    <mergeCell ref="B4:D4"/>
    <mergeCell ref="B6:D6"/>
    <mergeCell ref="B5:D5"/>
    <mergeCell ref="A7:D7"/>
    <mergeCell ref="B11:D11"/>
    <mergeCell ref="B24:D24"/>
    <mergeCell ref="B22:D22"/>
    <mergeCell ref="B23:D23"/>
    <mergeCell ref="G4:G6"/>
    <mergeCell ref="F8:K8"/>
    <mergeCell ref="I5:I6"/>
    <mergeCell ref="B29:D29"/>
    <mergeCell ref="A50:D50"/>
    <mergeCell ref="A125:D125"/>
    <mergeCell ref="A120:D120"/>
    <mergeCell ref="A121:D121"/>
    <mergeCell ref="A118:D118"/>
    <mergeCell ref="A119:D119"/>
    <mergeCell ref="A117:D117"/>
    <mergeCell ref="A115:D115"/>
    <mergeCell ref="A113:D113"/>
    <mergeCell ref="A96:B96"/>
    <mergeCell ref="A104:B104"/>
    <mergeCell ref="A103:B103"/>
    <mergeCell ref="A102:B102"/>
    <mergeCell ref="A101:B101"/>
    <mergeCell ref="A108:D108"/>
    <mergeCell ref="A107:D107"/>
    <mergeCell ref="A105:D105"/>
    <mergeCell ref="C96:D96"/>
    <mergeCell ref="C97:D97"/>
    <mergeCell ref="C98:D98"/>
    <mergeCell ref="C99:D99"/>
    <mergeCell ref="C104:D104"/>
    <mergeCell ref="C103:D103"/>
    <mergeCell ref="C100:D100"/>
    <mergeCell ref="C101:D101"/>
    <mergeCell ref="C102:D102"/>
    <mergeCell ref="A37:D37"/>
    <mergeCell ref="C91:D91"/>
    <mergeCell ref="C92:D92"/>
    <mergeCell ref="C93:D93"/>
    <mergeCell ref="A86:B86"/>
    <mergeCell ref="A85:B85"/>
    <mergeCell ref="C86:D86"/>
    <mergeCell ref="A92:B92"/>
    <mergeCell ref="A91:B91"/>
    <mergeCell ref="A98:B98"/>
    <mergeCell ref="A97:B97"/>
    <mergeCell ref="A95:B95"/>
    <mergeCell ref="A94:B94"/>
    <mergeCell ref="A93:B93"/>
    <mergeCell ref="A100:B100"/>
    <mergeCell ref="A99:B99"/>
    <mergeCell ref="A90:B90"/>
    <mergeCell ref="A89:B89"/>
    <mergeCell ref="A88:B88"/>
    <mergeCell ref="A87:D87"/>
    <mergeCell ref="C88:D88"/>
    <mergeCell ref="C89:D89"/>
    <mergeCell ref="C90:D90"/>
    <mergeCell ref="C94:D94"/>
    <mergeCell ref="C95:D95"/>
    <mergeCell ref="A35:D35"/>
    <mergeCell ref="A34:D34"/>
    <mergeCell ref="A52:D52"/>
    <mergeCell ref="A49:D49"/>
    <mergeCell ref="A61:D61"/>
    <mergeCell ref="A59:D59"/>
    <mergeCell ref="A43:D43"/>
    <mergeCell ref="A66:B66"/>
    <mergeCell ref="A65:B65"/>
    <mergeCell ref="A64:B64"/>
    <mergeCell ref="A51:D51"/>
    <mergeCell ref="A44:D44"/>
    <mergeCell ref="A39:D39"/>
    <mergeCell ref="A42:D42"/>
    <mergeCell ref="A41:D41"/>
    <mergeCell ref="C83:D83"/>
    <mergeCell ref="C84:D84"/>
    <mergeCell ref="C85:D85"/>
    <mergeCell ref="A84:B84"/>
    <mergeCell ref="A83:B83"/>
    <mergeCell ref="A82:B82"/>
    <mergeCell ref="A81:B81"/>
    <mergeCell ref="I132:I137"/>
    <mergeCell ref="H134:H135"/>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I126:I130"/>
    <mergeCell ref="A111:D111"/>
    <mergeCell ref="A109:D109"/>
    <mergeCell ref="F63:K63"/>
    <mergeCell ref="B9:D9"/>
    <mergeCell ref="B28:D28"/>
    <mergeCell ref="B27:D27"/>
    <mergeCell ref="B26:D26"/>
    <mergeCell ref="B18:D18"/>
    <mergeCell ref="B17:D17"/>
    <mergeCell ref="B15:D15"/>
    <mergeCell ref="A40:D40"/>
    <mergeCell ref="A63:D63"/>
    <mergeCell ref="A47:D47"/>
    <mergeCell ref="A57:D57"/>
    <mergeCell ref="A55:D55"/>
    <mergeCell ref="B14:D14"/>
    <mergeCell ref="B13:D13"/>
    <mergeCell ref="B12:D12"/>
    <mergeCell ref="A38:D38"/>
    <mergeCell ref="A36:D36"/>
    <mergeCell ref="B19:D19"/>
    <mergeCell ref="B10:D10"/>
    <mergeCell ref="B16:D16"/>
    <mergeCell ref="B20:D20"/>
    <mergeCell ref="B21:D21"/>
    <mergeCell ref="A80:B80"/>
    <mergeCell ref="A79:B79"/>
    <mergeCell ref="A78:B78"/>
    <mergeCell ref="A77:B77"/>
    <mergeCell ref="A76:B76"/>
    <mergeCell ref="A75:B75"/>
    <mergeCell ref="A74:B74"/>
    <mergeCell ref="A73:B73"/>
    <mergeCell ref="A72:B72"/>
    <mergeCell ref="A71:B71"/>
    <mergeCell ref="A70:B70"/>
    <mergeCell ref="A69:B69"/>
    <mergeCell ref="B25:D25"/>
    <mergeCell ref="A62:D62"/>
    <mergeCell ref="A56:D56"/>
    <mergeCell ref="A53:D53"/>
    <mergeCell ref="A68:B68"/>
    <mergeCell ref="A67:B67"/>
    <mergeCell ref="A45:D45"/>
    <mergeCell ref="A46:D46"/>
    <mergeCell ref="B30:D30"/>
    <mergeCell ref="B31:D31"/>
    <mergeCell ref="B32:D32"/>
    <mergeCell ref="B33:D33"/>
  </mergeCells>
  <conditionalFormatting sqref="A140:B147">
    <cfRule type="expression" dxfId="109" priority="9">
      <formula>IF($H$134&gt;=3,FALSE,TRUE)</formula>
    </cfRule>
  </conditionalFormatting>
  <conditionalFormatting sqref="A1:D1">
    <cfRule type="expression" dxfId="108" priority="5">
      <formula>$A$1="PLEASE SELECT A PRODUCT IN THE BTL CALCULATOR TAB CELL AL 81"</formula>
    </cfRule>
  </conditionalFormatting>
  <conditionalFormatting sqref="A18:D18">
    <cfRule type="expression" dxfId="107" priority="8">
      <formula>IF($F$18="",FALSE,TRUE)</formula>
    </cfRule>
  </conditionalFormatting>
  <conditionalFormatting sqref="A19:D19">
    <cfRule type="expression" dxfId="106" priority="7">
      <formula>IF($F$19="",FALSE,TRUE)</formula>
    </cfRule>
  </conditionalFormatting>
  <conditionalFormatting sqref="C129:D136">
    <cfRule type="expression" dxfId="105" priority="10">
      <formula>IF($H$134&gt;1,FALSE,TRUE)</formula>
    </cfRule>
  </conditionalFormatting>
  <conditionalFormatting sqref="C140:D147">
    <cfRule type="expression" dxfId="104" priority="11">
      <formula>IF($H$134=4,FALSE,TRUE)</formula>
    </cfRule>
  </conditionalFormatting>
  <conditionalFormatting sqref="G21">
    <cfRule type="expression" dxfId="103" priority="4">
      <formula>$A$21=""</formula>
    </cfRule>
  </conditionalFormatting>
  <conditionalFormatting sqref="H30 H32:H33">
    <cfRule type="expression" dxfId="102" priority="2">
      <formula>$G$30=""</formula>
    </cfRule>
  </conditionalFormatting>
  <dataValidations disablePrompts="1" count="1">
    <dataValidation type="list" allowBlank="1" showInputMessage="1" showErrorMessage="1" sqref="H134:H135" xr:uid="{46A49CA5-DDCE-43E4-97A0-2116E0D9EB82}">
      <formula1>$N$132:$N$135</formula1>
    </dataValidation>
  </dataValidations>
  <pageMargins left="0.5" right="0.5" top="0.8858267716535434" bottom="0.5" header="0.31496062992125984" footer="0.31496062992125984"/>
  <pageSetup paperSize="9" scale="82" orientation="portrait" r:id="rId1"/>
  <headerFooter scaleWithDoc="0" alignWithMargins="0">
    <oddHeader>&amp;R&amp;G</oddHeader>
    <oddFooter>&amp;CPage &amp;P of &amp;N</oddFooter>
  </headerFooter>
  <rowBreaks count="4" manualBreakCount="4">
    <brk id="33" max="3" man="1"/>
    <brk id="43" max="3" man="1"/>
    <brk id="61" max="2" man="1"/>
    <brk id="109" max="3" man="1"/>
  </rowBreaks>
  <drawing r:id="rId2"/>
  <legacyDrawing r:id="rId3"/>
  <legacyDrawingHF r:id="rId4"/>
  <extLst>
    <ext xmlns:x14="http://schemas.microsoft.com/office/spreadsheetml/2009/9/main" uri="{78C0D931-6437-407d-A8EE-F0AAD7539E65}">
      <x14:conditionalFormattings>
        <x14:conditionalFormatting xmlns:xm="http://schemas.microsoft.com/office/excel/2006/main">
          <x14:cfRule type="expression" priority="6" id="{C6DAD47D-367A-43DE-9151-AC6B0CB0750F}">
            <xm:f>'BTL Calculator'!$AL$90&lt;=0</xm:f>
            <x14:dxf>
              <font>
                <color theme="0"/>
              </font>
              <fill>
                <patternFill>
                  <bgColor theme="0"/>
                </patternFill>
              </fill>
              <border>
                <left/>
                <right/>
                <top/>
                <bottom/>
                <vertical/>
                <horizontal/>
              </border>
            </x14:dxf>
          </x14:cfRule>
          <xm:sqref>A2:D19 A22:D27 A28 A34:D1048576 A29:D30 A31:B33 K50 M50:N50</xm:sqref>
        </x14:conditionalFormatting>
        <x14:conditionalFormatting xmlns:xm="http://schemas.microsoft.com/office/excel/2006/main">
          <x14:cfRule type="expression" priority="3" id="{3FA7E530-D7FD-46E1-9053-EE2E14F2BFD4}">
            <xm:f>'BTL Calculator'!$AL$90&lt;=0</xm:f>
            <x14:dxf>
              <font>
                <color theme="0"/>
              </font>
              <fill>
                <patternFill>
                  <bgColor theme="0"/>
                </patternFill>
              </fill>
              <border>
                <left/>
                <right/>
                <top/>
                <bottom/>
                <vertical/>
                <horizontal/>
              </border>
            </x14:dxf>
          </x14:cfRule>
          <xm:sqref>K49:N49</xm:sqref>
        </x14:conditionalFormatting>
        <x14:conditionalFormatting xmlns:xm="http://schemas.microsoft.com/office/excel/2006/main">
          <x14:cfRule type="expression" priority="1" id="{63BBC17E-518B-4EE1-BB93-0BCDFBEEB9B6}">
            <xm:f>'BTL Calculator'!$AL$90&lt;=0</xm:f>
            <x14:dxf>
              <font>
                <color theme="0"/>
              </font>
              <fill>
                <patternFill>
                  <bgColor theme="0"/>
                </patternFill>
              </fill>
              <border>
                <left/>
                <right/>
                <top/>
                <bottom/>
                <vertical/>
                <horizontal/>
              </border>
            </x14:dxf>
          </x14:cfRule>
          <xm:sqref>F49:J49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28FEF-A59E-42DB-BD59-AECB8CB58FD5}">
  <sheetPr codeName="Sheet15">
    <tabColor theme="0" tint="-0.499984740745262"/>
  </sheetPr>
  <dimension ref="A1:CA334"/>
  <sheetViews>
    <sheetView topLeftCell="A134" zoomScale="80" zoomScaleNormal="80" workbookViewId="0">
      <selection activeCell="C161" sqref="C161"/>
    </sheetView>
  </sheetViews>
  <sheetFormatPr defaultRowHeight="18" x14ac:dyDescent="0.35"/>
  <cols>
    <col min="1" max="1" width="5.85546875" style="67" customWidth="1"/>
    <col min="2" max="2" width="18.42578125" style="67" customWidth="1"/>
    <col min="3" max="3" width="14.85546875" style="67" customWidth="1"/>
    <col min="4" max="6" width="14.28515625" style="67" customWidth="1"/>
    <col min="7" max="14" width="15.85546875" style="67" customWidth="1"/>
    <col min="15" max="18" width="17.28515625" style="67" customWidth="1"/>
    <col min="19" max="20" width="8.7109375" style="67" customWidth="1"/>
    <col min="21" max="21" width="16.7109375" style="67" customWidth="1"/>
    <col min="22" max="22" width="10.140625" style="67" customWidth="1"/>
    <col min="23" max="23" width="9.42578125" style="67" customWidth="1"/>
    <col min="24" max="24" width="11.42578125" style="67" customWidth="1"/>
    <col min="25" max="25" width="18.5703125" style="67" customWidth="1"/>
    <col min="26" max="27" width="13.7109375" style="67" customWidth="1"/>
    <col min="28" max="28" width="13.42578125" style="67" customWidth="1"/>
    <col min="29" max="29" width="7.7109375" style="67" customWidth="1"/>
    <col min="30" max="30" width="11.28515625" style="67" customWidth="1"/>
    <col min="31" max="31" width="6.28515625" style="67" customWidth="1"/>
    <col min="32" max="32" width="9.42578125" style="67" customWidth="1"/>
    <col min="33" max="33" width="8.42578125" style="67" bestFit="1" customWidth="1"/>
    <col min="34" max="34" width="11.42578125" style="67" customWidth="1"/>
    <col min="35" max="35" width="10.5703125" style="67" customWidth="1"/>
    <col min="36" max="36" width="9.42578125" style="67" customWidth="1"/>
    <col min="37" max="37" width="10.28515625" style="67" customWidth="1"/>
    <col min="38" max="38" width="7.5703125" style="67" customWidth="1"/>
    <col min="39" max="39" width="8.85546875" style="67" customWidth="1"/>
    <col min="40" max="40" width="9" style="67" customWidth="1"/>
    <col min="41" max="41" width="11.5703125" style="67" customWidth="1"/>
    <col min="42" max="42" width="32.140625" style="67" customWidth="1"/>
    <col min="43" max="43" width="6.7109375" style="67" customWidth="1"/>
    <col min="44" max="44" width="20.28515625" style="130" customWidth="1"/>
    <col min="45" max="45" width="22.42578125" style="130" customWidth="1"/>
    <col min="46" max="46" width="7.85546875" style="130" customWidth="1"/>
    <col min="47" max="48" width="7.42578125" style="130" customWidth="1"/>
    <col min="49" max="49" width="9.28515625" style="130" customWidth="1"/>
    <col min="50" max="50" width="38.28515625" style="130" customWidth="1"/>
    <col min="51" max="51" width="9.140625" style="130" customWidth="1"/>
    <col min="52" max="52" width="9.28515625" style="130" customWidth="1"/>
    <col min="53" max="53" width="9.140625" style="130" customWidth="1"/>
    <col min="54" max="54" width="14" style="130" customWidth="1"/>
    <col min="55" max="55" width="9.140625" style="67" customWidth="1"/>
    <col min="56" max="57" width="14.85546875" style="67" customWidth="1"/>
    <col min="58" max="59" width="9.140625" style="67" customWidth="1"/>
    <col min="60" max="60" width="20.85546875" style="67" customWidth="1"/>
    <col min="61" max="61" width="18" style="67" customWidth="1"/>
    <col min="62" max="62" width="14" style="67" customWidth="1"/>
    <col min="63" max="64" width="9.140625" style="67" customWidth="1"/>
    <col min="65" max="65" width="16.140625" style="67" bestFit="1" customWidth="1"/>
    <col min="66" max="66" width="11.28515625" style="67" customWidth="1"/>
    <col min="67" max="67" width="20.28515625" style="67" customWidth="1"/>
    <col min="68" max="74" width="9.140625" style="67" customWidth="1"/>
    <col min="75" max="75" width="17.28515625" style="67" customWidth="1"/>
    <col min="76" max="227" width="9.140625" style="67" customWidth="1"/>
    <col min="228" max="16384" width="9.140625" style="67"/>
  </cols>
  <sheetData>
    <row r="1" spans="1:79" ht="18.75" thickBot="1" x14ac:dyDescent="0.4">
      <c r="CA1" s="67" t="s">
        <v>594</v>
      </c>
    </row>
    <row r="2" spans="1:79" ht="19.5" x14ac:dyDescent="0.4">
      <c r="B2" s="381" t="s">
        <v>595</v>
      </c>
      <c r="C2" s="1475" t="s">
        <v>596</v>
      </c>
      <c r="D2" s="604"/>
      <c r="E2" s="604"/>
      <c r="F2" s="604"/>
      <c r="G2" s="604"/>
      <c r="H2" s="604"/>
      <c r="I2" s="604"/>
      <c r="J2" s="1472" t="s">
        <v>597</v>
      </c>
      <c r="K2" s="1473">
        <f>K4</f>
        <v>4.2500000000000003E-2</v>
      </c>
      <c r="L2" s="1475" t="s">
        <v>598</v>
      </c>
      <c r="M2" s="1499" t="s">
        <v>599</v>
      </c>
      <c r="BR2" s="67" t="s">
        <v>3814</v>
      </c>
      <c r="BT2" s="67" t="s">
        <v>332</v>
      </c>
      <c r="BU2" s="67" t="s">
        <v>332</v>
      </c>
      <c r="BW2" s="2274" t="str">
        <f>IF('BTL Calculator'!V3='Product Data'!BT2,"1) Standard BTL",'Product Data'!BY2)</f>
        <v>1) Standard</v>
      </c>
      <c r="BY2" s="2274" t="s">
        <v>600</v>
      </c>
      <c r="CA2" s="2315" t="s">
        <v>66</v>
      </c>
    </row>
    <row r="3" spans="1:79" ht="19.5" x14ac:dyDescent="0.4">
      <c r="C3" s="1474"/>
      <c r="D3" s="1472" t="s">
        <v>601</v>
      </c>
      <c r="E3" s="1473">
        <v>0.04</v>
      </c>
      <c r="G3" s="1462" t="s">
        <v>602</v>
      </c>
      <c r="H3" s="1462"/>
      <c r="I3" s="1301">
        <v>5.0000000000000001E-3</v>
      </c>
      <c r="J3" s="1472" t="s">
        <v>603</v>
      </c>
      <c r="K3" s="1473">
        <f>IF('BTL Calculator'!H31&gt;0,'BTL Calculator'!H31,'Product Data'!K4)</f>
        <v>4.2500000000000003E-2</v>
      </c>
      <c r="L3" s="1494" t="s">
        <v>604</v>
      </c>
      <c r="M3" s="1471">
        <v>8.5900000000000004E-2</v>
      </c>
      <c r="N3" s="569" t="s">
        <v>33</v>
      </c>
      <c r="O3" s="569"/>
      <c r="P3" s="569"/>
      <c r="Q3" s="569"/>
      <c r="R3" s="3610" t="s">
        <v>605</v>
      </c>
      <c r="S3" s="3610"/>
      <c r="T3" s="3610"/>
      <c r="U3" s="3610"/>
      <c r="V3" s="3610"/>
      <c r="W3" s="3610"/>
      <c r="X3" s="3610"/>
      <c r="Y3" s="3610"/>
      <c r="Z3" s="570"/>
      <c r="AA3" s="570"/>
      <c r="AP3" s="130"/>
      <c r="AQ3" s="130"/>
      <c r="AU3" s="571"/>
      <c r="AX3" s="67"/>
      <c r="AY3" s="67"/>
      <c r="AZ3" s="67"/>
      <c r="BA3" s="67"/>
      <c r="BB3" s="67"/>
      <c r="BR3" s="67" t="str">
        <f>IF(OR('BTL Calculator'!V3="Commercial",'BTL Calculator'!V3="Semi-Commercial"),"","Core")</f>
        <v>Core</v>
      </c>
      <c r="BT3" s="67" t="s">
        <v>606</v>
      </c>
      <c r="BW3" s="2274" t="str">
        <f>IF('BTL Calculator'!V3='Product Data'!BT2,"2) Solutions BTL",BY3)</f>
        <v>2) Bespoke</v>
      </c>
      <c r="BY3" s="2274" t="s">
        <v>607</v>
      </c>
      <c r="CA3" s="2316" t="s">
        <v>608</v>
      </c>
    </row>
    <row r="4" spans="1:79" x14ac:dyDescent="0.35">
      <c r="B4" s="570"/>
      <c r="C4" s="1464" t="s">
        <v>599</v>
      </c>
      <c r="D4" s="1462" t="s">
        <v>609</v>
      </c>
      <c r="E4" s="1470">
        <f>BBR</f>
        <v>0.04</v>
      </c>
      <c r="G4" s="570"/>
      <c r="H4" s="1431" t="s">
        <v>599</v>
      </c>
      <c r="I4" s="570"/>
      <c r="J4" s="1463" t="s">
        <v>610</v>
      </c>
      <c r="K4" s="1470">
        <f>E4+0.25%</f>
        <v>4.2500000000000003E-2</v>
      </c>
      <c r="L4" s="1495" t="s">
        <v>3810</v>
      </c>
      <c r="M4" s="1496"/>
      <c r="N4" s="570" t="s">
        <v>27</v>
      </c>
      <c r="O4" s="3612"/>
      <c r="P4" s="3613"/>
      <c r="Q4" s="3614"/>
      <c r="AC4" s="834">
        <f>'BTL Calculator'!V8</f>
        <v>0</v>
      </c>
      <c r="AD4" s="834"/>
      <c r="AE4" s="834"/>
      <c r="AF4" s="834" t="str">
        <f>INDEX(AF9:AF16,MATCH('BTL Calculator'!H35,AD9:AD16,0))</f>
        <v>Broker</v>
      </c>
      <c r="AG4" s="3611" t="s">
        <v>611</v>
      </c>
      <c r="AH4" s="3611"/>
      <c r="AI4" s="3611"/>
      <c r="AJ4" s="834">
        <f>'BTL Calculator'!H26</f>
        <v>24</v>
      </c>
      <c r="AN4" s="835" t="e">
        <f>Gross_Loan</f>
        <v>#N/A</v>
      </c>
      <c r="AP4" s="3605"/>
      <c r="AQ4" s="3605"/>
      <c r="AR4" s="3605"/>
      <c r="AS4" s="3605"/>
      <c r="AT4" s="3605"/>
      <c r="AU4" s="837" t="s">
        <v>612</v>
      </c>
      <c r="AX4" s="2103" t="s">
        <v>613</v>
      </c>
      <c r="AY4" s="15" t="s">
        <v>73</v>
      </c>
      <c r="AZ4" s="15" t="s">
        <v>75</v>
      </c>
      <c r="BA4" s="15" t="s">
        <v>86</v>
      </c>
      <c r="BB4" s="2104" t="s">
        <v>149</v>
      </c>
      <c r="BC4" s="2104" t="s">
        <v>366</v>
      </c>
      <c r="BD4" s="2104" t="s">
        <v>499</v>
      </c>
      <c r="BE4" s="2104" t="s">
        <v>614</v>
      </c>
      <c r="BF4" s="2104" t="s">
        <v>405</v>
      </c>
      <c r="BG4" s="2104" t="s">
        <v>615</v>
      </c>
      <c r="BH4" s="2105" t="s">
        <v>407</v>
      </c>
      <c r="BI4" s="2105" t="s">
        <v>616</v>
      </c>
      <c r="BJ4" s="2105" t="s">
        <v>409</v>
      </c>
      <c r="BK4" s="2105" t="s">
        <v>161</v>
      </c>
      <c r="BL4" s="2104" t="s">
        <v>397</v>
      </c>
      <c r="BM4" s="2104" t="s">
        <v>617</v>
      </c>
      <c r="BN4" s="2104" t="s">
        <v>618</v>
      </c>
      <c r="BO4" s="2104" t="s">
        <v>413</v>
      </c>
      <c r="BP4" s="2104" t="s">
        <v>474</v>
      </c>
      <c r="BT4" s="67" t="s">
        <v>619</v>
      </c>
      <c r="BW4" s="2274" t="str">
        <f>IF('BTL Calculator'!V3='Product Data'!BT2,"3) Specialist BTL","")</f>
        <v/>
      </c>
      <c r="CA4" s="2316" t="s">
        <v>620</v>
      </c>
    </row>
    <row r="5" spans="1:79" ht="18.75" thickBot="1" x14ac:dyDescent="0.4">
      <c r="B5" s="570"/>
      <c r="C5" s="1465"/>
      <c r="D5" s="1466"/>
      <c r="E5" s="1467"/>
      <c r="F5" s="246"/>
      <c r="G5" s="1468"/>
      <c r="H5" s="1468"/>
      <c r="I5" s="1468"/>
      <c r="J5" s="1469"/>
      <c r="K5" s="1467"/>
      <c r="L5" s="1497"/>
      <c r="M5" s="1498"/>
      <c r="N5" s="570"/>
      <c r="O5" s="1514"/>
      <c r="P5" s="1514"/>
      <c r="Q5" s="1514"/>
      <c r="AC5" s="834"/>
      <c r="AD5" s="834"/>
      <c r="AE5" s="834"/>
      <c r="AF5" s="834"/>
      <c r="AG5" s="1461"/>
      <c r="AH5" s="1461"/>
      <c r="AI5" s="1461"/>
      <c r="AJ5" s="834"/>
      <c r="AN5" s="835"/>
      <c r="AP5" s="154"/>
      <c r="AQ5" s="154"/>
      <c r="AR5" s="154"/>
      <c r="AS5" s="154"/>
      <c r="AT5" s="154"/>
      <c r="AU5" s="837"/>
      <c r="AX5" s="2104" t="s">
        <v>621</v>
      </c>
      <c r="AY5" s="2106"/>
      <c r="AZ5" s="2106"/>
      <c r="BA5" s="2106"/>
      <c r="BB5" s="2106"/>
      <c r="BC5" s="2104"/>
      <c r="BD5" s="2104"/>
      <c r="BE5" s="2104"/>
      <c r="BF5" s="2104"/>
      <c r="BG5" s="2104"/>
      <c r="BH5" s="2104"/>
      <c r="BI5" s="2104"/>
      <c r="BJ5" s="2104"/>
      <c r="BK5" s="2104"/>
      <c r="BL5" s="2104"/>
      <c r="BM5" s="2104"/>
      <c r="BN5" s="2104"/>
      <c r="BO5" s="2104"/>
      <c r="BP5" s="2104"/>
      <c r="BT5" s="67" t="s">
        <v>3829</v>
      </c>
      <c r="BW5" s="2274" t="str">
        <f>IF('BTL Calculator'!V3='Product Data'!BT2,"4) Bespoke","")</f>
        <v/>
      </c>
      <c r="CA5" s="67" t="str">
        <f>IF(OR('BTL Calculator'!V3="Residential BTL",'BTL Calculator'!V3="Retention "), "5 Year Fixed","")</f>
        <v/>
      </c>
    </row>
    <row r="6" spans="1:79" x14ac:dyDescent="0.35">
      <c r="B6" s="570"/>
      <c r="C6" s="1431"/>
      <c r="D6" s="1462"/>
      <c r="E6" s="1301"/>
      <c r="G6" s="570"/>
      <c r="H6" s="570"/>
      <c r="I6" s="570"/>
      <c r="J6" s="1463"/>
      <c r="K6" s="1301"/>
      <c r="L6" s="570"/>
      <c r="M6" s="570"/>
      <c r="N6" s="570"/>
      <c r="O6" s="1514" t="s">
        <v>623</v>
      </c>
      <c r="P6" s="1514"/>
      <c r="Q6" s="1514"/>
      <c r="AC6" s="834"/>
      <c r="AD6" s="834"/>
      <c r="AE6" s="834"/>
      <c r="AF6" s="834"/>
      <c r="AG6" s="1461"/>
      <c r="AH6" s="1461"/>
      <c r="AI6" s="1461"/>
      <c r="AJ6" s="834"/>
      <c r="AN6" s="835"/>
      <c r="AP6" s="154"/>
      <c r="AQ6" s="154"/>
      <c r="AR6" s="154"/>
      <c r="AS6" s="154"/>
      <c r="AT6" s="154"/>
      <c r="AU6" s="837"/>
      <c r="AX6" s="2104" t="s">
        <v>3824</v>
      </c>
      <c r="AY6" s="2107" t="e">
        <f>'BTL Calculator'!L86</f>
        <v>#N/A</v>
      </c>
      <c r="AZ6" s="2107" t="b">
        <f>'BTL Calculator'!L109</f>
        <v>0</v>
      </c>
      <c r="BA6" s="2107" t="e">
        <f>'BTL Calculator'!L98</f>
        <v>#N/A</v>
      </c>
      <c r="BB6" s="2108" t="e">
        <f>'BTL Calculator'!L89</f>
        <v>#N/A</v>
      </c>
      <c r="BC6" s="2104" t="e">
        <f>'BTL Calculator'!L90</f>
        <v>#N/A</v>
      </c>
      <c r="BD6" s="2104" t="e">
        <f>rolled_Months</f>
        <v>#N/A</v>
      </c>
      <c r="BE6" s="2104" t="e">
        <f>'BTL Calculator'!M92</f>
        <v>#N/A</v>
      </c>
      <c r="BF6" s="2281" t="e">
        <f>DeferedIntPercent</f>
        <v>#N/A</v>
      </c>
      <c r="BG6" s="2104" t="e">
        <f>'BTL Calculator'!M93</f>
        <v>#N/A</v>
      </c>
      <c r="BH6" s="2104" t="str">
        <f>'BTL Calculator'!L106</f>
        <v>-</v>
      </c>
      <c r="BI6" s="2104" t="e">
        <f>'BTL Calculator'!M106</f>
        <v>#N/A</v>
      </c>
      <c r="BJ6" s="2104" t="str">
        <f>'BTL Calculator'!L108</f>
        <v>-</v>
      </c>
      <c r="BK6" s="2107" t="str">
        <f>'BTL Calculator'!AB91</f>
        <v>-</v>
      </c>
      <c r="BL6" s="2104" t="e">
        <f>'BTL Calculator'!L103</f>
        <v>#N/A</v>
      </c>
      <c r="BM6" s="2107" t="e">
        <f>AY6-BBR</f>
        <v>#N/A</v>
      </c>
      <c r="BN6" s="2109" t="str">
        <f>'BTL Calculator'!AB104</f>
        <v>Not Applicable</v>
      </c>
      <c r="BO6" s="2109" t="e">
        <f>'BTL Calculator'!AB103</f>
        <v>#N/A</v>
      </c>
      <c r="BP6" s="2511" t="str">
        <f>'BTL Calculator'!AB100</f>
        <v>-</v>
      </c>
    </row>
    <row r="7" spans="1:79" ht="18.75" thickBot="1" x14ac:dyDescent="0.4">
      <c r="B7" s="381" t="s">
        <v>624</v>
      </c>
      <c r="C7" s="1431"/>
      <c r="D7" s="1462"/>
      <c r="E7" s="1513"/>
      <c r="F7" s="1513"/>
      <c r="G7" s="1513"/>
      <c r="H7" s="1513"/>
      <c r="I7" s="1513"/>
      <c r="J7" s="1463"/>
      <c r="K7" s="1301"/>
      <c r="L7" s="570"/>
      <c r="M7" s="570"/>
      <c r="N7" s="570"/>
      <c r="O7" s="381" t="s">
        <v>623</v>
      </c>
      <c r="P7" s="1514"/>
      <c r="Q7" s="1514"/>
      <c r="AC7" s="834"/>
      <c r="AD7" s="834"/>
      <c r="AE7" s="834"/>
      <c r="AF7" s="834"/>
      <c r="AG7" s="1461"/>
      <c r="AH7" s="1461"/>
      <c r="AI7" s="1461"/>
      <c r="AJ7" s="834"/>
      <c r="AN7" s="835"/>
      <c r="AP7" s="154"/>
      <c r="AQ7" s="154"/>
      <c r="AR7" s="154"/>
      <c r="AS7" s="154"/>
      <c r="AT7" s="154"/>
      <c r="AU7" s="837"/>
      <c r="AX7" s="2110" t="s">
        <v>3825</v>
      </c>
      <c r="AY7" s="2107" t="e">
        <f>'BTL Calculator'!I86</f>
        <v>#N/A</v>
      </c>
      <c r="AZ7" s="2107" t="b">
        <f>'BTL Calculator'!I109</f>
        <v>0</v>
      </c>
      <c r="BA7" s="2107" t="e">
        <f>'BTL Calculator'!I98</f>
        <v>#N/A</v>
      </c>
      <c r="BB7" s="2108" t="e">
        <f>'BTL Calculator'!I89</f>
        <v>#N/A</v>
      </c>
      <c r="BC7" s="2104" t="e">
        <f>'BTL Calculator'!I90</f>
        <v>#N/A</v>
      </c>
      <c r="BD7" s="2279" t="e">
        <f>'KB_CRITERIA AND CALCULATION '!K108</f>
        <v>#N/A</v>
      </c>
      <c r="BE7" s="2104" t="e">
        <f>'BTL Calculator'!J92</f>
        <v>#N/A</v>
      </c>
      <c r="BF7" s="2281" t="e">
        <f>'KB_CRITERIA AND CALCULATION '!J108</f>
        <v>#N/A</v>
      </c>
      <c r="BG7" s="2104" t="e">
        <f>'BTL Calculator'!J93</f>
        <v>#N/A</v>
      </c>
      <c r="BH7" s="2104" t="str">
        <f>'BTL Calculator'!I106</f>
        <v>-</v>
      </c>
      <c r="BI7" s="2104" t="e">
        <f>'BTL Calculator'!J106</f>
        <v>#N/A</v>
      </c>
      <c r="BJ7" s="2104" t="str">
        <f>'BTL Calculator'!I108</f>
        <v>-</v>
      </c>
      <c r="BK7" s="2107" t="str">
        <f>'BTL Calculator'!Z91</f>
        <v>-</v>
      </c>
      <c r="BL7" s="2104" t="e">
        <f>'BTL Calculator'!I103</f>
        <v>#N/A</v>
      </c>
      <c r="BM7" s="2107" t="e">
        <f>AY7-BBR</f>
        <v>#N/A</v>
      </c>
      <c r="BN7" s="2109" t="str">
        <f>'BTL Calculator'!Z104</f>
        <v>Not Applicable</v>
      </c>
      <c r="BO7" s="2109" t="e">
        <f>'BTL Calculator'!Z103</f>
        <v>#N/A</v>
      </c>
      <c r="BP7" s="2511" t="str">
        <f>'BTL Calculator'!Z100</f>
        <v>-</v>
      </c>
      <c r="CA7" s="67" t="s">
        <v>622</v>
      </c>
    </row>
    <row r="8" spans="1:79" s="130" customFormat="1" ht="49.5" x14ac:dyDescent="0.45">
      <c r="A8" s="3603" t="s">
        <v>3704</v>
      </c>
      <c r="B8" s="2307" t="s">
        <v>385</v>
      </c>
      <c r="C8" s="1483" t="s">
        <v>625</v>
      </c>
      <c r="D8" s="1483" t="s">
        <v>626</v>
      </c>
      <c r="E8" s="1510" t="s">
        <v>627</v>
      </c>
      <c r="F8" s="1484" t="s">
        <v>162</v>
      </c>
      <c r="G8" s="1484" t="s">
        <v>628</v>
      </c>
      <c r="H8" s="1484" t="s">
        <v>629</v>
      </c>
      <c r="I8" s="1484" t="s">
        <v>630</v>
      </c>
      <c r="J8" s="1484" t="s">
        <v>631</v>
      </c>
      <c r="K8" s="1484" t="s">
        <v>3811</v>
      </c>
      <c r="L8" s="1485" t="s">
        <v>632</v>
      </c>
      <c r="M8" s="1489"/>
      <c r="N8" s="1500"/>
      <c r="O8" s="818" t="s">
        <v>633</v>
      </c>
      <c r="P8" s="818" t="s">
        <v>634</v>
      </c>
      <c r="Q8" s="818" t="s">
        <v>635</v>
      </c>
      <c r="R8" s="830" t="s">
        <v>636</v>
      </c>
      <c r="S8" s="830" t="s">
        <v>516</v>
      </c>
      <c r="T8" s="830" t="s">
        <v>637</v>
      </c>
      <c r="U8" s="830" t="s">
        <v>534</v>
      </c>
      <c r="V8" s="830" t="s">
        <v>638</v>
      </c>
      <c r="W8" s="830" t="s">
        <v>639</v>
      </c>
      <c r="X8" s="817" t="s">
        <v>640</v>
      </c>
      <c r="Y8" s="853" t="s">
        <v>641</v>
      </c>
      <c r="Z8" s="821" t="s">
        <v>642</v>
      </c>
      <c r="AA8" s="820" t="s">
        <v>643</v>
      </c>
      <c r="AB8" s="819" t="s">
        <v>644</v>
      </c>
      <c r="AC8" s="820" t="s">
        <v>490</v>
      </c>
      <c r="AD8" s="819" t="s">
        <v>97</v>
      </c>
      <c r="AE8" s="821" t="s">
        <v>645</v>
      </c>
      <c r="AF8" s="820" t="s">
        <v>646</v>
      </c>
      <c r="AG8" s="816" t="s">
        <v>647</v>
      </c>
      <c r="AH8" s="817" t="s">
        <v>648</v>
      </c>
      <c r="AI8" s="817" t="s">
        <v>649</v>
      </c>
      <c r="AJ8" s="816" t="s">
        <v>650</v>
      </c>
      <c r="AK8" s="816" t="s">
        <v>651</v>
      </c>
      <c r="AL8" s="817" t="s">
        <v>652</v>
      </c>
      <c r="AM8" s="817" t="s">
        <v>653</v>
      </c>
      <c r="AN8" s="816" t="s">
        <v>654</v>
      </c>
      <c r="AO8" s="816"/>
      <c r="AP8" s="813" t="s">
        <v>655</v>
      </c>
      <c r="AQ8" s="785"/>
      <c r="AR8" s="786"/>
      <c r="AS8" s="787"/>
      <c r="AT8" s="787"/>
      <c r="AU8" s="840">
        <v>1E-3</v>
      </c>
      <c r="AX8" s="2111" t="s">
        <v>3826</v>
      </c>
      <c r="AY8" s="2112" t="e">
        <f>'BTL Calculator'!F86</f>
        <v>#N/A</v>
      </c>
      <c r="AZ8" s="2112" t="b">
        <f>'BTL Calculator'!F109</f>
        <v>0</v>
      </c>
      <c r="BA8" s="2112" t="e">
        <f>'BTL Calculator'!F98</f>
        <v>#N/A</v>
      </c>
      <c r="BB8" s="2113" t="e">
        <f>'BTL Calculator'!F89</f>
        <v>#N/A</v>
      </c>
      <c r="BC8" s="2104" t="e">
        <f>'BTL Calculator'!F90</f>
        <v>#N/A</v>
      </c>
      <c r="BD8" s="2280" t="e">
        <f>'KB_CRITERIA AND CALCULATION '!K126</f>
        <v>#N/A</v>
      </c>
      <c r="BE8" s="2104" t="e">
        <f>'BTL Calculator'!G92</f>
        <v>#N/A</v>
      </c>
      <c r="BF8" s="2282" t="e">
        <f>'KB_CRITERIA AND CALCULATION '!J126</f>
        <v>#N/A</v>
      </c>
      <c r="BG8" s="2106" t="e">
        <f>'BTL Calculator'!G93</f>
        <v>#N/A</v>
      </c>
      <c r="BH8" s="2106" t="str">
        <f>'BTL Calculator'!F106</f>
        <v>-</v>
      </c>
      <c r="BI8" s="2106" t="e">
        <f>'BTL Calculator'!G106</f>
        <v>#N/A</v>
      </c>
      <c r="BJ8" s="2106" t="str">
        <f>'BTL Calculator'!F108</f>
        <v>-</v>
      </c>
      <c r="BK8" s="2112" t="str">
        <f>'BTL Calculator'!X91</f>
        <v>-</v>
      </c>
      <c r="BL8" s="2106" t="e">
        <f>'BTL Calculator'!F103</f>
        <v>#N/A</v>
      </c>
      <c r="BM8" s="2107" t="e">
        <f>AY8-BBR</f>
        <v>#N/A</v>
      </c>
      <c r="BN8" s="2109" t="str">
        <f>'BTL Calculator'!X104</f>
        <v>Not Applicable</v>
      </c>
      <c r="BO8" s="2114" t="e">
        <f>'BTL Calculator'!X103</f>
        <v>#N/A</v>
      </c>
      <c r="BP8" s="2584" t="str">
        <f>'BTL Calculator'!X100</f>
        <v>-</v>
      </c>
      <c r="BW8" s="130" t="s">
        <v>432</v>
      </c>
    </row>
    <row r="9" spans="1:79" s="138" customFormat="1" ht="20.100000000000001" customHeight="1" x14ac:dyDescent="0.35">
      <c r="A9" s="3604"/>
      <c r="B9" s="2308" t="s">
        <v>432</v>
      </c>
      <c r="C9" s="1477">
        <f>IF(BBR_Override="",'Product Data'!E9+BBR,'Product Data'!E9+BBR_Override)</f>
        <v>7.6399999999999996E-2</v>
      </c>
      <c r="D9" s="1486" t="s">
        <v>656</v>
      </c>
      <c r="E9" s="2317">
        <f>IF('BTL Calculator'!V2="Core",3.54%,3.64%)</f>
        <v>3.6400000000000002E-2</v>
      </c>
      <c r="F9" s="1479" t="s">
        <v>656</v>
      </c>
      <c r="G9" s="1486" t="s">
        <v>656</v>
      </c>
      <c r="H9" s="1478">
        <v>0.02</v>
      </c>
      <c r="I9" s="1479">
        <v>9.2899999999999996E-2</v>
      </c>
      <c r="J9" s="1486" t="s">
        <v>656</v>
      </c>
      <c r="K9" s="1478">
        <f>MVR</f>
        <v>8.5900000000000004E-2</v>
      </c>
      <c r="L9" s="1487" t="s">
        <v>657</v>
      </c>
      <c r="M9" s="1490"/>
      <c r="N9" s="1501" t="s">
        <v>61</v>
      </c>
      <c r="O9" s="357" t="s">
        <v>658</v>
      </c>
      <c r="P9" s="825">
        <v>0.02</v>
      </c>
      <c r="Q9" s="825">
        <v>0.02</v>
      </c>
      <c r="R9" s="814">
        <v>1</v>
      </c>
      <c r="S9" s="573" t="s">
        <v>27</v>
      </c>
      <c r="T9" s="573" t="s">
        <v>27</v>
      </c>
      <c r="U9" s="2138" t="str">
        <f>IF(OR('BTL Calculator'!V3="Residential BTL",'BTL Calculator'!V3="Retention "), "0 missed last 24m","2 missed last 18 months, 0 in last 6")</f>
        <v>2 missed last 18 months, 0 in last 6</v>
      </c>
      <c r="V9" s="2138" t="str">
        <f>IF(OR('BTL Calculator'!V3="Residential BTL",'BTL Calculator'!V3="Retention "),"0 missed last 24m",'KB_CRITERIA AND CALCULATION '!AA50)</f>
        <v>2 missed last 18 months</v>
      </c>
      <c r="W9" s="2138" t="str">
        <f>IF(OR('BTL Calculator'!V3="Residential BTL",'BTL Calculator'!V3="Retention "),"0 in last 24m",'KB_CRITERIA AND CALCULATION '!AA51)</f>
        <v>2 missed last 18 months, 0 in last 6</v>
      </c>
      <c r="X9" s="2139" t="str">
        <f>IF(OR('BTL Calculator'!V3="Residential BTL",'BTL Calculator'!V3="Retention "),"Never",'KB_CRITERIA AND CALCULATION '!AA52)</f>
        <v>Discharged &gt; 3 years</v>
      </c>
      <c r="Y9" s="854" t="s">
        <v>378</v>
      </c>
      <c r="Z9" s="851" t="b">
        <v>1</v>
      </c>
      <c r="AA9" s="855" t="b">
        <v>0</v>
      </c>
      <c r="AB9" s="832" t="s">
        <v>25</v>
      </c>
      <c r="AC9" s="575" t="s">
        <v>494</v>
      </c>
      <c r="AD9" s="576" t="s">
        <v>659</v>
      </c>
      <c r="AE9" s="577">
        <v>0</v>
      </c>
      <c r="AF9" s="577" t="s">
        <v>660</v>
      </c>
      <c r="AG9" s="573" t="str">
        <f>IF('BTL Calculator'!V2="Core","","Yes")</f>
        <v>Yes</v>
      </c>
      <c r="AH9" s="573" t="s">
        <v>661</v>
      </c>
      <c r="AI9" s="573" t="s">
        <v>662</v>
      </c>
      <c r="AJ9" s="573" t="str">
        <f>"Months 1-"&amp;MIN(12,$AJ$4)</f>
        <v>Months 1-12</v>
      </c>
      <c r="AK9" s="836">
        <f>IF('BTL Calculator'!$H$28="Tracker",'Product Data'!AM9,'Product Data'!AL9)</f>
        <v>0.04</v>
      </c>
      <c r="AL9" s="836">
        <v>0.04</v>
      </c>
      <c r="AM9" s="836">
        <v>0.03</v>
      </c>
      <c r="AN9" s="837" t="e">
        <f>$AN$4*AK9</f>
        <v>#N/A</v>
      </c>
      <c r="AO9" s="573" t="e">
        <f>IF(AJ9="","",AJ9&amp;" @ "&amp;TEXT(AK9,"#%")&amp;" ("&amp;TEXT(AN9,"£#,#")&amp;")")</f>
        <v>#N/A</v>
      </c>
      <c r="AP9" s="790" t="s">
        <v>663</v>
      </c>
      <c r="AQ9" s="791"/>
      <c r="AR9" s="576"/>
      <c r="AS9" s="576"/>
      <c r="AT9" s="576"/>
      <c r="AU9" s="840">
        <v>2E-3</v>
      </c>
      <c r="AX9" s="2111" t="str">
        <f>IF(OR('BTL Calculator'!V3="Residential BTL", 'BTL Calculator'!V3="Retention "), "3% Fee", "")</f>
        <v/>
      </c>
      <c r="AY9" s="2112" t="e">
        <f>'BTL Calculator'!O86</f>
        <v>#N/A</v>
      </c>
      <c r="AZ9" s="2112" t="b">
        <f>'BTL Calculator'!O109</f>
        <v>0</v>
      </c>
      <c r="BA9" s="2112" t="e">
        <f>'BTL Calculator'!O98</f>
        <v>#N/A</v>
      </c>
      <c r="BB9" s="2113" t="e">
        <f>'BTL Calculator'!O89</f>
        <v>#N/A</v>
      </c>
      <c r="BC9" s="2104" t="e">
        <f>'BTL Calculator'!O90</f>
        <v>#N/A</v>
      </c>
      <c r="BD9" s="2280" t="e">
        <f>'KB_CRITERIA AND CALCULATION '!K144</f>
        <v>#N/A</v>
      </c>
      <c r="BE9" s="2104" t="e">
        <f>'BTL Calculator'!P92</f>
        <v>#N/A</v>
      </c>
      <c r="BF9" s="2282" t="e">
        <f>'KB_CRITERIA AND CALCULATION '!J144</f>
        <v>#N/A</v>
      </c>
      <c r="BG9" s="2106" t="e">
        <f>'BTL Calculator'!P93</f>
        <v>#N/A</v>
      </c>
      <c r="BH9" s="2106" t="str">
        <f>'BTL Calculator'!O106</f>
        <v>-</v>
      </c>
      <c r="BI9" s="2106" t="e">
        <f>'BTL Calculator'!P106</f>
        <v>#N/A</v>
      </c>
      <c r="BJ9" s="2106" t="str">
        <f>'BTL Calculator'!O108</f>
        <v>-</v>
      </c>
      <c r="BK9" s="2112" t="str">
        <f>'BTL Calculator'!AD91</f>
        <v>-</v>
      </c>
      <c r="BL9" s="2106" t="e">
        <f>'BTL Calculator'!O103</f>
        <v>#N/A</v>
      </c>
      <c r="BM9" s="2107" t="e">
        <f>AY9-BBR</f>
        <v>#N/A</v>
      </c>
      <c r="BN9" s="2109" t="str">
        <f>'BTL Calculator'!AD104</f>
        <v>Not Applicable</v>
      </c>
      <c r="BO9" s="2114" t="e">
        <f>'BTL Calculator'!AD103</f>
        <v>#N/A</v>
      </c>
      <c r="BP9" s="2584" t="str">
        <f>'BTL Calculator'!AD100</f>
        <v>-</v>
      </c>
      <c r="BW9" s="138" t="s">
        <v>433</v>
      </c>
    </row>
    <row r="10" spans="1:79" s="138" customFormat="1" ht="20.100000000000001" customHeight="1" x14ac:dyDescent="0.35">
      <c r="A10" s="3604"/>
      <c r="B10" s="2308" t="s">
        <v>433</v>
      </c>
      <c r="C10" s="1477">
        <f>IF(BBR_Override="",'Product Data'!E10+BBR,'Product Data'!E10+BBR_Override)</f>
        <v>8.14E-2</v>
      </c>
      <c r="D10" s="1486" t="s">
        <v>656</v>
      </c>
      <c r="E10" s="2317">
        <f>IF('BTL Calculator'!V2 = "Core",3.74%,4.14%)</f>
        <v>4.1399999999999999E-2</v>
      </c>
      <c r="F10" s="1479" t="s">
        <v>656</v>
      </c>
      <c r="G10" s="1486" t="s">
        <v>656</v>
      </c>
      <c r="H10" s="1478">
        <v>0.02</v>
      </c>
      <c r="I10" s="1479">
        <v>9.4399999999999998E-2</v>
      </c>
      <c r="J10" s="1486" t="s">
        <v>656</v>
      </c>
      <c r="K10" s="1478">
        <f>MVR+0.4%</f>
        <v>8.9900000000000008E-2</v>
      </c>
      <c r="L10" s="1487" t="s">
        <v>664</v>
      </c>
      <c r="M10" s="1490"/>
      <c r="N10" s="1501" t="s">
        <v>64</v>
      </c>
      <c r="O10" s="357" t="s">
        <v>665</v>
      </c>
      <c r="P10" s="825">
        <v>0.02</v>
      </c>
      <c r="Q10" s="825">
        <v>0.02</v>
      </c>
      <c r="R10" s="814">
        <v>2</v>
      </c>
      <c r="S10" s="573" t="str">
        <f>IF(OR('BTL Calculator'!V3="Residential BTL",'BTL Calculator'!V3="Retention "),"&lt;= 6 beds",S17)</f>
        <v>&lt;= 12 beds</v>
      </c>
      <c r="T10" s="573" t="str">
        <f>IF(OR('BTL Calculator'!V3="Residential BTL",'BTL Calculator'!V3="Retention "),"&lt;= 6 units",'Product Data'!U17)</f>
        <v>&lt;= 12 units</v>
      </c>
      <c r="U10" s="2138" t="str">
        <f>IF(OR('BTL Calculator'!V3="Residential BTL",'BTL Calculator'!V3="Retention "),"0 missed in last 18m","Considered upon referral")</f>
        <v>Considered upon referral</v>
      </c>
      <c r="V10" s="2138" t="str">
        <f>IF(OR('BTL Calculator'!V3="Residential BTL",'BTL Calculator'!V3="Retention "),"0 missed last 12m",'KB_CRITERIA AND CALCULATION '!AE50)</f>
        <v>Considered upon referral</v>
      </c>
      <c r="W10" s="2138" t="str">
        <f>IF(OR('BTL Calculator'!V3="Residential BTL",'BTL Calculator'!V3="Retention "),"0 in last 18m",'KB_CRITERIA AND CALCULATION '!AE51)</f>
        <v>Considered upon referral</v>
      </c>
      <c r="X10" s="2139" t="str">
        <f>IF(OR('BTL Calculator'!V3="Residential BTL",'BTL Calculator'!V3="Retention "),"Never",'KB_CRITERIA AND CALCULATION '!AE52)</f>
        <v>Considered upon referral</v>
      </c>
      <c r="Y10" s="854" t="s">
        <v>589</v>
      </c>
      <c r="Z10" s="851" t="b">
        <v>1</v>
      </c>
      <c r="AA10" s="855" t="b">
        <v>1</v>
      </c>
      <c r="AB10" s="832" t="s">
        <v>321</v>
      </c>
      <c r="AC10" s="575" t="s">
        <v>18</v>
      </c>
      <c r="AD10" s="578" t="s">
        <v>98</v>
      </c>
      <c r="AE10" s="579">
        <v>0.01</v>
      </c>
      <c r="AF10" s="580" t="s">
        <v>666</v>
      </c>
      <c r="AG10" s="573" t="s">
        <v>27</v>
      </c>
      <c r="AH10" s="573" t="s">
        <v>667</v>
      </c>
      <c r="AI10" s="573" t="s">
        <v>668</v>
      </c>
      <c r="AJ10" s="573" t="str">
        <f>IF(AJ4&lt;13,"","Months 13-"&amp;MIN(24,$AJ$4))</f>
        <v>Months 13-24</v>
      </c>
      <c r="AK10" s="836">
        <f>IF('BTL Calculator'!$H$28="Tracker",'Product Data'!AM10,'Product Data'!AL10)</f>
        <v>0.03</v>
      </c>
      <c r="AL10" s="836">
        <v>0.03</v>
      </c>
      <c r="AM10" s="836">
        <v>2.5000000000000001E-2</v>
      </c>
      <c r="AN10" s="837" t="e">
        <f>$AN$4*AK10</f>
        <v>#N/A</v>
      </c>
      <c r="AO10" s="573" t="e">
        <f>IF('BTL Calculator'!$H$28="Tracker",IF(AJ10="","",AJ10&amp;" @ "&amp;TEXT(AK10,"#.0%")&amp;" ("&amp;TEXT(AN10,"£#,#")&amp;")"),IF(AJ10="","",AJ10&amp;" @ "&amp;TEXT(AK10,"#%")&amp;" ("&amp;TEXT(AN10,"£#,#")&amp;")"))</f>
        <v>#N/A</v>
      </c>
      <c r="AP10" s="792" t="s">
        <v>669</v>
      </c>
      <c r="AQ10" s="793">
        <v>5.0000000000000001E-3</v>
      </c>
      <c r="AR10" s="576"/>
      <c r="AS10" s="576"/>
      <c r="AT10" s="576"/>
      <c r="AU10" s="840">
        <v>3.0000000000000001E-3</v>
      </c>
      <c r="BW10" s="138" t="s">
        <v>434</v>
      </c>
    </row>
    <row r="11" spans="1:79" s="138" customFormat="1" ht="20.100000000000001" customHeight="1" thickBot="1" x14ac:dyDescent="0.4">
      <c r="A11" s="3604"/>
      <c r="B11" s="2308" t="s">
        <v>434</v>
      </c>
      <c r="C11" s="1477">
        <f>IF(BBR_Override="",'Product Data'!E11+BBR,'Product Data'!E11+BBR_Override)</f>
        <v>8.4400000000000003E-2</v>
      </c>
      <c r="D11" s="1486" t="s">
        <v>656</v>
      </c>
      <c r="E11" s="2317">
        <f>IF('BTL Calculator'!V2 = "Core","",4.44%)</f>
        <v>4.4400000000000002E-2</v>
      </c>
      <c r="F11" s="1479" t="s">
        <v>656</v>
      </c>
      <c r="G11" s="1486" t="s">
        <v>656</v>
      </c>
      <c r="H11" s="1478">
        <v>0.02</v>
      </c>
      <c r="I11" s="1479">
        <v>9.7900000000000001E-2</v>
      </c>
      <c r="J11" s="1486" t="s">
        <v>656</v>
      </c>
      <c r="K11" s="1478">
        <f>MVR+1%</f>
        <v>9.5899999999999999E-2</v>
      </c>
      <c r="L11" s="1488" t="s">
        <v>676</v>
      </c>
      <c r="M11" s="1490"/>
      <c r="N11" s="1501" t="s">
        <v>67</v>
      </c>
      <c r="O11" s="357" t="s">
        <v>670</v>
      </c>
      <c r="P11" s="826">
        <v>9</v>
      </c>
      <c r="Q11" s="826">
        <v>9</v>
      </c>
      <c r="R11" s="814">
        <v>3</v>
      </c>
      <c r="S11" s="573" t="str">
        <f>IF('BTL Calculator'!V2="Core","",IF(OR('BTL Calculator'!V3="Residential BTL",'BTL Calculator'!V3="Retention "),"&gt; 6 beds",S18))</f>
        <v>&gt; 12 beds</v>
      </c>
      <c r="T11" s="573" t="str">
        <f>IF('BTL Calculator'!V2="Core","",IF(OR('BTL Calculator'!V3="Residential BTL",'BTL Calculator'!V3="Retention "),"&lt;= 30 units",U18))</f>
        <v>&gt; 12 units</v>
      </c>
      <c r="U11" s="2138" t="str">
        <f>IF('BTL Calculator'!V2="Core","",IF(OR('BTL Calculator'!V3="Residential BTL",'BTL Calculator'!V3="Retention "),"Other, more recent",""))</f>
        <v/>
      </c>
      <c r="V11" s="2138" t="str">
        <f>IF('BTL Calculator'!V2="Core","",IF(OR('BTL Calculator'!V3="Residential BTL",'BTL Calculator'!V3="Retention "),"Other, more recent",""))</f>
        <v/>
      </c>
      <c r="W11" s="2138" t="str">
        <f>IF('BTL Calculator'!V2="Core","",IF(OR('BTL Calculator'!V3="Residential BTL",'BTL Calculator'!V3="Retention "),"Other, more recent",""))</f>
        <v/>
      </c>
      <c r="X11" s="2139" t="str">
        <f>IF('BTL Calculator'!V2="Core","",IF(OR('BTL Calculator'!V3="Residential BTL",'BTL Calculator'!V3="Retention "),"Other, more recent",""))</f>
        <v/>
      </c>
      <c r="Y11" s="854" t="s">
        <v>590</v>
      </c>
      <c r="Z11" s="851" t="b">
        <v>1</v>
      </c>
      <c r="AA11" s="855" t="b">
        <v>1</v>
      </c>
      <c r="AB11" s="832" t="s">
        <v>310</v>
      </c>
      <c r="AC11" s="575" t="s">
        <v>498</v>
      </c>
      <c r="AD11" s="578" t="s">
        <v>671</v>
      </c>
      <c r="AE11" s="581">
        <v>1.15E-2</v>
      </c>
      <c r="AF11" s="582" t="s">
        <v>672</v>
      </c>
      <c r="AG11" s="573" t="s">
        <v>673</v>
      </c>
      <c r="AH11" s="573" t="s">
        <v>674</v>
      </c>
      <c r="AI11" s="573"/>
      <c r="AJ11" s="573" t="str">
        <f>IF(AJ4&lt;25,"","Months 25-"&amp;MIN(36,$AJ$4))</f>
        <v/>
      </c>
      <c r="AK11" s="836">
        <f>IF('BTL Calculator'!$H$28="Tracker",'Product Data'!AM11,'Product Data'!AL11)</f>
        <v>0.02</v>
      </c>
      <c r="AL11" s="836">
        <v>0.02</v>
      </c>
      <c r="AM11" s="836">
        <f>AL11-0.5%</f>
        <v>1.4999999999999999E-2</v>
      </c>
      <c r="AN11" s="837" t="e">
        <f>$AN$4*AK11</f>
        <v>#N/A</v>
      </c>
      <c r="AO11" s="573" t="str">
        <f>IF(AJ11="","",", "&amp;AJ11&amp;" @ "&amp;TEXT(AK11,"#%")&amp;" ("&amp;TEXT(AN11,"£#,#")&amp;")")</f>
        <v/>
      </c>
      <c r="AP11" s="792" t="s">
        <v>675</v>
      </c>
      <c r="AQ11" s="793">
        <v>2.5000000000000001E-3</v>
      </c>
      <c r="AR11" s="576"/>
      <c r="AS11" s="576"/>
      <c r="AT11" s="576"/>
      <c r="AU11" s="840">
        <v>4.0000000000000001E-3</v>
      </c>
      <c r="BW11" s="138" t="s">
        <v>435</v>
      </c>
    </row>
    <row r="12" spans="1:79" s="137" customFormat="1" ht="20.100000000000001" customHeight="1" thickBot="1" x14ac:dyDescent="0.4">
      <c r="A12" s="3604"/>
      <c r="B12" s="2309"/>
      <c r="C12" s="1480"/>
      <c r="D12" s="1505"/>
      <c r="E12" s="2318"/>
      <c r="F12" s="1482"/>
      <c r="G12" s="1505"/>
      <c r="H12" s="1481"/>
      <c r="I12" s="1482"/>
      <c r="J12" s="1505"/>
      <c r="K12" s="1481"/>
      <c r="L12" s="1488"/>
      <c r="M12" s="1491"/>
      <c r="N12" s="1501" t="s">
        <v>71</v>
      </c>
      <c r="O12" s="357" t="s">
        <v>677</v>
      </c>
      <c r="P12" s="826">
        <v>9</v>
      </c>
      <c r="Q12" s="826">
        <v>9</v>
      </c>
      <c r="R12" s="814">
        <v>4</v>
      </c>
      <c r="S12" s="573" t="str">
        <f>IF('BTL Calculator'!V2="Core","",IF(OR('BTL Calculator'!V3="Residential BTL",'BTL Calculator'!V3="Retention "),"&gt; 6 beds",""))</f>
        <v/>
      </c>
      <c r="T12" s="573" t="str">
        <f>IF('BTL Calculator'!V2="Core","",IF(OR('BTL Calculator'!V3="Residential BTL",'BTL Calculator'!V3="Retention "),"&lt;= 30 units",""))</f>
        <v/>
      </c>
      <c r="U12" s="2138" t="str">
        <f>IF('BTL Calculator'!V2="Core","",IF(OR('BTL Calculator'!V3="Residential BTL",'BTL Calculator'!V3="Retention "),"Other, more recent",""))</f>
        <v/>
      </c>
      <c r="V12" s="2138" t="str">
        <f>IF('BTL Calculator'!V2="Core","",IF(OR('BTL Calculator'!V3="Residential BTL",'BTL Calculator'!V3="Retention "),"Other, more recent",""))</f>
        <v/>
      </c>
      <c r="W12" s="2138" t="str">
        <f>IF('BTL Calculator'!V2="Core","",IF(OR('BTL Calculator'!V3="Residential BTL",'BTL Calculator'!V3="Retention "),"Other, more recent",""))</f>
        <v/>
      </c>
      <c r="X12" s="2139" t="str">
        <f>IF('BTL Calculator'!V2="Core","",IF(OR('BTL Calculator'!V3="Residential BTL",'BTL Calculator'!V3="Retention "),"Other, more recent",""))</f>
        <v/>
      </c>
      <c r="Y12" s="854" t="s">
        <v>587</v>
      </c>
      <c r="Z12" s="851" t="b">
        <v>0</v>
      </c>
      <c r="AA12" s="855" t="b">
        <v>0</v>
      </c>
      <c r="AB12" s="832" t="s">
        <v>311</v>
      </c>
      <c r="AC12" s="575"/>
      <c r="AD12" s="578" t="s">
        <v>678</v>
      </c>
      <c r="AE12" s="581">
        <v>1.4999999999999999E-2</v>
      </c>
      <c r="AF12" s="582" t="s">
        <v>679</v>
      </c>
      <c r="AG12" s="573" t="s">
        <v>680</v>
      </c>
      <c r="AH12" s="573" t="s">
        <v>673</v>
      </c>
      <c r="AI12" s="573"/>
      <c r="AJ12" s="573"/>
      <c r="AK12" s="836"/>
      <c r="AL12" s="836"/>
      <c r="AM12" s="836"/>
      <c r="AN12" s="837"/>
      <c r="AO12" s="573"/>
      <c r="AP12" s="792" t="s">
        <v>681</v>
      </c>
      <c r="AQ12" s="793">
        <v>2.5000000000000001E-3</v>
      </c>
      <c r="AR12" s="794"/>
      <c r="AS12" s="794"/>
      <c r="AT12" s="794"/>
      <c r="AU12" s="840">
        <v>5.0000000000000001E-3</v>
      </c>
      <c r="AV12" s="138"/>
      <c r="AW12" s="138"/>
    </row>
    <row r="13" spans="1:79" ht="18.75" thickBot="1" x14ac:dyDescent="0.4">
      <c r="A13" s="3604"/>
      <c r="B13" s="2128"/>
      <c r="C13" s="1344"/>
      <c r="D13" s="1344"/>
      <c r="E13" s="1344"/>
      <c r="F13" s="1344"/>
      <c r="G13" s="1344"/>
      <c r="H13" s="1344"/>
      <c r="I13" s="1344"/>
      <c r="J13" s="1345"/>
      <c r="K13" s="1345"/>
      <c r="L13" s="1476"/>
      <c r="M13" s="1492"/>
      <c r="N13" s="1492"/>
      <c r="O13" s="357" t="s">
        <v>682</v>
      </c>
      <c r="P13" s="826">
        <v>9</v>
      </c>
      <c r="Q13" s="826">
        <v>9</v>
      </c>
      <c r="R13" s="814"/>
      <c r="S13" s="573"/>
      <c r="U13" s="573"/>
      <c r="V13" s="573"/>
      <c r="W13" s="573"/>
      <c r="X13" s="574"/>
      <c r="Y13" s="854" t="s">
        <v>108</v>
      </c>
      <c r="Z13" s="851" t="b">
        <v>0</v>
      </c>
      <c r="AA13" s="855" t="b">
        <v>0</v>
      </c>
      <c r="AB13" s="832" t="s">
        <v>312</v>
      </c>
      <c r="AC13" s="575"/>
      <c r="AD13" s="578"/>
      <c r="AE13" s="574"/>
      <c r="AF13" s="575"/>
      <c r="AG13" s="573"/>
      <c r="AH13" s="573" t="s">
        <v>680</v>
      </c>
      <c r="AI13" s="573"/>
      <c r="AJ13" s="573"/>
      <c r="AK13" s="838"/>
      <c r="AL13" s="838"/>
      <c r="AM13" s="838"/>
      <c r="AN13" s="839"/>
      <c r="AO13" s="573"/>
      <c r="AP13" s="792" t="s">
        <v>683</v>
      </c>
      <c r="AQ13" s="793">
        <v>2.5000000000000001E-3</v>
      </c>
      <c r="AR13" s="794"/>
      <c r="AS13" s="794"/>
      <c r="AT13" s="794"/>
      <c r="AU13" s="840">
        <v>6.0000000000000001E-3</v>
      </c>
      <c r="AX13" s="67"/>
      <c r="AY13" s="67"/>
      <c r="AZ13" s="67"/>
      <c r="BA13" s="67"/>
      <c r="BB13" s="67"/>
    </row>
    <row r="14" spans="1:79" ht="51" customHeight="1" x14ac:dyDescent="0.45">
      <c r="A14" s="3604"/>
      <c r="B14" s="2326" t="s">
        <v>684</v>
      </c>
      <c r="C14" s="1502" t="s">
        <v>625</v>
      </c>
      <c r="D14" s="1502" t="s">
        <v>626</v>
      </c>
      <c r="E14" s="1511" t="s">
        <v>627</v>
      </c>
      <c r="F14" s="1503" t="s">
        <v>162</v>
      </c>
      <c r="G14" s="1503" t="s">
        <v>628</v>
      </c>
      <c r="H14" s="1503" t="s">
        <v>629</v>
      </c>
      <c r="I14" s="1503" t="s">
        <v>630</v>
      </c>
      <c r="J14" s="1503" t="s">
        <v>631</v>
      </c>
      <c r="K14" s="1503" t="s">
        <v>685</v>
      </c>
      <c r="L14" s="1504" t="s">
        <v>632</v>
      </c>
      <c r="M14" s="1493"/>
      <c r="N14" s="2117" t="s">
        <v>686</v>
      </c>
      <c r="O14" s="357" t="s">
        <v>687</v>
      </c>
      <c r="P14" s="826">
        <v>9</v>
      </c>
      <c r="Q14" s="826">
        <v>9</v>
      </c>
      <c r="R14" s="815"/>
      <c r="S14" s="583"/>
      <c r="T14" s="573"/>
      <c r="U14" s="583"/>
      <c r="V14" s="583"/>
      <c r="W14" s="583"/>
      <c r="X14" s="584"/>
      <c r="Y14" s="856"/>
      <c r="Z14" s="852"/>
      <c r="AA14" s="857"/>
      <c r="AB14" s="832" t="s">
        <v>313</v>
      </c>
      <c r="AC14" s="585"/>
      <c r="AD14" s="586"/>
      <c r="AE14" s="587"/>
      <c r="AF14" s="588"/>
      <c r="AG14" s="831"/>
      <c r="AH14" s="831"/>
      <c r="AI14" s="831"/>
      <c r="AJ14" s="831"/>
      <c r="AK14" s="838"/>
      <c r="AL14" s="838"/>
      <c r="AM14" s="838"/>
      <c r="AN14" s="839"/>
      <c r="AO14" s="831"/>
      <c r="AP14" s="792" t="s">
        <v>688</v>
      </c>
      <c r="AQ14" s="793">
        <v>2.5000000000000001E-3</v>
      </c>
      <c r="AR14" s="796"/>
      <c r="AS14" s="797" t="s">
        <v>689</v>
      </c>
      <c r="AT14" s="798" t="e">
        <f>'Bespoke Tier'!F36/'Bespoke Tier'!E10</f>
        <v>#N/A</v>
      </c>
      <c r="AU14" s="840">
        <v>7.0000000000000001E-3</v>
      </c>
      <c r="AX14" s="67"/>
      <c r="AY14" s="67"/>
      <c r="AZ14" s="67"/>
      <c r="BA14" s="67"/>
      <c r="BB14" s="67"/>
    </row>
    <row r="15" spans="1:79" ht="20.100000000000001" customHeight="1" x14ac:dyDescent="0.35">
      <c r="A15" s="3604"/>
      <c r="B15" s="2308" t="s">
        <v>432</v>
      </c>
      <c r="C15" s="1477">
        <f>IF(BBR_Override="",'Product Data'!E15+BBR,'Product Data'!E15+BBR_Override)</f>
        <v>6.59E-2</v>
      </c>
      <c r="D15" s="1486" t="s">
        <v>656</v>
      </c>
      <c r="E15" s="1478">
        <f>IF('BTL Calculator'!V2 = "Core",2.49%,2.59%)</f>
        <v>2.5899999999999999E-2</v>
      </c>
      <c r="F15" s="1479" t="s">
        <v>656</v>
      </c>
      <c r="G15" s="1486" t="s">
        <v>656</v>
      </c>
      <c r="H15" s="1478">
        <v>0.04</v>
      </c>
      <c r="I15" s="1479" t="s">
        <v>656</v>
      </c>
      <c r="J15" s="1486" t="s">
        <v>656</v>
      </c>
      <c r="K15" s="1478">
        <f>MVR</f>
        <v>8.5900000000000004E-2</v>
      </c>
      <c r="L15" s="1487" t="s">
        <v>657</v>
      </c>
      <c r="M15" s="1492"/>
      <c r="N15" s="1492"/>
      <c r="O15" s="357" t="s">
        <v>690</v>
      </c>
      <c r="P15" s="827">
        <v>150000</v>
      </c>
      <c r="Q15" s="828"/>
      <c r="R15" s="815"/>
      <c r="S15" s="583"/>
      <c r="T15" s="583"/>
      <c r="U15" s="583"/>
      <c r="V15" s="583"/>
      <c r="W15" s="583"/>
      <c r="X15" s="584"/>
      <c r="Y15" s="856"/>
      <c r="Z15" s="852"/>
      <c r="AA15" s="857"/>
      <c r="AB15" s="832" t="s">
        <v>314</v>
      </c>
      <c r="AC15" s="585"/>
      <c r="AD15" s="586"/>
      <c r="AE15" s="587"/>
      <c r="AF15" s="588"/>
      <c r="AG15" s="831"/>
      <c r="AH15" s="831"/>
      <c r="AI15" s="831"/>
      <c r="AJ15" s="831"/>
      <c r="AK15" s="838"/>
      <c r="AL15" s="838"/>
      <c r="AM15" s="838"/>
      <c r="AN15" s="839"/>
      <c r="AO15" s="831"/>
      <c r="AP15" s="799" t="s">
        <v>691</v>
      </c>
      <c r="AQ15" s="800">
        <v>0</v>
      </c>
      <c r="AR15" s="794"/>
      <c r="AS15" s="794"/>
      <c r="AT15" s="801"/>
      <c r="AU15" s="840">
        <v>8.0000000000000002E-3</v>
      </c>
      <c r="AX15" s="67"/>
      <c r="AY15" s="67"/>
      <c r="AZ15" s="67"/>
      <c r="BA15" s="67"/>
      <c r="BB15" s="67"/>
    </row>
    <row r="16" spans="1:79" ht="20.100000000000001" customHeight="1" x14ac:dyDescent="0.35">
      <c r="A16" s="3604"/>
      <c r="B16" s="2308" t="s">
        <v>433</v>
      </c>
      <c r="C16" s="1477">
        <f>IF(BBR_Override="",'Product Data'!E16+BBR,'Product Data'!E16+BBR_Override)</f>
        <v>7.0899999999999991E-2</v>
      </c>
      <c r="D16" s="1486" t="s">
        <v>656</v>
      </c>
      <c r="E16" s="1478">
        <f>IF('BTL Calculator'!V2 = "Core",2.69%,3.09%)</f>
        <v>3.0899999999999997E-2</v>
      </c>
      <c r="F16" s="1479" t="s">
        <v>656</v>
      </c>
      <c r="G16" s="1486" t="s">
        <v>656</v>
      </c>
      <c r="H16" s="1478">
        <v>0.04</v>
      </c>
      <c r="I16" s="1479" t="s">
        <v>656</v>
      </c>
      <c r="J16" s="1486" t="s">
        <v>656</v>
      </c>
      <c r="K16" s="1478">
        <f>MVR+0.4%</f>
        <v>8.9900000000000008E-2</v>
      </c>
      <c r="L16" s="1487" t="s">
        <v>664</v>
      </c>
      <c r="M16" s="1492"/>
      <c r="N16" s="1492" t="s">
        <v>3679</v>
      </c>
      <c r="O16" s="357" t="s">
        <v>482</v>
      </c>
      <c r="P16" s="827">
        <f>IF(OR('BTL Calculator'!V3="Residential BTL",'BTL Calculator'!V3="Retention "),3000000,2000000)</f>
        <v>2000000</v>
      </c>
      <c r="Q16" s="824"/>
      <c r="S16" s="573" t="s">
        <v>27</v>
      </c>
      <c r="T16" s="830" t="s">
        <v>637</v>
      </c>
      <c r="U16" s="573" t="s">
        <v>27</v>
      </c>
      <c r="W16" s="583"/>
      <c r="X16" s="584"/>
      <c r="Y16" s="856"/>
      <c r="Z16" s="852"/>
      <c r="AA16" s="857"/>
      <c r="AB16" s="832" t="s">
        <v>315</v>
      </c>
      <c r="AC16" s="585"/>
      <c r="AD16" s="586"/>
      <c r="AE16" s="587"/>
      <c r="AF16" s="588"/>
      <c r="AG16" s="831"/>
      <c r="AH16" s="831"/>
      <c r="AI16" s="831"/>
      <c r="AJ16" s="831"/>
      <c r="AK16" s="838"/>
      <c r="AL16" s="838"/>
      <c r="AM16" s="838"/>
      <c r="AN16" s="839"/>
      <c r="AO16" s="831"/>
      <c r="AP16" s="799" t="s">
        <v>692</v>
      </c>
      <c r="AQ16" s="800">
        <v>0</v>
      </c>
      <c r="AR16" s="794"/>
      <c r="AS16" s="794"/>
      <c r="AT16" s="794"/>
      <c r="AU16" s="840">
        <v>8.9999999999999993E-3</v>
      </c>
      <c r="AX16" s="67"/>
      <c r="AY16" s="67"/>
      <c r="AZ16" s="67"/>
      <c r="BA16" s="67"/>
      <c r="BB16" s="67"/>
    </row>
    <row r="17" spans="1:54" ht="20.100000000000001" customHeight="1" thickBot="1" x14ac:dyDescent="0.4">
      <c r="A17" s="3604"/>
      <c r="B17" s="2308" t="s">
        <v>434</v>
      </c>
      <c r="C17" s="1477">
        <f>IF(BBR_Override="",'Product Data'!E17+BBR,'Product Data'!E17+BBR_Override)</f>
        <v>7.3899999999999993E-2</v>
      </c>
      <c r="D17" s="1486" t="s">
        <v>656</v>
      </c>
      <c r="E17" s="1478">
        <f>IF('BTL Calculator'!V2 = "Core","",3.39%)</f>
        <v>3.39E-2</v>
      </c>
      <c r="F17" s="1479" t="s">
        <v>656</v>
      </c>
      <c r="G17" s="1486" t="s">
        <v>656</v>
      </c>
      <c r="H17" s="1478">
        <v>0.04</v>
      </c>
      <c r="I17" s="1479" t="s">
        <v>656</v>
      </c>
      <c r="J17" s="1486" t="s">
        <v>656</v>
      </c>
      <c r="K17" s="1478">
        <f>MVR+1%</f>
        <v>9.5899999999999999E-2</v>
      </c>
      <c r="L17" s="1488" t="s">
        <v>676</v>
      </c>
      <c r="N17" s="67" t="s">
        <v>3678</v>
      </c>
      <c r="O17" s="357" t="s">
        <v>693</v>
      </c>
      <c r="P17" s="829">
        <v>1.3</v>
      </c>
      <c r="Q17" s="824"/>
      <c r="S17" s="573" t="s">
        <v>517</v>
      </c>
      <c r="T17" s="573" t="s">
        <v>27</v>
      </c>
      <c r="U17" s="573" t="s">
        <v>3707</v>
      </c>
      <c r="Y17" s="607"/>
      <c r="AA17" s="609"/>
      <c r="AB17" s="832" t="s">
        <v>316</v>
      </c>
      <c r="AC17" s="589"/>
      <c r="AD17" s="590"/>
      <c r="AE17" s="591"/>
      <c r="AF17" s="592"/>
      <c r="AJ17" s="593"/>
      <c r="AN17" s="168"/>
      <c r="AP17" s="799" t="s">
        <v>692</v>
      </c>
      <c r="AQ17" s="800">
        <v>0</v>
      </c>
      <c r="AR17" s="794"/>
      <c r="AS17" s="794"/>
      <c r="AT17" s="794"/>
      <c r="AU17" s="840">
        <v>0.01</v>
      </c>
      <c r="AX17" s="67"/>
      <c r="AY17" s="67"/>
      <c r="AZ17" s="67"/>
      <c r="BA17" s="67"/>
      <c r="BB17" s="67"/>
    </row>
    <row r="18" spans="1:54" ht="20.100000000000001" customHeight="1" thickBot="1" x14ac:dyDescent="0.4">
      <c r="A18" s="3604"/>
      <c r="B18" s="2309"/>
      <c r="C18" s="1480"/>
      <c r="D18" s="1505"/>
      <c r="E18" s="1481"/>
      <c r="F18" s="1482"/>
      <c r="G18" s="1505"/>
      <c r="H18" s="1481"/>
      <c r="I18" s="1482"/>
      <c r="J18" s="1505"/>
      <c r="K18" s="1481"/>
      <c r="L18" s="1488"/>
      <c r="O18" s="357" t="s">
        <v>694</v>
      </c>
      <c r="P18" s="829">
        <v>1.3</v>
      </c>
      <c r="S18" s="573" t="s">
        <v>3708</v>
      </c>
      <c r="T18" s="573" t="s">
        <v>520</v>
      </c>
      <c r="U18" s="573" t="s">
        <v>3709</v>
      </c>
      <c r="Y18" s="859" t="s">
        <v>695</v>
      </c>
      <c r="Z18" s="860" t="b">
        <f>INDEX('Product Data'!$Z$9:$Z$13,MATCH('BTL Calculator'!$G$60,Y9:Y13,0))</f>
        <v>0</v>
      </c>
      <c r="AA18" s="609"/>
      <c r="AB18" s="832" t="s">
        <v>317</v>
      </c>
      <c r="AC18" s="589"/>
      <c r="AD18" s="590"/>
      <c r="AE18" s="591"/>
      <c r="AF18" s="592"/>
      <c r="AJ18" s="593"/>
      <c r="AP18" s="792" t="s">
        <v>696</v>
      </c>
      <c r="AQ18" s="793">
        <v>2.5000000000000001E-3</v>
      </c>
      <c r="AR18" s="794"/>
      <c r="AS18" s="794"/>
      <c r="AT18" s="794"/>
      <c r="AU18" s="795"/>
      <c r="AX18" s="67"/>
      <c r="AY18" s="67"/>
      <c r="AZ18" s="67"/>
      <c r="BA18" s="67"/>
      <c r="BB18" s="67"/>
    </row>
    <row r="19" spans="1:54" ht="18.75" thickBot="1" x14ac:dyDescent="0.4">
      <c r="A19" s="3604"/>
      <c r="O19" s="357" t="s">
        <v>697</v>
      </c>
      <c r="P19" s="829">
        <v>1.5</v>
      </c>
      <c r="T19" s="573" t="s">
        <v>521</v>
      </c>
      <c r="Z19" s="861" t="s">
        <v>643</v>
      </c>
      <c r="AA19" s="860" t="b">
        <f>INDEX('Product Data'!$AA$9:$AA$13,MATCH('BTL Calculator'!$G$60,Y9:Y13,0))</f>
        <v>0</v>
      </c>
      <c r="AB19" s="832" t="s">
        <v>318</v>
      </c>
      <c r="AC19" s="589"/>
      <c r="AD19" s="590"/>
      <c r="AE19" s="591"/>
      <c r="AF19" s="592"/>
      <c r="AJ19" s="593"/>
      <c r="AP19" s="799" t="s">
        <v>698</v>
      </c>
      <c r="AQ19" s="800">
        <v>0</v>
      </c>
      <c r="AR19" s="790" t="s">
        <v>455</v>
      </c>
      <c r="AS19" s="802" t="s">
        <v>699</v>
      </c>
      <c r="AT19" s="794"/>
      <c r="AU19" s="795"/>
      <c r="AX19" s="67"/>
      <c r="AY19" s="67"/>
      <c r="AZ19" s="67"/>
      <c r="BA19" s="67"/>
      <c r="BB19" s="67"/>
    </row>
    <row r="20" spans="1:54" ht="51" customHeight="1" thickBot="1" x14ac:dyDescent="0.5">
      <c r="A20" s="3604"/>
      <c r="B20" s="2328" t="s">
        <v>700</v>
      </c>
      <c r="C20" s="1507" t="s">
        <v>625</v>
      </c>
      <c r="D20" s="1507" t="s">
        <v>626</v>
      </c>
      <c r="E20" s="1512" t="s">
        <v>627</v>
      </c>
      <c r="F20" s="1508" t="s">
        <v>162</v>
      </c>
      <c r="G20" s="1508" t="s">
        <v>628</v>
      </c>
      <c r="H20" s="1508" t="s">
        <v>629</v>
      </c>
      <c r="I20" s="1508" t="s">
        <v>630</v>
      </c>
      <c r="J20" s="1508" t="s">
        <v>631</v>
      </c>
      <c r="K20" s="1508" t="s">
        <v>701</v>
      </c>
      <c r="L20" s="1509" t="s">
        <v>632</v>
      </c>
      <c r="O20" s="357" t="s">
        <v>702</v>
      </c>
      <c r="P20" s="1339">
        <v>3</v>
      </c>
      <c r="T20" s="573" t="s">
        <v>521</v>
      </c>
      <c r="Y20" s="858"/>
      <c r="Z20" s="246"/>
      <c r="AA20" s="594"/>
      <c r="AB20" s="833"/>
      <c r="AC20" s="594"/>
      <c r="AD20" s="595"/>
      <c r="AE20" s="596"/>
      <c r="AF20" s="597"/>
      <c r="AP20" s="792" t="s">
        <v>703</v>
      </c>
      <c r="AQ20" s="793">
        <v>5.0000000000000001E-3</v>
      </c>
      <c r="AR20" s="803" t="s">
        <v>704</v>
      </c>
      <c r="AS20" s="804">
        <v>0</v>
      </c>
      <c r="AT20" s="794"/>
      <c r="AU20" s="795"/>
      <c r="AX20" s="67"/>
      <c r="AY20" s="67"/>
      <c r="AZ20" s="67"/>
      <c r="BA20" s="67"/>
      <c r="BB20" s="67"/>
    </row>
    <row r="21" spans="1:54" ht="20.100000000000001" customHeight="1" x14ac:dyDescent="0.35">
      <c r="A21" s="3604"/>
      <c r="B21" s="2308" t="s">
        <v>432</v>
      </c>
      <c r="C21" s="1477">
        <f>IF(BBR_Override="",'Product Data'!E21+BBR,'Product Data'!E21+BBR_Override)</f>
        <v>5.5900000000000005E-2</v>
      </c>
      <c r="D21" s="1486" t="s">
        <v>656</v>
      </c>
      <c r="E21" s="1478">
        <f>IF('BTL Calculator'!V2 = "Core",1.49%,1.59%)</f>
        <v>1.5900000000000001E-2</v>
      </c>
      <c r="F21" s="1479">
        <v>0.06</v>
      </c>
      <c r="G21" s="1486" t="s">
        <v>656</v>
      </c>
      <c r="H21" s="1478">
        <v>0.06</v>
      </c>
      <c r="I21" s="1479" t="s">
        <v>656</v>
      </c>
      <c r="J21" s="1486" t="s">
        <v>656</v>
      </c>
      <c r="K21" s="1478">
        <f>MVR</f>
        <v>8.5900000000000004E-2</v>
      </c>
      <c r="L21" s="1487" t="s">
        <v>657</v>
      </c>
      <c r="O21" s="357" t="s">
        <v>705</v>
      </c>
      <c r="P21" s="1515"/>
      <c r="Q21" s="358"/>
      <c r="AB21"/>
      <c r="AG21" s="67" t="s">
        <v>33</v>
      </c>
      <c r="AP21" s="792" t="s">
        <v>706</v>
      </c>
      <c r="AQ21" s="793">
        <v>2.5000000000000001E-3</v>
      </c>
      <c r="AR21" s="804" t="s">
        <v>707</v>
      </c>
      <c r="AS21" s="804">
        <v>0.1</v>
      </c>
      <c r="AT21" s="794"/>
      <c r="AU21" s="794"/>
      <c r="AX21" s="67"/>
      <c r="AY21" s="67"/>
      <c r="AZ21" s="67"/>
      <c r="BA21" s="67"/>
      <c r="BB21" s="67"/>
    </row>
    <row r="22" spans="1:54" ht="20.100000000000001" customHeight="1" x14ac:dyDescent="0.35">
      <c r="A22" s="3604"/>
      <c r="B22" s="2308" t="s">
        <v>433</v>
      </c>
      <c r="C22" s="1477">
        <f>IF(BBR_Override="",'Product Data'!E22+BBR,'Product Data'!E22+BBR_Override)</f>
        <v>6.0899999999999996E-2</v>
      </c>
      <c r="D22" s="1486" t="s">
        <v>656</v>
      </c>
      <c r="E22" s="1478">
        <f>IF('BTL Calculator'!V2 = "Core",1.69%,2.09%)</f>
        <v>2.0899999999999998E-2</v>
      </c>
      <c r="F22" s="1479">
        <v>0.06</v>
      </c>
      <c r="G22" s="1486" t="s">
        <v>656</v>
      </c>
      <c r="H22" s="1478">
        <v>0.06</v>
      </c>
      <c r="I22" s="1479" t="s">
        <v>656</v>
      </c>
      <c r="J22" s="1486" t="s">
        <v>656</v>
      </c>
      <c r="K22" s="1478">
        <f>MVR+0.4%</f>
        <v>8.9900000000000008E-2</v>
      </c>
      <c r="L22" s="1487" t="s">
        <v>664</v>
      </c>
      <c r="Q22" s="358"/>
      <c r="R22" s="358"/>
      <c r="S22" s="358"/>
      <c r="T22" s="358">
        <f>'BTL Calculator'!V3</f>
        <v>0</v>
      </c>
      <c r="Y22" s="67" t="s">
        <v>589</v>
      </c>
      <c r="AG22" s="67" t="s">
        <v>27</v>
      </c>
      <c r="AP22" s="805" t="s">
        <v>708</v>
      </c>
      <c r="AQ22" s="806"/>
      <c r="AR22" s="804" t="s">
        <v>709</v>
      </c>
      <c r="AS22" s="804">
        <v>0.3</v>
      </c>
      <c r="AT22" s="794"/>
      <c r="AU22" s="794"/>
      <c r="AX22" s="67"/>
      <c r="AY22" s="67"/>
      <c r="AZ22" s="67"/>
      <c r="BA22" s="67"/>
      <c r="BB22" s="67"/>
    </row>
    <row r="23" spans="1:54" ht="20.100000000000001" customHeight="1" thickBot="1" x14ac:dyDescent="0.4">
      <c r="A23" s="3604"/>
      <c r="B23" s="2308" t="s">
        <v>434</v>
      </c>
      <c r="C23" s="1477">
        <f>IF(BBR_Override="",'Product Data'!E23+BBR,'Product Data'!E23+BBR_Override)</f>
        <v>6.3899999999999998E-2</v>
      </c>
      <c r="D23" s="1486" t="s">
        <v>656</v>
      </c>
      <c r="E23" s="1478">
        <f>IF('BTL Calculator'!V2 = "Core","",2.39%)</f>
        <v>2.3900000000000001E-2</v>
      </c>
      <c r="F23" s="1479">
        <v>0.06</v>
      </c>
      <c r="G23" s="1486" t="s">
        <v>656</v>
      </c>
      <c r="H23" s="1478">
        <v>0.06</v>
      </c>
      <c r="I23" s="1479" t="s">
        <v>656</v>
      </c>
      <c r="J23" s="1486" t="s">
        <v>656</v>
      </c>
      <c r="K23" s="1478">
        <f>MVR+1%</f>
        <v>9.5899999999999999E-2</v>
      </c>
      <c r="L23" s="1488" t="s">
        <v>676</v>
      </c>
      <c r="O23" s="357" t="s">
        <v>710</v>
      </c>
      <c r="P23" s="829">
        <v>1.25</v>
      </c>
      <c r="Y23" s="67" t="s">
        <v>590</v>
      </c>
      <c r="AP23" s="807" t="s">
        <v>711</v>
      </c>
      <c r="AQ23" s="806"/>
      <c r="AR23" s="804" t="s">
        <v>712</v>
      </c>
      <c r="AS23" s="804">
        <v>0.5</v>
      </c>
      <c r="AT23" s="794"/>
      <c r="AU23" s="794"/>
      <c r="AX23" s="67"/>
      <c r="AY23" s="67"/>
      <c r="AZ23" s="67"/>
      <c r="BA23" s="67"/>
      <c r="BB23" s="67"/>
    </row>
    <row r="24" spans="1:54" ht="20.100000000000001" customHeight="1" thickBot="1" x14ac:dyDescent="0.4">
      <c r="A24" s="3604"/>
      <c r="B24" s="2309"/>
      <c r="C24" s="1480"/>
      <c r="D24" s="1505"/>
      <c r="E24" s="1481"/>
      <c r="F24" s="1482"/>
      <c r="G24" s="1505"/>
      <c r="H24" s="1481"/>
      <c r="I24" s="1482"/>
      <c r="J24" s="1505"/>
      <c r="K24" s="1481"/>
      <c r="L24" s="1488"/>
      <c r="O24" s="357" t="s">
        <v>713</v>
      </c>
      <c r="P24" s="825">
        <v>1.2500000000000001E-2</v>
      </c>
      <c r="Y24" s="67" t="s">
        <v>108</v>
      </c>
      <c r="AG24" s="67" t="str">
        <f>IF('BTL Calculator'!V2 = "Core","Yes","")</f>
        <v/>
      </c>
      <c r="AP24" s="807"/>
      <c r="AQ24" s="806"/>
      <c r="AR24" s="804"/>
      <c r="AS24" s="804"/>
      <c r="AT24" s="794"/>
      <c r="AU24" s="794"/>
      <c r="AX24" s="67"/>
      <c r="AY24" s="67"/>
      <c r="AZ24" s="67"/>
      <c r="BA24" s="67"/>
      <c r="BB24" s="67"/>
    </row>
    <row r="25" spans="1:54" ht="20.100000000000001" customHeight="1" thickBot="1" x14ac:dyDescent="0.4">
      <c r="A25" s="3604"/>
      <c r="B25" s="593"/>
      <c r="C25" s="2533"/>
      <c r="D25" s="2655"/>
      <c r="E25" s="2656"/>
      <c r="F25" s="2657"/>
      <c r="G25" s="2655"/>
      <c r="H25" s="2656"/>
      <c r="I25" s="2657"/>
      <c r="J25" s="2655"/>
      <c r="K25" s="2656"/>
      <c r="L25" s="2658"/>
      <c r="O25" s="357"/>
      <c r="P25" s="2659"/>
      <c r="AG25" s="67" t="s">
        <v>27</v>
      </c>
      <c r="AP25" s="807"/>
      <c r="AQ25" s="806"/>
      <c r="AR25" s="804"/>
      <c r="AS25" s="804"/>
      <c r="AT25" s="794"/>
      <c r="AU25" s="794"/>
      <c r="AX25" s="67"/>
      <c r="AY25" s="67"/>
      <c r="AZ25" s="67"/>
      <c r="BA25" s="67"/>
      <c r="BB25" s="67"/>
    </row>
    <row r="26" spans="1:54" ht="49.5" x14ac:dyDescent="0.45">
      <c r="A26" s="3604"/>
      <c r="B26" s="2661" t="s">
        <v>3816</v>
      </c>
      <c r="C26" s="2662" t="s">
        <v>625</v>
      </c>
      <c r="D26" s="2662" t="s">
        <v>626</v>
      </c>
      <c r="E26" s="2663" t="s">
        <v>627</v>
      </c>
      <c r="F26" s="2664" t="s">
        <v>162</v>
      </c>
      <c r="G26" s="2664" t="s">
        <v>628</v>
      </c>
      <c r="H26" s="2664" t="s">
        <v>629</v>
      </c>
      <c r="I26" s="2664" t="s">
        <v>630</v>
      </c>
      <c r="J26" s="2664" t="s">
        <v>631</v>
      </c>
      <c r="K26" s="2664" t="s">
        <v>701</v>
      </c>
      <c r="L26" s="2665" t="s">
        <v>632</v>
      </c>
      <c r="O26" s="357"/>
      <c r="P26" s="2659"/>
      <c r="AP26" s="807"/>
      <c r="AQ26" s="806"/>
      <c r="AR26" s="804"/>
      <c r="AS26" s="804"/>
      <c r="AT26" s="794"/>
      <c r="AU26" s="794"/>
      <c r="AX26" s="67"/>
      <c r="AY26" s="67"/>
      <c r="AZ26" s="67"/>
      <c r="BA26" s="67"/>
      <c r="BB26" s="67"/>
    </row>
    <row r="27" spans="1:54" ht="20.100000000000001" customHeight="1" x14ac:dyDescent="0.35">
      <c r="A27" s="3604"/>
      <c r="B27" s="2308" t="s">
        <v>432</v>
      </c>
      <c r="C27" s="1477">
        <f>IF(BBR_Override="",'Product Data'!E27+BBR,'Product Data'!E27+BBR_Override)</f>
        <v>7.1400000000000005E-2</v>
      </c>
      <c r="D27" s="1486" t="s">
        <v>656</v>
      </c>
      <c r="E27" s="1478">
        <f>IF('BTL Calculator'!V2 = "Core",3.04%,3.14%)</f>
        <v>3.1400000000000004E-2</v>
      </c>
      <c r="F27" s="1479">
        <v>0.03</v>
      </c>
      <c r="G27" s="1486" t="s">
        <v>656</v>
      </c>
      <c r="H27" s="1478">
        <v>0.03</v>
      </c>
      <c r="I27" s="1479" t="s">
        <v>656</v>
      </c>
      <c r="J27" s="1486" t="s">
        <v>656</v>
      </c>
      <c r="K27" s="1478">
        <f>MVR</f>
        <v>8.5900000000000004E-2</v>
      </c>
      <c r="L27" s="1487" t="s">
        <v>657</v>
      </c>
      <c r="O27" s="357"/>
      <c r="P27" s="2659"/>
      <c r="AP27" s="807"/>
      <c r="AQ27" s="806"/>
      <c r="AR27" s="804"/>
      <c r="AS27" s="804"/>
      <c r="AT27" s="794"/>
      <c r="AU27" s="794"/>
      <c r="AX27" s="67"/>
      <c r="AY27" s="67"/>
      <c r="AZ27" s="67"/>
      <c r="BA27" s="67"/>
      <c r="BB27" s="67"/>
    </row>
    <row r="28" spans="1:54" ht="20.100000000000001" customHeight="1" x14ac:dyDescent="0.35">
      <c r="A28" s="3604"/>
      <c r="B28" s="2308" t="s">
        <v>433</v>
      </c>
      <c r="C28" s="1477">
        <f>IF(BBR_Override="",'Product Data'!E28+BBR,'Product Data'!E28+BBR_Override)</f>
        <v>7.6399999999999996E-2</v>
      </c>
      <c r="D28" s="1486" t="s">
        <v>656</v>
      </c>
      <c r="E28" s="1478">
        <f>IF('BTL Calculator'!V2 = "Core",3.24%,3.64%)</f>
        <v>3.6400000000000002E-2</v>
      </c>
      <c r="F28" s="1479">
        <v>0.03</v>
      </c>
      <c r="G28" s="1486" t="s">
        <v>656</v>
      </c>
      <c r="H28" s="1478">
        <v>0.03</v>
      </c>
      <c r="I28" s="1479" t="s">
        <v>656</v>
      </c>
      <c r="J28" s="1486" t="s">
        <v>656</v>
      </c>
      <c r="K28" s="1478">
        <f>MVR+0.4%</f>
        <v>8.9900000000000008E-2</v>
      </c>
      <c r="L28" s="1487" t="s">
        <v>664</v>
      </c>
      <c r="O28" s="357"/>
      <c r="P28" s="2659"/>
      <c r="AP28" s="807"/>
      <c r="AQ28" s="806"/>
      <c r="AR28" s="804"/>
      <c r="AS28" s="804"/>
      <c r="AT28" s="794"/>
      <c r="AU28" s="794"/>
      <c r="AX28" s="67"/>
      <c r="AY28" s="67"/>
      <c r="AZ28" s="67"/>
      <c r="BA28" s="67"/>
      <c r="BB28" s="67"/>
    </row>
    <row r="29" spans="1:54" ht="20.100000000000001" customHeight="1" thickBot="1" x14ac:dyDescent="0.4">
      <c r="A29" s="3604"/>
      <c r="B29" s="2308" t="s">
        <v>434</v>
      </c>
      <c r="C29" s="1477">
        <f>IF(BBR_Override="",'Product Data'!E29+BBR,'Product Data'!E29+BBR_Override)</f>
        <v>7.9399999999999998E-2</v>
      </c>
      <c r="D29" s="1486" t="s">
        <v>656</v>
      </c>
      <c r="E29" s="1478">
        <f>IF('BTL Calculator'!V2 = "Core","",3.94%)</f>
        <v>3.9399999999999998E-2</v>
      </c>
      <c r="F29" s="1479">
        <v>0.03</v>
      </c>
      <c r="G29" s="1486" t="s">
        <v>656</v>
      </c>
      <c r="H29" s="1478">
        <v>0.03</v>
      </c>
      <c r="I29" s="1479" t="s">
        <v>656</v>
      </c>
      <c r="J29" s="1486" t="s">
        <v>656</v>
      </c>
      <c r="K29" s="1478">
        <f>MVR+1%</f>
        <v>9.5899999999999999E-2</v>
      </c>
      <c r="L29" s="1488" t="s">
        <v>676</v>
      </c>
      <c r="O29" s="357"/>
      <c r="P29" s="2659"/>
      <c r="AP29" s="807"/>
      <c r="AQ29" s="806"/>
      <c r="AR29" s="804"/>
      <c r="AS29" s="804"/>
      <c r="AT29" s="794"/>
      <c r="AU29" s="794"/>
      <c r="AX29" s="67"/>
      <c r="AY29" s="67"/>
      <c r="AZ29" s="67"/>
      <c r="BA29" s="67"/>
      <c r="BB29" s="67"/>
    </row>
    <row r="30" spans="1:54" ht="20.100000000000001" customHeight="1" thickBot="1" x14ac:dyDescent="0.4">
      <c r="A30" s="3604"/>
      <c r="B30" s="2309"/>
      <c r="C30" s="1480"/>
      <c r="D30" s="1505"/>
      <c r="E30" s="1481"/>
      <c r="F30" s="1482"/>
      <c r="G30" s="1505"/>
      <c r="H30" s="1481"/>
      <c r="I30" s="1482"/>
      <c r="J30" s="1505"/>
      <c r="K30" s="1481"/>
      <c r="L30" s="1488"/>
      <c r="O30" s="357"/>
      <c r="P30" s="2659"/>
      <c r="AP30" s="807"/>
      <c r="AQ30" s="806"/>
      <c r="AR30" s="804"/>
      <c r="AS30" s="804"/>
      <c r="AT30" s="794"/>
      <c r="AU30" s="794"/>
      <c r="AX30" s="67"/>
      <c r="AY30" s="67"/>
      <c r="AZ30" s="67"/>
      <c r="BA30" s="67"/>
      <c r="BB30" s="67"/>
    </row>
    <row r="31" spans="1:54" x14ac:dyDescent="0.35">
      <c r="G31" s="561"/>
      <c r="AP31" s="807"/>
      <c r="AQ31" s="806"/>
      <c r="AR31" s="804"/>
      <c r="AS31" s="804"/>
      <c r="AT31" s="794"/>
      <c r="AU31" s="794"/>
      <c r="AX31" s="67"/>
      <c r="AY31" s="67"/>
      <c r="AZ31" s="67"/>
      <c r="BA31" s="67"/>
      <c r="BB31" s="67"/>
    </row>
    <row r="32" spans="1:54" ht="20.25" customHeight="1" thickBot="1" x14ac:dyDescent="0.4">
      <c r="G32" s="561"/>
      <c r="O32" s="357" t="s">
        <v>714</v>
      </c>
      <c r="P32" s="825">
        <v>1.4999999999999999E-2</v>
      </c>
      <c r="AP32" s="807"/>
      <c r="AQ32" s="806"/>
      <c r="AR32" s="804"/>
      <c r="AS32" s="804"/>
      <c r="AT32" s="794"/>
      <c r="AU32" s="794"/>
      <c r="AX32" s="67"/>
      <c r="AY32" s="67"/>
      <c r="AZ32" s="67"/>
      <c r="BA32" s="67"/>
      <c r="BB32" s="67"/>
    </row>
    <row r="33" spans="1:54" ht="49.5" customHeight="1" x14ac:dyDescent="0.45">
      <c r="A33" s="3606" t="s">
        <v>3702</v>
      </c>
      <c r="B33" s="2125" t="s">
        <v>385</v>
      </c>
      <c r="C33" s="1483" t="s">
        <v>625</v>
      </c>
      <c r="D33" s="1483" t="s">
        <v>626</v>
      </c>
      <c r="E33" s="1510" t="s">
        <v>627</v>
      </c>
      <c r="F33" s="1484" t="s">
        <v>162</v>
      </c>
      <c r="G33" s="1484" t="s">
        <v>628</v>
      </c>
      <c r="H33" s="1484" t="s">
        <v>629</v>
      </c>
      <c r="I33" s="1484" t="s">
        <v>630</v>
      </c>
      <c r="J33" s="1484" t="s">
        <v>631</v>
      </c>
      <c r="K33" s="1484" t="s">
        <v>3811</v>
      </c>
      <c r="L33" s="1485" t="s">
        <v>632</v>
      </c>
      <c r="O33" s="357" t="s">
        <v>3728</v>
      </c>
      <c r="P33" s="825">
        <v>7.4999999999999997E-3</v>
      </c>
      <c r="AP33" s="807" t="s">
        <v>715</v>
      </c>
      <c r="AQ33" s="806"/>
      <c r="AR33" s="804" t="s">
        <v>716</v>
      </c>
      <c r="AS33" s="804">
        <v>0.75</v>
      </c>
      <c r="AT33" s="794"/>
      <c r="AU33" s="794"/>
      <c r="AX33" s="67"/>
      <c r="AY33" s="67"/>
      <c r="AZ33" s="67"/>
      <c r="BA33" s="67"/>
      <c r="BB33" s="67"/>
    </row>
    <row r="34" spans="1:54" ht="19.5" customHeight="1" x14ac:dyDescent="0.35">
      <c r="A34" s="3607"/>
      <c r="B34" s="2126" t="s">
        <v>600</v>
      </c>
      <c r="C34" s="1477">
        <f>IF(BBR_Override="",'Product Data'!E34+BBR,'Product Data'!E34+BBR_Override)</f>
        <v>8.9900000000000008E-2</v>
      </c>
      <c r="D34" s="1486" t="s">
        <v>170</v>
      </c>
      <c r="E34" s="1478">
        <v>4.99E-2</v>
      </c>
      <c r="F34" s="1479" t="s">
        <v>170</v>
      </c>
      <c r="G34" s="1486" t="s">
        <v>170</v>
      </c>
      <c r="H34" s="1478">
        <v>0.02</v>
      </c>
      <c r="I34" s="1479" t="s">
        <v>170</v>
      </c>
      <c r="J34" s="1486" t="s">
        <v>170</v>
      </c>
      <c r="K34" s="1478">
        <f>MVR+0.3%</f>
        <v>8.8900000000000007E-2</v>
      </c>
      <c r="L34" s="1487"/>
      <c r="M34" s="822"/>
      <c r="N34" s="1501" t="s">
        <v>61</v>
      </c>
      <c r="O34" s="3615" t="s">
        <v>717</v>
      </c>
      <c r="P34" s="3615"/>
      <c r="Q34" s="3615"/>
      <c r="AP34" s="808" t="s">
        <v>718</v>
      </c>
      <c r="AQ34" s="809"/>
      <c r="AR34" s="810" t="s">
        <v>719</v>
      </c>
      <c r="AS34" s="811" t="e">
        <f>IF('Bespoke Tier'!E11=70%,AS20,IF('Bespoke Tier'!$E$11&gt;= 65%,AS21,IF('Bespoke Tier'!E11&gt;=60%,AS22,IF('Bespoke Tier'!E11&gt;=55%,AS23,AS33))))</f>
        <v>#N/A</v>
      </c>
      <c r="AT34" s="812"/>
      <c r="AU34" s="794"/>
    </row>
    <row r="35" spans="1:54" ht="19.5" customHeight="1" x14ac:dyDescent="0.35">
      <c r="A35" s="3607"/>
      <c r="B35" s="2126" t="s">
        <v>607</v>
      </c>
      <c r="C35" s="1477">
        <f>IF(BBR_Override="",'Product Data'!E35+BBR,'Product Data'!E35+BBR_Override)</f>
        <v>9.290000000000001E-2</v>
      </c>
      <c r="D35" s="1486" t="s">
        <v>170</v>
      </c>
      <c r="E35" s="1478">
        <v>5.2900000000000003E-2</v>
      </c>
      <c r="F35" s="1479" t="s">
        <v>170</v>
      </c>
      <c r="G35" s="1486" t="s">
        <v>170</v>
      </c>
      <c r="H35" s="1478">
        <v>0.02</v>
      </c>
      <c r="I35" s="1479" t="s">
        <v>170</v>
      </c>
      <c r="J35" s="1486" t="s">
        <v>170</v>
      </c>
      <c r="K35" s="1478">
        <f>MVR+1.5%</f>
        <v>0.1009</v>
      </c>
      <c r="L35" s="1487"/>
      <c r="M35" s="822"/>
      <c r="N35" s="1501" t="s">
        <v>64</v>
      </c>
      <c r="O35" s="824" t="s">
        <v>720</v>
      </c>
      <c r="P35" s="824" t="s">
        <v>720</v>
      </c>
      <c r="Q35" s="794" t="s">
        <v>25</v>
      </c>
      <c r="AU35" s="159"/>
    </row>
    <row r="36" spans="1:54" ht="19.5" customHeight="1" thickBot="1" x14ac:dyDescent="0.4">
      <c r="A36" s="3607"/>
      <c r="B36" s="593"/>
      <c r="C36" s="2533"/>
      <c r="D36" s="2534"/>
      <c r="E36" s="2533"/>
      <c r="F36" s="2533"/>
      <c r="G36" s="2534"/>
      <c r="H36" s="2533"/>
      <c r="I36" s="2533"/>
      <c r="J36" s="2534"/>
      <c r="K36" s="2533"/>
      <c r="L36" s="2131"/>
      <c r="M36" s="824"/>
      <c r="N36" s="824"/>
      <c r="O36" s="824" t="s">
        <v>721</v>
      </c>
      <c r="P36" s="824" t="s">
        <v>721</v>
      </c>
      <c r="Q36" s="794" t="s">
        <v>25</v>
      </c>
    </row>
    <row r="37" spans="1:54" ht="49.5" customHeight="1" x14ac:dyDescent="0.45">
      <c r="A37" s="3607"/>
      <c r="B37" s="2129" t="s">
        <v>684</v>
      </c>
      <c r="C37" s="1502" t="s">
        <v>625</v>
      </c>
      <c r="D37" s="1502" t="s">
        <v>626</v>
      </c>
      <c r="E37" s="1511" t="s">
        <v>627</v>
      </c>
      <c r="F37" s="1503" t="s">
        <v>162</v>
      </c>
      <c r="G37" s="1503" t="s">
        <v>628</v>
      </c>
      <c r="H37" s="1503" t="s">
        <v>629</v>
      </c>
      <c r="I37" s="1503" t="s">
        <v>630</v>
      </c>
      <c r="J37" s="1503" t="s">
        <v>631</v>
      </c>
      <c r="K37" s="1503" t="s">
        <v>685</v>
      </c>
      <c r="L37" s="1504" t="s">
        <v>632</v>
      </c>
      <c r="M37" s="824"/>
      <c r="N37" s="824"/>
      <c r="O37" s="824" t="s">
        <v>722</v>
      </c>
      <c r="P37" s="824" t="s">
        <v>722</v>
      </c>
      <c r="Q37" s="794" t="s">
        <v>25</v>
      </c>
      <c r="AO37" s="3609" t="s">
        <v>723</v>
      </c>
      <c r="AP37" s="2109" t="e">
        <f>'BTL Calculator'!F89</f>
        <v>#N/A</v>
      </c>
    </row>
    <row r="38" spans="1:54" ht="19.5" customHeight="1" x14ac:dyDescent="0.35">
      <c r="A38" s="3607"/>
      <c r="B38" s="2126" t="s">
        <v>600</v>
      </c>
      <c r="C38" s="1477">
        <f>IF(BBR_Override="",'Product Data'!E38+BBR,'Product Data'!E38+BBR_Override)</f>
        <v>8.0399999999999999E-2</v>
      </c>
      <c r="D38" s="1486" t="s">
        <v>170</v>
      </c>
      <c r="E38" s="1478">
        <v>4.0399999999999998E-2</v>
      </c>
      <c r="F38" s="1479" t="s">
        <v>170</v>
      </c>
      <c r="G38" s="1486" t="s">
        <v>170</v>
      </c>
      <c r="H38" s="1478">
        <v>0.04</v>
      </c>
      <c r="I38" s="1479" t="s">
        <v>170</v>
      </c>
      <c r="J38" s="1486" t="s">
        <v>170</v>
      </c>
      <c r="K38" s="1478">
        <f>MVR+0.3%</f>
        <v>8.8900000000000007E-2</v>
      </c>
      <c r="L38" s="1487"/>
      <c r="M38" s="824"/>
      <c r="N38" s="824"/>
      <c r="O38" s="824" t="s">
        <v>724</v>
      </c>
      <c r="P38" s="824" t="s">
        <v>724</v>
      </c>
      <c r="Q38" s="794" t="s">
        <v>25</v>
      </c>
      <c r="AO38" s="3609"/>
      <c r="AP38" s="2109" t="e">
        <f>'BTL Calculator'!I89</f>
        <v>#N/A</v>
      </c>
    </row>
    <row r="39" spans="1:54" ht="19.5" customHeight="1" x14ac:dyDescent="0.35">
      <c r="A39" s="3607"/>
      <c r="B39" s="2126" t="s">
        <v>607</v>
      </c>
      <c r="C39" s="1477">
        <f>IF(BBR_Override="",'Product Data'!E39+BBR,'Product Data'!E39+BBR_Override)</f>
        <v>8.3400000000000002E-2</v>
      </c>
      <c r="D39" s="1486" t="s">
        <v>170</v>
      </c>
      <c r="E39" s="1478">
        <v>4.3400000000000001E-2</v>
      </c>
      <c r="F39" s="1479" t="s">
        <v>170</v>
      </c>
      <c r="G39" s="1486" t="s">
        <v>170</v>
      </c>
      <c r="H39" s="1478">
        <v>0.04</v>
      </c>
      <c r="I39" s="1479" t="s">
        <v>170</v>
      </c>
      <c r="J39" s="1486" t="s">
        <v>170</v>
      </c>
      <c r="K39" s="1478">
        <f>MVR+1.5%</f>
        <v>0.1009</v>
      </c>
      <c r="L39" s="1487"/>
      <c r="M39" s="824"/>
      <c r="N39" s="824"/>
      <c r="O39" s="824" t="s">
        <v>725</v>
      </c>
      <c r="P39" s="824" t="s">
        <v>725</v>
      </c>
      <c r="Q39" s="794" t="s">
        <v>25</v>
      </c>
      <c r="AO39" s="3609"/>
      <c r="AP39" s="2109" t="e">
        <f>'BTL Calculator'!L89</f>
        <v>#N/A</v>
      </c>
    </row>
    <row r="40" spans="1:54" ht="19.5" customHeight="1" thickBot="1" x14ac:dyDescent="0.4">
      <c r="A40" s="3607"/>
      <c r="L40" s="2132"/>
      <c r="M40" s="824"/>
      <c r="N40" s="824"/>
      <c r="O40" s="824" t="s">
        <v>726</v>
      </c>
      <c r="P40" s="824" t="s">
        <v>726</v>
      </c>
      <c r="Q40" s="794" t="s">
        <v>25</v>
      </c>
      <c r="AO40" s="3609"/>
    </row>
    <row r="41" spans="1:54" ht="49.5" customHeight="1" x14ac:dyDescent="0.45">
      <c r="A41" s="3607"/>
      <c r="B41" s="2130" t="s">
        <v>700</v>
      </c>
      <c r="C41" s="1507" t="s">
        <v>625</v>
      </c>
      <c r="D41" s="1507" t="s">
        <v>626</v>
      </c>
      <c r="E41" s="1512" t="s">
        <v>627</v>
      </c>
      <c r="F41" s="1508" t="s">
        <v>162</v>
      </c>
      <c r="G41" s="1508" t="s">
        <v>628</v>
      </c>
      <c r="H41" s="1508" t="s">
        <v>629</v>
      </c>
      <c r="I41" s="1508" t="s">
        <v>630</v>
      </c>
      <c r="J41" s="1508" t="s">
        <v>631</v>
      </c>
      <c r="K41" s="1508" t="s">
        <v>701</v>
      </c>
      <c r="L41" s="1509" t="s">
        <v>632</v>
      </c>
      <c r="M41" s="824"/>
      <c r="N41" s="824"/>
      <c r="O41" s="824" t="s">
        <v>727</v>
      </c>
      <c r="P41" s="824" t="s">
        <v>727</v>
      </c>
      <c r="Q41" s="794" t="s">
        <v>25</v>
      </c>
      <c r="AO41" s="3609"/>
      <c r="AP41" s="2104" t="e">
        <f>IF(AP37&gt;3000000,1,0)</f>
        <v>#N/A</v>
      </c>
    </row>
    <row r="42" spans="1:54" ht="19.5" customHeight="1" x14ac:dyDescent="0.35">
      <c r="A42" s="3607"/>
      <c r="B42" s="2126" t="s">
        <v>600</v>
      </c>
      <c r="C42" s="1477">
        <f>IF(BBR_Override="",'Product Data'!E42+BBR,'Product Data'!E42+BBR_Override)</f>
        <v>7.0400000000000004E-2</v>
      </c>
      <c r="D42" s="1486" t="s">
        <v>170</v>
      </c>
      <c r="E42" s="1478">
        <v>3.04E-2</v>
      </c>
      <c r="F42" s="1479">
        <v>0.06</v>
      </c>
      <c r="G42" s="1486" t="s">
        <v>170</v>
      </c>
      <c r="H42" s="1478">
        <v>0.06</v>
      </c>
      <c r="I42" s="1479" t="s">
        <v>170</v>
      </c>
      <c r="J42" s="1486" t="s">
        <v>170</v>
      </c>
      <c r="K42" s="1478">
        <f>MVR+0.3%</f>
        <v>8.8900000000000007E-2</v>
      </c>
      <c r="L42" s="1487"/>
      <c r="M42" s="824"/>
      <c r="N42" s="824"/>
      <c r="O42" s="824" t="s">
        <v>728</v>
      </c>
      <c r="P42" s="824" t="s">
        <v>728</v>
      </c>
      <c r="Q42" s="794" t="s">
        <v>321</v>
      </c>
      <c r="AO42" s="3609"/>
      <c r="AP42" s="2104" t="e">
        <f>IF(AP38&gt;3000000,1,0)</f>
        <v>#N/A</v>
      </c>
    </row>
    <row r="43" spans="1:54" ht="19.5" customHeight="1" thickBot="1" x14ac:dyDescent="0.4">
      <c r="A43" s="3608"/>
      <c r="B43" s="2127" t="s">
        <v>607</v>
      </c>
      <c r="C43" s="1480">
        <f>IF(BBR_Override="",'Product Data'!E43+BBR,'Product Data'!E43+BBR_Override)</f>
        <v>7.3399999999999993E-2</v>
      </c>
      <c r="D43" s="1505" t="s">
        <v>170</v>
      </c>
      <c r="E43" s="1481">
        <v>3.3399999999999999E-2</v>
      </c>
      <c r="F43" s="1482">
        <v>0.06</v>
      </c>
      <c r="G43" s="1505" t="s">
        <v>170</v>
      </c>
      <c r="H43" s="1481">
        <v>0.06</v>
      </c>
      <c r="I43" s="1482" t="s">
        <v>170</v>
      </c>
      <c r="J43" s="1505" t="s">
        <v>170</v>
      </c>
      <c r="K43" s="1478">
        <f>MVR+1.5%</f>
        <v>0.1009</v>
      </c>
      <c r="L43" s="2133"/>
      <c r="M43" s="824"/>
      <c r="N43" s="824"/>
      <c r="O43" s="824" t="s">
        <v>729</v>
      </c>
      <c r="P43" s="824" t="s">
        <v>729</v>
      </c>
      <c r="Q43" s="794" t="s">
        <v>321</v>
      </c>
      <c r="AO43" s="3609"/>
      <c r="AP43" s="2104" t="e">
        <f>IF(AP39&gt;3000000,1,0)</f>
        <v>#N/A</v>
      </c>
    </row>
    <row r="44" spans="1:54" x14ac:dyDescent="0.35">
      <c r="L44" s="824"/>
      <c r="M44" s="824"/>
      <c r="N44" s="824"/>
      <c r="O44" s="824" t="s">
        <v>730</v>
      </c>
      <c r="P44" s="824" t="s">
        <v>730</v>
      </c>
      <c r="Q44" s="794" t="s">
        <v>321</v>
      </c>
      <c r="AO44" s="3609"/>
      <c r="AP44" s="67" t="e">
        <f>AP41+AP42+AP43</f>
        <v>#N/A</v>
      </c>
    </row>
    <row r="45" spans="1:54" ht="18.75" thickBot="1" x14ac:dyDescent="0.4">
      <c r="L45" s="824"/>
      <c r="M45" s="824"/>
      <c r="N45" s="824"/>
      <c r="O45" s="824" t="s">
        <v>731</v>
      </c>
      <c r="P45" s="824" t="s">
        <v>731</v>
      </c>
      <c r="Q45" s="794" t="s">
        <v>321</v>
      </c>
    </row>
    <row r="46" spans="1:54" ht="49.5" x14ac:dyDescent="0.45">
      <c r="A46" s="3606" t="s">
        <v>3703</v>
      </c>
      <c r="B46" s="2125" t="s">
        <v>385</v>
      </c>
      <c r="C46" s="1483" t="s">
        <v>625</v>
      </c>
      <c r="D46" s="1483" t="s">
        <v>626</v>
      </c>
      <c r="E46" s="1510" t="s">
        <v>627</v>
      </c>
      <c r="F46" s="1484" t="s">
        <v>162</v>
      </c>
      <c r="G46" s="1484" t="s">
        <v>628</v>
      </c>
      <c r="H46" s="1484" t="s">
        <v>629</v>
      </c>
      <c r="I46" s="1484" t="s">
        <v>630</v>
      </c>
      <c r="J46" s="1484" t="s">
        <v>631</v>
      </c>
      <c r="K46" s="1484" t="s">
        <v>3811</v>
      </c>
      <c r="L46" s="1485" t="s">
        <v>632</v>
      </c>
      <c r="M46" s="824"/>
      <c r="N46" s="824"/>
      <c r="O46" s="824" t="s">
        <v>732</v>
      </c>
      <c r="P46" s="824" t="s">
        <v>732</v>
      </c>
      <c r="Q46" s="794" t="s">
        <v>321</v>
      </c>
    </row>
    <row r="47" spans="1:54" x14ac:dyDescent="0.35">
      <c r="A47" s="3607"/>
      <c r="B47" s="2126" t="s">
        <v>600</v>
      </c>
      <c r="C47" s="1477">
        <f>IF(BBR_Override="",'Product Data'!E47+BBR,'Product Data'!E47+BBR_Override)</f>
        <v>8.9900000000000008E-2</v>
      </c>
      <c r="D47" s="1486" t="s">
        <v>170</v>
      </c>
      <c r="E47" s="1478">
        <f>E34</f>
        <v>4.99E-2</v>
      </c>
      <c r="F47" s="1479" t="s">
        <v>170</v>
      </c>
      <c r="G47" s="1486" t="s">
        <v>170</v>
      </c>
      <c r="H47" s="1478">
        <v>0.02</v>
      </c>
      <c r="I47" s="1479" t="s">
        <v>170</v>
      </c>
      <c r="J47" s="1486" t="s">
        <v>170</v>
      </c>
      <c r="K47" s="1478">
        <f>MVR+0.3%</f>
        <v>8.8900000000000007E-2</v>
      </c>
      <c r="L47" s="1487"/>
      <c r="M47" s="824">
        <f>8.99+1.5</f>
        <v>10.49</v>
      </c>
      <c r="N47" s="1501" t="s">
        <v>61</v>
      </c>
      <c r="O47" s="824" t="s">
        <v>733</v>
      </c>
      <c r="P47" s="824" t="s">
        <v>733</v>
      </c>
      <c r="Q47" s="794" t="s">
        <v>321</v>
      </c>
    </row>
    <row r="48" spans="1:54" x14ac:dyDescent="0.35">
      <c r="A48" s="3607"/>
      <c r="B48" s="2126" t="s">
        <v>607</v>
      </c>
      <c r="C48" s="1477">
        <f>IF(BBR_Override="",'Product Data'!E48+BBR,'Product Data'!E48+BBR_Override)</f>
        <v>9.290000000000001E-2</v>
      </c>
      <c r="D48" s="1486" t="s">
        <v>170</v>
      </c>
      <c r="E48" s="1478">
        <f>E35</f>
        <v>5.2900000000000003E-2</v>
      </c>
      <c r="F48" s="1479" t="s">
        <v>170</v>
      </c>
      <c r="G48" s="1486" t="s">
        <v>170</v>
      </c>
      <c r="H48" s="1478">
        <v>0.02</v>
      </c>
      <c r="I48" s="1479" t="s">
        <v>170</v>
      </c>
      <c r="J48" s="1486" t="s">
        <v>170</v>
      </c>
      <c r="K48" s="1478">
        <f>MVR+1.5%</f>
        <v>0.1009</v>
      </c>
      <c r="L48" s="1487"/>
      <c r="M48" s="824"/>
      <c r="N48" s="1501" t="s">
        <v>64</v>
      </c>
      <c r="O48" s="824" t="s">
        <v>734</v>
      </c>
      <c r="P48" s="824" t="s">
        <v>734</v>
      </c>
      <c r="Q48" s="824" t="s">
        <v>315</v>
      </c>
    </row>
    <row r="49" spans="1:17" ht="18.75" thickBot="1" x14ac:dyDescent="0.4">
      <c r="A49" s="3607"/>
      <c r="B49" s="593"/>
      <c r="C49" s="2533"/>
      <c r="D49" s="2534"/>
      <c r="E49" s="2533"/>
      <c r="F49" s="2533"/>
      <c r="G49" s="2534"/>
      <c r="H49" s="2533"/>
      <c r="I49" s="2533"/>
      <c r="J49" s="2534"/>
      <c r="K49" s="2533"/>
      <c r="L49" s="2131"/>
      <c r="M49" s="824"/>
      <c r="N49" s="824"/>
      <c r="O49" s="824" t="s">
        <v>735</v>
      </c>
      <c r="P49" s="824" t="s">
        <v>735</v>
      </c>
      <c r="Q49" s="824" t="s">
        <v>317</v>
      </c>
    </row>
    <row r="50" spans="1:17" ht="49.5" x14ac:dyDescent="0.45">
      <c r="A50" s="3607"/>
      <c r="B50" s="2129" t="s">
        <v>684</v>
      </c>
      <c r="C50" s="1502" t="s">
        <v>625</v>
      </c>
      <c r="D50" s="1502" t="s">
        <v>626</v>
      </c>
      <c r="E50" s="1511" t="s">
        <v>627</v>
      </c>
      <c r="F50" s="1503" t="s">
        <v>162</v>
      </c>
      <c r="G50" s="1503" t="s">
        <v>628</v>
      </c>
      <c r="H50" s="1503" t="s">
        <v>629</v>
      </c>
      <c r="I50" s="1503" t="s">
        <v>630</v>
      </c>
      <c r="J50" s="1503" t="s">
        <v>631</v>
      </c>
      <c r="K50" s="1503" t="s">
        <v>685</v>
      </c>
      <c r="L50" s="1504" t="s">
        <v>632</v>
      </c>
      <c r="M50" s="824"/>
      <c r="N50" s="824"/>
      <c r="O50" s="824" t="s">
        <v>736</v>
      </c>
      <c r="P50" s="824" t="s">
        <v>736</v>
      </c>
      <c r="Q50" s="824" t="s">
        <v>313</v>
      </c>
    </row>
    <row r="51" spans="1:17" x14ac:dyDescent="0.35">
      <c r="A51" s="3607"/>
      <c r="B51" s="2126" t="s">
        <v>600</v>
      </c>
      <c r="C51" s="1477">
        <f>IF(BBR_Override="",'Product Data'!E51+BBR,'Product Data'!E51+BBR_Override)</f>
        <v>8.0399999999999999E-2</v>
      </c>
      <c r="D51" s="1486" t="s">
        <v>170</v>
      </c>
      <c r="E51" s="1478">
        <f>E38</f>
        <v>4.0399999999999998E-2</v>
      </c>
      <c r="F51" s="1479" t="s">
        <v>170</v>
      </c>
      <c r="G51" s="1486" t="s">
        <v>170</v>
      </c>
      <c r="H51" s="1478">
        <v>0.04</v>
      </c>
      <c r="I51" s="1479" t="s">
        <v>170</v>
      </c>
      <c r="J51" s="1486" t="s">
        <v>170</v>
      </c>
      <c r="K51" s="1478">
        <f>MVR+0.3%</f>
        <v>8.8900000000000007E-2</v>
      </c>
      <c r="L51" s="1487"/>
      <c r="M51" s="824"/>
      <c r="N51" s="824"/>
      <c r="O51" s="824" t="s">
        <v>737</v>
      </c>
      <c r="P51" s="824" t="s">
        <v>737</v>
      </c>
      <c r="Q51" s="824" t="s">
        <v>314</v>
      </c>
    </row>
    <row r="52" spans="1:17" x14ac:dyDescent="0.35">
      <c r="A52" s="3607"/>
      <c r="B52" s="2126" t="s">
        <v>607</v>
      </c>
      <c r="C52" s="1477">
        <f>IF(BBR_Override="",'Product Data'!E52+BBR,'Product Data'!E52+BBR_Override)</f>
        <v>8.3400000000000002E-2</v>
      </c>
      <c r="D52" s="1486" t="s">
        <v>170</v>
      </c>
      <c r="E52" s="1478">
        <f>E39</f>
        <v>4.3400000000000001E-2</v>
      </c>
      <c r="F52" s="1479" t="s">
        <v>170</v>
      </c>
      <c r="G52" s="1486" t="s">
        <v>170</v>
      </c>
      <c r="H52" s="1478">
        <v>0.04</v>
      </c>
      <c r="I52" s="1479" t="s">
        <v>170</v>
      </c>
      <c r="J52" s="1486" t="s">
        <v>170</v>
      </c>
      <c r="K52" s="1478">
        <f>MVR+1.5%</f>
        <v>0.1009</v>
      </c>
      <c r="L52" s="1487"/>
      <c r="M52" s="824"/>
      <c r="N52" s="824">
        <f>(4.39%+BBR)*100</f>
        <v>8.39</v>
      </c>
      <c r="O52" s="824" t="s">
        <v>318</v>
      </c>
      <c r="P52" s="824" t="s">
        <v>318</v>
      </c>
      <c r="Q52" s="824" t="s">
        <v>318</v>
      </c>
    </row>
    <row r="53" spans="1:17" ht="18.75" thickBot="1" x14ac:dyDescent="0.4">
      <c r="A53" s="3607"/>
      <c r="L53" s="2132"/>
      <c r="M53" s="824"/>
      <c r="N53" s="824"/>
      <c r="O53" s="824" t="s">
        <v>738</v>
      </c>
      <c r="P53" s="824" t="s">
        <v>738</v>
      </c>
      <c r="Q53" s="824" t="s">
        <v>312</v>
      </c>
    </row>
    <row r="54" spans="1:17" ht="49.5" x14ac:dyDescent="0.45">
      <c r="A54" s="3607"/>
      <c r="B54" s="2130" t="s">
        <v>700</v>
      </c>
      <c r="C54" s="1507" t="s">
        <v>625</v>
      </c>
      <c r="D54" s="1507" t="s">
        <v>626</v>
      </c>
      <c r="E54" s="1512" t="s">
        <v>627</v>
      </c>
      <c r="F54" s="1508" t="s">
        <v>162</v>
      </c>
      <c r="G54" s="1508" t="s">
        <v>628</v>
      </c>
      <c r="H54" s="1508" t="s">
        <v>629</v>
      </c>
      <c r="I54" s="1508" t="s">
        <v>630</v>
      </c>
      <c r="J54" s="1508" t="s">
        <v>631</v>
      </c>
      <c r="K54" s="1508" t="s">
        <v>701</v>
      </c>
      <c r="L54" s="1509" t="s">
        <v>632</v>
      </c>
      <c r="M54" s="824"/>
      <c r="N54" s="824"/>
      <c r="O54" s="824" t="s">
        <v>739</v>
      </c>
      <c r="P54" s="824" t="s">
        <v>739</v>
      </c>
      <c r="Q54" s="794" t="s">
        <v>310</v>
      </c>
    </row>
    <row r="55" spans="1:17" x14ac:dyDescent="0.35">
      <c r="A55" s="3607"/>
      <c r="B55" s="2126" t="s">
        <v>600</v>
      </c>
      <c r="C55" s="1477">
        <f>IF(BBR_Override="",'Product Data'!E55+BBR,'Product Data'!E55+BBR_Override)</f>
        <v>7.0400000000000004E-2</v>
      </c>
      <c r="D55" s="1486" t="s">
        <v>170</v>
      </c>
      <c r="E55" s="1478">
        <f>E42</f>
        <v>3.04E-2</v>
      </c>
      <c r="F55" s="1479">
        <v>0.06</v>
      </c>
      <c r="G55" s="1486" t="s">
        <v>170</v>
      </c>
      <c r="H55" s="1478">
        <v>0.06</v>
      </c>
      <c r="I55" s="1479" t="s">
        <v>170</v>
      </c>
      <c r="J55" s="1486" t="s">
        <v>170</v>
      </c>
      <c r="K55" s="1478">
        <f>MVR+0.3%</f>
        <v>8.8900000000000007E-2</v>
      </c>
      <c r="L55" s="1487"/>
      <c r="M55" s="824"/>
      <c r="N55" s="824"/>
      <c r="O55" s="824" t="s">
        <v>740</v>
      </c>
      <c r="P55" s="824" t="s">
        <v>740</v>
      </c>
      <c r="Q55" s="824"/>
    </row>
    <row r="56" spans="1:17" ht="18.75" thickBot="1" x14ac:dyDescent="0.4">
      <c r="A56" s="3608"/>
      <c r="B56" s="2127" t="s">
        <v>607</v>
      </c>
      <c r="C56" s="1480">
        <f>IF(BBR_Override="",'Product Data'!E56+BBR,'Product Data'!E56+BBR_Override)</f>
        <v>7.3399999999999993E-2</v>
      </c>
      <c r="D56" s="1505" t="s">
        <v>170</v>
      </c>
      <c r="E56" s="1478">
        <f>E43</f>
        <v>3.3399999999999999E-2</v>
      </c>
      <c r="F56" s="1482">
        <v>0.06</v>
      </c>
      <c r="G56" s="1505" t="s">
        <v>170</v>
      </c>
      <c r="H56" s="1481">
        <v>0.06</v>
      </c>
      <c r="I56" s="1482" t="s">
        <v>170</v>
      </c>
      <c r="J56" s="1505" t="s">
        <v>170</v>
      </c>
      <c r="K56" s="1478">
        <f>MVR+1.5%</f>
        <v>0.1009</v>
      </c>
      <c r="L56" s="2133"/>
      <c r="M56" s="824"/>
      <c r="N56" s="824"/>
      <c r="O56" s="824"/>
      <c r="P56" s="824"/>
      <c r="Q56" s="824"/>
    </row>
    <row r="57" spans="1:17" x14ac:dyDescent="0.35">
      <c r="L57" s="824"/>
      <c r="M57" s="824"/>
      <c r="N57" s="824"/>
      <c r="O57" s="824"/>
      <c r="P57" s="824" t="s">
        <v>741</v>
      </c>
      <c r="Q57" s="824" t="s">
        <v>311</v>
      </c>
    </row>
    <row r="58" spans="1:17" ht="18.75" thickBot="1" x14ac:dyDescent="0.4">
      <c r="L58" s="824"/>
      <c r="M58" s="824"/>
      <c r="N58" s="824"/>
      <c r="O58" s="824"/>
      <c r="P58" s="824" t="s">
        <v>741</v>
      </c>
      <c r="Q58" s="824" t="s">
        <v>316</v>
      </c>
    </row>
    <row r="59" spans="1:17" ht="45" x14ac:dyDescent="0.45">
      <c r="A59" s="3603" t="s">
        <v>742</v>
      </c>
      <c r="B59" s="2307" t="s">
        <v>385</v>
      </c>
      <c r="C59" s="1483" t="s">
        <v>625</v>
      </c>
      <c r="D59" s="2319"/>
      <c r="E59" s="1484" t="s">
        <v>162</v>
      </c>
      <c r="F59" s="2320" t="s">
        <v>630</v>
      </c>
      <c r="L59" s="824"/>
      <c r="M59" s="824"/>
      <c r="N59" s="824"/>
      <c r="O59" s="824"/>
      <c r="P59" s="824"/>
      <c r="Q59" s="824"/>
    </row>
    <row r="60" spans="1:17" x14ac:dyDescent="0.35">
      <c r="A60" s="3604"/>
      <c r="B60" s="2308" t="s">
        <v>432</v>
      </c>
      <c r="C60" s="1477">
        <f>IF('BTL Calculator'!V2 = "Core",7.29%,7.89%)</f>
        <v>7.8899999999999998E-2</v>
      </c>
      <c r="D60" s="2321"/>
      <c r="E60" s="1478">
        <v>0.02</v>
      </c>
      <c r="F60" s="1479">
        <f>MVR</f>
        <v>8.5900000000000004E-2</v>
      </c>
      <c r="H60" s="561"/>
      <c r="I60" s="561"/>
      <c r="J60" s="561"/>
      <c r="K60" s="561"/>
      <c r="L60" s="824"/>
      <c r="M60" s="824"/>
      <c r="N60" s="824"/>
      <c r="O60" s="824"/>
      <c r="P60" s="824"/>
      <c r="Q60" s="824"/>
    </row>
    <row r="61" spans="1:17" x14ac:dyDescent="0.35">
      <c r="A61" s="3604"/>
      <c r="B61" s="2308" t="s">
        <v>433</v>
      </c>
      <c r="C61" s="1477">
        <f>IF('BTL Calculator'!V2 = "Core",7.89%,8.39%)</f>
        <v>8.3900000000000002E-2</v>
      </c>
      <c r="D61" s="2321"/>
      <c r="E61" s="1478">
        <v>0.02</v>
      </c>
      <c r="F61" s="1479">
        <f>MVR+0.4%</f>
        <v>8.9900000000000008E-2</v>
      </c>
      <c r="L61" s="824"/>
      <c r="M61" s="824"/>
      <c r="N61" s="824"/>
      <c r="O61" s="824"/>
      <c r="P61" s="824"/>
      <c r="Q61" s="824"/>
    </row>
    <row r="62" spans="1:17" x14ac:dyDescent="0.35">
      <c r="A62" s="3604"/>
      <c r="B62" s="2308" t="s">
        <v>434</v>
      </c>
      <c r="C62" s="1477">
        <f>IF('BTL Calculator'!V2 = "Core","",8.79%)</f>
        <v>8.7899999999999992E-2</v>
      </c>
      <c r="D62" s="2321"/>
      <c r="E62" s="1478">
        <v>0.02</v>
      </c>
      <c r="F62" s="1479">
        <f>MVR+1%</f>
        <v>9.5899999999999999E-2</v>
      </c>
      <c r="H62" s="561"/>
      <c r="L62" s="824"/>
      <c r="M62" s="824"/>
      <c r="N62" s="824"/>
      <c r="O62" s="824"/>
      <c r="P62" s="824"/>
      <c r="Q62" s="824"/>
    </row>
    <row r="63" spans="1:17" ht="18.75" thickBot="1" x14ac:dyDescent="0.4">
      <c r="A63" s="3604"/>
      <c r="B63" s="2309"/>
      <c r="C63" s="1480"/>
      <c r="D63" s="2322"/>
      <c r="E63" s="1481"/>
      <c r="F63" s="1482"/>
      <c r="H63" s="561"/>
      <c r="L63" s="824"/>
      <c r="M63" s="824"/>
      <c r="N63" s="824"/>
      <c r="O63" s="824"/>
      <c r="P63" s="824"/>
      <c r="Q63" s="824"/>
    </row>
    <row r="64" spans="1:17" ht="18.75" thickBot="1" x14ac:dyDescent="0.4">
      <c r="A64" s="3604"/>
      <c r="B64" s="2323"/>
      <c r="C64" s="2324"/>
      <c r="D64" s="2324"/>
      <c r="E64" s="2324"/>
      <c r="F64" s="2325"/>
      <c r="H64" s="561"/>
      <c r="L64" s="824"/>
      <c r="M64" s="824"/>
      <c r="N64" s="824"/>
      <c r="O64" s="824"/>
      <c r="P64" s="824"/>
      <c r="Q64" s="824"/>
    </row>
    <row r="65" spans="1:17" ht="45" x14ac:dyDescent="0.45">
      <c r="A65" s="3604"/>
      <c r="B65" s="2326" t="s">
        <v>684</v>
      </c>
      <c r="C65" s="1502" t="s">
        <v>625</v>
      </c>
      <c r="D65" s="2319"/>
      <c r="E65" s="1503" t="s">
        <v>162</v>
      </c>
      <c r="F65" s="2327" t="s">
        <v>194</v>
      </c>
      <c r="H65" s="561"/>
      <c r="L65" s="824"/>
      <c r="M65" s="824"/>
      <c r="N65" s="824"/>
      <c r="O65" s="824"/>
      <c r="P65" s="824"/>
      <c r="Q65" s="824"/>
    </row>
    <row r="66" spans="1:17" x14ac:dyDescent="0.35">
      <c r="A66" s="3604"/>
      <c r="B66" s="2308" t="s">
        <v>432</v>
      </c>
      <c r="C66" s="1477">
        <f>IF('BTL Calculator'!V2 = "Core",6.19%,6.79%)</f>
        <v>6.7900000000000002E-2</v>
      </c>
      <c r="D66" s="2321"/>
      <c r="E66" s="1478">
        <v>0.04</v>
      </c>
      <c r="F66" s="1479">
        <f>MVR</f>
        <v>8.5900000000000004E-2</v>
      </c>
      <c r="H66" s="561"/>
      <c r="I66" s="561"/>
      <c r="J66" s="561"/>
      <c r="K66" s="561"/>
      <c r="L66" s="824"/>
      <c r="M66" s="824"/>
      <c r="N66" s="824"/>
      <c r="O66" s="824"/>
      <c r="P66" s="824"/>
      <c r="Q66" s="824"/>
    </row>
    <row r="67" spans="1:17" x14ac:dyDescent="0.35">
      <c r="A67" s="3604"/>
      <c r="B67" s="2308" t="s">
        <v>433</v>
      </c>
      <c r="C67" s="1477">
        <f>IF('BTL Calculator'!V2 = "Core",6.79%,7.29%)</f>
        <v>7.2900000000000006E-2</v>
      </c>
      <c r="D67" s="2321"/>
      <c r="E67" s="1478">
        <v>0.04</v>
      </c>
      <c r="F67" s="1479">
        <f>MVR+0.4%</f>
        <v>8.9900000000000008E-2</v>
      </c>
      <c r="L67" s="824"/>
      <c r="M67" s="824"/>
      <c r="N67" s="824"/>
      <c r="O67" s="824"/>
      <c r="P67" s="824"/>
      <c r="Q67" s="824"/>
    </row>
    <row r="68" spans="1:17" x14ac:dyDescent="0.35">
      <c r="A68" s="3604"/>
      <c r="B68" s="2308" t="s">
        <v>434</v>
      </c>
      <c r="C68" s="1477">
        <f>IF('BTL Calculator'!V2 = "Core","",7.69%)</f>
        <v>7.690000000000001E-2</v>
      </c>
      <c r="D68" s="2321"/>
      <c r="E68" s="1478">
        <v>0.04</v>
      </c>
      <c r="F68" s="1479">
        <f>MVR+1%</f>
        <v>9.5899999999999999E-2</v>
      </c>
      <c r="H68" s="561"/>
      <c r="L68" s="824"/>
      <c r="M68" s="824"/>
      <c r="N68" s="824"/>
      <c r="O68" s="824"/>
      <c r="P68" s="824"/>
      <c r="Q68" s="824"/>
    </row>
    <row r="69" spans="1:17" ht="18.75" thickBot="1" x14ac:dyDescent="0.4">
      <c r="A69" s="3604"/>
      <c r="B69" s="2309"/>
      <c r="C69" s="1480"/>
      <c r="D69" s="2322"/>
      <c r="E69" s="1481"/>
      <c r="F69" s="1482"/>
      <c r="H69" s="561"/>
      <c r="L69" s="824"/>
      <c r="M69" s="824"/>
      <c r="N69" s="824"/>
      <c r="O69" s="824"/>
      <c r="P69" s="824"/>
      <c r="Q69" s="824"/>
    </row>
    <row r="70" spans="1:17" ht="18.75" thickBot="1" x14ac:dyDescent="0.4">
      <c r="A70" s="3604"/>
      <c r="B70" s="2141"/>
      <c r="C70" s="287"/>
      <c r="D70" s="287"/>
      <c r="E70" s="287"/>
      <c r="F70" s="2151"/>
      <c r="H70" s="561"/>
      <c r="L70" s="824"/>
      <c r="M70" s="824"/>
      <c r="N70" s="824"/>
      <c r="O70" s="824"/>
      <c r="P70" s="824"/>
      <c r="Q70" s="824"/>
    </row>
    <row r="71" spans="1:17" ht="45" x14ac:dyDescent="0.45">
      <c r="A71" s="3604"/>
      <c r="B71" s="2328" t="s">
        <v>700</v>
      </c>
      <c r="C71" s="1507" t="s">
        <v>625</v>
      </c>
      <c r="D71" s="2319"/>
      <c r="E71" s="1508" t="s">
        <v>162</v>
      </c>
      <c r="F71" s="2329" t="s">
        <v>194</v>
      </c>
      <c r="H71" s="561"/>
      <c r="L71" s="824"/>
      <c r="M71" s="824"/>
      <c r="N71" s="824"/>
      <c r="O71" s="824"/>
      <c r="P71" s="824"/>
      <c r="Q71" s="824"/>
    </row>
    <row r="72" spans="1:17" x14ac:dyDescent="0.35">
      <c r="A72" s="3604"/>
      <c r="B72" s="2308" t="s">
        <v>432</v>
      </c>
      <c r="C72" s="1477">
        <f>IF('BTL Calculator'!V2 = "Core",5.29%,5.89%)</f>
        <v>5.8899999999999994E-2</v>
      </c>
      <c r="D72" s="2321"/>
      <c r="E72" s="1478">
        <v>0.06</v>
      </c>
      <c r="F72" s="1479">
        <f>MVR</f>
        <v>8.5900000000000004E-2</v>
      </c>
      <c r="L72" s="824"/>
      <c r="M72" s="824"/>
      <c r="N72" s="824"/>
      <c r="O72" s="824"/>
      <c r="P72" s="824"/>
      <c r="Q72" s="824"/>
    </row>
    <row r="73" spans="1:17" x14ac:dyDescent="0.35">
      <c r="A73" s="3604"/>
      <c r="B73" s="2308" t="s">
        <v>433</v>
      </c>
      <c r="C73" s="1477">
        <f>IF('BTL Calculator'!V2 = "Core",5.89%,6.39%)</f>
        <v>6.3899999999999998E-2</v>
      </c>
      <c r="D73" s="2321"/>
      <c r="E73" s="1478">
        <v>0.06</v>
      </c>
      <c r="F73" s="1479">
        <f>MVR+0.4%</f>
        <v>8.9900000000000008E-2</v>
      </c>
      <c r="L73" s="824"/>
      <c r="M73" s="824"/>
      <c r="N73" s="824"/>
      <c r="O73" s="824"/>
      <c r="P73" s="824"/>
      <c r="Q73" s="824"/>
    </row>
    <row r="74" spans="1:17" x14ac:dyDescent="0.35">
      <c r="A74" s="3604"/>
      <c r="B74" s="2308" t="s">
        <v>434</v>
      </c>
      <c r="C74" s="1477">
        <f>IF('BTL Calculator'!V2 = "Core","",6.79%)</f>
        <v>6.7900000000000002E-2</v>
      </c>
      <c r="D74" s="2321"/>
      <c r="E74" s="1478">
        <v>0.06</v>
      </c>
      <c r="F74" s="1479">
        <f>MVR+1%</f>
        <v>9.5899999999999999E-2</v>
      </c>
      <c r="L74" s="2354"/>
      <c r="M74" s="824"/>
      <c r="N74" s="824"/>
      <c r="O74" s="824"/>
      <c r="P74" s="824"/>
      <c r="Q74" s="824"/>
    </row>
    <row r="75" spans="1:17" ht="18.75" thickBot="1" x14ac:dyDescent="0.4">
      <c r="A75" s="3604"/>
      <c r="B75" s="2309"/>
      <c r="C75" s="1480"/>
      <c r="D75" s="2322"/>
      <c r="E75" s="1481"/>
      <c r="F75" s="1482"/>
      <c r="L75" s="824"/>
      <c r="M75" s="824"/>
      <c r="N75" s="824"/>
      <c r="O75" s="824"/>
      <c r="P75" s="824"/>
      <c r="Q75" s="824"/>
    </row>
    <row r="76" spans="1:17" ht="18.75" thickBot="1" x14ac:dyDescent="0.4">
      <c r="A76" s="3604"/>
      <c r="B76" s="593"/>
      <c r="C76" s="2533"/>
      <c r="D76" s="2660"/>
      <c r="E76" s="2656"/>
      <c r="F76" s="2657"/>
      <c r="L76" s="824"/>
      <c r="M76" s="824"/>
      <c r="N76" s="824"/>
      <c r="O76" s="824"/>
      <c r="P76" s="824"/>
      <c r="Q76" s="824"/>
    </row>
    <row r="77" spans="1:17" ht="45" x14ac:dyDescent="0.45">
      <c r="A77" s="3604"/>
      <c r="B77" s="2661" t="s">
        <v>3816</v>
      </c>
      <c r="C77" s="2662" t="s">
        <v>625</v>
      </c>
      <c r="D77" s="2319"/>
      <c r="E77" s="2664" t="s">
        <v>162</v>
      </c>
      <c r="F77" s="2666" t="s">
        <v>194</v>
      </c>
      <c r="L77" s="824"/>
      <c r="M77" s="824"/>
      <c r="N77" s="824"/>
      <c r="O77" s="824"/>
      <c r="P77" s="824"/>
      <c r="Q77" s="824"/>
    </row>
    <row r="78" spans="1:17" x14ac:dyDescent="0.35">
      <c r="A78" s="3604"/>
      <c r="B78" s="2308" t="s">
        <v>432</v>
      </c>
      <c r="C78" s="1477">
        <f>IF('BTL Calculator'!V2 = "Core",6.79%,7.39%)</f>
        <v>7.3899999999999993E-2</v>
      </c>
      <c r="D78" s="2321"/>
      <c r="E78" s="1478">
        <v>0.03</v>
      </c>
      <c r="F78" s="1479">
        <f>MVR</f>
        <v>8.5900000000000004E-2</v>
      </c>
      <c r="L78" s="824"/>
      <c r="M78" s="824"/>
      <c r="N78" s="824"/>
      <c r="O78" s="824"/>
      <c r="P78" s="824"/>
      <c r="Q78" s="824"/>
    </row>
    <row r="79" spans="1:17" x14ac:dyDescent="0.35">
      <c r="A79" s="3604"/>
      <c r="B79" s="2308" t="s">
        <v>433</v>
      </c>
      <c r="C79" s="1477">
        <f>IF('BTL Calculator'!V2 = "Core",7.39%,7.89%)</f>
        <v>7.8899999999999998E-2</v>
      </c>
      <c r="D79" s="2321"/>
      <c r="E79" s="1478">
        <v>0.03</v>
      </c>
      <c r="F79" s="1479">
        <f>MVR+0.4%</f>
        <v>8.9900000000000008E-2</v>
      </c>
      <c r="L79" s="824"/>
      <c r="M79" s="824"/>
      <c r="N79" s="824"/>
      <c r="O79" s="824"/>
      <c r="P79" s="824"/>
      <c r="Q79" s="824"/>
    </row>
    <row r="80" spans="1:17" x14ac:dyDescent="0.35">
      <c r="A80" s="3604"/>
      <c r="B80" s="2308" t="s">
        <v>434</v>
      </c>
      <c r="C80" s="1477">
        <f>IF('BTL Calculator'!V2 = "Core","",8.29%)</f>
        <v>8.2899999999999988E-2</v>
      </c>
      <c r="D80" s="2321"/>
      <c r="E80" s="1478">
        <v>0.03</v>
      </c>
      <c r="F80" s="1479">
        <f>MVR+1%</f>
        <v>9.5899999999999999E-2</v>
      </c>
      <c r="L80" s="824"/>
      <c r="M80" s="824"/>
      <c r="N80" s="824"/>
      <c r="O80" s="824"/>
      <c r="P80" s="824"/>
      <c r="Q80" s="824"/>
    </row>
    <row r="81" spans="1:17" ht="18.75" thickBot="1" x14ac:dyDescent="0.4">
      <c r="A81" s="3604"/>
      <c r="B81" s="2309"/>
      <c r="C81" s="1480"/>
      <c r="D81" s="2322"/>
      <c r="E81" s="1481"/>
      <c r="F81" s="1482"/>
      <c r="L81" s="824"/>
      <c r="M81" s="824"/>
      <c r="N81" s="824"/>
      <c r="O81" s="824"/>
      <c r="P81" s="824"/>
      <c r="Q81" s="824"/>
    </row>
    <row r="82" spans="1:17" x14ac:dyDescent="0.35">
      <c r="L82" s="824"/>
      <c r="M82" s="824"/>
      <c r="N82" s="824"/>
      <c r="O82" s="824"/>
      <c r="P82" s="824"/>
      <c r="Q82" s="824"/>
    </row>
    <row r="83" spans="1:17" ht="18.75" thickBot="1" x14ac:dyDescent="0.4">
      <c r="L83" s="824"/>
      <c r="M83" s="824"/>
      <c r="N83" s="824"/>
      <c r="O83" s="824"/>
      <c r="P83" s="824"/>
      <c r="Q83" s="824"/>
    </row>
    <row r="84" spans="1:17" ht="45" x14ac:dyDescent="0.45">
      <c r="A84" s="3603" t="s">
        <v>743</v>
      </c>
      <c r="B84" s="2307" t="s">
        <v>385</v>
      </c>
      <c r="C84" s="1483" t="s">
        <v>625</v>
      </c>
      <c r="D84" s="2319"/>
      <c r="E84" s="1484" t="s">
        <v>162</v>
      </c>
      <c r="F84" s="2320" t="s">
        <v>630</v>
      </c>
      <c r="L84" s="824"/>
      <c r="M84" s="824"/>
      <c r="N84" s="824"/>
      <c r="O84" s="824"/>
      <c r="P84" s="824"/>
      <c r="Q84" s="824"/>
    </row>
    <row r="85" spans="1:17" x14ac:dyDescent="0.35">
      <c r="A85" s="3604"/>
      <c r="B85" s="2308" t="s">
        <v>432</v>
      </c>
      <c r="C85" s="1477">
        <f>IF('BTL Calculator'!V2 = "Core",7.19%,7.79%)</f>
        <v>7.7899999999999997E-2</v>
      </c>
      <c r="D85" s="2321"/>
      <c r="E85" s="1478">
        <v>0.02</v>
      </c>
      <c r="F85" s="1479">
        <f>MVR</f>
        <v>8.5900000000000004E-2</v>
      </c>
      <c r="I85" s="561"/>
      <c r="J85" s="561"/>
      <c r="K85" s="561"/>
      <c r="L85" s="824"/>
      <c r="M85" s="824"/>
      <c r="N85" s="824"/>
      <c r="O85" s="824"/>
      <c r="P85" s="824"/>
      <c r="Q85" s="824"/>
    </row>
    <row r="86" spans="1:17" x14ac:dyDescent="0.35">
      <c r="A86" s="3604"/>
      <c r="B86" s="2308" t="s">
        <v>433</v>
      </c>
      <c r="C86" s="1477">
        <f>IF('BTL Calculator'!V2 = "Core",7.79%,8.29%)</f>
        <v>8.2899999999999988E-2</v>
      </c>
      <c r="D86" s="2321"/>
      <c r="E86" s="1478">
        <v>0.02</v>
      </c>
      <c r="F86" s="1479">
        <f>MVR+0.4%</f>
        <v>8.9900000000000008E-2</v>
      </c>
      <c r="L86" s="824"/>
      <c r="M86" s="824"/>
      <c r="N86" s="824"/>
      <c r="O86" s="824"/>
      <c r="P86" s="824"/>
      <c r="Q86" s="824"/>
    </row>
    <row r="87" spans="1:17" x14ac:dyDescent="0.35">
      <c r="A87" s="3604"/>
      <c r="B87" s="2308" t="s">
        <v>434</v>
      </c>
      <c r="C87" s="1477">
        <f>IF('BTL Calculator'!V2 = "Core","",8.69%)</f>
        <v>8.6899999999999991E-2</v>
      </c>
      <c r="D87" s="2321"/>
      <c r="E87" s="1478">
        <v>0.02</v>
      </c>
      <c r="F87" s="1479">
        <f>MVR+1%</f>
        <v>9.5899999999999999E-2</v>
      </c>
      <c r="L87" s="824"/>
      <c r="M87" s="824"/>
      <c r="N87" s="824"/>
      <c r="O87" s="824"/>
      <c r="P87" s="824"/>
      <c r="Q87" s="824"/>
    </row>
    <row r="88" spans="1:17" ht="18.75" thickBot="1" x14ac:dyDescent="0.4">
      <c r="A88" s="3604"/>
      <c r="B88" s="2309"/>
      <c r="C88" s="1480"/>
      <c r="D88" s="2322"/>
      <c r="E88" s="1481"/>
      <c r="F88" s="1482"/>
      <c r="H88" s="561"/>
      <c r="I88" s="561"/>
      <c r="J88" s="561"/>
      <c r="K88" s="561"/>
      <c r="L88" s="824"/>
      <c r="M88" s="824"/>
      <c r="N88" s="824"/>
      <c r="O88" s="824"/>
      <c r="P88" s="824"/>
      <c r="Q88" s="824"/>
    </row>
    <row r="89" spans="1:17" ht="18.75" thickBot="1" x14ac:dyDescent="0.4">
      <c r="A89" s="3604"/>
      <c r="B89" s="2323"/>
      <c r="C89" s="2324"/>
      <c r="D89" s="2324"/>
      <c r="E89" s="2324"/>
      <c r="F89" s="2325"/>
      <c r="H89" s="561"/>
      <c r="I89" s="561"/>
      <c r="J89" s="561"/>
      <c r="K89" s="561"/>
      <c r="L89" s="824"/>
      <c r="M89" s="824"/>
      <c r="N89" s="824"/>
      <c r="O89" s="824"/>
      <c r="P89" s="824"/>
      <c r="Q89" s="824"/>
    </row>
    <row r="90" spans="1:17" ht="45" x14ac:dyDescent="0.45">
      <c r="A90" s="3604"/>
      <c r="B90" s="2326" t="s">
        <v>684</v>
      </c>
      <c r="C90" s="1502" t="s">
        <v>625</v>
      </c>
      <c r="D90" s="2319"/>
      <c r="E90" s="1503" t="s">
        <v>162</v>
      </c>
      <c r="F90" s="2327" t="s">
        <v>194</v>
      </c>
      <c r="H90" s="561"/>
      <c r="L90" s="824"/>
      <c r="M90" s="824"/>
      <c r="N90" s="824"/>
      <c r="O90" s="824"/>
      <c r="P90" s="824"/>
      <c r="Q90" s="824"/>
    </row>
    <row r="91" spans="1:17" x14ac:dyDescent="0.35">
      <c r="A91" s="3604"/>
      <c r="B91" s="2308" t="s">
        <v>432</v>
      </c>
      <c r="C91" s="1477">
        <f>IF('BTL Calculator'!V2 = "Core",6.49%,7.09%)</f>
        <v>7.0900000000000005E-2</v>
      </c>
      <c r="D91" s="2321"/>
      <c r="E91" s="1478">
        <v>0.04</v>
      </c>
      <c r="F91" s="1479">
        <f>MVR</f>
        <v>8.5900000000000004E-2</v>
      </c>
      <c r="H91" s="561"/>
      <c r="L91" s="824"/>
      <c r="M91" s="824"/>
      <c r="N91" s="824"/>
      <c r="O91" s="824"/>
      <c r="P91" s="824"/>
      <c r="Q91" s="824"/>
    </row>
    <row r="92" spans="1:17" x14ac:dyDescent="0.35">
      <c r="A92" s="3604"/>
      <c r="B92" s="2308" t="s">
        <v>433</v>
      </c>
      <c r="C92" s="1477">
        <f>IF('BTL Calculator'!V2 = "Core",7.09%,7.59%)</f>
        <v>7.5899999999999995E-2</v>
      </c>
      <c r="D92" s="2321"/>
      <c r="E92" s="1478">
        <v>0.04</v>
      </c>
      <c r="F92" s="1479">
        <f>MVR+0.4%</f>
        <v>8.9900000000000008E-2</v>
      </c>
      <c r="H92" s="561"/>
      <c r="L92" s="824"/>
      <c r="M92" s="824"/>
      <c r="N92" s="824"/>
      <c r="O92" s="824"/>
      <c r="P92" s="824"/>
      <c r="Q92" s="824"/>
    </row>
    <row r="93" spans="1:17" x14ac:dyDescent="0.35">
      <c r="A93" s="3604"/>
      <c r="B93" s="2308" t="s">
        <v>434</v>
      </c>
      <c r="C93" s="1477">
        <f>IF('BTL Calculator'!V2 = "Core","",7.99%)</f>
        <v>7.9899999999999999E-2</v>
      </c>
      <c r="D93" s="2321"/>
      <c r="E93" s="1478">
        <v>0.04</v>
      </c>
      <c r="F93" s="1479">
        <f>MVR+1%</f>
        <v>9.5899999999999999E-2</v>
      </c>
      <c r="H93" s="561"/>
      <c r="L93" s="824"/>
      <c r="M93" s="824"/>
      <c r="N93" s="824"/>
      <c r="O93" s="824"/>
      <c r="P93" s="824"/>
      <c r="Q93" s="824"/>
    </row>
    <row r="94" spans="1:17" ht="18.75" thickBot="1" x14ac:dyDescent="0.4">
      <c r="A94" s="3604"/>
      <c r="B94" s="2309"/>
      <c r="C94" s="1480"/>
      <c r="D94" s="2322"/>
      <c r="E94" s="1481"/>
      <c r="F94" s="1482"/>
      <c r="H94" s="561"/>
      <c r="L94" s="824"/>
      <c r="M94" s="824"/>
      <c r="N94" s="824"/>
      <c r="O94" s="824"/>
      <c r="P94" s="824"/>
      <c r="Q94" s="824"/>
    </row>
    <row r="95" spans="1:17" ht="18.75" thickBot="1" x14ac:dyDescent="0.4">
      <c r="A95" s="3604"/>
      <c r="B95" s="2141"/>
      <c r="C95" s="287"/>
      <c r="D95" s="287"/>
      <c r="E95" s="287"/>
      <c r="F95" s="2151"/>
      <c r="L95" s="824"/>
      <c r="M95" s="824"/>
      <c r="N95" s="824"/>
      <c r="O95" s="824"/>
      <c r="P95" s="824"/>
      <c r="Q95" s="824"/>
    </row>
    <row r="96" spans="1:17" ht="45" x14ac:dyDescent="0.45">
      <c r="A96" s="3604"/>
      <c r="B96" s="2328" t="s">
        <v>700</v>
      </c>
      <c r="C96" s="1507" t="s">
        <v>625</v>
      </c>
      <c r="D96" s="2319"/>
      <c r="E96" s="1508" t="s">
        <v>162</v>
      </c>
      <c r="F96" s="2329" t="s">
        <v>194</v>
      </c>
      <c r="I96" s="67" t="s">
        <v>744</v>
      </c>
      <c r="L96" s="824"/>
      <c r="M96" s="824"/>
      <c r="N96" s="824"/>
      <c r="O96" s="824"/>
      <c r="P96" s="824"/>
      <c r="Q96" s="824"/>
    </row>
    <row r="97" spans="1:17" x14ac:dyDescent="0.35">
      <c r="A97" s="3604"/>
      <c r="B97" s="2308" t="s">
        <v>432</v>
      </c>
      <c r="C97" s="1477">
        <f>IF('BTL Calculator'!V2 = "Core",5.79%,6.39%)</f>
        <v>6.3899999999999998E-2</v>
      </c>
      <c r="D97" s="2321"/>
      <c r="E97" s="1478">
        <v>0.06</v>
      </c>
      <c r="F97" s="1479">
        <f>MVR</f>
        <v>8.5900000000000004E-2</v>
      </c>
      <c r="L97" s="824"/>
      <c r="M97" s="824"/>
      <c r="N97" s="824"/>
      <c r="O97" s="824"/>
      <c r="P97" s="824"/>
      <c r="Q97" s="824"/>
    </row>
    <row r="98" spans="1:17" x14ac:dyDescent="0.35">
      <c r="A98" s="3604"/>
      <c r="B98" s="2308" t="s">
        <v>433</v>
      </c>
      <c r="C98" s="1477">
        <f>IF('BTL Calculator'!V2 = "Core",6.39%,6.89%)</f>
        <v>6.8900000000000003E-2</v>
      </c>
      <c r="D98" s="2321"/>
      <c r="E98" s="1478">
        <v>0.06</v>
      </c>
      <c r="F98" s="1479">
        <f>MVR+0.4%</f>
        <v>8.9900000000000008E-2</v>
      </c>
      <c r="L98" s="824"/>
      <c r="M98" s="824"/>
      <c r="N98" s="824"/>
      <c r="O98" s="824"/>
      <c r="P98" s="824"/>
      <c r="Q98" s="824"/>
    </row>
    <row r="99" spans="1:17" x14ac:dyDescent="0.35">
      <c r="A99" s="3604"/>
      <c r="B99" s="2308" t="s">
        <v>434</v>
      </c>
      <c r="C99" s="1477">
        <f>IF('BTL Calculator'!V2 = "Core","",7.29%)</f>
        <v>7.2900000000000006E-2</v>
      </c>
      <c r="D99" s="2321"/>
      <c r="E99" s="1478">
        <v>0.06</v>
      </c>
      <c r="F99" s="1479">
        <f>MVR+1%</f>
        <v>9.5899999999999999E-2</v>
      </c>
      <c r="L99" s="824"/>
      <c r="M99" s="824"/>
      <c r="N99" s="824"/>
      <c r="O99" s="824"/>
      <c r="P99" s="824"/>
      <c r="Q99" s="824"/>
    </row>
    <row r="100" spans="1:17" ht="18.75" thickBot="1" x14ac:dyDescent="0.4">
      <c r="A100" s="3604"/>
      <c r="B100" s="2309"/>
      <c r="C100" s="1480"/>
      <c r="D100" s="2322"/>
      <c r="E100" s="1481"/>
      <c r="F100" s="1482"/>
      <c r="L100" s="824"/>
      <c r="M100" s="824"/>
      <c r="N100" s="824"/>
      <c r="O100" s="824"/>
      <c r="P100" s="824"/>
      <c r="Q100" s="824"/>
    </row>
    <row r="101" spans="1:17" ht="18.75" thickBot="1" x14ac:dyDescent="0.4">
      <c r="A101" s="3604"/>
      <c r="B101" s="593"/>
      <c r="C101" s="2533"/>
      <c r="D101" s="2660"/>
      <c r="E101" s="2656"/>
      <c r="F101" s="2657"/>
      <c r="L101" s="824"/>
      <c r="M101" s="824"/>
      <c r="N101" s="824"/>
      <c r="O101" s="824"/>
      <c r="P101" s="824"/>
      <c r="Q101" s="824"/>
    </row>
    <row r="102" spans="1:17" ht="45" x14ac:dyDescent="0.45">
      <c r="A102" s="3604"/>
      <c r="B102" s="2661" t="s">
        <v>3816</v>
      </c>
      <c r="C102" s="2662" t="s">
        <v>625</v>
      </c>
      <c r="D102" s="2319"/>
      <c r="E102" s="2664" t="s">
        <v>162</v>
      </c>
      <c r="F102" s="2666" t="s">
        <v>194</v>
      </c>
      <c r="L102" s="824"/>
      <c r="M102" s="824"/>
      <c r="N102" s="824"/>
      <c r="O102" s="824"/>
      <c r="P102" s="824"/>
      <c r="Q102" s="824"/>
    </row>
    <row r="103" spans="1:17" x14ac:dyDescent="0.35">
      <c r="A103" s="3604"/>
      <c r="B103" s="2308" t="s">
        <v>432</v>
      </c>
      <c r="C103" s="1477">
        <f>IF('BTL Calculator'!V2 = "Core",6.86%,7.46%)</f>
        <v>7.46E-2</v>
      </c>
      <c r="D103" s="2321"/>
      <c r="E103" s="1478">
        <v>0.03</v>
      </c>
      <c r="F103" s="1479">
        <f>MVR</f>
        <v>8.5900000000000004E-2</v>
      </c>
      <c r="L103" s="824"/>
      <c r="M103" s="824"/>
      <c r="N103" s="824"/>
      <c r="O103" s="824"/>
      <c r="P103" s="824"/>
      <c r="Q103" s="824"/>
    </row>
    <row r="104" spans="1:17" x14ac:dyDescent="0.35">
      <c r="A104" s="3604"/>
      <c r="B104" s="2308" t="s">
        <v>433</v>
      </c>
      <c r="C104" s="1477">
        <f>IF('BTL Calculator'!V2 = "Core",7.46%,7.96%)</f>
        <v>7.9600000000000004E-2</v>
      </c>
      <c r="D104" s="2321"/>
      <c r="E104" s="1478">
        <v>0.03</v>
      </c>
      <c r="F104" s="1479">
        <f>MVR+0.4%</f>
        <v>8.9900000000000008E-2</v>
      </c>
      <c r="L104" s="824"/>
      <c r="M104" s="824"/>
      <c r="N104" s="824"/>
      <c r="O104" s="824"/>
      <c r="P104" s="824"/>
      <c r="Q104" s="824"/>
    </row>
    <row r="105" spans="1:17" x14ac:dyDescent="0.35">
      <c r="A105" s="3604"/>
      <c r="B105" s="2308" t="s">
        <v>434</v>
      </c>
      <c r="C105" s="1477">
        <f>IF('BTL Calculator'!V2 = "Core","",8.36%)</f>
        <v>8.3599999999999994E-2</v>
      </c>
      <c r="D105" s="2321"/>
      <c r="E105" s="1478">
        <v>0.03</v>
      </c>
      <c r="F105" s="1479">
        <f>MVR+1%</f>
        <v>9.5899999999999999E-2</v>
      </c>
      <c r="L105" s="824"/>
      <c r="M105" s="824"/>
      <c r="N105" s="824"/>
      <c r="O105" s="824"/>
      <c r="P105" s="824"/>
      <c r="Q105" s="824"/>
    </row>
    <row r="106" spans="1:17" ht="18.75" thickBot="1" x14ac:dyDescent="0.4">
      <c r="A106" s="3604"/>
      <c r="B106" s="2309"/>
      <c r="C106" s="1480"/>
      <c r="D106" s="2322"/>
      <c r="E106" s="1481"/>
      <c r="F106" s="1482"/>
      <c r="L106" s="824"/>
      <c r="M106" s="824"/>
      <c r="N106" s="824"/>
      <c r="O106" s="824"/>
      <c r="P106" s="824"/>
      <c r="Q106" s="824"/>
    </row>
    <row r="107" spans="1:17" x14ac:dyDescent="0.35">
      <c r="L107" s="824"/>
      <c r="M107" s="824"/>
      <c r="N107" s="824"/>
      <c r="O107" s="824"/>
      <c r="P107" s="824"/>
      <c r="Q107" s="824"/>
    </row>
    <row r="108" spans="1:17" x14ac:dyDescent="0.35">
      <c r="L108" s="824"/>
      <c r="M108" s="824"/>
      <c r="N108" s="824"/>
      <c r="O108" s="824"/>
      <c r="P108" s="824"/>
      <c r="Q108" s="824"/>
    </row>
    <row r="109" spans="1:17" ht="18.75" thickBot="1" x14ac:dyDescent="0.4">
      <c r="L109" s="824"/>
      <c r="M109" s="824"/>
      <c r="N109" s="824"/>
      <c r="O109" s="824"/>
      <c r="P109" s="824"/>
      <c r="Q109" s="824"/>
    </row>
    <row r="110" spans="1:17" ht="49.5" x14ac:dyDescent="0.45">
      <c r="A110" s="3606" t="s">
        <v>3698</v>
      </c>
      <c r="B110" s="2125" t="s">
        <v>385</v>
      </c>
      <c r="C110" s="1483" t="s">
        <v>625</v>
      </c>
      <c r="D110" s="1483" t="s">
        <v>626</v>
      </c>
      <c r="E110" s="1510" t="s">
        <v>627</v>
      </c>
      <c r="F110" s="1484" t="s">
        <v>162</v>
      </c>
      <c r="G110" s="1484" t="s">
        <v>628</v>
      </c>
      <c r="H110" s="1484" t="s">
        <v>629</v>
      </c>
      <c r="I110" s="1484" t="s">
        <v>630</v>
      </c>
      <c r="J110" s="1484" t="s">
        <v>631</v>
      </c>
      <c r="K110" s="1484" t="s">
        <v>3812</v>
      </c>
      <c r="L110" s="1485" t="s">
        <v>632</v>
      </c>
      <c r="M110" s="824"/>
      <c r="N110" s="824"/>
      <c r="O110" s="824"/>
      <c r="P110" s="824"/>
      <c r="Q110" s="824"/>
    </row>
    <row r="111" spans="1:17" x14ac:dyDescent="0.35">
      <c r="A111" s="3607"/>
      <c r="B111" s="2126" t="s">
        <v>600</v>
      </c>
      <c r="C111" s="1477">
        <v>8.2900000000000001E-2</v>
      </c>
      <c r="D111" s="1486" t="s">
        <v>170</v>
      </c>
      <c r="E111" s="1478"/>
      <c r="F111" s="1479">
        <v>0.02</v>
      </c>
      <c r="G111" s="1486" t="s">
        <v>170</v>
      </c>
      <c r="H111" s="1478"/>
      <c r="I111" s="1479" t="s">
        <v>170</v>
      </c>
      <c r="J111" s="1486" t="s">
        <v>170</v>
      </c>
      <c r="K111" s="1478">
        <f>MVR+0.3%</f>
        <v>8.8900000000000007E-2</v>
      </c>
      <c r="L111" s="1487"/>
      <c r="M111" s="824"/>
      <c r="N111" s="1501" t="s">
        <v>61</v>
      </c>
      <c r="O111" s="824"/>
      <c r="P111" s="824"/>
      <c r="Q111" s="824"/>
    </row>
    <row r="112" spans="1:17" x14ac:dyDescent="0.35">
      <c r="A112" s="3607"/>
      <c r="B112" s="2126" t="s">
        <v>607</v>
      </c>
      <c r="C112" s="1477">
        <v>8.7900000000000006E-2</v>
      </c>
      <c r="D112" s="1486" t="s">
        <v>170</v>
      </c>
      <c r="E112" s="1478"/>
      <c r="F112" s="1479">
        <v>0.02</v>
      </c>
      <c r="G112" s="1486" t="s">
        <v>170</v>
      </c>
      <c r="H112" s="1478"/>
      <c r="I112" s="1479" t="s">
        <v>170</v>
      </c>
      <c r="J112" s="1486" t="s">
        <v>170</v>
      </c>
      <c r="K112" s="1478">
        <f>MVR+1.5%</f>
        <v>0.1009</v>
      </c>
      <c r="L112" s="1487"/>
      <c r="M112" s="824"/>
      <c r="N112" s="1501" t="s">
        <v>64</v>
      </c>
      <c r="O112" s="824"/>
      <c r="P112" s="824"/>
      <c r="Q112" s="824"/>
    </row>
    <row r="113" spans="1:17" ht="18.75" thickBot="1" x14ac:dyDescent="0.4">
      <c r="A113" s="3607"/>
      <c r="B113" s="593"/>
      <c r="C113" s="2533"/>
      <c r="D113" s="2534"/>
      <c r="E113" s="2533"/>
      <c r="F113" s="2533"/>
      <c r="G113" s="2534"/>
      <c r="H113" s="2533"/>
      <c r="I113" s="2533"/>
      <c r="J113" s="2534"/>
      <c r="K113" s="2533"/>
      <c r="L113" s="2131"/>
      <c r="M113" s="824"/>
      <c r="N113" s="824"/>
      <c r="O113" s="824"/>
      <c r="P113" s="824"/>
      <c r="Q113" s="824"/>
    </row>
    <row r="114" spans="1:17" ht="49.5" x14ac:dyDescent="0.45">
      <c r="A114" s="3607"/>
      <c r="B114" s="2129" t="s">
        <v>684</v>
      </c>
      <c r="C114" s="1502" t="s">
        <v>625</v>
      </c>
      <c r="D114" s="1502" t="s">
        <v>626</v>
      </c>
      <c r="E114" s="1511" t="s">
        <v>627</v>
      </c>
      <c r="F114" s="1503" t="s">
        <v>162</v>
      </c>
      <c r="G114" s="1503" t="s">
        <v>628</v>
      </c>
      <c r="H114" s="1503" t="s">
        <v>629</v>
      </c>
      <c r="I114" s="1503" t="s">
        <v>630</v>
      </c>
      <c r="J114" s="1503" t="s">
        <v>631</v>
      </c>
      <c r="K114" s="1503" t="s">
        <v>685</v>
      </c>
      <c r="L114" s="1504" t="s">
        <v>632</v>
      </c>
      <c r="M114" s="824"/>
      <c r="N114" s="824"/>
      <c r="O114" s="824"/>
      <c r="P114" s="824"/>
      <c r="Q114" s="824"/>
    </row>
    <row r="115" spans="1:17" x14ac:dyDescent="0.35">
      <c r="A115" s="3607"/>
      <c r="B115" s="2126" t="s">
        <v>600</v>
      </c>
      <c r="C115" s="1477">
        <v>7.1900000000000006E-2</v>
      </c>
      <c r="D115" s="1486" t="s">
        <v>170</v>
      </c>
      <c r="E115" s="1478"/>
      <c r="F115" s="1479">
        <v>0.04</v>
      </c>
      <c r="G115" s="1486" t="s">
        <v>170</v>
      </c>
      <c r="H115" s="1478"/>
      <c r="I115" s="1479" t="s">
        <v>170</v>
      </c>
      <c r="J115" s="1486" t="s">
        <v>170</v>
      </c>
      <c r="K115" s="1478">
        <f>MVR+0.3%</f>
        <v>8.8900000000000007E-2</v>
      </c>
      <c r="L115" s="1487"/>
      <c r="M115" s="824"/>
      <c r="N115" s="1501" t="s">
        <v>61</v>
      </c>
      <c r="O115" s="824"/>
      <c r="P115" s="824"/>
      <c r="Q115" s="824"/>
    </row>
    <row r="116" spans="1:17" x14ac:dyDescent="0.35">
      <c r="A116" s="3607"/>
      <c r="B116" s="2126" t="s">
        <v>607</v>
      </c>
      <c r="C116" s="1477">
        <v>7.6899999999999996E-2</v>
      </c>
      <c r="D116" s="1486" t="s">
        <v>170</v>
      </c>
      <c r="E116" s="1478"/>
      <c r="F116" s="1479">
        <v>0.04</v>
      </c>
      <c r="G116" s="1486" t="s">
        <v>170</v>
      </c>
      <c r="H116" s="1478"/>
      <c r="I116" s="1479" t="s">
        <v>170</v>
      </c>
      <c r="J116" s="1486" t="s">
        <v>170</v>
      </c>
      <c r="K116" s="1478">
        <f>MVR+1.5%</f>
        <v>0.1009</v>
      </c>
      <c r="L116" s="1487"/>
      <c r="M116" s="824"/>
      <c r="N116" s="1501" t="s">
        <v>64</v>
      </c>
      <c r="O116" s="824"/>
      <c r="P116" s="824"/>
      <c r="Q116" s="824"/>
    </row>
    <row r="117" spans="1:17" ht="18.75" thickBot="1" x14ac:dyDescent="0.4">
      <c r="A117" s="3607"/>
      <c r="L117" s="2132"/>
      <c r="M117" s="824"/>
      <c r="N117" s="824"/>
      <c r="O117" s="824"/>
      <c r="P117" s="824"/>
      <c r="Q117" s="824"/>
    </row>
    <row r="118" spans="1:17" ht="49.5" x14ac:dyDescent="0.45">
      <c r="A118" s="3607"/>
      <c r="B118" s="2130" t="s">
        <v>700</v>
      </c>
      <c r="C118" s="1507" t="s">
        <v>625</v>
      </c>
      <c r="D118" s="1507" t="s">
        <v>626</v>
      </c>
      <c r="E118" s="1512" t="s">
        <v>627</v>
      </c>
      <c r="F118" s="1508" t="s">
        <v>162</v>
      </c>
      <c r="G118" s="1508" t="s">
        <v>628</v>
      </c>
      <c r="H118" s="1508" t="s">
        <v>629</v>
      </c>
      <c r="I118" s="1508" t="s">
        <v>630</v>
      </c>
      <c r="J118" s="1508" t="s">
        <v>631</v>
      </c>
      <c r="K118" s="1508" t="s">
        <v>701</v>
      </c>
      <c r="L118" s="1509" t="s">
        <v>632</v>
      </c>
      <c r="M118" s="824"/>
      <c r="N118" s="824"/>
      <c r="O118" s="824"/>
      <c r="P118" s="824"/>
      <c r="Q118" s="824"/>
    </row>
    <row r="119" spans="1:17" x14ac:dyDescent="0.35">
      <c r="A119" s="3607"/>
      <c r="B119" s="2126" t="s">
        <v>600</v>
      </c>
      <c r="C119" s="1477">
        <v>6.2899999999999998E-2</v>
      </c>
      <c r="D119" s="1486" t="s">
        <v>170</v>
      </c>
      <c r="E119" s="1478"/>
      <c r="F119" s="1479">
        <v>0.06</v>
      </c>
      <c r="G119" s="1486" t="s">
        <v>170</v>
      </c>
      <c r="H119" s="1478"/>
      <c r="I119" s="1479" t="s">
        <v>170</v>
      </c>
      <c r="J119" s="1486" t="s">
        <v>170</v>
      </c>
      <c r="K119" s="1478">
        <f>MVR+0.3%</f>
        <v>8.8900000000000007E-2</v>
      </c>
      <c r="L119" s="1487"/>
      <c r="M119" s="824"/>
      <c r="N119" s="1501" t="s">
        <v>61</v>
      </c>
      <c r="O119" s="824"/>
      <c r="P119" s="824"/>
      <c r="Q119" s="824"/>
    </row>
    <row r="120" spans="1:17" ht="18.75" thickBot="1" x14ac:dyDescent="0.4">
      <c r="A120" s="3608"/>
      <c r="B120" s="2127" t="s">
        <v>607</v>
      </c>
      <c r="C120" s="1480">
        <v>6.7900000000000002E-2</v>
      </c>
      <c r="D120" s="1505" t="s">
        <v>170</v>
      </c>
      <c r="E120" s="1481"/>
      <c r="F120" s="1482">
        <v>0.06</v>
      </c>
      <c r="G120" s="1505" t="s">
        <v>170</v>
      </c>
      <c r="H120" s="1481"/>
      <c r="I120" s="1482" t="s">
        <v>170</v>
      </c>
      <c r="J120" s="1505" t="s">
        <v>170</v>
      </c>
      <c r="K120" s="1478">
        <f>MVR+1.5%</f>
        <v>0.1009</v>
      </c>
      <c r="L120" s="2133"/>
      <c r="M120" s="824"/>
      <c r="N120" s="1501" t="s">
        <v>64</v>
      </c>
      <c r="O120" s="824"/>
      <c r="P120" s="824"/>
      <c r="Q120" s="824"/>
    </row>
    <row r="121" spans="1:17" x14ac:dyDescent="0.35">
      <c r="L121" s="824"/>
      <c r="M121" s="824"/>
      <c r="N121" s="824"/>
      <c r="O121" s="824"/>
      <c r="P121" s="824"/>
      <c r="Q121" s="824"/>
    </row>
    <row r="122" spans="1:17" ht="18.75" thickBot="1" x14ac:dyDescent="0.4">
      <c r="L122" s="824"/>
      <c r="M122" s="824"/>
      <c r="N122" s="824"/>
      <c r="O122" s="824"/>
      <c r="P122" s="824"/>
      <c r="Q122" s="824"/>
    </row>
    <row r="123" spans="1:17" ht="49.5" x14ac:dyDescent="0.45">
      <c r="A123" s="3606" t="s">
        <v>3699</v>
      </c>
      <c r="B123" s="2125" t="s">
        <v>385</v>
      </c>
      <c r="C123" s="1483" t="s">
        <v>625</v>
      </c>
      <c r="D123" s="1483" t="s">
        <v>626</v>
      </c>
      <c r="E123" s="1510" t="s">
        <v>627</v>
      </c>
      <c r="F123" s="1484" t="s">
        <v>162</v>
      </c>
      <c r="G123" s="1484" t="s">
        <v>628</v>
      </c>
      <c r="H123" s="1484" t="s">
        <v>629</v>
      </c>
      <c r="I123" s="1484" t="s">
        <v>630</v>
      </c>
      <c r="J123" s="1484" t="s">
        <v>631</v>
      </c>
      <c r="K123" s="1484" t="s">
        <v>3812</v>
      </c>
      <c r="L123" s="1485" t="s">
        <v>632</v>
      </c>
      <c r="M123" s="824"/>
      <c r="N123" s="824"/>
      <c r="O123" s="824"/>
      <c r="P123" s="824"/>
      <c r="Q123" s="824"/>
    </row>
    <row r="124" spans="1:17" x14ac:dyDescent="0.35">
      <c r="A124" s="3607"/>
      <c r="B124" s="2126" t="s">
        <v>600</v>
      </c>
      <c r="C124" s="1477">
        <v>8.1900000000000001E-2</v>
      </c>
      <c r="D124" s="1486" t="s">
        <v>170</v>
      </c>
      <c r="E124" s="1478"/>
      <c r="F124" s="1479">
        <v>0.02</v>
      </c>
      <c r="G124" s="1486" t="s">
        <v>170</v>
      </c>
      <c r="H124" s="1478"/>
      <c r="I124" s="1479" t="s">
        <v>170</v>
      </c>
      <c r="J124" s="1486" t="s">
        <v>170</v>
      </c>
      <c r="K124" s="1478">
        <f>MVR+0.3%</f>
        <v>8.8900000000000007E-2</v>
      </c>
      <c r="L124" s="1487"/>
      <c r="M124" s="824"/>
      <c r="N124" s="1501" t="s">
        <v>61</v>
      </c>
      <c r="O124" s="824"/>
      <c r="P124" s="824"/>
      <c r="Q124" s="824"/>
    </row>
    <row r="125" spans="1:17" x14ac:dyDescent="0.35">
      <c r="A125" s="3607"/>
      <c r="B125" s="2126" t="s">
        <v>607</v>
      </c>
      <c r="C125" s="1477">
        <v>8.6900000000000005E-2</v>
      </c>
      <c r="D125" s="1486" t="s">
        <v>170</v>
      </c>
      <c r="E125" s="1478"/>
      <c r="F125" s="1479">
        <v>0.02</v>
      </c>
      <c r="G125" s="1486" t="s">
        <v>170</v>
      </c>
      <c r="H125" s="1478"/>
      <c r="I125" s="1479" t="s">
        <v>170</v>
      </c>
      <c r="J125" s="1486" t="s">
        <v>170</v>
      </c>
      <c r="K125" s="1478">
        <f>MVR+1.5%</f>
        <v>0.1009</v>
      </c>
      <c r="L125" s="1487"/>
      <c r="M125" s="824"/>
      <c r="N125" s="1501" t="s">
        <v>64</v>
      </c>
      <c r="O125" s="824"/>
      <c r="P125" s="824"/>
      <c r="Q125" s="824"/>
    </row>
    <row r="126" spans="1:17" ht="18.75" thickBot="1" x14ac:dyDescent="0.4">
      <c r="A126" s="3607"/>
      <c r="B126" s="593"/>
      <c r="C126" s="2533"/>
      <c r="D126" s="2534"/>
      <c r="E126" s="2533"/>
      <c r="F126" s="2533"/>
      <c r="G126" s="2534"/>
      <c r="H126" s="2533"/>
      <c r="I126" s="2533"/>
      <c r="J126" s="2534"/>
      <c r="K126" s="2533"/>
      <c r="L126" s="2131"/>
      <c r="M126" s="824"/>
      <c r="N126" s="824"/>
      <c r="O126" s="824"/>
      <c r="P126" s="824"/>
      <c r="Q126" s="824"/>
    </row>
    <row r="127" spans="1:17" ht="49.5" x14ac:dyDescent="0.45">
      <c r="A127" s="3607"/>
      <c r="B127" s="2129" t="s">
        <v>684</v>
      </c>
      <c r="C127" s="1502" t="s">
        <v>625</v>
      </c>
      <c r="D127" s="1502" t="s">
        <v>626</v>
      </c>
      <c r="E127" s="1511" t="s">
        <v>627</v>
      </c>
      <c r="F127" s="1503" t="s">
        <v>162</v>
      </c>
      <c r="G127" s="1503" t="s">
        <v>628</v>
      </c>
      <c r="H127" s="1503" t="s">
        <v>629</v>
      </c>
      <c r="I127" s="1503" t="s">
        <v>630</v>
      </c>
      <c r="J127" s="1503" t="s">
        <v>631</v>
      </c>
      <c r="K127" s="1503" t="s">
        <v>685</v>
      </c>
      <c r="L127" s="1504" t="s">
        <v>632</v>
      </c>
      <c r="M127" s="824"/>
      <c r="N127" s="824"/>
      <c r="O127" s="824"/>
      <c r="P127" s="824"/>
      <c r="Q127" s="824"/>
    </row>
    <row r="128" spans="1:17" x14ac:dyDescent="0.35">
      <c r="A128" s="3607"/>
      <c r="B128" s="2126" t="s">
        <v>600</v>
      </c>
      <c r="C128" s="1477">
        <v>7.4899999999999994E-2</v>
      </c>
      <c r="D128" s="1486" t="s">
        <v>170</v>
      </c>
      <c r="E128" s="1478"/>
      <c r="F128" s="1479">
        <v>0.04</v>
      </c>
      <c r="G128" s="1486" t="s">
        <v>170</v>
      </c>
      <c r="H128" s="1478"/>
      <c r="I128" s="1479" t="s">
        <v>170</v>
      </c>
      <c r="J128" s="1486" t="s">
        <v>170</v>
      </c>
      <c r="K128" s="1478">
        <f>MVR+0.3%</f>
        <v>8.8900000000000007E-2</v>
      </c>
      <c r="L128" s="1487"/>
      <c r="M128" s="824"/>
      <c r="N128" s="1501" t="s">
        <v>61</v>
      </c>
      <c r="O128" s="824"/>
      <c r="P128" s="824"/>
      <c r="Q128" s="824"/>
    </row>
    <row r="129" spans="1:17" x14ac:dyDescent="0.35">
      <c r="A129" s="3607"/>
      <c r="B129" s="2126" t="s">
        <v>607</v>
      </c>
      <c r="C129" s="1477">
        <v>7.9899999999999999E-2</v>
      </c>
      <c r="D129" s="1486" t="s">
        <v>170</v>
      </c>
      <c r="E129" s="1478"/>
      <c r="F129" s="1479">
        <v>0.04</v>
      </c>
      <c r="G129" s="1486" t="s">
        <v>170</v>
      </c>
      <c r="H129" s="1478"/>
      <c r="I129" s="1479" t="s">
        <v>170</v>
      </c>
      <c r="J129" s="1486" t="s">
        <v>170</v>
      </c>
      <c r="K129" s="1478">
        <f>MVR+1.5%</f>
        <v>0.1009</v>
      </c>
      <c r="L129" s="1487"/>
      <c r="M129" s="824"/>
      <c r="N129" s="1501" t="s">
        <v>64</v>
      </c>
      <c r="O129" s="824"/>
      <c r="P129" s="824"/>
      <c r="Q129" s="824"/>
    </row>
    <row r="130" spans="1:17" ht="18.75" thickBot="1" x14ac:dyDescent="0.4">
      <c r="A130" s="3607"/>
      <c r="L130" s="2132"/>
      <c r="M130" s="824"/>
      <c r="N130" s="824"/>
      <c r="O130" s="824"/>
      <c r="P130" s="824"/>
      <c r="Q130" s="824"/>
    </row>
    <row r="131" spans="1:17" ht="49.5" x14ac:dyDescent="0.45">
      <c r="A131" s="3607"/>
      <c r="B131" s="2130" t="s">
        <v>700</v>
      </c>
      <c r="C131" s="1507" t="s">
        <v>625</v>
      </c>
      <c r="D131" s="1507" t="s">
        <v>626</v>
      </c>
      <c r="E131" s="1512" t="s">
        <v>627</v>
      </c>
      <c r="F131" s="1508" t="s">
        <v>162</v>
      </c>
      <c r="G131" s="1508" t="s">
        <v>628</v>
      </c>
      <c r="H131" s="1508" t="s">
        <v>629</v>
      </c>
      <c r="I131" s="1508" t="s">
        <v>630</v>
      </c>
      <c r="J131" s="1508" t="s">
        <v>631</v>
      </c>
      <c r="K131" s="1508" t="s">
        <v>701</v>
      </c>
      <c r="L131" s="1509" t="s">
        <v>632</v>
      </c>
      <c r="M131" s="824"/>
      <c r="N131" s="824"/>
      <c r="O131" s="824"/>
      <c r="P131" s="824"/>
      <c r="Q131" s="824"/>
    </row>
    <row r="132" spans="1:17" x14ac:dyDescent="0.35">
      <c r="A132" s="3607"/>
      <c r="B132" s="2126" t="s">
        <v>600</v>
      </c>
      <c r="C132" s="1477">
        <v>6.7900000000000002E-2</v>
      </c>
      <c r="D132" s="1486" t="s">
        <v>170</v>
      </c>
      <c r="E132" s="1478"/>
      <c r="F132" s="1479">
        <v>0.06</v>
      </c>
      <c r="G132" s="1486" t="s">
        <v>170</v>
      </c>
      <c r="H132" s="1478"/>
      <c r="I132" s="1479" t="s">
        <v>170</v>
      </c>
      <c r="J132" s="1486" t="s">
        <v>170</v>
      </c>
      <c r="K132" s="1478">
        <f>MVR+0.3%</f>
        <v>8.8900000000000007E-2</v>
      </c>
      <c r="L132" s="1487"/>
      <c r="M132" s="824"/>
      <c r="N132" s="1501" t="s">
        <v>61</v>
      </c>
      <c r="O132" s="824"/>
      <c r="P132" s="824"/>
      <c r="Q132" s="824"/>
    </row>
    <row r="133" spans="1:17" ht="18.75" thickBot="1" x14ac:dyDescent="0.4">
      <c r="A133" s="3608"/>
      <c r="B133" s="2127" t="s">
        <v>607</v>
      </c>
      <c r="C133" s="1480">
        <v>7.2900000000000006E-2</v>
      </c>
      <c r="D133" s="1505" t="s">
        <v>170</v>
      </c>
      <c r="E133" s="1481"/>
      <c r="F133" s="1482">
        <v>0.06</v>
      </c>
      <c r="G133" s="1505" t="s">
        <v>170</v>
      </c>
      <c r="H133" s="1481"/>
      <c r="I133" s="1482" t="s">
        <v>170</v>
      </c>
      <c r="J133" s="1505" t="s">
        <v>170</v>
      </c>
      <c r="K133" s="1478">
        <f>MVR+1.5%</f>
        <v>0.1009</v>
      </c>
      <c r="L133" s="2133"/>
      <c r="M133" s="824"/>
      <c r="N133" s="1501" t="s">
        <v>64</v>
      </c>
      <c r="O133" s="824"/>
      <c r="P133" s="824"/>
      <c r="Q133" s="824"/>
    </row>
    <row r="134" spans="1:17" x14ac:dyDescent="0.35">
      <c r="L134" s="824"/>
      <c r="M134" s="824"/>
      <c r="N134" s="824"/>
      <c r="O134" s="824"/>
      <c r="P134" s="824"/>
      <c r="Q134" s="824"/>
    </row>
    <row r="135" spans="1:17" ht="18.75" thickBot="1" x14ac:dyDescent="0.4">
      <c r="L135" s="824"/>
      <c r="M135" s="824"/>
      <c r="N135" s="824"/>
      <c r="O135" s="824"/>
      <c r="P135" s="824"/>
      <c r="Q135" s="824"/>
    </row>
    <row r="136" spans="1:17" ht="49.5" x14ac:dyDescent="0.45">
      <c r="A136" s="3606" t="s">
        <v>3701</v>
      </c>
      <c r="B136" s="2125" t="s">
        <v>385</v>
      </c>
      <c r="C136" s="1483" t="s">
        <v>625</v>
      </c>
      <c r="D136" s="1483" t="s">
        <v>626</v>
      </c>
      <c r="E136" s="1510" t="s">
        <v>627</v>
      </c>
      <c r="F136" s="1484" t="s">
        <v>162</v>
      </c>
      <c r="G136" s="1484" t="s">
        <v>628</v>
      </c>
      <c r="H136" s="1484" t="s">
        <v>629</v>
      </c>
      <c r="I136" s="1484" t="s">
        <v>630</v>
      </c>
      <c r="J136" s="1484" t="s">
        <v>631</v>
      </c>
      <c r="K136" s="1484" t="s">
        <v>3812</v>
      </c>
      <c r="L136" s="1485" t="s">
        <v>632</v>
      </c>
      <c r="M136" s="824"/>
      <c r="N136" s="824"/>
      <c r="O136" s="824"/>
      <c r="P136" s="824"/>
      <c r="Q136" s="824"/>
    </row>
    <row r="137" spans="1:17" x14ac:dyDescent="0.35">
      <c r="A137" s="3607"/>
      <c r="B137" s="2126" t="s">
        <v>600</v>
      </c>
      <c r="C137" s="1477">
        <v>8.1900000000000001E-2</v>
      </c>
      <c r="D137" s="1486" t="s">
        <v>170</v>
      </c>
      <c r="E137" s="1478"/>
      <c r="F137" s="1479">
        <v>0.02</v>
      </c>
      <c r="G137" s="1486" t="s">
        <v>170</v>
      </c>
      <c r="H137" s="1478"/>
      <c r="I137" s="1479" t="s">
        <v>170</v>
      </c>
      <c r="J137" s="1486" t="s">
        <v>170</v>
      </c>
      <c r="K137" s="1478">
        <f>MVR+0.3%</f>
        <v>8.8900000000000007E-2</v>
      </c>
      <c r="L137" s="1487"/>
      <c r="M137" s="824"/>
      <c r="N137" s="824"/>
      <c r="O137" s="824"/>
      <c r="P137" s="824"/>
      <c r="Q137" s="824"/>
    </row>
    <row r="138" spans="1:17" x14ac:dyDescent="0.35">
      <c r="A138" s="3607"/>
      <c r="B138" s="2126" t="s">
        <v>607</v>
      </c>
      <c r="C138" s="1477">
        <v>8.5900000000000004E-2</v>
      </c>
      <c r="D138" s="1486" t="s">
        <v>170</v>
      </c>
      <c r="E138" s="1478"/>
      <c r="F138" s="1479">
        <v>0.02</v>
      </c>
      <c r="G138" s="1486" t="s">
        <v>170</v>
      </c>
      <c r="H138" s="1478"/>
      <c r="I138" s="1479" t="s">
        <v>170</v>
      </c>
      <c r="J138" s="1486" t="s">
        <v>170</v>
      </c>
      <c r="K138" s="1478">
        <f>MVR+1.5%</f>
        <v>0.1009</v>
      </c>
      <c r="L138" s="1487"/>
      <c r="M138" s="824"/>
      <c r="N138" s="824"/>
      <c r="O138" s="824"/>
      <c r="P138" s="824"/>
      <c r="Q138" s="824"/>
    </row>
    <row r="139" spans="1:17" ht="18.75" thickBot="1" x14ac:dyDescent="0.4">
      <c r="A139" s="3607"/>
      <c r="B139" s="593"/>
      <c r="C139" s="2533"/>
      <c r="D139" s="2534"/>
      <c r="E139" s="2533"/>
      <c r="F139" s="2533"/>
      <c r="G139" s="2534"/>
      <c r="H139" s="2533"/>
      <c r="I139" s="2533"/>
      <c r="J139" s="2534"/>
      <c r="K139" s="2533"/>
      <c r="L139" s="2131"/>
      <c r="M139" s="824"/>
      <c r="N139" s="824"/>
      <c r="O139" s="824"/>
      <c r="P139" s="824"/>
      <c r="Q139" s="824"/>
    </row>
    <row r="140" spans="1:17" ht="49.5" x14ac:dyDescent="0.45">
      <c r="A140" s="3607"/>
      <c r="B140" s="2129" t="s">
        <v>684</v>
      </c>
      <c r="C140" s="1502" t="s">
        <v>625</v>
      </c>
      <c r="D140" s="1502" t="s">
        <v>626</v>
      </c>
      <c r="E140" s="1511" t="s">
        <v>627</v>
      </c>
      <c r="F140" s="1503" t="s">
        <v>162</v>
      </c>
      <c r="G140" s="1503" t="s">
        <v>628</v>
      </c>
      <c r="H140" s="1503" t="s">
        <v>629</v>
      </c>
      <c r="I140" s="1503" t="s">
        <v>630</v>
      </c>
      <c r="J140" s="1503" t="s">
        <v>631</v>
      </c>
      <c r="K140" s="1503" t="s">
        <v>685</v>
      </c>
      <c r="L140" s="1504" t="s">
        <v>632</v>
      </c>
      <c r="M140" s="824"/>
      <c r="N140" s="824"/>
      <c r="O140" s="824"/>
      <c r="P140" s="824"/>
      <c r="Q140" s="824"/>
    </row>
    <row r="141" spans="1:17" x14ac:dyDescent="0.35">
      <c r="A141" s="3607"/>
      <c r="B141" s="2126" t="s">
        <v>600</v>
      </c>
      <c r="C141" s="1477">
        <v>7.0900000000000005E-2</v>
      </c>
      <c r="D141" s="1486" t="s">
        <v>170</v>
      </c>
      <c r="E141" s="1478"/>
      <c r="F141" s="1479">
        <v>0.04</v>
      </c>
      <c r="G141" s="1486" t="s">
        <v>170</v>
      </c>
      <c r="H141" s="1478"/>
      <c r="I141" s="1479" t="s">
        <v>170</v>
      </c>
      <c r="J141" s="1486" t="s">
        <v>170</v>
      </c>
      <c r="K141" s="1478">
        <f>MVR+0.3%</f>
        <v>8.8900000000000007E-2</v>
      </c>
      <c r="L141" s="1487"/>
      <c r="M141" s="824"/>
      <c r="N141" s="824"/>
      <c r="O141" s="824"/>
      <c r="P141" s="824"/>
      <c r="Q141" s="824"/>
    </row>
    <row r="142" spans="1:17" x14ac:dyDescent="0.35">
      <c r="A142" s="3607"/>
      <c r="B142" s="2126" t="s">
        <v>607</v>
      </c>
      <c r="C142" s="1477">
        <v>7.4899999999999994E-2</v>
      </c>
      <c r="D142" s="1486" t="s">
        <v>170</v>
      </c>
      <c r="E142" s="1478"/>
      <c r="F142" s="1479">
        <v>0.04</v>
      </c>
      <c r="G142" s="1486" t="s">
        <v>170</v>
      </c>
      <c r="H142" s="1478"/>
      <c r="I142" s="1479" t="s">
        <v>170</v>
      </c>
      <c r="J142" s="1486" t="s">
        <v>170</v>
      </c>
      <c r="K142" s="1478">
        <f>MVR+1.5%</f>
        <v>0.1009</v>
      </c>
      <c r="L142" s="1487"/>
      <c r="M142" s="824"/>
      <c r="N142" s="824"/>
      <c r="O142" s="824"/>
      <c r="P142" s="824"/>
      <c r="Q142" s="824"/>
    </row>
    <row r="143" spans="1:17" ht="18.75" thickBot="1" x14ac:dyDescent="0.4">
      <c r="A143" s="3607"/>
      <c r="L143" s="2132"/>
      <c r="M143" s="824"/>
      <c r="N143" s="824"/>
      <c r="O143" s="824"/>
      <c r="P143" s="824"/>
      <c r="Q143" s="824"/>
    </row>
    <row r="144" spans="1:17" ht="49.5" x14ac:dyDescent="0.45">
      <c r="A144" s="3607"/>
      <c r="B144" s="2130" t="s">
        <v>700</v>
      </c>
      <c r="C144" s="1507" t="s">
        <v>625</v>
      </c>
      <c r="D144" s="1507" t="s">
        <v>626</v>
      </c>
      <c r="E144" s="1512" t="s">
        <v>627</v>
      </c>
      <c r="F144" s="1508" t="s">
        <v>162</v>
      </c>
      <c r="G144" s="1508" t="s">
        <v>628</v>
      </c>
      <c r="H144" s="1508" t="s">
        <v>629</v>
      </c>
      <c r="I144" s="1508" t="s">
        <v>630</v>
      </c>
      <c r="J144" s="1508" t="s">
        <v>631</v>
      </c>
      <c r="K144" s="1508" t="s">
        <v>701</v>
      </c>
      <c r="L144" s="1509" t="s">
        <v>632</v>
      </c>
      <c r="M144" s="824"/>
      <c r="N144" s="824"/>
      <c r="O144" s="824"/>
      <c r="P144" s="824"/>
      <c r="Q144" s="824"/>
    </row>
    <row r="145" spans="1:17" x14ac:dyDescent="0.35">
      <c r="A145" s="3607"/>
      <c r="B145" s="2126" t="s">
        <v>600</v>
      </c>
      <c r="C145" s="1477">
        <v>6.1899999999999997E-2</v>
      </c>
      <c r="D145" s="1486" t="s">
        <v>170</v>
      </c>
      <c r="E145" s="1478"/>
      <c r="F145" s="1479">
        <v>0.06</v>
      </c>
      <c r="G145" s="1486" t="s">
        <v>170</v>
      </c>
      <c r="H145" s="1478"/>
      <c r="I145" s="1479" t="s">
        <v>170</v>
      </c>
      <c r="J145" s="1486" t="s">
        <v>170</v>
      </c>
      <c r="K145" s="1478">
        <f>MVR+0.3%</f>
        <v>8.8900000000000007E-2</v>
      </c>
      <c r="L145" s="1487"/>
      <c r="M145" s="824"/>
      <c r="N145" s="824"/>
      <c r="O145" s="824"/>
      <c r="P145" s="824"/>
      <c r="Q145" s="824"/>
    </row>
    <row r="146" spans="1:17" ht="18.75" thickBot="1" x14ac:dyDescent="0.4">
      <c r="A146" s="3608"/>
      <c r="B146" s="2127" t="s">
        <v>607</v>
      </c>
      <c r="C146" s="1480">
        <v>6.59E-2</v>
      </c>
      <c r="D146" s="1505" t="s">
        <v>170</v>
      </c>
      <c r="E146" s="1481"/>
      <c r="F146" s="1482">
        <v>0.06</v>
      </c>
      <c r="G146" s="1505" t="s">
        <v>170</v>
      </c>
      <c r="H146" s="1481"/>
      <c r="I146" s="1482" t="s">
        <v>170</v>
      </c>
      <c r="J146" s="1505" t="s">
        <v>170</v>
      </c>
      <c r="K146" s="1478">
        <f>MVR+1.5%</f>
        <v>0.1009</v>
      </c>
      <c r="L146" s="2133"/>
      <c r="M146" s="824"/>
      <c r="N146" s="824"/>
      <c r="O146" s="824"/>
      <c r="P146" s="824"/>
      <c r="Q146" s="824"/>
    </row>
    <row r="147" spans="1:17" x14ac:dyDescent="0.35">
      <c r="L147" s="824"/>
      <c r="M147" s="824"/>
      <c r="N147" s="824"/>
      <c r="O147" s="824"/>
      <c r="P147" s="824"/>
      <c r="Q147" s="824"/>
    </row>
    <row r="148" spans="1:17" ht="18.75" thickBot="1" x14ac:dyDescent="0.4">
      <c r="L148" s="824"/>
      <c r="M148" s="824"/>
      <c r="N148" s="824"/>
      <c r="O148" s="824"/>
      <c r="P148" s="824"/>
      <c r="Q148" s="824"/>
    </row>
    <row r="149" spans="1:17" ht="49.5" x14ac:dyDescent="0.45">
      <c r="A149" s="3606" t="s">
        <v>3700</v>
      </c>
      <c r="B149" s="2125" t="s">
        <v>385</v>
      </c>
      <c r="C149" s="1483" t="s">
        <v>625</v>
      </c>
      <c r="D149" s="1483" t="s">
        <v>626</v>
      </c>
      <c r="E149" s="1510" t="s">
        <v>627</v>
      </c>
      <c r="F149" s="1484" t="s">
        <v>162</v>
      </c>
      <c r="G149" s="1484" t="s">
        <v>628</v>
      </c>
      <c r="H149" s="1484" t="s">
        <v>629</v>
      </c>
      <c r="I149" s="1484" t="s">
        <v>630</v>
      </c>
      <c r="J149" s="1484" t="s">
        <v>631</v>
      </c>
      <c r="K149" s="1484" t="s">
        <v>3812</v>
      </c>
      <c r="L149" s="1485" t="s">
        <v>632</v>
      </c>
      <c r="M149" s="824"/>
      <c r="N149" s="824"/>
      <c r="O149" s="824"/>
      <c r="P149" s="824"/>
      <c r="Q149" s="824"/>
    </row>
    <row r="150" spans="1:17" x14ac:dyDescent="0.35">
      <c r="A150" s="3607"/>
      <c r="B150" s="2126" t="s">
        <v>600</v>
      </c>
      <c r="C150" s="1477">
        <v>8.09E-2</v>
      </c>
      <c r="D150" s="1486" t="s">
        <v>170</v>
      </c>
      <c r="E150" s="1478"/>
      <c r="F150" s="1479">
        <v>0.02</v>
      </c>
      <c r="G150" s="1486" t="s">
        <v>170</v>
      </c>
      <c r="H150" s="1478"/>
      <c r="I150" s="1479" t="s">
        <v>170</v>
      </c>
      <c r="J150" s="1486" t="s">
        <v>170</v>
      </c>
      <c r="K150" s="1478">
        <f>MVR+0.3%</f>
        <v>8.8900000000000007E-2</v>
      </c>
      <c r="L150" s="1487"/>
      <c r="M150" s="824"/>
      <c r="N150" s="824"/>
      <c r="O150" s="824"/>
      <c r="P150" s="824"/>
      <c r="Q150" s="824"/>
    </row>
    <row r="151" spans="1:17" x14ac:dyDescent="0.35">
      <c r="A151" s="3607"/>
      <c r="B151" s="2126" t="s">
        <v>607</v>
      </c>
      <c r="C151" s="1477">
        <v>8.4900000000000003E-2</v>
      </c>
      <c r="D151" s="1486" t="s">
        <v>170</v>
      </c>
      <c r="E151" s="1478"/>
      <c r="F151" s="1479">
        <v>0.02</v>
      </c>
      <c r="G151" s="1486" t="s">
        <v>170</v>
      </c>
      <c r="H151" s="1478"/>
      <c r="I151" s="1479" t="s">
        <v>170</v>
      </c>
      <c r="J151" s="1486" t="s">
        <v>170</v>
      </c>
      <c r="K151" s="1478">
        <f>MVR+1.5%</f>
        <v>0.1009</v>
      </c>
      <c r="L151" s="1487"/>
      <c r="M151" s="824"/>
      <c r="N151" s="824"/>
      <c r="O151" s="824"/>
      <c r="P151" s="824"/>
      <c r="Q151" s="824"/>
    </row>
    <row r="152" spans="1:17" ht="18.75" thickBot="1" x14ac:dyDescent="0.4">
      <c r="A152" s="3607"/>
      <c r="B152" s="593"/>
      <c r="C152" s="2533"/>
      <c r="D152" s="2534"/>
      <c r="E152" s="2533"/>
      <c r="F152" s="2533"/>
      <c r="G152" s="2534"/>
      <c r="H152" s="2533"/>
      <c r="I152" s="2533"/>
      <c r="J152" s="2534"/>
      <c r="K152" s="2533"/>
      <c r="L152" s="2131"/>
      <c r="M152" s="824"/>
      <c r="N152" s="824"/>
      <c r="O152" s="824"/>
      <c r="P152" s="824"/>
      <c r="Q152" s="824"/>
    </row>
    <row r="153" spans="1:17" ht="49.5" x14ac:dyDescent="0.45">
      <c r="A153" s="3607"/>
      <c r="B153" s="2129" t="s">
        <v>684</v>
      </c>
      <c r="C153" s="1502" t="s">
        <v>625</v>
      </c>
      <c r="D153" s="1502" t="s">
        <v>626</v>
      </c>
      <c r="E153" s="1511" t="s">
        <v>627</v>
      </c>
      <c r="F153" s="1503" t="s">
        <v>162</v>
      </c>
      <c r="G153" s="1503" t="s">
        <v>628</v>
      </c>
      <c r="H153" s="1503" t="s">
        <v>629</v>
      </c>
      <c r="I153" s="1503" t="s">
        <v>630</v>
      </c>
      <c r="J153" s="1503" t="s">
        <v>631</v>
      </c>
      <c r="K153" s="1503" t="s">
        <v>685</v>
      </c>
      <c r="L153" s="1504" t="s">
        <v>632</v>
      </c>
      <c r="M153" s="824"/>
      <c r="N153" s="824"/>
      <c r="O153" s="824"/>
      <c r="P153" s="824"/>
      <c r="Q153" s="824"/>
    </row>
    <row r="154" spans="1:17" x14ac:dyDescent="0.35">
      <c r="A154" s="3607"/>
      <c r="B154" s="2126" t="s">
        <v>600</v>
      </c>
      <c r="C154" s="1477">
        <v>7.3899999999999993E-2</v>
      </c>
      <c r="D154" s="1486" t="s">
        <v>170</v>
      </c>
      <c r="E154" s="1478"/>
      <c r="F154" s="1479">
        <v>0.04</v>
      </c>
      <c r="G154" s="1486" t="s">
        <v>170</v>
      </c>
      <c r="H154" s="1478"/>
      <c r="I154" s="1479" t="s">
        <v>170</v>
      </c>
      <c r="J154" s="1486" t="s">
        <v>170</v>
      </c>
      <c r="K154" s="1478">
        <f>MVR+0.3%</f>
        <v>8.8900000000000007E-2</v>
      </c>
      <c r="L154" s="1487"/>
      <c r="M154" s="824"/>
      <c r="N154" s="824"/>
      <c r="O154" s="824"/>
      <c r="P154" s="824"/>
      <c r="Q154" s="824"/>
    </row>
    <row r="155" spans="1:17" x14ac:dyDescent="0.35">
      <c r="A155" s="3607"/>
      <c r="B155" s="2126" t="s">
        <v>607</v>
      </c>
      <c r="C155" s="1477">
        <v>7.7899999999999997E-2</v>
      </c>
      <c r="D155" s="1486" t="s">
        <v>170</v>
      </c>
      <c r="E155" s="1478"/>
      <c r="F155" s="1479">
        <v>0.04</v>
      </c>
      <c r="G155" s="1486" t="s">
        <v>170</v>
      </c>
      <c r="H155" s="1478"/>
      <c r="I155" s="1479" t="s">
        <v>170</v>
      </c>
      <c r="J155" s="1486" t="s">
        <v>170</v>
      </c>
      <c r="K155" s="1478">
        <f>MVR+1.5%</f>
        <v>0.1009</v>
      </c>
      <c r="L155" s="1487"/>
      <c r="M155" s="824"/>
      <c r="N155" s="824"/>
      <c r="O155" s="824"/>
      <c r="P155" s="824"/>
      <c r="Q155" s="824"/>
    </row>
    <row r="156" spans="1:17" ht="18.75" thickBot="1" x14ac:dyDescent="0.4">
      <c r="A156" s="3607"/>
      <c r="L156" s="2132"/>
      <c r="M156" s="824"/>
      <c r="N156" s="824"/>
      <c r="O156" s="824"/>
      <c r="P156" s="824"/>
      <c r="Q156" s="824"/>
    </row>
    <row r="157" spans="1:17" ht="49.5" x14ac:dyDescent="0.45">
      <c r="A157" s="3607"/>
      <c r="B157" s="2130" t="s">
        <v>700</v>
      </c>
      <c r="C157" s="1507" t="s">
        <v>625</v>
      </c>
      <c r="D157" s="1507" t="s">
        <v>626</v>
      </c>
      <c r="E157" s="1512" t="s">
        <v>627</v>
      </c>
      <c r="F157" s="1508" t="s">
        <v>162</v>
      </c>
      <c r="G157" s="1508" t="s">
        <v>628</v>
      </c>
      <c r="H157" s="1508" t="s">
        <v>629</v>
      </c>
      <c r="I157" s="1508" t="s">
        <v>630</v>
      </c>
      <c r="J157" s="1508" t="s">
        <v>631</v>
      </c>
      <c r="K157" s="1508" t="s">
        <v>701</v>
      </c>
      <c r="L157" s="1509" t="s">
        <v>632</v>
      </c>
      <c r="M157" s="824"/>
      <c r="N157" s="824"/>
      <c r="O157" s="824"/>
      <c r="P157" s="824"/>
      <c r="Q157" s="824"/>
    </row>
    <row r="158" spans="1:17" x14ac:dyDescent="0.35">
      <c r="A158" s="3607"/>
      <c r="B158" s="2126" t="s">
        <v>600</v>
      </c>
      <c r="C158" s="1477">
        <v>6.6900000000000001E-2</v>
      </c>
      <c r="D158" s="1486" t="s">
        <v>170</v>
      </c>
      <c r="E158" s="1478"/>
      <c r="F158" s="1479">
        <v>0.06</v>
      </c>
      <c r="G158" s="1486" t="s">
        <v>170</v>
      </c>
      <c r="H158" s="1478"/>
      <c r="I158" s="1479" t="s">
        <v>170</v>
      </c>
      <c r="J158" s="1486" t="s">
        <v>170</v>
      </c>
      <c r="K158" s="1478">
        <f>MVR+0.3%</f>
        <v>8.8900000000000007E-2</v>
      </c>
      <c r="L158" s="1487"/>
      <c r="M158" s="824"/>
      <c r="N158" s="824"/>
      <c r="O158" s="824"/>
      <c r="P158" s="824"/>
      <c r="Q158" s="824"/>
    </row>
    <row r="159" spans="1:17" ht="18.75" thickBot="1" x14ac:dyDescent="0.4">
      <c r="A159" s="3608"/>
      <c r="B159" s="2127" t="s">
        <v>607</v>
      </c>
      <c r="C159" s="1480">
        <v>7.0900000000000005E-2</v>
      </c>
      <c r="D159" s="1505" t="s">
        <v>170</v>
      </c>
      <c r="E159" s="1481"/>
      <c r="F159" s="1482">
        <v>0.06</v>
      </c>
      <c r="G159" s="1505" t="s">
        <v>170</v>
      </c>
      <c r="H159" s="1481"/>
      <c r="I159" s="1482" t="s">
        <v>170</v>
      </c>
      <c r="J159" s="1505" t="s">
        <v>170</v>
      </c>
      <c r="K159" s="1478">
        <f>MVR+1.5%</f>
        <v>0.1009</v>
      </c>
      <c r="L159" s="2133"/>
      <c r="M159" s="824"/>
      <c r="N159" s="824"/>
      <c r="O159" s="824"/>
      <c r="P159" s="824"/>
      <c r="Q159" s="824"/>
    </row>
    <row r="160" spans="1:17" x14ac:dyDescent="0.35">
      <c r="L160" s="824"/>
      <c r="M160" s="824"/>
      <c r="N160" s="824"/>
      <c r="O160" s="824"/>
      <c r="P160" s="824"/>
      <c r="Q160" s="824"/>
    </row>
    <row r="161" spans="1:17" x14ac:dyDescent="0.35">
      <c r="M161" s="824"/>
      <c r="N161" s="824"/>
      <c r="O161" s="824"/>
      <c r="P161" s="824"/>
      <c r="Q161" s="824"/>
    </row>
    <row r="162" spans="1:17" ht="18.75" thickBot="1" x14ac:dyDescent="0.4">
      <c r="M162" s="824"/>
      <c r="N162" s="824"/>
      <c r="O162" s="824"/>
      <c r="P162" s="824"/>
      <c r="Q162" s="824"/>
    </row>
    <row r="163" spans="1:17" ht="45" x14ac:dyDescent="0.45">
      <c r="A163" s="3603" t="s">
        <v>3724</v>
      </c>
      <c r="B163" s="2307" t="s">
        <v>385</v>
      </c>
      <c r="C163" s="1483" t="s">
        <v>625</v>
      </c>
      <c r="D163" s="2319"/>
      <c r="E163" s="1484" t="s">
        <v>162</v>
      </c>
      <c r="F163" s="2320" t="s">
        <v>630</v>
      </c>
      <c r="M163" s="824"/>
      <c r="N163" s="824"/>
      <c r="O163" s="824"/>
      <c r="P163" s="824"/>
      <c r="Q163" s="824"/>
    </row>
    <row r="164" spans="1:17" x14ac:dyDescent="0.35">
      <c r="A164" s="3604"/>
      <c r="B164" s="2308" t="s">
        <v>432</v>
      </c>
      <c r="C164" s="1477">
        <f>IF('BTL Calculator'!V2 = "Core",7.09%,7.49%)</f>
        <v>7.4900000000000008E-2</v>
      </c>
      <c r="D164" s="2321"/>
      <c r="E164" s="1478">
        <v>0.02</v>
      </c>
      <c r="F164" s="2535">
        <f>MVR</f>
        <v>8.5900000000000004E-2</v>
      </c>
      <c r="M164" s="824"/>
      <c r="N164" s="824"/>
      <c r="O164" s="824"/>
      <c r="P164" s="824"/>
      <c r="Q164" s="824"/>
    </row>
    <row r="165" spans="1:17" x14ac:dyDescent="0.35">
      <c r="A165" s="3604"/>
      <c r="B165" s="2308" t="s">
        <v>433</v>
      </c>
      <c r="C165" s="1477">
        <f>IF('BTL Calculator'!V2 = "Core",7.69%,7.99%)</f>
        <v>7.9899999999999999E-2</v>
      </c>
      <c r="D165" s="2321"/>
      <c r="E165" s="1478">
        <v>0.02</v>
      </c>
      <c r="F165" s="2535">
        <f>MVR+0.4%</f>
        <v>8.9900000000000008E-2</v>
      </c>
      <c r="H165" s="561"/>
      <c r="M165" s="824"/>
      <c r="N165" s="824"/>
      <c r="O165" s="824"/>
      <c r="P165" s="824"/>
      <c r="Q165" s="824"/>
    </row>
    <row r="166" spans="1:17" x14ac:dyDescent="0.35">
      <c r="A166" s="3604"/>
      <c r="B166" s="2308" t="s">
        <v>434</v>
      </c>
      <c r="C166" s="1477">
        <f>IF('BTL Calculator'!V2 = "Core","",8.49%)</f>
        <v>8.4900000000000003E-2</v>
      </c>
      <c r="D166" s="2321"/>
      <c r="E166" s="1478">
        <v>0.02</v>
      </c>
      <c r="F166" s="2535">
        <f>MVR+1%</f>
        <v>9.5899999999999999E-2</v>
      </c>
      <c r="H166" s="561"/>
      <c r="M166" s="824"/>
      <c r="N166" s="824"/>
      <c r="O166" s="824"/>
      <c r="P166" s="824"/>
      <c r="Q166" s="824"/>
    </row>
    <row r="167" spans="1:17" ht="18.75" thickBot="1" x14ac:dyDescent="0.4">
      <c r="A167" s="3604"/>
      <c r="B167" s="2309"/>
      <c r="C167" s="1480"/>
      <c r="D167" s="2322"/>
      <c r="E167" s="1481"/>
      <c r="F167" s="2536"/>
      <c r="H167" s="561"/>
      <c r="M167" s="824"/>
      <c r="N167" s="824"/>
      <c r="O167" s="824"/>
      <c r="P167" s="824"/>
      <c r="Q167" s="824"/>
    </row>
    <row r="168" spans="1:17" ht="18.75" thickBot="1" x14ac:dyDescent="0.4">
      <c r="A168" s="3604"/>
      <c r="B168" s="2323"/>
      <c r="C168" s="2324"/>
      <c r="D168" s="2324"/>
      <c r="E168" s="2324"/>
      <c r="F168" s="2325"/>
      <c r="M168" s="824"/>
      <c r="N168" s="824"/>
      <c r="O168" s="824"/>
      <c r="P168" s="824"/>
      <c r="Q168" s="824"/>
    </row>
    <row r="169" spans="1:17" ht="45" x14ac:dyDescent="0.45">
      <c r="A169" s="3604"/>
      <c r="B169" s="2326" t="s">
        <v>684</v>
      </c>
      <c r="C169" s="1502" t="s">
        <v>625</v>
      </c>
      <c r="D169" s="2319"/>
      <c r="E169" s="1503" t="s">
        <v>162</v>
      </c>
      <c r="F169" s="2327" t="s">
        <v>194</v>
      </c>
      <c r="M169" s="824"/>
      <c r="N169" s="824"/>
      <c r="O169" s="824"/>
      <c r="P169" s="824"/>
      <c r="Q169" s="824"/>
    </row>
    <row r="170" spans="1:17" x14ac:dyDescent="0.35">
      <c r="A170" s="3604"/>
      <c r="B170" s="2308" t="s">
        <v>432</v>
      </c>
      <c r="C170" s="1477">
        <f>IF('BTL Calculator'!V2 = "Core",6.69%,7.09%)</f>
        <v>7.0900000000000005E-2</v>
      </c>
      <c r="D170" s="2321"/>
      <c r="E170" s="1478">
        <v>0.04</v>
      </c>
      <c r="F170" s="2535">
        <f>MVR</f>
        <v>8.5900000000000004E-2</v>
      </c>
      <c r="I170" s="561"/>
      <c r="M170" s="824"/>
      <c r="N170" s="824"/>
      <c r="O170" s="824"/>
      <c r="P170" s="824"/>
      <c r="Q170" s="824"/>
    </row>
    <row r="171" spans="1:17" x14ac:dyDescent="0.35">
      <c r="A171" s="3604"/>
      <c r="B171" s="2308" t="s">
        <v>433</v>
      </c>
      <c r="C171" s="1477">
        <f>IF('BTL Calculator'!V2 = "Core",7.29%,7.59%)</f>
        <v>7.5899999999999995E-2</v>
      </c>
      <c r="D171" s="2321"/>
      <c r="E171" s="1478">
        <v>0.04</v>
      </c>
      <c r="F171" s="2535">
        <f>MVR+0.4%</f>
        <v>8.9900000000000008E-2</v>
      </c>
      <c r="H171" s="561"/>
      <c r="M171" s="824"/>
      <c r="N171" s="824"/>
      <c r="O171" s="824"/>
      <c r="P171" s="824"/>
      <c r="Q171" s="824"/>
    </row>
    <row r="172" spans="1:17" x14ac:dyDescent="0.35">
      <c r="A172" s="3604"/>
      <c r="B172" s="2308" t="s">
        <v>434</v>
      </c>
      <c r="C172" s="1477">
        <f>IF('BTL Calculator'!V2 = "Core","",8.09%)</f>
        <v>8.09E-2</v>
      </c>
      <c r="D172" s="2321"/>
      <c r="E172" s="1478">
        <v>0.04</v>
      </c>
      <c r="F172" s="2535">
        <f>MVR+1%</f>
        <v>9.5899999999999999E-2</v>
      </c>
      <c r="H172" s="561"/>
      <c r="M172" s="824"/>
      <c r="N172" s="824"/>
      <c r="O172" s="824"/>
      <c r="P172" s="824"/>
      <c r="Q172" s="824"/>
    </row>
    <row r="173" spans="1:17" ht="18.75" thickBot="1" x14ac:dyDescent="0.4">
      <c r="A173" s="3604"/>
      <c r="B173" s="2309"/>
      <c r="C173" s="1480"/>
      <c r="D173" s="2322"/>
      <c r="E173" s="1481"/>
      <c r="F173" s="2536"/>
      <c r="H173" s="561"/>
      <c r="M173" s="824"/>
      <c r="N173" s="824"/>
      <c r="O173" s="824"/>
      <c r="P173" s="824"/>
      <c r="Q173" s="824"/>
    </row>
    <row r="174" spans="1:17" ht="18.75" thickBot="1" x14ac:dyDescent="0.4">
      <c r="A174" s="3604"/>
      <c r="B174" s="2141"/>
      <c r="C174" s="287"/>
      <c r="D174" s="287"/>
      <c r="E174" s="287"/>
      <c r="F174" s="2151"/>
      <c r="M174" s="824"/>
      <c r="N174" s="824"/>
      <c r="O174" s="824"/>
      <c r="P174" s="824"/>
      <c r="Q174" s="824"/>
    </row>
    <row r="175" spans="1:17" ht="45" x14ac:dyDescent="0.45">
      <c r="A175" s="3604"/>
      <c r="B175" s="2328" t="s">
        <v>700</v>
      </c>
      <c r="C175" s="1507" t="s">
        <v>625</v>
      </c>
      <c r="D175" s="2319"/>
      <c r="E175" s="1508" t="s">
        <v>162</v>
      </c>
      <c r="F175" s="2329" t="s">
        <v>194</v>
      </c>
      <c r="M175" s="824"/>
      <c r="N175" s="824"/>
      <c r="O175" s="824"/>
      <c r="P175" s="824"/>
      <c r="Q175" s="824"/>
    </row>
    <row r="176" spans="1:17" x14ac:dyDescent="0.35">
      <c r="A176" s="3604"/>
      <c r="B176" s="2308" t="s">
        <v>432</v>
      </c>
      <c r="C176" s="1477">
        <f>IF('BTL Calculator'!V2 = "Core",6.29%,6.69%)</f>
        <v>6.6900000000000001E-2</v>
      </c>
      <c r="D176" s="2321"/>
      <c r="E176" s="1478">
        <v>0.06</v>
      </c>
      <c r="F176" s="2535">
        <f>MVR</f>
        <v>8.5900000000000004E-2</v>
      </c>
      <c r="I176" s="561"/>
      <c r="M176" s="824"/>
      <c r="N176" s="824"/>
      <c r="O176" s="824"/>
      <c r="P176" s="824"/>
      <c r="Q176" s="824"/>
    </row>
    <row r="177" spans="1:18" x14ac:dyDescent="0.35">
      <c r="A177" s="3604"/>
      <c r="B177" s="2308" t="s">
        <v>433</v>
      </c>
      <c r="C177" s="1477">
        <f>IF('BTL Calculator'!V2 = "Core",6.89%,7.19%)</f>
        <v>7.1900000000000006E-2</v>
      </c>
      <c r="D177" s="2321"/>
      <c r="E177" s="1478">
        <v>0.06</v>
      </c>
      <c r="F177" s="2535">
        <f>MVR+0.4%</f>
        <v>8.9900000000000008E-2</v>
      </c>
      <c r="H177" s="561"/>
      <c r="M177" s="824"/>
      <c r="N177" s="824"/>
      <c r="O177" s="824"/>
      <c r="P177" s="824"/>
      <c r="Q177" s="824"/>
    </row>
    <row r="178" spans="1:18" x14ac:dyDescent="0.35">
      <c r="A178" s="3604"/>
      <c r="B178" s="2308" t="s">
        <v>434</v>
      </c>
      <c r="C178" s="1477">
        <f>IF('BTL Calculator'!V2 = "Core","",7.69%)</f>
        <v>7.690000000000001E-2</v>
      </c>
      <c r="D178" s="2321"/>
      <c r="E178" s="1478">
        <v>0.06</v>
      </c>
      <c r="F178" s="2535">
        <f>MVR+1%</f>
        <v>9.5899999999999999E-2</v>
      </c>
      <c r="H178" s="561"/>
      <c r="M178" s="824"/>
      <c r="N178" s="824"/>
      <c r="O178" s="824"/>
      <c r="P178" s="824"/>
      <c r="Q178" s="824"/>
    </row>
    <row r="179" spans="1:18" ht="18.75" thickBot="1" x14ac:dyDescent="0.4">
      <c r="A179" s="3604"/>
      <c r="B179" s="2309"/>
      <c r="C179" s="1480"/>
      <c r="D179" s="2322"/>
      <c r="E179" s="1481"/>
      <c r="F179" s="2536"/>
      <c r="H179" s="561"/>
      <c r="M179" s="824"/>
      <c r="N179" s="824"/>
      <c r="O179" s="824"/>
      <c r="P179" s="824"/>
      <c r="Q179" s="824"/>
    </row>
    <row r="180" spans="1:18" ht="18.75" thickBot="1" x14ac:dyDescent="0.4">
      <c r="A180" s="3604"/>
      <c r="B180" s="593"/>
      <c r="C180" s="2533"/>
      <c r="D180" s="2660"/>
      <c r="E180" s="2656"/>
      <c r="F180" s="2657"/>
      <c r="H180" s="561"/>
      <c r="M180" s="824"/>
      <c r="N180" s="824"/>
      <c r="O180" s="824"/>
      <c r="P180" s="824"/>
      <c r="Q180" s="824"/>
    </row>
    <row r="181" spans="1:18" ht="45" x14ac:dyDescent="0.45">
      <c r="A181" s="3604"/>
      <c r="B181" s="2661" t="s">
        <v>3816</v>
      </c>
      <c r="C181" s="2662" t="s">
        <v>625</v>
      </c>
      <c r="D181" s="2319"/>
      <c r="E181" s="2664" t="s">
        <v>162</v>
      </c>
      <c r="F181" s="2666" t="s">
        <v>194</v>
      </c>
      <c r="H181" s="561"/>
      <c r="M181" s="824"/>
      <c r="N181" s="824"/>
      <c r="O181" s="824"/>
      <c r="P181" s="824"/>
      <c r="Q181" s="824"/>
    </row>
    <row r="182" spans="1:18" x14ac:dyDescent="0.35">
      <c r="A182" s="3604"/>
      <c r="B182" s="2308" t="s">
        <v>432</v>
      </c>
      <c r="C182" s="1477">
        <f>IF('BTL Calculator'!V2="Core", 6.89%,7.29%)</f>
        <v>7.2900000000000006E-2</v>
      </c>
      <c r="D182" s="2321"/>
      <c r="E182" s="1478">
        <v>0.03</v>
      </c>
      <c r="F182" s="2535">
        <f>MVR</f>
        <v>8.5900000000000004E-2</v>
      </c>
      <c r="H182" s="561"/>
      <c r="M182" s="824"/>
      <c r="N182" s="824"/>
      <c r="O182" s="824"/>
      <c r="P182" s="824"/>
      <c r="Q182" s="824"/>
    </row>
    <row r="183" spans="1:18" x14ac:dyDescent="0.35">
      <c r="A183" s="3604"/>
      <c r="B183" s="2308" t="s">
        <v>433</v>
      </c>
      <c r="C183" s="1477">
        <f>IF('BTL Calculator'!V2 = "Core",7.49%,7.79%)</f>
        <v>7.7899999999999997E-2</v>
      </c>
      <c r="D183" s="2321"/>
      <c r="E183" s="1478">
        <v>0.03</v>
      </c>
      <c r="F183" s="2535">
        <f>MVR+0.4%</f>
        <v>8.9900000000000008E-2</v>
      </c>
      <c r="H183" s="561"/>
      <c r="M183" s="824"/>
      <c r="N183" s="824"/>
      <c r="O183" s="824"/>
      <c r="P183" s="824"/>
      <c r="Q183" s="824"/>
    </row>
    <row r="184" spans="1:18" x14ac:dyDescent="0.35">
      <c r="A184" s="3604"/>
      <c r="B184" s="2308" t="s">
        <v>434</v>
      </c>
      <c r="C184" s="1477">
        <f>IF('BTL Calculator'!V2 = "Core","",8.29%)</f>
        <v>8.2899999999999988E-2</v>
      </c>
      <c r="D184" s="2321"/>
      <c r="E184" s="1478">
        <v>0.03</v>
      </c>
      <c r="F184" s="2535">
        <f>MVR+1%</f>
        <v>9.5899999999999999E-2</v>
      </c>
      <c r="H184" s="561"/>
      <c r="M184" s="824"/>
      <c r="N184" s="824"/>
      <c r="O184" s="824"/>
      <c r="P184" s="824"/>
      <c r="Q184" s="824"/>
    </row>
    <row r="185" spans="1:18" ht="18.75" thickBot="1" x14ac:dyDescent="0.4">
      <c r="A185" s="3604"/>
      <c r="B185" s="2309"/>
      <c r="C185" s="1480"/>
      <c r="D185" s="2322"/>
      <c r="E185" s="1481"/>
      <c r="F185" s="2536"/>
      <c r="H185" s="561"/>
      <c r="M185" s="824"/>
      <c r="N185" s="824"/>
      <c r="O185" s="824"/>
      <c r="P185" s="824"/>
      <c r="Q185" s="824"/>
    </row>
    <row r="186" spans="1:18" x14ac:dyDescent="0.35">
      <c r="K186" s="824"/>
      <c r="M186" s="824"/>
      <c r="N186" s="824"/>
      <c r="O186" s="824"/>
      <c r="P186" s="824"/>
      <c r="Q186" s="824"/>
    </row>
    <row r="187" spans="1:18" ht="24.75" thickBot="1" x14ac:dyDescent="0.5">
      <c r="B187" s="3618" t="s">
        <v>3781</v>
      </c>
      <c r="C187" s="3618"/>
      <c r="D187" s="3618"/>
      <c r="E187" s="3618"/>
      <c r="F187" s="3618"/>
      <c r="G187" s="3618"/>
      <c r="H187" s="3618"/>
      <c r="I187" s="3618"/>
      <c r="J187" s="3618"/>
      <c r="K187" s="3618"/>
      <c r="L187" s="3618"/>
      <c r="M187" s="3618"/>
      <c r="N187" s="3618"/>
      <c r="O187" s="824"/>
      <c r="P187" s="824"/>
      <c r="Q187" s="824"/>
    </row>
    <row r="188" spans="1:18" ht="18.75" thickBot="1" x14ac:dyDescent="0.4">
      <c r="B188" s="2588"/>
      <c r="C188" s="3619" t="s">
        <v>3774</v>
      </c>
      <c r="D188" s="3620"/>
      <c r="E188" s="3620"/>
      <c r="F188" s="3621"/>
      <c r="G188" s="3619" t="s">
        <v>3775</v>
      </c>
      <c r="H188" s="3620"/>
      <c r="I188" s="3620"/>
      <c r="J188" s="3621"/>
      <c r="K188" s="3619" t="s">
        <v>3776</v>
      </c>
      <c r="L188" s="3620"/>
      <c r="M188" s="3620"/>
      <c r="N188" s="3621"/>
      <c r="O188" s="3619" t="s">
        <v>3777</v>
      </c>
      <c r="P188" s="3620"/>
      <c r="Q188" s="3620"/>
      <c r="R188" s="3621"/>
    </row>
    <row r="189" spans="1:18" ht="45" x14ac:dyDescent="0.45">
      <c r="A189" s="3616" t="s">
        <v>3772</v>
      </c>
      <c r="B189" s="2594" t="s">
        <v>3778</v>
      </c>
      <c r="C189" s="1483" t="s">
        <v>625</v>
      </c>
      <c r="D189" s="1484" t="s">
        <v>451</v>
      </c>
      <c r="E189" s="1484" t="s">
        <v>162</v>
      </c>
      <c r="F189" s="2320" t="s">
        <v>630</v>
      </c>
      <c r="G189" s="1483" t="s">
        <v>625</v>
      </c>
      <c r="H189" s="1484" t="s">
        <v>451</v>
      </c>
      <c r="I189" s="1484" t="s">
        <v>162</v>
      </c>
      <c r="J189" s="2320" t="s">
        <v>630</v>
      </c>
      <c r="K189" s="2589" t="s">
        <v>625</v>
      </c>
      <c r="L189" s="1484" t="s">
        <v>451</v>
      </c>
      <c r="M189" s="1484" t="s">
        <v>162</v>
      </c>
      <c r="N189" s="2320" t="s">
        <v>630</v>
      </c>
      <c r="O189" s="2589" t="s">
        <v>625</v>
      </c>
      <c r="P189" s="1484" t="s">
        <v>451</v>
      </c>
      <c r="Q189" s="1484" t="s">
        <v>162</v>
      </c>
      <c r="R189" s="2320" t="s">
        <v>630</v>
      </c>
    </row>
    <row r="190" spans="1:18" x14ac:dyDescent="0.35">
      <c r="A190" s="3617"/>
      <c r="B190" s="2595" t="s">
        <v>432</v>
      </c>
      <c r="C190" s="2601"/>
      <c r="D190" s="1478">
        <v>7.4999999999999997E-3</v>
      </c>
      <c r="E190" s="1478">
        <v>1.4999999999999999E-2</v>
      </c>
      <c r="F190" s="2535">
        <f>MVR</f>
        <v>8.5900000000000004E-2</v>
      </c>
      <c r="G190" s="1477">
        <f>IF('BTL Calculator'!$V$2="Core","7.19%",G212+0.001)</f>
        <v>7.4899999999999994E-2</v>
      </c>
      <c r="H190" s="1478">
        <v>1.2500000000000001E-2</v>
      </c>
      <c r="I190" s="1478">
        <v>1.4999999999999999E-2</v>
      </c>
      <c r="J190" s="2535">
        <f>MVR</f>
        <v>8.5900000000000004E-2</v>
      </c>
      <c r="K190" s="1477">
        <f>IF('BTL Calculator'!$V$2="Core","7.29%",K212+0.001)</f>
        <v>7.5899999999999995E-2</v>
      </c>
      <c r="L190" s="1478">
        <v>7.4999999999999997E-3</v>
      </c>
      <c r="M190" s="1478">
        <v>1.4999999999999999E-2</v>
      </c>
      <c r="N190" s="2535">
        <f>MVR</f>
        <v>8.5900000000000004E-2</v>
      </c>
      <c r="O190" s="1477">
        <f>IF('BTL Calculator'!$V$2="Core",0.0354+BBR,0.0324+BBR+0.001)</f>
        <v>7.3399999999999993E-2</v>
      </c>
      <c r="P190" s="1478">
        <v>0.02</v>
      </c>
      <c r="Q190" s="1478">
        <v>1.4999999999999999E-2</v>
      </c>
      <c r="R190" s="2535">
        <f>MVR</f>
        <v>8.5900000000000004E-2</v>
      </c>
    </row>
    <row r="191" spans="1:18" x14ac:dyDescent="0.35">
      <c r="A191" s="3617"/>
      <c r="B191" s="2595" t="s">
        <v>433</v>
      </c>
      <c r="C191" s="2601"/>
      <c r="D191" s="1478">
        <v>7.4999999999999997E-3</v>
      </c>
      <c r="E191" s="1478">
        <v>1.4999999999999999E-2</v>
      </c>
      <c r="F191" s="2535">
        <f>MVR+0.4%</f>
        <v>8.9900000000000008E-2</v>
      </c>
      <c r="G191" s="1477">
        <f>IF('BTL Calculator'!$V$2="Core","7.79%",G213+0.001)</f>
        <v>7.9899999999999999E-2</v>
      </c>
      <c r="H191" s="1478">
        <v>1.2500000000000001E-2</v>
      </c>
      <c r="I191" s="1478">
        <v>1.4999999999999999E-2</v>
      </c>
      <c r="J191" s="2535">
        <f>MVR+0.4%</f>
        <v>8.9900000000000008E-2</v>
      </c>
      <c r="K191" s="1477">
        <f>IF('BTL Calculator'!$V$2="Core","7.89%",K213+0.001)</f>
        <v>8.09E-2</v>
      </c>
      <c r="L191" s="1478">
        <v>7.4999999999999997E-3</v>
      </c>
      <c r="M191" s="1478">
        <v>1.4999999999999999E-2</v>
      </c>
      <c r="N191" s="2535">
        <f>MVR+0.4%</f>
        <v>8.9900000000000008E-2</v>
      </c>
      <c r="O191" s="1477">
        <f>IF('BTL Calculator'!$V$2="Core",0.0374+BBR,0.0374+BBR+0.001)</f>
        <v>7.8399999999999997E-2</v>
      </c>
      <c r="P191" s="1478">
        <v>0.02</v>
      </c>
      <c r="Q191" s="1478">
        <v>1.4999999999999999E-2</v>
      </c>
      <c r="R191" s="2535">
        <f>MVR+0.4%</f>
        <v>8.9900000000000008E-2</v>
      </c>
    </row>
    <row r="192" spans="1:18" x14ac:dyDescent="0.35">
      <c r="A192" s="3617"/>
      <c r="B192" s="2595" t="s">
        <v>434</v>
      </c>
      <c r="C192" s="2601"/>
      <c r="D192" s="1478">
        <v>7.4999999999999997E-3</v>
      </c>
      <c r="E192" s="1478">
        <v>1.4999999999999999E-2</v>
      </c>
      <c r="F192" s="2535">
        <f>MVR+1%</f>
        <v>9.5899999999999999E-2</v>
      </c>
      <c r="G192" s="1477">
        <f>IF('BTL Calculator'!$V$2="Core","",G214+0.001)</f>
        <v>8.3900000000000002E-2</v>
      </c>
      <c r="H192" s="1478">
        <v>1.2500000000000001E-2</v>
      </c>
      <c r="I192" s="1478">
        <v>1.4999999999999999E-2</v>
      </c>
      <c r="J192" s="2535">
        <f>MVR+1%</f>
        <v>9.5899999999999999E-2</v>
      </c>
      <c r="K192" s="1477">
        <f>IF('BTL Calculator'!$V$2="Core","",K214+0.001)</f>
        <v>8.4900000000000003E-2</v>
      </c>
      <c r="L192" s="1478">
        <v>7.4999999999999997E-3</v>
      </c>
      <c r="M192" s="1478">
        <v>1.4999999999999999E-2</v>
      </c>
      <c r="N192" s="2535">
        <f>MVR+1%</f>
        <v>9.5899999999999999E-2</v>
      </c>
      <c r="O192" s="1477">
        <f>IF('BTL Calculator'!$V$2="Core","",0.0404+BBR+0.001)</f>
        <v>8.14E-2</v>
      </c>
      <c r="P192" s="1478">
        <v>0.02</v>
      </c>
      <c r="Q192" s="1478">
        <v>1.4999999999999999E-2</v>
      </c>
      <c r="R192" s="2535">
        <f>MVR+1%</f>
        <v>9.5899999999999999E-2</v>
      </c>
    </row>
    <row r="193" spans="1:18" ht="18.75" thickBot="1" x14ac:dyDescent="0.4">
      <c r="A193" s="3617"/>
      <c r="B193" s="2596"/>
      <c r="C193" s="2324"/>
      <c r="D193" s="2324"/>
      <c r="E193" s="2324"/>
      <c r="F193" s="2325"/>
      <c r="G193" s="2324"/>
      <c r="H193" s="2324"/>
      <c r="I193" s="2324"/>
      <c r="J193" s="2325"/>
      <c r="K193" s="2591"/>
      <c r="L193" s="2324"/>
      <c r="M193" s="2324"/>
      <c r="N193" s="2325"/>
      <c r="O193" s="2591"/>
      <c r="P193" s="2324"/>
      <c r="Q193" s="2324"/>
      <c r="R193" s="2325"/>
    </row>
    <row r="194" spans="1:18" ht="45" x14ac:dyDescent="0.45">
      <c r="A194" s="3617"/>
      <c r="B194" s="2597" t="s">
        <v>3779</v>
      </c>
      <c r="C194" s="1502" t="s">
        <v>625</v>
      </c>
      <c r="D194" s="1503" t="s">
        <v>451</v>
      </c>
      <c r="E194" s="1503" t="s">
        <v>162</v>
      </c>
      <c r="F194" s="2327" t="s">
        <v>630</v>
      </c>
      <c r="G194" s="1502" t="s">
        <v>625</v>
      </c>
      <c r="H194" s="1503" t="s">
        <v>451</v>
      </c>
      <c r="I194" s="1503" t="s">
        <v>162</v>
      </c>
      <c r="J194" s="2327" t="s">
        <v>630</v>
      </c>
      <c r="K194" s="2592" t="s">
        <v>625</v>
      </c>
      <c r="L194" s="1503" t="s">
        <v>451</v>
      </c>
      <c r="M194" s="1503" t="s">
        <v>162</v>
      </c>
      <c r="N194" s="2327" t="s">
        <v>630</v>
      </c>
      <c r="O194" s="2592" t="s">
        <v>625</v>
      </c>
      <c r="P194" s="1503" t="s">
        <v>451</v>
      </c>
      <c r="Q194" s="1503" t="s">
        <v>162</v>
      </c>
      <c r="R194" s="2327" t="s">
        <v>630</v>
      </c>
    </row>
    <row r="195" spans="1:18" x14ac:dyDescent="0.35">
      <c r="A195" s="3617"/>
      <c r="B195" s="2595" t="s">
        <v>432</v>
      </c>
      <c r="C195" s="2601"/>
      <c r="D195" s="1478">
        <v>7.4999999999999997E-3</v>
      </c>
      <c r="E195" s="1478">
        <v>3.5000000000000003E-2</v>
      </c>
      <c r="F195" s="2535">
        <f>MVR</f>
        <v>8.5900000000000004E-2</v>
      </c>
      <c r="G195" s="1477">
        <f>IF('BTL Calculator'!$V$2="Core","6.49%",G217+0.001)</f>
        <v>6.7900000000000002E-2</v>
      </c>
      <c r="H195" s="1478">
        <v>1.2500000000000001E-2</v>
      </c>
      <c r="I195" s="1478">
        <v>3.5000000000000003E-2</v>
      </c>
      <c r="J195" s="2535">
        <f>MVR</f>
        <v>8.5900000000000004E-2</v>
      </c>
      <c r="K195" s="1477">
        <f>IF('BTL Calculator'!$V$2="Core","6.19%",K217+0.001)</f>
        <v>6.4899999999999999E-2</v>
      </c>
      <c r="L195" s="1478">
        <v>7.4999999999999997E-3</v>
      </c>
      <c r="M195" s="1478">
        <v>3.5000000000000003E-2</v>
      </c>
      <c r="N195" s="2535">
        <f>MVR</f>
        <v>8.5900000000000004E-2</v>
      </c>
      <c r="O195" s="1477">
        <f>IF('BTL Calculator'!$V$2="Core",0.0249+BBR,0.0219+BBR+0.001)</f>
        <v>6.2899999999999998E-2</v>
      </c>
      <c r="P195" s="1478">
        <v>0.02</v>
      </c>
      <c r="Q195" s="1478">
        <v>3.5000000000000003E-2</v>
      </c>
      <c r="R195" s="2535">
        <f>MVR</f>
        <v>8.5900000000000004E-2</v>
      </c>
    </row>
    <row r="196" spans="1:18" x14ac:dyDescent="0.35">
      <c r="A196" s="3617"/>
      <c r="B196" s="2595" t="s">
        <v>433</v>
      </c>
      <c r="C196" s="2601"/>
      <c r="D196" s="1478">
        <v>7.4999999999999997E-3</v>
      </c>
      <c r="E196" s="1478">
        <v>3.5000000000000003E-2</v>
      </c>
      <c r="F196" s="2535">
        <f>MVR+0.4%</f>
        <v>8.9900000000000008E-2</v>
      </c>
      <c r="G196" s="1477">
        <f>IF('BTL Calculator'!$V$2="Core","7.09%",G218+0.001)</f>
        <v>7.2900000000000006E-2</v>
      </c>
      <c r="H196" s="1478">
        <v>1.2500000000000001E-2</v>
      </c>
      <c r="I196" s="1478">
        <v>3.5000000000000003E-2</v>
      </c>
      <c r="J196" s="2535">
        <f>MVR+0.4%</f>
        <v>8.9900000000000008E-2</v>
      </c>
      <c r="K196" s="1477">
        <f>IF('BTL Calculator'!$V$2="Core","6.79%",K218+0.001)</f>
        <v>6.9900000000000004E-2</v>
      </c>
      <c r="L196" s="1478">
        <v>7.4999999999999997E-3</v>
      </c>
      <c r="M196" s="1478">
        <v>3.5000000000000003E-2</v>
      </c>
      <c r="N196" s="2535">
        <f>MVR+0.4%</f>
        <v>8.9900000000000008E-2</v>
      </c>
      <c r="O196" s="1477">
        <f>IF('BTL Calculator'!$V$2="Core",0.0269+BBR,0.0269+BBR+0.001)</f>
        <v>6.7900000000000002E-2</v>
      </c>
      <c r="P196" s="1478">
        <v>0.02</v>
      </c>
      <c r="Q196" s="1478">
        <v>3.5000000000000003E-2</v>
      </c>
      <c r="R196" s="2535">
        <f>MVR+0.4%</f>
        <v>8.9900000000000008E-2</v>
      </c>
    </row>
    <row r="197" spans="1:18" x14ac:dyDescent="0.35">
      <c r="A197" s="3617"/>
      <c r="B197" s="2595" t="s">
        <v>434</v>
      </c>
      <c r="C197" s="2601"/>
      <c r="D197" s="1478">
        <v>7.4999999999999997E-3</v>
      </c>
      <c r="E197" s="1478">
        <v>3.5000000000000003E-2</v>
      </c>
      <c r="F197" s="2535">
        <f>MVR+1%</f>
        <v>9.5899999999999999E-2</v>
      </c>
      <c r="G197" s="1477">
        <f>IF('BTL Calculator'!$V$2="Core","",G219+0.001)</f>
        <v>7.6899999999999996E-2</v>
      </c>
      <c r="H197" s="1478">
        <v>1.2500000000000001E-2</v>
      </c>
      <c r="I197" s="1478">
        <v>3.5000000000000003E-2</v>
      </c>
      <c r="J197" s="2535">
        <f>MVR+1%</f>
        <v>9.5899999999999999E-2</v>
      </c>
      <c r="K197" s="1477">
        <f>IF('BTL Calculator'!$V$2="Core","",K219+0.001)</f>
        <v>7.3900000000000007E-2</v>
      </c>
      <c r="L197" s="1478">
        <v>7.4999999999999997E-3</v>
      </c>
      <c r="M197" s="1478">
        <v>3.5000000000000003E-2</v>
      </c>
      <c r="N197" s="2535">
        <f>MVR+1%</f>
        <v>9.5899999999999999E-2</v>
      </c>
      <c r="O197" s="1477">
        <f>IF('BTL Calculator'!$V$2="Core","",0.0329+BBR+0.001)</f>
        <v>7.3899999999999993E-2</v>
      </c>
      <c r="P197" s="1478">
        <v>0.02</v>
      </c>
      <c r="Q197" s="1478">
        <v>3.5000000000000003E-2</v>
      </c>
      <c r="R197" s="2535">
        <f>MVR+1%</f>
        <v>9.5899999999999999E-2</v>
      </c>
    </row>
    <row r="198" spans="1:18" ht="18.75" thickBot="1" x14ac:dyDescent="0.4">
      <c r="A198" s="3617"/>
      <c r="B198" s="2598"/>
      <c r="C198" s="287"/>
      <c r="D198" s="287"/>
      <c r="E198" s="287"/>
      <c r="F198" s="2151"/>
      <c r="G198" s="287"/>
      <c r="H198" s="287"/>
      <c r="I198" s="287"/>
      <c r="J198" s="2151"/>
      <c r="K198" s="2141"/>
      <c r="L198" s="287"/>
      <c r="M198" s="287"/>
      <c r="N198" s="2151"/>
      <c r="O198" s="2141"/>
      <c r="P198" s="287"/>
      <c r="Q198" s="287"/>
      <c r="R198" s="2151"/>
    </row>
    <row r="199" spans="1:18" ht="45" x14ac:dyDescent="0.45">
      <c r="A199" s="3617"/>
      <c r="B199" s="2599" t="s">
        <v>3780</v>
      </c>
      <c r="C199" s="1507" t="s">
        <v>625</v>
      </c>
      <c r="D199" s="1508" t="s">
        <v>451</v>
      </c>
      <c r="E199" s="1508" t="s">
        <v>162</v>
      </c>
      <c r="F199" s="2329" t="s">
        <v>630</v>
      </c>
      <c r="G199" s="1507" t="s">
        <v>625</v>
      </c>
      <c r="H199" s="1508" t="s">
        <v>451</v>
      </c>
      <c r="I199" s="1508" t="s">
        <v>162</v>
      </c>
      <c r="J199" s="2329" t="s">
        <v>630</v>
      </c>
      <c r="K199" s="2593" t="s">
        <v>625</v>
      </c>
      <c r="L199" s="1508" t="s">
        <v>451</v>
      </c>
      <c r="M199" s="1508" t="s">
        <v>162</v>
      </c>
      <c r="N199" s="2329" t="s">
        <v>630</v>
      </c>
      <c r="O199" s="2593" t="s">
        <v>625</v>
      </c>
      <c r="P199" s="1508" t="s">
        <v>451</v>
      </c>
      <c r="Q199" s="1508" t="s">
        <v>162</v>
      </c>
      <c r="R199" s="2329" t="s">
        <v>630</v>
      </c>
    </row>
    <row r="200" spans="1:18" x14ac:dyDescent="0.35">
      <c r="A200" s="3617"/>
      <c r="B200" s="2595" t="s">
        <v>432</v>
      </c>
      <c r="C200" s="2601"/>
      <c r="D200" s="1478">
        <v>7.4999999999999997E-3</v>
      </c>
      <c r="E200" s="1478">
        <v>5.5E-2</v>
      </c>
      <c r="F200" s="2535">
        <f>MVR</f>
        <v>8.5900000000000004E-2</v>
      </c>
      <c r="G200" s="1477">
        <f>IF('BTL Calculator'!$V$2="Core","5.79%",G222+0.001)</f>
        <v>6.0900000000000003E-2</v>
      </c>
      <c r="H200" s="1478">
        <v>1.2500000000000001E-2</v>
      </c>
      <c r="I200" s="1478">
        <v>5.5E-2</v>
      </c>
      <c r="J200" s="2535">
        <f>MVR</f>
        <v>8.5900000000000004E-2</v>
      </c>
      <c r="K200" s="1477">
        <f>IF('BTL Calculator'!$V$2="Core","5.29%",K222+0.001)</f>
        <v>5.5899999999999998E-2</v>
      </c>
      <c r="L200" s="1478">
        <v>7.4999999999999997E-3</v>
      </c>
      <c r="M200" s="1478">
        <v>5.5E-2</v>
      </c>
      <c r="N200" s="2535">
        <f>MVR</f>
        <v>8.5900000000000004E-2</v>
      </c>
      <c r="O200" s="1477">
        <f>IF('BTL Calculator'!$V$2="Core",0.0149+BBR,0.0119+BBR+0.001)</f>
        <v>5.2900000000000003E-2</v>
      </c>
      <c r="P200" s="1478">
        <v>0.02</v>
      </c>
      <c r="Q200" s="1478">
        <v>5.5E-2</v>
      </c>
      <c r="R200" s="2535">
        <f>MVR</f>
        <v>8.5900000000000004E-2</v>
      </c>
    </row>
    <row r="201" spans="1:18" x14ac:dyDescent="0.35">
      <c r="A201" s="3617"/>
      <c r="B201" s="2595" t="s">
        <v>433</v>
      </c>
      <c r="C201" s="2601"/>
      <c r="D201" s="1478">
        <v>7.4999999999999997E-3</v>
      </c>
      <c r="E201" s="1478">
        <v>5.5E-2</v>
      </c>
      <c r="F201" s="2535">
        <f>MVR+0.4%</f>
        <v>8.9900000000000008E-2</v>
      </c>
      <c r="G201" s="1477">
        <f>IF('BTL Calculator'!$V$2="Core","6.39%",G223+0.001)</f>
        <v>6.59E-2</v>
      </c>
      <c r="H201" s="1478">
        <v>1.2500000000000001E-2</v>
      </c>
      <c r="I201" s="1478">
        <v>5.5E-2</v>
      </c>
      <c r="J201" s="2535">
        <f>MVR+0.4%</f>
        <v>8.9900000000000008E-2</v>
      </c>
      <c r="K201" s="1477">
        <f>IF('BTL Calculator'!$V$2="Core","5.89%",K223+0.001)</f>
        <v>6.0900000000000003E-2</v>
      </c>
      <c r="L201" s="1478">
        <v>7.4999999999999997E-3</v>
      </c>
      <c r="M201" s="1478">
        <v>5.5E-2</v>
      </c>
      <c r="N201" s="2535">
        <f>MVR+0.4%</f>
        <v>8.9900000000000008E-2</v>
      </c>
      <c r="O201" s="1477">
        <f>IF('BTL Calculator'!$V$2="Core",0.0169+BBR,0.0169+BBR+0.001)</f>
        <v>5.79E-2</v>
      </c>
      <c r="P201" s="1478">
        <v>0.02</v>
      </c>
      <c r="Q201" s="1478">
        <v>5.5E-2</v>
      </c>
      <c r="R201" s="2535">
        <f>MVR+0.4%</f>
        <v>8.9900000000000008E-2</v>
      </c>
    </row>
    <row r="202" spans="1:18" x14ac:dyDescent="0.35">
      <c r="A202" s="3617"/>
      <c r="B202" s="2595" t="s">
        <v>434</v>
      </c>
      <c r="C202" s="2601"/>
      <c r="D202" s="1478">
        <v>7.4999999999999997E-3</v>
      </c>
      <c r="E202" s="1478">
        <v>5.5E-2</v>
      </c>
      <c r="F202" s="2535">
        <f>MVR+1%</f>
        <v>9.5899999999999999E-2</v>
      </c>
      <c r="G202" s="1477">
        <f>IF('BTL Calculator'!$V$2="Core","",G224+0.001)</f>
        <v>6.9900000000000004E-2</v>
      </c>
      <c r="H202" s="1478">
        <v>1.2500000000000001E-2</v>
      </c>
      <c r="I202" s="1478">
        <v>5.5E-2</v>
      </c>
      <c r="J202" s="2535">
        <f>MVR+1%</f>
        <v>9.5899999999999999E-2</v>
      </c>
      <c r="K202" s="1477">
        <f>IF('BTL Calculator'!$V$2="Core","",K224+0.001)</f>
        <v>6.4899999999999999E-2</v>
      </c>
      <c r="L202" s="1478">
        <v>7.4999999999999997E-3</v>
      </c>
      <c r="M202" s="1478">
        <v>5.5E-2</v>
      </c>
      <c r="N202" s="2535">
        <f>MVR+1%</f>
        <v>9.5899999999999999E-2</v>
      </c>
      <c r="O202" s="1477">
        <f>IF('BTL Calculator'!$V$2="Core","",0.0229+BBR+0.001)</f>
        <v>6.3899999999999998E-2</v>
      </c>
      <c r="P202" s="1478">
        <v>0.02</v>
      </c>
      <c r="Q202" s="1478">
        <v>5.5E-2</v>
      </c>
      <c r="R202" s="2535">
        <f>MVR+1%</f>
        <v>9.5899999999999999E-2</v>
      </c>
    </row>
    <row r="203" spans="1:18" ht="18.75" thickBot="1" x14ac:dyDescent="0.4">
      <c r="A203" s="2703"/>
      <c r="B203" s="2598"/>
      <c r="C203" s="287"/>
      <c r="D203" s="287"/>
      <c r="E203" s="287"/>
      <c r="F203" s="2151"/>
      <c r="G203" s="287"/>
      <c r="H203" s="287"/>
      <c r="I203" s="287"/>
      <c r="J203" s="2151"/>
      <c r="K203" s="2141"/>
      <c r="L203" s="287"/>
      <c r="M203" s="287"/>
      <c r="N203" s="2151"/>
      <c r="O203" s="2141"/>
      <c r="P203" s="287"/>
      <c r="Q203" s="287"/>
      <c r="R203" s="2151"/>
    </row>
    <row r="204" spans="1:18" ht="45" x14ac:dyDescent="0.45">
      <c r="A204" s="2702"/>
      <c r="B204" s="2704" t="s">
        <v>3823</v>
      </c>
      <c r="C204" s="2705" t="s">
        <v>625</v>
      </c>
      <c r="D204" s="2706" t="s">
        <v>451</v>
      </c>
      <c r="E204" s="2706" t="s">
        <v>162</v>
      </c>
      <c r="F204" s="2707" t="s">
        <v>630</v>
      </c>
      <c r="G204" s="2705" t="s">
        <v>625</v>
      </c>
      <c r="H204" s="2706" t="s">
        <v>451</v>
      </c>
      <c r="I204" s="2706" t="s">
        <v>162</v>
      </c>
      <c r="J204" s="2707" t="s">
        <v>630</v>
      </c>
      <c r="K204" s="2708" t="s">
        <v>625</v>
      </c>
      <c r="L204" s="2706" t="s">
        <v>451</v>
      </c>
      <c r="M204" s="2706" t="s">
        <v>162</v>
      </c>
      <c r="N204" s="2707" t="s">
        <v>630</v>
      </c>
      <c r="O204" s="2708" t="s">
        <v>625</v>
      </c>
      <c r="P204" s="2706" t="s">
        <v>451</v>
      </c>
      <c r="Q204" s="2706" t="s">
        <v>162</v>
      </c>
      <c r="R204" s="2707" t="s">
        <v>630</v>
      </c>
    </row>
    <row r="205" spans="1:18" x14ac:dyDescent="0.35">
      <c r="A205" s="2702"/>
      <c r="B205" s="2595" t="s">
        <v>432</v>
      </c>
      <c r="C205" s="2601"/>
      <c r="D205" s="1478">
        <v>1.2500000000000001E-2</v>
      </c>
      <c r="E205" s="1478">
        <v>2.5000000000000001E-2</v>
      </c>
      <c r="F205" s="2535">
        <f>MVR</f>
        <v>8.5900000000000004E-2</v>
      </c>
      <c r="G205" s="1477">
        <f>IF('BTL Calculator'!$V$2="Core","6.86%",G227+0.001)</f>
        <v>7.1599999999999997E-2</v>
      </c>
      <c r="H205" s="1478">
        <v>1.2500000000000001E-2</v>
      </c>
      <c r="I205" s="1478">
        <v>2.5000000000000001E-2</v>
      </c>
      <c r="J205" s="2535">
        <f>MVR</f>
        <v>8.5900000000000004E-2</v>
      </c>
      <c r="K205" s="2590">
        <f>IF('BTL Calculator'!$V$2="Core","6.79%",K227+0.001)</f>
        <v>7.0900000000000005E-2</v>
      </c>
      <c r="L205" s="1478">
        <v>7.4999999999999997E-3</v>
      </c>
      <c r="M205" s="1478">
        <v>2.5000000000000001E-2</v>
      </c>
      <c r="N205" s="2535">
        <f>MVR</f>
        <v>8.5900000000000004E-2</v>
      </c>
      <c r="O205" s="2590">
        <f>IF('BTL Calculator'!$V$2="Core",0.0304+BBR,0.0274+BBR+0.001)</f>
        <v>6.8400000000000002E-2</v>
      </c>
      <c r="P205" s="1478">
        <v>0.02</v>
      </c>
      <c r="Q205" s="1478">
        <v>2.5000000000000001E-2</v>
      </c>
      <c r="R205" s="2535">
        <f>MVR</f>
        <v>8.5900000000000004E-2</v>
      </c>
    </row>
    <row r="206" spans="1:18" x14ac:dyDescent="0.35">
      <c r="A206" s="2702"/>
      <c r="B206" s="2595" t="s">
        <v>433</v>
      </c>
      <c r="C206" s="2601"/>
      <c r="D206" s="1478">
        <v>1.2500000000000001E-2</v>
      </c>
      <c r="E206" s="1478">
        <v>2.5000000000000001E-2</v>
      </c>
      <c r="F206" s="2535">
        <f>MVR+0.4%</f>
        <v>8.9900000000000008E-2</v>
      </c>
      <c r="G206" s="1477">
        <f>IF('BTL Calculator'!$V$2="Core","7.46%",G228+0.001)</f>
        <v>7.6600000000000001E-2</v>
      </c>
      <c r="H206" s="1478">
        <v>1.2500000000000001E-2</v>
      </c>
      <c r="I206" s="1478">
        <v>2.5000000000000001E-2</v>
      </c>
      <c r="J206" s="2535">
        <f>MVR+0.4%</f>
        <v>8.9900000000000008E-2</v>
      </c>
      <c r="K206" s="2590">
        <f>IF('BTL Calculator'!$V$2="Core","7.39%",K228+0.001)</f>
        <v>7.5899999999999995E-2</v>
      </c>
      <c r="L206" s="1478">
        <v>7.4999999999999997E-3</v>
      </c>
      <c r="M206" s="1478">
        <v>2.5000000000000001E-2</v>
      </c>
      <c r="N206" s="2535">
        <f>MVR+0.4%</f>
        <v>8.9900000000000008E-2</v>
      </c>
      <c r="O206" s="2590">
        <f>IF('BTL Calculator'!$V$2="Core",0.0324+BBR,0.0324+BBR+0.001)</f>
        <v>7.3399999999999993E-2</v>
      </c>
      <c r="P206" s="1478">
        <v>0.02</v>
      </c>
      <c r="Q206" s="1478">
        <v>2.5000000000000001E-2</v>
      </c>
      <c r="R206" s="2535">
        <f>MVR+0.4%</f>
        <v>8.9900000000000008E-2</v>
      </c>
    </row>
    <row r="207" spans="1:18" x14ac:dyDescent="0.35">
      <c r="A207" s="2702"/>
      <c r="B207" s="2595" t="s">
        <v>434</v>
      </c>
      <c r="C207" s="2601"/>
      <c r="D207" s="1478">
        <v>1.2500000000000001E-2</v>
      </c>
      <c r="E207" s="1478">
        <v>2.5000000000000001E-2</v>
      </c>
      <c r="F207" s="2535">
        <f>MVR+1%</f>
        <v>9.5899999999999999E-2</v>
      </c>
      <c r="G207" s="1477">
        <f>IF('BTL Calculator'!$V$2="Core","",G229+0.001)</f>
        <v>8.0600000000000005E-2</v>
      </c>
      <c r="H207" s="1478">
        <v>1.2500000000000001E-2</v>
      </c>
      <c r="I207" s="1478">
        <v>2.5000000000000001E-2</v>
      </c>
      <c r="J207" s="2535">
        <f>MVR+1%</f>
        <v>9.5899999999999999E-2</v>
      </c>
      <c r="K207" s="2590">
        <f>IF('BTL Calculator'!$V$2="Core","",K229+0.001)</f>
        <v>7.9899999999999999E-2</v>
      </c>
      <c r="L207" s="1478">
        <v>7.4999999999999997E-3</v>
      </c>
      <c r="M207" s="1478">
        <v>2.5000000000000001E-2</v>
      </c>
      <c r="N207" s="2535">
        <f>MVR+1%</f>
        <v>9.5899999999999999E-2</v>
      </c>
      <c r="O207" s="2590">
        <f>IF('BTL Calculator'!$V$2="Core","",0.0354+BBR+0.001)</f>
        <v>7.6399999999999996E-2</v>
      </c>
      <c r="P207" s="1478">
        <v>0.02</v>
      </c>
      <c r="Q207" s="1478">
        <v>2.5000000000000001E-2</v>
      </c>
      <c r="R207" s="2535">
        <f>MVR+1%</f>
        <v>9.5899999999999999E-2</v>
      </c>
    </row>
    <row r="208" spans="1:18" x14ac:dyDescent="0.35">
      <c r="M208" s="824"/>
      <c r="N208" s="824"/>
      <c r="O208" s="824"/>
      <c r="P208" s="824"/>
      <c r="Q208" s="824"/>
    </row>
    <row r="209" spans="1:18" ht="24.75" thickBot="1" x14ac:dyDescent="0.5">
      <c r="B209" s="3618" t="s">
        <v>3773</v>
      </c>
      <c r="C209" s="3618"/>
      <c r="D209" s="3618"/>
      <c r="E209" s="3618"/>
      <c r="F209" s="3618"/>
      <c r="G209" s="3618"/>
      <c r="H209" s="3618"/>
      <c r="I209" s="3618"/>
      <c r="J209" s="3618"/>
      <c r="K209" s="3618"/>
      <c r="L209" s="3618"/>
      <c r="M209" s="3618"/>
      <c r="N209" s="3618"/>
      <c r="O209" s="824"/>
      <c r="P209" s="824"/>
      <c r="Q209" s="824"/>
    </row>
    <row r="210" spans="1:18" ht="18.75" thickBot="1" x14ac:dyDescent="0.4">
      <c r="B210" s="2588"/>
      <c r="C210" s="3619" t="s">
        <v>3774</v>
      </c>
      <c r="D210" s="3620"/>
      <c r="E210" s="3620"/>
      <c r="F210" s="3621"/>
      <c r="G210" s="3619" t="s">
        <v>3775</v>
      </c>
      <c r="H210" s="3620"/>
      <c r="I210" s="3620"/>
      <c r="J210" s="3621"/>
      <c r="K210" s="3619" t="s">
        <v>3776</v>
      </c>
      <c r="L210" s="3620"/>
      <c r="M210" s="3620"/>
      <c r="N210" s="3621"/>
      <c r="O210" s="3619" t="s">
        <v>3777</v>
      </c>
      <c r="P210" s="3620"/>
      <c r="Q210" s="3620"/>
      <c r="R210" s="3621"/>
    </row>
    <row r="211" spans="1:18" ht="45" x14ac:dyDescent="0.45">
      <c r="A211" s="3616" t="s">
        <v>3772</v>
      </c>
      <c r="B211" s="2594" t="s">
        <v>3778</v>
      </c>
      <c r="C211" s="1483" t="s">
        <v>625</v>
      </c>
      <c r="D211" s="1484" t="s">
        <v>451</v>
      </c>
      <c r="E211" s="1484" t="s">
        <v>162</v>
      </c>
      <c r="F211" s="2320" t="s">
        <v>630</v>
      </c>
      <c r="G211" s="1483" t="s">
        <v>625</v>
      </c>
      <c r="H211" s="1484" t="s">
        <v>451</v>
      </c>
      <c r="I211" s="1484" t="s">
        <v>162</v>
      </c>
      <c r="J211" s="2320" t="s">
        <v>630</v>
      </c>
      <c r="K211" s="2589" t="s">
        <v>625</v>
      </c>
      <c r="L211" s="1484" t="s">
        <v>451</v>
      </c>
      <c r="M211" s="1484" t="s">
        <v>162</v>
      </c>
      <c r="N211" s="2320" t="s">
        <v>630</v>
      </c>
      <c r="O211" s="2589" t="s">
        <v>625</v>
      </c>
      <c r="P211" s="1484" t="s">
        <v>451</v>
      </c>
      <c r="Q211" s="1484" t="s">
        <v>162</v>
      </c>
      <c r="R211" s="2320" t="s">
        <v>630</v>
      </c>
    </row>
    <row r="212" spans="1:18" x14ac:dyDescent="0.35">
      <c r="A212" s="3617"/>
      <c r="B212" s="2595" t="s">
        <v>432</v>
      </c>
      <c r="C212" s="2601"/>
      <c r="D212" s="1478">
        <v>1.2500000000000001E-2</v>
      </c>
      <c r="E212" s="1478">
        <v>1.4999999999999999E-2</v>
      </c>
      <c r="F212" s="2535">
        <f>MVR</f>
        <v>8.5900000000000004E-2</v>
      </c>
      <c r="G212" s="1477" t="str">
        <f>IF('BTL Calculator'!$V$2="Core","7.19%","7.39%")</f>
        <v>7.39%</v>
      </c>
      <c r="H212" s="1478">
        <v>1.2500000000000001E-2</v>
      </c>
      <c r="I212" s="1478">
        <v>1.4999999999999999E-2</v>
      </c>
      <c r="J212" s="2535">
        <f>MVR</f>
        <v>8.5900000000000004E-2</v>
      </c>
      <c r="K212" s="1477" t="str">
        <f>IF('BTL Calculator'!$V$2="Core","7.29%","7.49%")</f>
        <v>7.49%</v>
      </c>
      <c r="L212" s="1478">
        <v>7.4999999999999997E-3</v>
      </c>
      <c r="M212" s="1478">
        <v>1.4999999999999999E-2</v>
      </c>
      <c r="N212" s="2535">
        <f>MVR</f>
        <v>8.5900000000000004E-2</v>
      </c>
      <c r="O212" s="1477">
        <f>IF('BTL Calculator'!$V$2="Core",0.0354+BBR,0.0324+BBR)</f>
        <v>7.2399999999999992E-2</v>
      </c>
      <c r="P212" s="1478">
        <v>0.02</v>
      </c>
      <c r="Q212" s="1478">
        <v>1.4999999999999999E-2</v>
      </c>
      <c r="R212" s="2535">
        <f>MVR</f>
        <v>8.5900000000000004E-2</v>
      </c>
    </row>
    <row r="213" spans="1:18" x14ac:dyDescent="0.35">
      <c r="A213" s="3617"/>
      <c r="B213" s="2595" t="s">
        <v>433</v>
      </c>
      <c r="C213" s="2601"/>
      <c r="D213" s="1478">
        <v>1.2500000000000001E-2</v>
      </c>
      <c r="E213" s="1478">
        <v>1.4999999999999999E-2</v>
      </c>
      <c r="F213" s="2535">
        <f>MVR+0.4%</f>
        <v>8.9900000000000008E-2</v>
      </c>
      <c r="G213" s="1477" t="str">
        <f>IF('BTL Calculator'!$V$2="Core","7.79%","7.89%")</f>
        <v>7.89%</v>
      </c>
      <c r="H213" s="1478">
        <v>1.2500000000000001E-2</v>
      </c>
      <c r="I213" s="1478">
        <v>1.4999999999999999E-2</v>
      </c>
      <c r="J213" s="2535">
        <f>MVR+0.4%</f>
        <v>8.9900000000000008E-2</v>
      </c>
      <c r="K213" s="1477" t="str">
        <f>IF('BTL Calculator'!$V$2="Core","7.89%","7.99%")</f>
        <v>7.99%</v>
      </c>
      <c r="L213" s="1478">
        <v>7.4999999999999997E-3</v>
      </c>
      <c r="M213" s="1478">
        <v>1.4999999999999999E-2</v>
      </c>
      <c r="N213" s="2535">
        <f>MVR+0.4%</f>
        <v>8.9900000000000008E-2</v>
      </c>
      <c r="O213" s="1477">
        <f>IF('BTL Calculator'!$V$2="Core",0.0374+BBR,0.0374+BBR)</f>
        <v>7.7399999999999997E-2</v>
      </c>
      <c r="P213" s="1478">
        <v>0.02</v>
      </c>
      <c r="Q213" s="1478">
        <v>1.4999999999999999E-2</v>
      </c>
      <c r="R213" s="2535">
        <f>MVR+0.4%</f>
        <v>8.9900000000000008E-2</v>
      </c>
    </row>
    <row r="214" spans="1:18" x14ac:dyDescent="0.35">
      <c r="A214" s="3617"/>
      <c r="B214" s="2595" t="s">
        <v>434</v>
      </c>
      <c r="C214" s="2601"/>
      <c r="D214" s="1478">
        <v>1.2500000000000001E-2</v>
      </c>
      <c r="E214" s="1478">
        <v>1.4999999999999999E-2</v>
      </c>
      <c r="F214" s="2535">
        <f>MVR+1%</f>
        <v>9.5899999999999999E-2</v>
      </c>
      <c r="G214" s="1477" t="str">
        <f>IF('BTL Calculator'!$V$2="Core","","8.29%")</f>
        <v>8.29%</v>
      </c>
      <c r="H214" s="1478">
        <v>1.2500000000000001E-2</v>
      </c>
      <c r="I214" s="1478">
        <v>1.4999999999999999E-2</v>
      </c>
      <c r="J214" s="2535">
        <f>MVR+1%</f>
        <v>9.5899999999999999E-2</v>
      </c>
      <c r="K214" s="1477" t="str">
        <f>IF('BTL Calculator'!$V$2="Core","","8.39%")</f>
        <v>8.39%</v>
      </c>
      <c r="L214" s="1478">
        <v>7.4999999999999997E-3</v>
      </c>
      <c r="M214" s="1478">
        <v>1.4999999999999999E-2</v>
      </c>
      <c r="N214" s="2535">
        <f>MVR+1%</f>
        <v>9.5899999999999999E-2</v>
      </c>
      <c r="O214" s="1477">
        <f>IF('BTL Calculator'!$V$2="Core","",0.0404+BBR)</f>
        <v>8.0399999999999999E-2</v>
      </c>
      <c r="P214" s="1478">
        <v>0.02</v>
      </c>
      <c r="Q214" s="1478">
        <v>1.4999999999999999E-2</v>
      </c>
      <c r="R214" s="2535">
        <f>MVR+1%</f>
        <v>9.5899999999999999E-2</v>
      </c>
    </row>
    <row r="215" spans="1:18" ht="18.75" thickBot="1" x14ac:dyDescent="0.4">
      <c r="A215" s="3617"/>
      <c r="B215" s="2596"/>
      <c r="C215" s="2324"/>
      <c r="D215" s="2324"/>
      <c r="E215" s="2324"/>
      <c r="F215" s="2325"/>
      <c r="G215" s="2324"/>
      <c r="H215" s="2324"/>
      <c r="I215" s="2324"/>
      <c r="J215" s="2325"/>
      <c r="K215" s="2591"/>
      <c r="L215" s="2324"/>
      <c r="M215" s="2324"/>
      <c r="N215" s="2325"/>
      <c r="O215" s="2591"/>
      <c r="P215" s="2324"/>
      <c r="Q215" s="2324"/>
      <c r="R215" s="2325"/>
    </row>
    <row r="216" spans="1:18" ht="45" x14ac:dyDescent="0.45">
      <c r="A216" s="3617"/>
      <c r="B216" s="2597" t="s">
        <v>3779</v>
      </c>
      <c r="C216" s="1502" t="s">
        <v>625</v>
      </c>
      <c r="D216" s="1503" t="s">
        <v>451</v>
      </c>
      <c r="E216" s="1503" t="s">
        <v>162</v>
      </c>
      <c r="F216" s="2327" t="s">
        <v>630</v>
      </c>
      <c r="G216" s="1502" t="s">
        <v>625</v>
      </c>
      <c r="H216" s="1503" t="s">
        <v>451</v>
      </c>
      <c r="I216" s="1503" t="s">
        <v>162</v>
      </c>
      <c r="J216" s="2327" t="s">
        <v>630</v>
      </c>
      <c r="K216" s="2592" t="s">
        <v>625</v>
      </c>
      <c r="L216" s="1503" t="s">
        <v>451</v>
      </c>
      <c r="M216" s="1503" t="s">
        <v>162</v>
      </c>
      <c r="N216" s="2327" t="s">
        <v>630</v>
      </c>
      <c r="O216" s="2592" t="s">
        <v>625</v>
      </c>
      <c r="P216" s="1503" t="s">
        <v>451</v>
      </c>
      <c r="Q216" s="1503" t="s">
        <v>162</v>
      </c>
      <c r="R216" s="2327" t="s">
        <v>630</v>
      </c>
    </row>
    <row r="217" spans="1:18" x14ac:dyDescent="0.35">
      <c r="A217" s="3617"/>
      <c r="B217" s="2595" t="s">
        <v>432</v>
      </c>
      <c r="C217" s="2601"/>
      <c r="D217" s="1478">
        <v>1.2500000000000001E-2</v>
      </c>
      <c r="E217" s="1478">
        <v>3.5000000000000003E-2</v>
      </c>
      <c r="F217" s="2535">
        <f>MVR</f>
        <v>8.5900000000000004E-2</v>
      </c>
      <c r="G217" s="1477" t="str">
        <f>IF('BTL Calculator'!$V$2="Core","6.49%","6.69%")</f>
        <v>6.69%</v>
      </c>
      <c r="H217" s="1478">
        <v>1.2500000000000001E-2</v>
      </c>
      <c r="I217" s="1478">
        <v>3.5000000000000003E-2</v>
      </c>
      <c r="J217" s="2535">
        <f>MVR</f>
        <v>8.5900000000000004E-2</v>
      </c>
      <c r="K217" s="1477" t="str">
        <f>IF('BTL Calculator'!$V$2="Core","6.19%","6.39%")</f>
        <v>6.39%</v>
      </c>
      <c r="L217" s="1478">
        <v>7.4999999999999997E-3</v>
      </c>
      <c r="M217" s="1478">
        <v>3.5000000000000003E-2</v>
      </c>
      <c r="N217" s="2535">
        <f>MVR</f>
        <v>8.5900000000000004E-2</v>
      </c>
      <c r="O217" s="1477">
        <f>IF('BTL Calculator'!$V$2="Core",0.0249+BBR,0.0219+BBR)</f>
        <v>6.1899999999999997E-2</v>
      </c>
      <c r="P217" s="1478">
        <v>0.02</v>
      </c>
      <c r="Q217" s="1478">
        <v>3.5000000000000003E-2</v>
      </c>
      <c r="R217" s="2535">
        <f>MVR</f>
        <v>8.5900000000000004E-2</v>
      </c>
    </row>
    <row r="218" spans="1:18" x14ac:dyDescent="0.35">
      <c r="A218" s="3617"/>
      <c r="B218" s="2595" t="s">
        <v>433</v>
      </c>
      <c r="C218" s="2601"/>
      <c r="D218" s="1478">
        <v>1.2500000000000001E-2</v>
      </c>
      <c r="E218" s="1478">
        <v>3.5000000000000003E-2</v>
      </c>
      <c r="F218" s="2535">
        <f>MVR+0.4%</f>
        <v>8.9900000000000008E-2</v>
      </c>
      <c r="G218" s="1477" t="str">
        <f>IF('BTL Calculator'!$V$2="Core","7.09%","7.19%")</f>
        <v>7.19%</v>
      </c>
      <c r="H218" s="1478">
        <v>1.2500000000000001E-2</v>
      </c>
      <c r="I218" s="1478">
        <v>3.5000000000000003E-2</v>
      </c>
      <c r="J218" s="2535">
        <f>MVR+0.4%</f>
        <v>8.9900000000000008E-2</v>
      </c>
      <c r="K218" s="1477" t="str">
        <f>IF('BTL Calculator'!$V$2="Core","6.79%","6.89%")</f>
        <v>6.89%</v>
      </c>
      <c r="L218" s="1478">
        <v>7.4999999999999997E-3</v>
      </c>
      <c r="M218" s="1478">
        <v>3.5000000000000003E-2</v>
      </c>
      <c r="N218" s="2535">
        <f>MVR+0.4%</f>
        <v>8.9900000000000008E-2</v>
      </c>
      <c r="O218" s="1477">
        <f>IF('BTL Calculator'!$V$2="Core",0.0269+BBR,0.0269+BBR)</f>
        <v>6.6900000000000001E-2</v>
      </c>
      <c r="P218" s="1478">
        <v>0.02</v>
      </c>
      <c r="Q218" s="1478">
        <v>3.5000000000000003E-2</v>
      </c>
      <c r="R218" s="2535">
        <f>MVR+0.4%</f>
        <v>8.9900000000000008E-2</v>
      </c>
    </row>
    <row r="219" spans="1:18" x14ac:dyDescent="0.35">
      <c r="A219" s="3617"/>
      <c r="B219" s="2595" t="s">
        <v>434</v>
      </c>
      <c r="C219" s="2601"/>
      <c r="D219" s="1478">
        <v>1.2500000000000001E-2</v>
      </c>
      <c r="E219" s="1478">
        <v>3.5000000000000003E-2</v>
      </c>
      <c r="F219" s="2535">
        <f>MVR+1%</f>
        <v>9.5899999999999999E-2</v>
      </c>
      <c r="G219" s="1477" t="str">
        <f>IF('BTL Calculator'!$V$2="Core","","7.59%")</f>
        <v>7.59%</v>
      </c>
      <c r="H219" s="1478">
        <v>1.2500000000000001E-2</v>
      </c>
      <c r="I219" s="1478">
        <v>3.5000000000000003E-2</v>
      </c>
      <c r="J219" s="2535">
        <f>MVR+1%</f>
        <v>9.5899999999999999E-2</v>
      </c>
      <c r="K219" s="1477" t="str">
        <f>IF('BTL Calculator'!$V$2="Core","","7.29%")</f>
        <v>7.29%</v>
      </c>
      <c r="L219" s="1478">
        <v>7.4999999999999997E-3</v>
      </c>
      <c r="M219" s="1478">
        <v>3.5000000000000003E-2</v>
      </c>
      <c r="N219" s="2535">
        <f>MVR+1%</f>
        <v>9.5899999999999999E-2</v>
      </c>
      <c r="O219" s="1477">
        <f>IF('BTL Calculator'!$V$2="Core","",0.0329+BBR)</f>
        <v>7.2899999999999993E-2</v>
      </c>
      <c r="P219" s="1478">
        <v>0.02</v>
      </c>
      <c r="Q219" s="1478">
        <v>3.5000000000000003E-2</v>
      </c>
      <c r="R219" s="2535">
        <f>MVR+1%</f>
        <v>9.5899999999999999E-2</v>
      </c>
    </row>
    <row r="220" spans="1:18" ht="18.75" thickBot="1" x14ac:dyDescent="0.4">
      <c r="A220" s="3617"/>
      <c r="B220" s="2598"/>
      <c r="C220" s="287"/>
      <c r="D220" s="287"/>
      <c r="E220" s="287"/>
      <c r="F220" s="2151"/>
      <c r="G220" s="287"/>
      <c r="H220" s="287"/>
      <c r="I220" s="287"/>
      <c r="J220" s="2151"/>
      <c r="K220" s="2141"/>
      <c r="L220" s="287"/>
      <c r="M220" s="287"/>
      <c r="N220" s="2151"/>
      <c r="O220" s="2141"/>
      <c r="P220" s="287"/>
      <c r="Q220" s="287"/>
      <c r="R220" s="2151"/>
    </row>
    <row r="221" spans="1:18" ht="45" x14ac:dyDescent="0.45">
      <c r="A221" s="3617"/>
      <c r="B221" s="2599" t="s">
        <v>3780</v>
      </c>
      <c r="C221" s="1507" t="s">
        <v>625</v>
      </c>
      <c r="D221" s="1508" t="s">
        <v>451</v>
      </c>
      <c r="E221" s="1508" t="s">
        <v>162</v>
      </c>
      <c r="F221" s="2329" t="s">
        <v>630</v>
      </c>
      <c r="G221" s="1507" t="s">
        <v>625</v>
      </c>
      <c r="H221" s="1508" t="s">
        <v>451</v>
      </c>
      <c r="I221" s="1508" t="s">
        <v>162</v>
      </c>
      <c r="J221" s="2329" t="s">
        <v>630</v>
      </c>
      <c r="K221" s="2593" t="s">
        <v>625</v>
      </c>
      <c r="L221" s="1508" t="s">
        <v>451</v>
      </c>
      <c r="M221" s="1508" t="s">
        <v>162</v>
      </c>
      <c r="N221" s="2329" t="s">
        <v>630</v>
      </c>
      <c r="O221" s="2593" t="s">
        <v>625</v>
      </c>
      <c r="P221" s="1508" t="s">
        <v>451</v>
      </c>
      <c r="Q221" s="1508" t="s">
        <v>162</v>
      </c>
      <c r="R221" s="2329" t="s">
        <v>630</v>
      </c>
    </row>
    <row r="222" spans="1:18" x14ac:dyDescent="0.35">
      <c r="A222" s="3617"/>
      <c r="B222" s="2595" t="s">
        <v>432</v>
      </c>
      <c r="C222" s="2601"/>
      <c r="D222" s="1478">
        <v>1.2500000000000001E-2</v>
      </c>
      <c r="E222" s="1478">
        <v>5.5E-2</v>
      </c>
      <c r="F222" s="2535">
        <f>MVR</f>
        <v>8.5900000000000004E-2</v>
      </c>
      <c r="G222" s="1477" t="str">
        <f>IF('BTL Calculator'!$V$2="Core","5.79%","5.99%")</f>
        <v>5.99%</v>
      </c>
      <c r="H222" s="1478">
        <v>1.2500000000000001E-2</v>
      </c>
      <c r="I222" s="1478">
        <v>5.5E-2</v>
      </c>
      <c r="J222" s="2535">
        <f>MVR</f>
        <v>8.5900000000000004E-2</v>
      </c>
      <c r="K222" s="1477" t="str">
        <f>IF('BTL Calculator'!$V$2="Core","5.29%","5.49%")</f>
        <v>5.49%</v>
      </c>
      <c r="L222" s="1478">
        <v>7.4999999999999997E-3</v>
      </c>
      <c r="M222" s="1478">
        <v>5.5E-2</v>
      </c>
      <c r="N222" s="2535">
        <f>MVR</f>
        <v>8.5900000000000004E-2</v>
      </c>
      <c r="O222" s="1477">
        <f>IF('BTL Calculator'!$V$2="Core",0.0149+BBR,0.0119+BBR)</f>
        <v>5.1900000000000002E-2</v>
      </c>
      <c r="P222" s="1478">
        <v>0.02</v>
      </c>
      <c r="Q222" s="1478">
        <v>5.5E-2</v>
      </c>
      <c r="R222" s="2535">
        <f>MVR</f>
        <v>8.5900000000000004E-2</v>
      </c>
    </row>
    <row r="223" spans="1:18" x14ac:dyDescent="0.35">
      <c r="A223" s="3617"/>
      <c r="B223" s="2595" t="s">
        <v>433</v>
      </c>
      <c r="C223" s="2601"/>
      <c r="D223" s="1478">
        <v>1.2500000000000001E-2</v>
      </c>
      <c r="E223" s="1478">
        <v>5.5E-2</v>
      </c>
      <c r="F223" s="2535">
        <f>MVR+0.4%</f>
        <v>8.9900000000000008E-2</v>
      </c>
      <c r="G223" s="1477" t="str">
        <f>IF('BTL Calculator'!$V$2="Core","6.39%","6.49%")</f>
        <v>6.49%</v>
      </c>
      <c r="H223" s="1478">
        <v>1.2500000000000001E-2</v>
      </c>
      <c r="I223" s="1478">
        <v>5.5E-2</v>
      </c>
      <c r="J223" s="2535">
        <f>MVR+0.4%</f>
        <v>8.9900000000000008E-2</v>
      </c>
      <c r="K223" s="1477" t="str">
        <f>IF('BTL Calculator'!$V$2="Core","5.89%","5.99%")</f>
        <v>5.99%</v>
      </c>
      <c r="L223" s="1478">
        <v>7.4999999999999997E-3</v>
      </c>
      <c r="M223" s="1478">
        <v>5.5E-2</v>
      </c>
      <c r="N223" s="2535">
        <f>MVR+0.4%</f>
        <v>8.9900000000000008E-2</v>
      </c>
      <c r="O223" s="1477">
        <f>IF('BTL Calculator'!$V$2="Core",0.0169+BBR,0.0169+BBR)</f>
        <v>5.6899999999999999E-2</v>
      </c>
      <c r="P223" s="1478">
        <v>0.02</v>
      </c>
      <c r="Q223" s="1478">
        <v>5.5E-2</v>
      </c>
      <c r="R223" s="2535">
        <f>MVR+0.4%</f>
        <v>8.9900000000000008E-2</v>
      </c>
    </row>
    <row r="224" spans="1:18" x14ac:dyDescent="0.35">
      <c r="A224" s="3617"/>
      <c r="B224" s="2595" t="s">
        <v>434</v>
      </c>
      <c r="C224" s="2601"/>
      <c r="D224" s="1478">
        <v>1.2500000000000001E-2</v>
      </c>
      <c r="E224" s="1478">
        <v>5.5E-2</v>
      </c>
      <c r="F224" s="2535">
        <f>MVR+1%</f>
        <v>9.5899999999999999E-2</v>
      </c>
      <c r="G224" s="1477" t="str">
        <f>IF('BTL Calculator'!$V$2="Core","","6.89%")</f>
        <v>6.89%</v>
      </c>
      <c r="H224" s="1478">
        <v>1.2500000000000001E-2</v>
      </c>
      <c r="I224" s="1478">
        <v>5.5E-2</v>
      </c>
      <c r="J224" s="2535">
        <f>MVR+1%</f>
        <v>9.5899999999999999E-2</v>
      </c>
      <c r="K224" s="1477" t="str">
        <f>IF('BTL Calculator'!$V$2="Core","","6.39%")</f>
        <v>6.39%</v>
      </c>
      <c r="L224" s="1478">
        <v>7.4999999999999997E-3</v>
      </c>
      <c r="M224" s="1478">
        <v>5.5E-2</v>
      </c>
      <c r="N224" s="2535">
        <f>MVR+1%</f>
        <v>9.5899999999999999E-2</v>
      </c>
      <c r="O224" s="1477">
        <f>IF('BTL Calculator'!$V$2="Core","",0.0229+BBR)</f>
        <v>6.2899999999999998E-2</v>
      </c>
      <c r="P224" s="1478">
        <v>0.02</v>
      </c>
      <c r="Q224" s="1478">
        <v>5.5E-2</v>
      </c>
      <c r="R224" s="2535">
        <f>MVR+1%</f>
        <v>9.5899999999999999E-2</v>
      </c>
    </row>
    <row r="225" spans="1:18" ht="18.75" thickBot="1" x14ac:dyDescent="0.4">
      <c r="A225" s="2703"/>
      <c r="B225" s="2598"/>
      <c r="C225" s="287"/>
      <c r="D225" s="287"/>
      <c r="E225" s="287"/>
      <c r="F225" s="2151"/>
      <c r="G225" s="287"/>
      <c r="H225" s="287"/>
      <c r="I225" s="287"/>
      <c r="J225" s="2151"/>
      <c r="K225" s="2141"/>
      <c r="L225" s="287"/>
      <c r="M225" s="287"/>
      <c r="N225" s="2151"/>
      <c r="O225" s="2141"/>
      <c r="P225" s="287"/>
      <c r="Q225" s="287"/>
      <c r="R225" s="2151"/>
    </row>
    <row r="226" spans="1:18" ht="45" x14ac:dyDescent="0.45">
      <c r="A226" s="2702"/>
      <c r="B226" s="2704" t="s">
        <v>3823</v>
      </c>
      <c r="C226" s="2705" t="s">
        <v>625</v>
      </c>
      <c r="D226" s="2706" t="s">
        <v>451</v>
      </c>
      <c r="E226" s="2706" t="s">
        <v>162</v>
      </c>
      <c r="F226" s="2707" t="s">
        <v>630</v>
      </c>
      <c r="G226" s="2705" t="s">
        <v>625</v>
      </c>
      <c r="H226" s="2706" t="s">
        <v>451</v>
      </c>
      <c r="I226" s="2706" t="s">
        <v>162</v>
      </c>
      <c r="J226" s="2707" t="s">
        <v>630</v>
      </c>
      <c r="K226" s="2708" t="s">
        <v>625</v>
      </c>
      <c r="L226" s="2706" t="s">
        <v>451</v>
      </c>
      <c r="M226" s="2706" t="s">
        <v>162</v>
      </c>
      <c r="N226" s="2707" t="s">
        <v>630</v>
      </c>
      <c r="O226" s="2708" t="s">
        <v>625</v>
      </c>
      <c r="P226" s="2706" t="s">
        <v>451</v>
      </c>
      <c r="Q226" s="2706" t="s">
        <v>162</v>
      </c>
      <c r="R226" s="2707" t="s">
        <v>630</v>
      </c>
    </row>
    <row r="227" spans="1:18" x14ac:dyDescent="0.35">
      <c r="A227" s="2702"/>
      <c r="B227" s="2595" t="s">
        <v>432</v>
      </c>
      <c r="C227" s="2601"/>
      <c r="D227" s="1478">
        <v>1.2500000000000001E-2</v>
      </c>
      <c r="E227" s="1478">
        <v>2.5000000000000001E-2</v>
      </c>
      <c r="F227" s="2535">
        <f>MVR</f>
        <v>8.5900000000000004E-2</v>
      </c>
      <c r="G227" s="1477" t="str">
        <f>IF('BTL Calculator'!$V$2="Core","6.86%","7.06%")</f>
        <v>7.06%</v>
      </c>
      <c r="H227" s="1478">
        <v>1.2500000000000001E-2</v>
      </c>
      <c r="I227" s="1478">
        <v>2.5000000000000001E-2</v>
      </c>
      <c r="J227" s="2535">
        <f>MVR</f>
        <v>8.5900000000000004E-2</v>
      </c>
      <c r="K227" s="2590" t="str">
        <f>IF('BTL Calculator'!$V$2="Core","6.79%","6.99%")</f>
        <v>6.99%</v>
      </c>
      <c r="L227" s="1478">
        <v>7.4999999999999997E-3</v>
      </c>
      <c r="M227" s="1478">
        <v>2.5000000000000001E-2</v>
      </c>
      <c r="N227" s="2535">
        <f>MVR</f>
        <v>8.5900000000000004E-2</v>
      </c>
      <c r="O227" s="2590">
        <f>IF('BTL Calculator'!$V$2="Core",0.0304+BBR,0.0274+BBR)</f>
        <v>6.7400000000000002E-2</v>
      </c>
      <c r="P227" s="1478">
        <v>0.02</v>
      </c>
      <c r="Q227" s="1478">
        <v>2.5000000000000001E-2</v>
      </c>
      <c r="R227" s="2535">
        <f>MVR</f>
        <v>8.5900000000000004E-2</v>
      </c>
    </row>
    <row r="228" spans="1:18" x14ac:dyDescent="0.35">
      <c r="A228" s="2702"/>
      <c r="B228" s="2595" t="s">
        <v>433</v>
      </c>
      <c r="C228" s="2601"/>
      <c r="D228" s="1478">
        <v>1.2500000000000001E-2</v>
      </c>
      <c r="E228" s="1478">
        <v>2.5000000000000001E-2</v>
      </c>
      <c r="F228" s="2535">
        <f>MVR+0.4%</f>
        <v>8.9900000000000008E-2</v>
      </c>
      <c r="G228" s="1477" t="str">
        <f>IF('BTL Calculator'!$V$2="Core","7.46%","7.56%")</f>
        <v>7.56%</v>
      </c>
      <c r="H228" s="1478">
        <v>1.2500000000000001E-2</v>
      </c>
      <c r="I228" s="1478">
        <v>2.5000000000000001E-2</v>
      </c>
      <c r="J228" s="2535">
        <f>MVR+0.4%</f>
        <v>8.9900000000000008E-2</v>
      </c>
      <c r="K228" s="2590" t="str">
        <f>IF('BTL Calculator'!$V$2="Core","7.39%","7.49%")</f>
        <v>7.49%</v>
      </c>
      <c r="L228" s="1478">
        <v>7.4999999999999997E-3</v>
      </c>
      <c r="M228" s="1478">
        <v>2.5000000000000001E-2</v>
      </c>
      <c r="N228" s="2535">
        <f>MVR+0.4%</f>
        <v>8.9900000000000008E-2</v>
      </c>
      <c r="O228" s="2590">
        <f>IF('BTL Calculator'!$V$2="Core",0.0324+BBR,0.0324+BBR)</f>
        <v>7.2399999999999992E-2</v>
      </c>
      <c r="P228" s="1478">
        <v>0.02</v>
      </c>
      <c r="Q228" s="1478">
        <v>2.5000000000000001E-2</v>
      </c>
      <c r="R228" s="2535">
        <f>MVR+0.4%</f>
        <v>8.9900000000000008E-2</v>
      </c>
    </row>
    <row r="229" spans="1:18" x14ac:dyDescent="0.35">
      <c r="A229" s="2702"/>
      <c r="B229" s="2595" t="s">
        <v>434</v>
      </c>
      <c r="C229" s="2601"/>
      <c r="D229" s="1478">
        <v>1.2500000000000001E-2</v>
      </c>
      <c r="E229" s="1478">
        <v>2.5000000000000001E-2</v>
      </c>
      <c r="F229" s="2535">
        <f>MVR+1%</f>
        <v>9.5899999999999999E-2</v>
      </c>
      <c r="G229" s="1477" t="str">
        <f>IF('BTL Calculator'!$V$2="Core","","7.96%")</f>
        <v>7.96%</v>
      </c>
      <c r="H229" s="1478">
        <v>1.2500000000000001E-2</v>
      </c>
      <c r="I229" s="1478">
        <v>2.5000000000000001E-2</v>
      </c>
      <c r="J229" s="2535">
        <f>MVR+1%</f>
        <v>9.5899999999999999E-2</v>
      </c>
      <c r="K229" s="2590" t="str">
        <f>IF('BTL Calculator'!$V$2="Core","","7.89%")</f>
        <v>7.89%</v>
      </c>
      <c r="L229" s="1478">
        <v>7.4999999999999997E-3</v>
      </c>
      <c r="M229" s="1478">
        <v>2.5000000000000001E-2</v>
      </c>
      <c r="N229" s="2535">
        <f>MVR+1%</f>
        <v>9.5899999999999999E-2</v>
      </c>
      <c r="O229" s="2590">
        <f>IF('BTL Calculator'!$V$2="Core","",0.0354+BBR)</f>
        <v>7.5399999999999995E-2</v>
      </c>
      <c r="P229" s="1478">
        <v>0.02</v>
      </c>
      <c r="Q229" s="1478">
        <v>2.5000000000000001E-2</v>
      </c>
      <c r="R229" s="2535">
        <f>MVR+1%</f>
        <v>9.5899999999999999E-2</v>
      </c>
    </row>
    <row r="230" spans="1:18" x14ac:dyDescent="0.35">
      <c r="A230" s="2667"/>
      <c r="B230" s="593"/>
      <c r="C230" s="2668"/>
      <c r="D230" s="2533"/>
      <c r="E230" s="2533"/>
      <c r="F230" s="2533"/>
      <c r="G230" s="2533"/>
      <c r="H230" s="2533"/>
      <c r="I230" s="2533"/>
      <c r="J230" s="2533"/>
      <c r="K230" s="2533"/>
      <c r="L230" s="2533"/>
      <c r="M230" s="2533"/>
      <c r="N230" s="2533"/>
      <c r="O230" s="2533"/>
      <c r="P230" s="2533"/>
      <c r="Q230" s="2533"/>
      <c r="R230" s="2533"/>
    </row>
    <row r="231" spans="1:18" x14ac:dyDescent="0.35">
      <c r="E231" s="822"/>
      <c r="F231" s="822"/>
      <c r="G231" s="822"/>
      <c r="H231" s="822"/>
      <c r="L231" s="824"/>
      <c r="M231" s="824"/>
      <c r="N231" s="824"/>
      <c r="O231" s="824"/>
      <c r="P231" s="824"/>
      <c r="Q231" s="824"/>
    </row>
    <row r="232" spans="1:18" x14ac:dyDescent="0.35">
      <c r="B232" s="823" t="s">
        <v>745</v>
      </c>
      <c r="C232" s="822" t="s">
        <v>727</v>
      </c>
      <c r="D232" s="824" t="str">
        <f t="shared" ref="D232:D257" si="0">INDEX($Q$35:$Q$58,MATCH(C232,$P$35:$P$58,0))</f>
        <v>London</v>
      </c>
      <c r="E232" s="822"/>
      <c r="F232" s="822"/>
      <c r="G232" s="822"/>
      <c r="H232" s="822"/>
      <c r="L232" s="824"/>
      <c r="M232" s="824"/>
      <c r="N232" s="824"/>
      <c r="O232" s="824"/>
      <c r="P232" s="824"/>
      <c r="Q232" s="824"/>
    </row>
    <row r="233" spans="1:18" x14ac:dyDescent="0.35">
      <c r="B233" s="823" t="s">
        <v>746</v>
      </c>
      <c r="C233" s="822" t="s">
        <v>727</v>
      </c>
      <c r="D233" s="824" t="str">
        <f t="shared" si="0"/>
        <v>London</v>
      </c>
      <c r="E233" s="822"/>
      <c r="F233" s="822"/>
      <c r="G233" s="822"/>
      <c r="H233" s="822"/>
      <c r="L233" s="824"/>
      <c r="M233" s="824"/>
      <c r="N233" s="824"/>
      <c r="O233" s="824"/>
      <c r="P233" s="824"/>
      <c r="Q233" s="824"/>
    </row>
    <row r="234" spans="1:18" x14ac:dyDescent="0.35">
      <c r="B234" s="823" t="s">
        <v>747</v>
      </c>
      <c r="C234" s="822" t="s">
        <v>728</v>
      </c>
      <c r="D234" s="824" t="str">
        <f t="shared" si="0"/>
        <v>Outside London</v>
      </c>
      <c r="E234" s="822"/>
      <c r="F234" s="822"/>
      <c r="G234" s="822"/>
      <c r="H234" s="822"/>
      <c r="L234" s="824"/>
      <c r="M234" s="824"/>
      <c r="N234" s="824"/>
      <c r="O234" s="824"/>
      <c r="P234" s="824"/>
      <c r="Q234" s="824"/>
    </row>
    <row r="235" spans="1:18" x14ac:dyDescent="0.35">
      <c r="B235" s="823" t="s">
        <v>748</v>
      </c>
      <c r="C235" s="822" t="s">
        <v>729</v>
      </c>
      <c r="D235" s="824" t="str">
        <f t="shared" si="0"/>
        <v>Outside London</v>
      </c>
      <c r="E235" s="822"/>
      <c r="F235" s="822"/>
      <c r="G235" s="822"/>
      <c r="H235" s="822"/>
      <c r="L235" s="824"/>
      <c r="M235" s="824"/>
      <c r="N235" s="824"/>
      <c r="O235" s="824"/>
      <c r="P235" s="824"/>
      <c r="Q235" s="824"/>
    </row>
    <row r="236" spans="1:18" x14ac:dyDescent="0.35">
      <c r="B236" s="823" t="s">
        <v>749</v>
      </c>
      <c r="C236" s="822" t="s">
        <v>729</v>
      </c>
      <c r="D236" s="824" t="str">
        <f t="shared" si="0"/>
        <v>Outside London</v>
      </c>
      <c r="E236" s="822"/>
      <c r="F236" s="822"/>
      <c r="G236" s="822"/>
      <c r="H236" s="822"/>
      <c r="L236" s="824"/>
      <c r="M236" s="824"/>
      <c r="N236" s="824"/>
      <c r="O236" s="824"/>
      <c r="P236" s="824"/>
      <c r="Q236" s="824"/>
    </row>
    <row r="237" spans="1:18" x14ac:dyDescent="0.35">
      <c r="B237" s="823" t="s">
        <v>750</v>
      </c>
      <c r="C237" s="822" t="s">
        <v>730</v>
      </c>
      <c r="D237" s="824" t="str">
        <f t="shared" si="0"/>
        <v>Outside London</v>
      </c>
      <c r="E237" s="822"/>
      <c r="F237" s="822"/>
      <c r="G237" s="822"/>
      <c r="H237" s="822"/>
      <c r="L237" s="824"/>
      <c r="M237" s="824"/>
      <c r="N237" s="824"/>
      <c r="O237" s="824"/>
      <c r="P237" s="824"/>
      <c r="Q237" s="824"/>
    </row>
    <row r="238" spans="1:18" x14ac:dyDescent="0.35">
      <c r="B238" s="823" t="s">
        <v>751</v>
      </c>
      <c r="C238" s="822" t="s">
        <v>730</v>
      </c>
      <c r="D238" s="824" t="str">
        <f t="shared" si="0"/>
        <v>Outside London</v>
      </c>
      <c r="E238" s="822"/>
      <c r="F238" s="822"/>
      <c r="G238" s="822"/>
      <c r="H238" s="822"/>
      <c r="L238" s="824"/>
      <c r="M238" s="824"/>
      <c r="N238" s="824"/>
      <c r="O238" s="824"/>
      <c r="P238" s="824"/>
      <c r="Q238" s="824"/>
    </row>
    <row r="239" spans="1:18" x14ac:dyDescent="0.35">
      <c r="B239" s="823" t="s">
        <v>752</v>
      </c>
      <c r="C239" s="822" t="s">
        <v>731</v>
      </c>
      <c r="D239" s="824" t="str">
        <f t="shared" si="0"/>
        <v>Outside London</v>
      </c>
      <c r="E239" s="822"/>
      <c r="F239" s="822"/>
      <c r="G239" s="822"/>
      <c r="H239" s="822"/>
      <c r="L239" s="824"/>
      <c r="M239" s="824"/>
      <c r="N239" s="824"/>
      <c r="O239" s="824"/>
      <c r="P239" s="824"/>
      <c r="Q239" s="824"/>
    </row>
    <row r="240" spans="1:18" x14ac:dyDescent="0.35">
      <c r="B240" s="823" t="s">
        <v>753</v>
      </c>
      <c r="C240" s="822" t="s">
        <v>732</v>
      </c>
      <c r="D240" s="824" t="str">
        <f t="shared" si="0"/>
        <v>Outside London</v>
      </c>
      <c r="E240" s="822"/>
      <c r="F240" s="822"/>
      <c r="G240" s="822"/>
      <c r="H240" s="822"/>
      <c r="L240" s="824"/>
      <c r="M240" s="824"/>
      <c r="N240" s="824"/>
      <c r="O240" s="824"/>
      <c r="P240" s="824"/>
      <c r="Q240" s="824"/>
    </row>
    <row r="241" spans="2:17" x14ac:dyDescent="0.35">
      <c r="B241" s="823" t="s">
        <v>754</v>
      </c>
      <c r="C241" s="822" t="s">
        <v>732</v>
      </c>
      <c r="D241" s="824" t="str">
        <f t="shared" si="0"/>
        <v>Outside London</v>
      </c>
      <c r="E241" s="822"/>
      <c r="F241" s="822"/>
      <c r="G241" s="822"/>
      <c r="H241" s="822"/>
      <c r="L241" s="824"/>
      <c r="M241" s="824"/>
      <c r="N241" s="824"/>
      <c r="O241" s="824"/>
      <c r="P241" s="824"/>
      <c r="Q241" s="824"/>
    </row>
    <row r="242" spans="2:17" x14ac:dyDescent="0.35">
      <c r="B242" s="823" t="s">
        <v>755</v>
      </c>
      <c r="C242" s="822" t="s">
        <v>732</v>
      </c>
      <c r="D242" s="824" t="str">
        <f t="shared" si="0"/>
        <v>Outside London</v>
      </c>
      <c r="E242" s="822"/>
      <c r="F242" s="822"/>
      <c r="G242" s="822"/>
      <c r="H242" s="822"/>
      <c r="L242" s="824"/>
    </row>
    <row r="243" spans="2:17" x14ac:dyDescent="0.35">
      <c r="B243" s="823" t="s">
        <v>756</v>
      </c>
      <c r="C243" s="822" t="s">
        <v>733</v>
      </c>
      <c r="D243" s="824" t="str">
        <f t="shared" si="0"/>
        <v>Outside London</v>
      </c>
      <c r="E243" s="822"/>
      <c r="F243" s="822"/>
      <c r="G243" s="822"/>
      <c r="H243" s="822"/>
      <c r="L243" s="824"/>
    </row>
    <row r="244" spans="2:17" x14ac:dyDescent="0.35">
      <c r="B244" s="823" t="s">
        <v>757</v>
      </c>
      <c r="C244" s="822" t="s">
        <v>733</v>
      </c>
      <c r="D244" s="824" t="str">
        <f t="shared" si="0"/>
        <v>Outside London</v>
      </c>
      <c r="E244" s="822"/>
      <c r="F244" s="822"/>
      <c r="G244" s="822"/>
      <c r="H244" s="822"/>
      <c r="L244" s="824"/>
    </row>
    <row r="245" spans="2:17" x14ac:dyDescent="0.35">
      <c r="B245" s="823" t="s">
        <v>758</v>
      </c>
      <c r="C245" s="822" t="s">
        <v>733</v>
      </c>
      <c r="D245" s="824" t="str">
        <f t="shared" si="0"/>
        <v>Outside London</v>
      </c>
      <c r="E245" s="822"/>
      <c r="F245" s="822"/>
      <c r="G245" s="822"/>
      <c r="H245" s="822"/>
      <c r="L245" s="824"/>
    </row>
    <row r="246" spans="2:17" x14ac:dyDescent="0.35">
      <c r="B246" s="823" t="s">
        <v>759</v>
      </c>
      <c r="C246" s="822" t="s">
        <v>734</v>
      </c>
      <c r="D246" s="824" t="str">
        <f t="shared" si="0"/>
        <v>North East</v>
      </c>
      <c r="E246" s="822"/>
      <c r="F246" s="822"/>
      <c r="G246" s="822"/>
      <c r="H246" s="822"/>
      <c r="L246" s="824"/>
    </row>
    <row r="247" spans="2:17" x14ac:dyDescent="0.35">
      <c r="B247" s="823" t="s">
        <v>760</v>
      </c>
      <c r="C247" s="822" t="s">
        <v>734</v>
      </c>
      <c r="D247" s="824" t="str">
        <f t="shared" si="0"/>
        <v>North East</v>
      </c>
      <c r="E247" s="822"/>
      <c r="F247" s="822"/>
      <c r="G247" s="822"/>
      <c r="H247" s="822"/>
      <c r="L247" s="824"/>
    </row>
    <row r="248" spans="2:17" x14ac:dyDescent="0.35">
      <c r="B248" s="823" t="s">
        <v>761</v>
      </c>
      <c r="C248" s="822" t="s">
        <v>734</v>
      </c>
      <c r="D248" s="824" t="str">
        <f t="shared" si="0"/>
        <v>North East</v>
      </c>
      <c r="E248" s="822"/>
      <c r="F248" s="822"/>
      <c r="G248" s="822"/>
      <c r="H248" s="822"/>
      <c r="L248" s="824"/>
    </row>
    <row r="249" spans="2:17" x14ac:dyDescent="0.35">
      <c r="B249" s="823" t="s">
        <v>762</v>
      </c>
      <c r="C249" s="822" t="s">
        <v>734</v>
      </c>
      <c r="D249" s="824" t="str">
        <f t="shared" si="0"/>
        <v>North East</v>
      </c>
      <c r="E249" s="822"/>
      <c r="F249" s="822"/>
      <c r="G249" s="822"/>
      <c r="H249" s="822"/>
      <c r="L249" s="824"/>
    </row>
    <row r="250" spans="2:17" x14ac:dyDescent="0.35">
      <c r="B250" s="823" t="s">
        <v>763</v>
      </c>
      <c r="C250" s="822" t="s">
        <v>734</v>
      </c>
      <c r="D250" s="824" t="str">
        <f t="shared" si="0"/>
        <v>North East</v>
      </c>
      <c r="E250" s="822"/>
      <c r="F250" s="822"/>
      <c r="G250" s="822"/>
      <c r="H250" s="822"/>
      <c r="L250" s="824"/>
    </row>
    <row r="251" spans="2:17" x14ac:dyDescent="0.35">
      <c r="B251" s="823" t="s">
        <v>764</v>
      </c>
      <c r="C251" s="822" t="s">
        <v>734</v>
      </c>
      <c r="D251" s="824" t="str">
        <f t="shared" si="0"/>
        <v>North East</v>
      </c>
      <c r="E251" s="822"/>
      <c r="F251" s="822"/>
      <c r="G251" s="822"/>
      <c r="H251" s="822"/>
      <c r="L251" s="824"/>
    </row>
    <row r="252" spans="2:17" x14ac:dyDescent="0.35">
      <c r="B252" s="823" t="s">
        <v>765</v>
      </c>
      <c r="C252" s="822" t="s">
        <v>734</v>
      </c>
      <c r="D252" s="824" t="str">
        <f t="shared" si="0"/>
        <v>North East</v>
      </c>
      <c r="E252" s="822"/>
      <c r="F252" s="822"/>
      <c r="G252" s="822"/>
      <c r="H252" s="822"/>
      <c r="L252" s="824"/>
    </row>
    <row r="253" spans="2:17" x14ac:dyDescent="0.35">
      <c r="B253" s="823" t="s">
        <v>766</v>
      </c>
      <c r="C253" s="822" t="s">
        <v>734</v>
      </c>
      <c r="D253" s="824" t="str">
        <f t="shared" si="0"/>
        <v>North East</v>
      </c>
      <c r="E253" s="822"/>
      <c r="F253" s="822"/>
      <c r="G253" s="822"/>
      <c r="H253" s="822"/>
      <c r="L253" s="824"/>
    </row>
    <row r="254" spans="2:17" x14ac:dyDescent="0.35">
      <c r="B254" s="823" t="s">
        <v>767</v>
      </c>
      <c r="C254" s="822" t="s">
        <v>734</v>
      </c>
      <c r="D254" s="824" t="str">
        <f t="shared" si="0"/>
        <v>North East</v>
      </c>
      <c r="E254" s="822"/>
      <c r="F254" s="822"/>
      <c r="G254" s="822"/>
      <c r="H254" s="822"/>
      <c r="L254" s="824"/>
    </row>
    <row r="255" spans="2:17" x14ac:dyDescent="0.35">
      <c r="B255" s="823" t="s">
        <v>768</v>
      </c>
      <c r="C255" s="822" t="s">
        <v>735</v>
      </c>
      <c r="D255" s="824" t="str">
        <f t="shared" si="0"/>
        <v>North West</v>
      </c>
      <c r="E255" s="822"/>
      <c r="F255" s="822"/>
      <c r="G255" s="822"/>
      <c r="H255" s="822"/>
      <c r="L255" s="824"/>
    </row>
    <row r="256" spans="2:17" x14ac:dyDescent="0.35">
      <c r="B256" s="823" t="s">
        <v>769</v>
      </c>
      <c r="C256" s="822" t="s">
        <v>735</v>
      </c>
      <c r="D256" s="824" t="str">
        <f t="shared" si="0"/>
        <v>North West</v>
      </c>
      <c r="E256" s="822"/>
      <c r="F256" s="822"/>
      <c r="G256" s="822"/>
      <c r="H256" s="822"/>
      <c r="L256" s="824"/>
    </row>
    <row r="257" spans="2:12" x14ac:dyDescent="0.35">
      <c r="B257" s="823" t="s">
        <v>770</v>
      </c>
      <c r="C257" s="822" t="s">
        <v>735</v>
      </c>
      <c r="D257" s="824" t="str">
        <f t="shared" si="0"/>
        <v>North West</v>
      </c>
      <c r="E257" s="822"/>
      <c r="F257" s="822"/>
      <c r="G257" s="822"/>
      <c r="H257" s="822"/>
      <c r="L257" s="824"/>
    </row>
    <row r="258" spans="2:12" x14ac:dyDescent="0.35">
      <c r="B258" s="823" t="s">
        <v>771</v>
      </c>
      <c r="C258" s="822" t="s">
        <v>735</v>
      </c>
      <c r="D258" s="824" t="str">
        <f t="shared" ref="D258:D289" si="1">INDEX($Q$35:$Q$58,MATCH(C258,$P$35:$P$58,0))</f>
        <v>North West</v>
      </c>
      <c r="E258" s="822"/>
      <c r="F258" s="822"/>
      <c r="G258" s="822"/>
      <c r="H258" s="822"/>
      <c r="L258" s="824"/>
    </row>
    <row r="259" spans="2:12" x14ac:dyDescent="0.35">
      <c r="B259" s="823" t="s">
        <v>772</v>
      </c>
      <c r="C259" s="822" t="s">
        <v>735</v>
      </c>
      <c r="D259" s="824" t="str">
        <f t="shared" si="1"/>
        <v>North West</v>
      </c>
      <c r="E259" s="822"/>
      <c r="F259" s="822"/>
      <c r="G259" s="822"/>
      <c r="H259" s="822"/>
      <c r="L259" s="824"/>
    </row>
    <row r="260" spans="2:12" x14ac:dyDescent="0.35">
      <c r="B260" s="823" t="s">
        <v>773</v>
      </c>
      <c r="C260" s="822" t="s">
        <v>735</v>
      </c>
      <c r="D260" s="824" t="str">
        <f t="shared" si="1"/>
        <v>North West</v>
      </c>
      <c r="E260" s="822"/>
      <c r="F260" s="822"/>
      <c r="G260" s="822"/>
      <c r="H260" s="822"/>
      <c r="L260" s="824"/>
    </row>
    <row r="261" spans="2:12" x14ac:dyDescent="0.35">
      <c r="B261" s="823" t="s">
        <v>774</v>
      </c>
      <c r="C261" s="822" t="s">
        <v>735</v>
      </c>
      <c r="D261" s="824" t="str">
        <f t="shared" si="1"/>
        <v>North West</v>
      </c>
      <c r="E261" s="822"/>
      <c r="F261" s="822"/>
      <c r="G261" s="822"/>
      <c r="H261" s="822"/>
      <c r="L261" s="824"/>
    </row>
    <row r="262" spans="2:12" x14ac:dyDescent="0.35">
      <c r="B262" s="823" t="s">
        <v>775</v>
      </c>
      <c r="C262" s="822" t="s">
        <v>735</v>
      </c>
      <c r="D262" s="824" t="str">
        <f t="shared" si="1"/>
        <v>North West</v>
      </c>
      <c r="E262" s="822"/>
      <c r="F262" s="822"/>
      <c r="G262" s="822"/>
      <c r="H262" s="822"/>
      <c r="L262" s="824"/>
    </row>
    <row r="263" spans="2:12" x14ac:dyDescent="0.35">
      <c r="B263" s="823" t="s">
        <v>776</v>
      </c>
      <c r="C263" s="822" t="s">
        <v>735</v>
      </c>
      <c r="D263" s="824" t="str">
        <f t="shared" si="1"/>
        <v>North West</v>
      </c>
      <c r="E263" s="822"/>
      <c r="F263" s="822"/>
      <c r="G263" s="822"/>
      <c r="H263" s="822"/>
      <c r="L263" s="824"/>
    </row>
    <row r="264" spans="2:12" x14ac:dyDescent="0.35">
      <c r="B264" s="823" t="s">
        <v>777</v>
      </c>
      <c r="C264" s="822" t="s">
        <v>735</v>
      </c>
      <c r="D264" s="824" t="str">
        <f t="shared" si="1"/>
        <v>North West</v>
      </c>
      <c r="E264" s="822"/>
      <c r="F264" s="822"/>
      <c r="G264" s="822"/>
      <c r="H264" s="822"/>
      <c r="L264" s="824"/>
    </row>
    <row r="265" spans="2:12" x14ac:dyDescent="0.35">
      <c r="B265" s="823" t="s">
        <v>778</v>
      </c>
      <c r="C265" s="822" t="s">
        <v>735</v>
      </c>
      <c r="D265" s="824" t="str">
        <f t="shared" si="1"/>
        <v>North West</v>
      </c>
      <c r="E265" s="822"/>
      <c r="F265" s="822"/>
      <c r="G265" s="822"/>
      <c r="H265" s="822"/>
      <c r="L265" s="824"/>
    </row>
    <row r="266" spans="2:12" x14ac:dyDescent="0.35">
      <c r="B266" s="823" t="s">
        <v>769</v>
      </c>
      <c r="C266" s="822" t="s">
        <v>735</v>
      </c>
      <c r="D266" s="824" t="str">
        <f t="shared" si="1"/>
        <v>North West</v>
      </c>
      <c r="E266" s="822"/>
      <c r="F266" s="822"/>
      <c r="G266" s="822"/>
      <c r="H266" s="822"/>
      <c r="L266" s="824"/>
    </row>
    <row r="267" spans="2:12" x14ac:dyDescent="0.35">
      <c r="B267" s="823" t="s">
        <v>779</v>
      </c>
      <c r="C267" s="822" t="s">
        <v>735</v>
      </c>
      <c r="D267" s="824" t="str">
        <f t="shared" si="1"/>
        <v>North West</v>
      </c>
      <c r="E267" s="822"/>
      <c r="F267" s="822"/>
      <c r="G267" s="822"/>
      <c r="H267" s="822"/>
      <c r="L267" s="824"/>
    </row>
    <row r="268" spans="2:12" x14ac:dyDescent="0.35">
      <c r="B268" s="823" t="s">
        <v>780</v>
      </c>
      <c r="C268" s="822" t="s">
        <v>735</v>
      </c>
      <c r="D268" s="824" t="str">
        <f t="shared" si="1"/>
        <v>North West</v>
      </c>
      <c r="E268" s="822"/>
      <c r="F268" s="822"/>
      <c r="G268" s="822"/>
      <c r="H268" s="822"/>
      <c r="L268" s="824"/>
    </row>
    <row r="269" spans="2:12" x14ac:dyDescent="0.35">
      <c r="B269" s="823" t="s">
        <v>781</v>
      </c>
      <c r="C269" s="822" t="s">
        <v>735</v>
      </c>
      <c r="D269" s="824" t="str">
        <f t="shared" si="1"/>
        <v>North West</v>
      </c>
      <c r="E269" s="822"/>
      <c r="F269" s="822"/>
      <c r="G269" s="822"/>
      <c r="H269" s="822"/>
      <c r="L269" s="824"/>
    </row>
    <row r="270" spans="2:12" x14ac:dyDescent="0.35">
      <c r="B270" s="823" t="s">
        <v>782</v>
      </c>
      <c r="C270" s="822" t="s">
        <v>735</v>
      </c>
      <c r="D270" s="824" t="str">
        <f t="shared" si="1"/>
        <v>North West</v>
      </c>
      <c r="E270" s="822"/>
      <c r="F270" s="822"/>
      <c r="G270" s="822"/>
      <c r="H270" s="822"/>
      <c r="L270" s="824"/>
    </row>
    <row r="271" spans="2:12" x14ac:dyDescent="0.35">
      <c r="B271" s="823" t="s">
        <v>783</v>
      </c>
      <c r="C271" s="822" t="s">
        <v>735</v>
      </c>
      <c r="D271" s="824" t="str">
        <f t="shared" si="1"/>
        <v>North West</v>
      </c>
      <c r="E271" s="822"/>
      <c r="F271" s="822"/>
      <c r="G271" s="822"/>
      <c r="H271" s="822"/>
    </row>
    <row r="272" spans="2:12" x14ac:dyDescent="0.35">
      <c r="B272" s="823" t="s">
        <v>784</v>
      </c>
      <c r="C272" s="822" t="s">
        <v>735</v>
      </c>
      <c r="D272" s="824" t="str">
        <f t="shared" si="1"/>
        <v>North West</v>
      </c>
      <c r="E272" s="822"/>
      <c r="F272" s="822"/>
      <c r="G272" s="822"/>
      <c r="H272" s="822"/>
    </row>
    <row r="273" spans="2:8" x14ac:dyDescent="0.35">
      <c r="B273" s="823" t="s">
        <v>769</v>
      </c>
      <c r="C273" s="822" t="s">
        <v>735</v>
      </c>
      <c r="D273" s="824" t="str">
        <f t="shared" si="1"/>
        <v>North West</v>
      </c>
      <c r="E273" s="822"/>
      <c r="F273" s="822"/>
      <c r="G273" s="822"/>
      <c r="H273" s="822"/>
    </row>
    <row r="274" spans="2:8" x14ac:dyDescent="0.35">
      <c r="B274" s="823" t="s">
        <v>785</v>
      </c>
      <c r="C274" s="822" t="s">
        <v>735</v>
      </c>
      <c r="D274" s="824" t="str">
        <f t="shared" si="1"/>
        <v>North West</v>
      </c>
      <c r="E274" s="822"/>
      <c r="F274" s="822"/>
      <c r="G274" s="822"/>
      <c r="H274" s="822"/>
    </row>
    <row r="275" spans="2:8" x14ac:dyDescent="0.35">
      <c r="B275" s="823" t="s">
        <v>786</v>
      </c>
      <c r="C275" s="822" t="s">
        <v>735</v>
      </c>
      <c r="D275" s="824" t="str">
        <f t="shared" si="1"/>
        <v>North West</v>
      </c>
      <c r="E275" s="822"/>
      <c r="F275" s="822"/>
      <c r="G275" s="822"/>
      <c r="H275" s="822"/>
    </row>
    <row r="276" spans="2:8" x14ac:dyDescent="0.35">
      <c r="B276" s="823" t="s">
        <v>787</v>
      </c>
      <c r="C276" s="822" t="s">
        <v>736</v>
      </c>
      <c r="D276" s="824" t="str">
        <f t="shared" si="1"/>
        <v>East Midlands</v>
      </c>
      <c r="E276" s="822"/>
      <c r="F276" s="822"/>
      <c r="G276" s="822"/>
      <c r="H276" s="822"/>
    </row>
    <row r="277" spans="2:8" x14ac:dyDescent="0.35">
      <c r="B277" s="823" t="s">
        <v>788</v>
      </c>
      <c r="C277" s="822" t="s">
        <v>736</v>
      </c>
      <c r="D277" s="824" t="str">
        <f t="shared" si="1"/>
        <v>East Midlands</v>
      </c>
      <c r="E277" s="822"/>
      <c r="F277" s="822"/>
      <c r="G277" s="822"/>
      <c r="H277" s="822"/>
    </row>
    <row r="278" spans="2:8" x14ac:dyDescent="0.35">
      <c r="B278" s="823" t="s">
        <v>789</v>
      </c>
      <c r="C278" s="822" t="s">
        <v>736</v>
      </c>
      <c r="D278" s="824" t="str">
        <f t="shared" si="1"/>
        <v>East Midlands</v>
      </c>
      <c r="E278" s="822"/>
      <c r="F278" s="822"/>
      <c r="G278" s="822"/>
      <c r="H278" s="822"/>
    </row>
    <row r="279" spans="2:8" x14ac:dyDescent="0.35">
      <c r="B279" s="823" t="s">
        <v>790</v>
      </c>
      <c r="C279" s="822" t="s">
        <v>736</v>
      </c>
      <c r="D279" s="824" t="str">
        <f t="shared" si="1"/>
        <v>East Midlands</v>
      </c>
      <c r="E279" s="822"/>
      <c r="F279" s="822"/>
      <c r="G279" s="822"/>
      <c r="H279" s="822"/>
    </row>
    <row r="280" spans="2:8" x14ac:dyDescent="0.35">
      <c r="B280" s="823" t="s">
        <v>791</v>
      </c>
      <c r="C280" s="822" t="s">
        <v>736</v>
      </c>
      <c r="D280" s="824" t="str">
        <f t="shared" si="1"/>
        <v>East Midlands</v>
      </c>
      <c r="E280" s="822"/>
      <c r="F280" s="822"/>
      <c r="G280" s="822"/>
      <c r="H280" s="822"/>
    </row>
    <row r="281" spans="2:8" x14ac:dyDescent="0.35">
      <c r="B281" s="823" t="s">
        <v>792</v>
      </c>
      <c r="C281" s="822" t="s">
        <v>736</v>
      </c>
      <c r="D281" s="824" t="str">
        <f t="shared" si="1"/>
        <v>East Midlands</v>
      </c>
      <c r="E281" s="822"/>
      <c r="F281" s="822"/>
      <c r="G281" s="822"/>
      <c r="H281" s="822"/>
    </row>
    <row r="282" spans="2:8" x14ac:dyDescent="0.35">
      <c r="B282" s="823" t="s">
        <v>793</v>
      </c>
      <c r="C282" s="822" t="s">
        <v>736</v>
      </c>
      <c r="D282" s="824" t="str">
        <f t="shared" si="1"/>
        <v>East Midlands</v>
      </c>
      <c r="E282" s="822"/>
      <c r="F282" s="822"/>
      <c r="G282" s="822"/>
      <c r="H282" s="822"/>
    </row>
    <row r="283" spans="2:8" x14ac:dyDescent="0.35">
      <c r="B283" s="823" t="s">
        <v>794</v>
      </c>
      <c r="C283" s="822" t="s">
        <v>736</v>
      </c>
      <c r="D283" s="824" t="str">
        <f t="shared" si="1"/>
        <v>East Midlands</v>
      </c>
      <c r="E283" s="822"/>
      <c r="F283" s="822"/>
      <c r="G283" s="822"/>
      <c r="H283" s="822"/>
    </row>
    <row r="284" spans="2:8" x14ac:dyDescent="0.35">
      <c r="B284" s="823" t="s">
        <v>795</v>
      </c>
      <c r="C284" s="822" t="s">
        <v>736</v>
      </c>
      <c r="D284" s="824" t="str">
        <f t="shared" si="1"/>
        <v>East Midlands</v>
      </c>
      <c r="E284" s="822"/>
      <c r="F284" s="822"/>
      <c r="G284" s="822"/>
      <c r="H284" s="822"/>
    </row>
    <row r="285" spans="2:8" x14ac:dyDescent="0.35">
      <c r="B285" s="823" t="s">
        <v>796</v>
      </c>
      <c r="C285" s="822" t="s">
        <v>736</v>
      </c>
      <c r="D285" s="824" t="str">
        <f t="shared" si="1"/>
        <v>East Midlands</v>
      </c>
      <c r="E285" s="822"/>
      <c r="F285" s="822"/>
      <c r="G285" s="822"/>
      <c r="H285" s="822"/>
    </row>
    <row r="286" spans="2:8" x14ac:dyDescent="0.35">
      <c r="B286" s="823" t="s">
        <v>797</v>
      </c>
      <c r="C286" s="822" t="s">
        <v>736</v>
      </c>
      <c r="D286" s="824" t="str">
        <f t="shared" si="1"/>
        <v>East Midlands</v>
      </c>
      <c r="E286" s="822"/>
      <c r="F286" s="822"/>
      <c r="G286" s="822"/>
      <c r="H286" s="822"/>
    </row>
    <row r="287" spans="2:8" x14ac:dyDescent="0.35">
      <c r="B287" s="823" t="s">
        <v>798</v>
      </c>
      <c r="C287" s="822" t="s">
        <v>736</v>
      </c>
      <c r="D287" s="824" t="str">
        <f t="shared" si="1"/>
        <v>East Midlands</v>
      </c>
      <c r="E287" s="822"/>
      <c r="F287" s="822"/>
      <c r="G287" s="822"/>
      <c r="H287" s="822"/>
    </row>
    <row r="288" spans="2:8" x14ac:dyDescent="0.35">
      <c r="B288" s="823" t="s">
        <v>799</v>
      </c>
      <c r="C288" s="822" t="s">
        <v>737</v>
      </c>
      <c r="D288" s="824" t="str">
        <f t="shared" si="1"/>
        <v>West Midlands</v>
      </c>
      <c r="E288" s="822"/>
      <c r="F288" s="822"/>
      <c r="G288" s="822"/>
      <c r="H288" s="822"/>
    </row>
    <row r="289" spans="2:8" x14ac:dyDescent="0.35">
      <c r="B289" s="823" t="s">
        <v>800</v>
      </c>
      <c r="C289" s="822" t="s">
        <v>737</v>
      </c>
      <c r="D289" s="824" t="str">
        <f t="shared" si="1"/>
        <v>West Midlands</v>
      </c>
      <c r="E289" s="822"/>
      <c r="F289" s="822"/>
      <c r="G289" s="822"/>
      <c r="H289" s="822"/>
    </row>
    <row r="290" spans="2:8" x14ac:dyDescent="0.35">
      <c r="B290" s="823" t="s">
        <v>801</v>
      </c>
      <c r="C290" s="822" t="s">
        <v>737</v>
      </c>
      <c r="D290" s="824" t="str">
        <f t="shared" ref="D290:D321" si="2">INDEX($Q$35:$Q$58,MATCH(C290,$P$35:$P$58,0))</f>
        <v>West Midlands</v>
      </c>
      <c r="E290" s="822"/>
      <c r="F290" s="822"/>
      <c r="G290" s="822"/>
      <c r="H290" s="822"/>
    </row>
    <row r="291" spans="2:8" x14ac:dyDescent="0.35">
      <c r="B291" s="823" t="s">
        <v>802</v>
      </c>
      <c r="C291" s="822" t="s">
        <v>737</v>
      </c>
      <c r="D291" s="824" t="str">
        <f t="shared" si="2"/>
        <v>West Midlands</v>
      </c>
      <c r="E291" s="822"/>
      <c r="F291" s="822"/>
      <c r="G291" s="822"/>
      <c r="H291" s="822"/>
    </row>
    <row r="292" spans="2:8" x14ac:dyDescent="0.35">
      <c r="B292" s="823" t="s">
        <v>803</v>
      </c>
      <c r="C292" s="822" t="s">
        <v>737</v>
      </c>
      <c r="D292" s="824" t="str">
        <f t="shared" si="2"/>
        <v>West Midlands</v>
      </c>
      <c r="E292" s="822"/>
      <c r="F292" s="822"/>
      <c r="G292" s="822"/>
      <c r="H292" s="822"/>
    </row>
    <row r="293" spans="2:8" x14ac:dyDescent="0.35">
      <c r="B293" s="823" t="s">
        <v>804</v>
      </c>
      <c r="C293" s="822" t="s">
        <v>737</v>
      </c>
      <c r="D293" s="824" t="str">
        <f t="shared" si="2"/>
        <v>West Midlands</v>
      </c>
      <c r="E293" s="822"/>
      <c r="F293" s="822"/>
      <c r="G293" s="822"/>
      <c r="H293" s="822"/>
    </row>
    <row r="294" spans="2:8" x14ac:dyDescent="0.35">
      <c r="B294" s="823" t="s">
        <v>805</v>
      </c>
      <c r="C294" s="822" t="s">
        <v>737</v>
      </c>
      <c r="D294" s="824" t="str">
        <f t="shared" si="2"/>
        <v>West Midlands</v>
      </c>
      <c r="E294" s="822"/>
      <c r="F294" s="822"/>
      <c r="G294" s="822"/>
      <c r="H294" s="822"/>
    </row>
    <row r="295" spans="2:8" x14ac:dyDescent="0.35">
      <c r="B295" s="823" t="s">
        <v>806</v>
      </c>
      <c r="C295" s="822" t="s">
        <v>737</v>
      </c>
      <c r="D295" s="824" t="str">
        <f t="shared" si="2"/>
        <v>West Midlands</v>
      </c>
      <c r="E295" s="822"/>
      <c r="F295" s="822"/>
      <c r="G295" s="822"/>
      <c r="H295" s="822"/>
    </row>
    <row r="296" spans="2:8" x14ac:dyDescent="0.35">
      <c r="B296" s="823" t="s">
        <v>807</v>
      </c>
      <c r="C296" s="822" t="s">
        <v>737</v>
      </c>
      <c r="D296" s="824" t="str">
        <f t="shared" si="2"/>
        <v>West Midlands</v>
      </c>
      <c r="E296" s="822"/>
      <c r="F296" s="822"/>
      <c r="G296" s="822"/>
      <c r="H296" s="822"/>
    </row>
    <row r="297" spans="2:8" x14ac:dyDescent="0.35">
      <c r="B297" s="823" t="s">
        <v>808</v>
      </c>
      <c r="C297" s="822" t="s">
        <v>737</v>
      </c>
      <c r="D297" s="824" t="str">
        <f t="shared" si="2"/>
        <v>West Midlands</v>
      </c>
      <c r="E297" s="822"/>
      <c r="F297" s="822"/>
      <c r="G297" s="822"/>
      <c r="H297" s="822"/>
    </row>
    <row r="298" spans="2:8" x14ac:dyDescent="0.35">
      <c r="B298" s="823" t="s">
        <v>809</v>
      </c>
      <c r="C298" s="822" t="s">
        <v>318</v>
      </c>
      <c r="D298" s="824" t="str">
        <f t="shared" si="2"/>
        <v>Wales</v>
      </c>
      <c r="E298" s="822"/>
      <c r="F298" s="822"/>
      <c r="G298" s="822"/>
      <c r="H298" s="822"/>
    </row>
    <row r="299" spans="2:8" x14ac:dyDescent="0.35">
      <c r="B299" s="823" t="s">
        <v>810</v>
      </c>
      <c r="C299" s="822" t="s">
        <v>318</v>
      </c>
      <c r="D299" s="824" t="str">
        <f t="shared" si="2"/>
        <v>Wales</v>
      </c>
      <c r="E299" s="822"/>
      <c r="F299" s="822"/>
      <c r="G299" s="822"/>
      <c r="H299" s="822"/>
    </row>
    <row r="300" spans="2:8" x14ac:dyDescent="0.35">
      <c r="B300" s="823" t="s">
        <v>811</v>
      </c>
      <c r="C300" s="822" t="s">
        <v>318</v>
      </c>
      <c r="D300" s="824" t="str">
        <f t="shared" si="2"/>
        <v>Wales</v>
      </c>
      <c r="E300" s="822"/>
      <c r="F300" s="822"/>
      <c r="G300" s="822"/>
      <c r="H300" s="822"/>
    </row>
    <row r="301" spans="2:8" x14ac:dyDescent="0.35">
      <c r="B301" s="823" t="s">
        <v>812</v>
      </c>
      <c r="C301" s="822" t="s">
        <v>318</v>
      </c>
      <c r="D301" s="824" t="str">
        <f t="shared" si="2"/>
        <v>Wales</v>
      </c>
      <c r="E301" s="822"/>
      <c r="F301" s="822"/>
      <c r="G301" s="822"/>
      <c r="H301" s="822"/>
    </row>
    <row r="302" spans="2:8" x14ac:dyDescent="0.35">
      <c r="B302" s="823" t="s">
        <v>813</v>
      </c>
      <c r="C302" s="822" t="s">
        <v>318</v>
      </c>
      <c r="D302" s="824" t="str">
        <f t="shared" si="2"/>
        <v>Wales</v>
      </c>
      <c r="E302" s="822"/>
      <c r="F302" s="822"/>
      <c r="G302" s="822"/>
      <c r="H302" s="822"/>
    </row>
    <row r="303" spans="2:8" x14ac:dyDescent="0.35">
      <c r="B303" s="823" t="s">
        <v>814</v>
      </c>
      <c r="C303" s="822" t="s">
        <v>318</v>
      </c>
      <c r="D303" s="824" t="str">
        <f t="shared" si="2"/>
        <v>Wales</v>
      </c>
      <c r="E303" s="822"/>
      <c r="F303" s="822"/>
      <c r="G303" s="822"/>
      <c r="H303" s="822"/>
    </row>
    <row r="304" spans="2:8" x14ac:dyDescent="0.35">
      <c r="B304" s="823" t="s">
        <v>367</v>
      </c>
      <c r="C304" s="822" t="s">
        <v>738</v>
      </c>
      <c r="D304" s="824" t="str">
        <f t="shared" si="2"/>
        <v>South West</v>
      </c>
      <c r="E304" s="822"/>
      <c r="F304" s="822"/>
      <c r="G304" s="822"/>
      <c r="H304" s="822"/>
    </row>
    <row r="305" spans="2:8" x14ac:dyDescent="0.35">
      <c r="B305" s="823" t="s">
        <v>815</v>
      </c>
      <c r="C305" s="822" t="s">
        <v>738</v>
      </c>
      <c r="D305" s="824" t="str">
        <f t="shared" si="2"/>
        <v>South West</v>
      </c>
      <c r="E305" s="822"/>
      <c r="F305" s="822"/>
      <c r="G305" s="822"/>
      <c r="H305" s="822"/>
    </row>
    <row r="306" spans="2:8" x14ac:dyDescent="0.35">
      <c r="B306" s="823" t="s">
        <v>816</v>
      </c>
      <c r="C306" s="822" t="s">
        <v>738</v>
      </c>
      <c r="D306" s="824" t="str">
        <f t="shared" si="2"/>
        <v>South West</v>
      </c>
      <c r="E306" s="822"/>
      <c r="F306" s="822"/>
      <c r="G306" s="822"/>
      <c r="H306" s="822"/>
    </row>
    <row r="307" spans="2:8" x14ac:dyDescent="0.35">
      <c r="B307" s="823" t="s">
        <v>817</v>
      </c>
      <c r="C307" s="822" t="s">
        <v>738</v>
      </c>
      <c r="D307" s="824" t="str">
        <f t="shared" si="2"/>
        <v>South West</v>
      </c>
      <c r="E307" s="822"/>
      <c r="F307" s="822"/>
      <c r="G307" s="822"/>
      <c r="H307" s="822"/>
    </row>
    <row r="308" spans="2:8" x14ac:dyDescent="0.35">
      <c r="B308" s="823" t="s">
        <v>818</v>
      </c>
      <c r="C308" s="822" t="s">
        <v>738</v>
      </c>
      <c r="D308" s="824" t="str">
        <f t="shared" si="2"/>
        <v>South West</v>
      </c>
      <c r="E308" s="822"/>
      <c r="F308" s="822"/>
      <c r="G308" s="822"/>
      <c r="H308" s="822"/>
    </row>
    <row r="309" spans="2:8" x14ac:dyDescent="0.35">
      <c r="B309" s="823" t="s">
        <v>819</v>
      </c>
      <c r="C309" s="822" t="s">
        <v>738</v>
      </c>
      <c r="D309" s="824" t="str">
        <f t="shared" si="2"/>
        <v>South West</v>
      </c>
      <c r="E309" s="822"/>
      <c r="F309" s="822"/>
      <c r="G309" s="822"/>
      <c r="H309" s="822"/>
    </row>
    <row r="310" spans="2:8" x14ac:dyDescent="0.35">
      <c r="B310" s="823" t="s">
        <v>820</v>
      </c>
      <c r="C310" s="822" t="s">
        <v>738</v>
      </c>
      <c r="D310" s="824" t="str">
        <f t="shared" si="2"/>
        <v>South West</v>
      </c>
      <c r="E310" s="822"/>
      <c r="F310" s="822"/>
      <c r="G310" s="822"/>
      <c r="H310" s="822"/>
    </row>
    <row r="311" spans="2:8" x14ac:dyDescent="0.35">
      <c r="B311" s="823" t="s">
        <v>821</v>
      </c>
      <c r="C311" s="822" t="s">
        <v>738</v>
      </c>
      <c r="D311" s="824" t="str">
        <f t="shared" si="2"/>
        <v>South West</v>
      </c>
      <c r="E311" s="822"/>
      <c r="F311" s="822"/>
      <c r="G311" s="822"/>
      <c r="H311" s="822"/>
    </row>
    <row r="312" spans="2:8" x14ac:dyDescent="0.35">
      <c r="B312" s="823" t="s">
        <v>822</v>
      </c>
      <c r="C312" s="822" t="s">
        <v>738</v>
      </c>
      <c r="D312" s="824" t="str">
        <f t="shared" si="2"/>
        <v>South West</v>
      </c>
      <c r="E312" s="822"/>
      <c r="F312" s="822"/>
      <c r="G312" s="822"/>
      <c r="H312" s="822"/>
    </row>
    <row r="313" spans="2:8" x14ac:dyDescent="0.35">
      <c r="B313" s="823" t="s">
        <v>823</v>
      </c>
      <c r="C313" s="822" t="s">
        <v>738</v>
      </c>
      <c r="D313" s="824" t="str">
        <f t="shared" si="2"/>
        <v>South West</v>
      </c>
      <c r="E313" s="822"/>
      <c r="F313" s="822"/>
      <c r="G313" s="822"/>
      <c r="H313" s="822"/>
    </row>
    <row r="314" spans="2:8" x14ac:dyDescent="0.35">
      <c r="B314" s="823" t="s">
        <v>824</v>
      </c>
      <c r="C314" s="822" t="s">
        <v>738</v>
      </c>
      <c r="D314" s="824" t="str">
        <f t="shared" si="2"/>
        <v>South West</v>
      </c>
      <c r="E314" s="822"/>
      <c r="F314" s="822"/>
      <c r="G314" s="822"/>
      <c r="H314" s="822"/>
    </row>
    <row r="315" spans="2:8" x14ac:dyDescent="0.35">
      <c r="B315" s="823" t="s">
        <v>825</v>
      </c>
      <c r="C315" s="822" t="s">
        <v>738</v>
      </c>
      <c r="D315" s="824" t="str">
        <f t="shared" si="2"/>
        <v>South West</v>
      </c>
      <c r="E315" s="822"/>
      <c r="F315" s="822"/>
      <c r="G315" s="822"/>
      <c r="H315" s="822"/>
    </row>
    <row r="316" spans="2:8" x14ac:dyDescent="0.35">
      <c r="B316" s="823" t="s">
        <v>826</v>
      </c>
      <c r="C316" s="822" t="s">
        <v>739</v>
      </c>
      <c r="D316" s="824" t="str">
        <f t="shared" si="2"/>
        <v>South East</v>
      </c>
      <c r="E316" s="822"/>
      <c r="F316" s="822"/>
      <c r="G316" s="822"/>
      <c r="H316" s="822"/>
    </row>
    <row r="317" spans="2:8" x14ac:dyDescent="0.35">
      <c r="B317" s="823" t="s">
        <v>827</v>
      </c>
      <c r="C317" s="822" t="s">
        <v>739</v>
      </c>
      <c r="D317" s="824" t="str">
        <f t="shared" si="2"/>
        <v>South East</v>
      </c>
      <c r="E317" s="822"/>
      <c r="F317" s="822"/>
      <c r="G317" s="822"/>
      <c r="H317" s="822"/>
    </row>
    <row r="318" spans="2:8" x14ac:dyDescent="0.35">
      <c r="B318" s="823" t="s">
        <v>828</v>
      </c>
      <c r="C318" s="822" t="s">
        <v>739</v>
      </c>
      <c r="D318" s="824" t="str">
        <f t="shared" si="2"/>
        <v>South East</v>
      </c>
      <c r="E318" s="822"/>
      <c r="F318" s="822"/>
      <c r="G318" s="822"/>
      <c r="H318" s="822"/>
    </row>
    <row r="319" spans="2:8" x14ac:dyDescent="0.35">
      <c r="B319" s="823" t="s">
        <v>829</v>
      </c>
      <c r="C319" s="822" t="s">
        <v>739</v>
      </c>
      <c r="D319" s="824" t="str">
        <f t="shared" si="2"/>
        <v>South East</v>
      </c>
      <c r="E319" s="822"/>
      <c r="F319" s="822"/>
      <c r="G319" s="822"/>
      <c r="H319" s="822"/>
    </row>
    <row r="320" spans="2:8" x14ac:dyDescent="0.35">
      <c r="B320" s="823" t="s">
        <v>830</v>
      </c>
      <c r="C320" s="822" t="s">
        <v>739</v>
      </c>
      <c r="D320" s="824" t="str">
        <f t="shared" si="2"/>
        <v>South East</v>
      </c>
      <c r="E320" s="822"/>
      <c r="F320" s="822"/>
      <c r="G320" s="822"/>
      <c r="H320" s="822"/>
    </row>
    <row r="321" spans="2:8" x14ac:dyDescent="0.35">
      <c r="B321" s="823" t="s">
        <v>831</v>
      </c>
      <c r="C321" s="822" t="s">
        <v>739</v>
      </c>
      <c r="D321" s="824" t="str">
        <f t="shared" si="2"/>
        <v>South East</v>
      </c>
      <c r="E321" s="822"/>
      <c r="F321" s="822"/>
      <c r="G321" s="822"/>
      <c r="H321" s="822"/>
    </row>
    <row r="322" spans="2:8" x14ac:dyDescent="0.35">
      <c r="B322" s="823" t="s">
        <v>832</v>
      </c>
      <c r="C322" s="822" t="s">
        <v>739</v>
      </c>
      <c r="D322" s="824" t="str">
        <f t="shared" ref="D322:D334" si="3">INDEX($Q$35:$Q$58,MATCH(C322,$P$35:$P$58,0))</f>
        <v>South East</v>
      </c>
      <c r="E322" s="822"/>
      <c r="F322" s="822"/>
      <c r="G322" s="822"/>
      <c r="H322" s="822"/>
    </row>
    <row r="323" spans="2:8" x14ac:dyDescent="0.35">
      <c r="B323" s="823" t="s">
        <v>833</v>
      </c>
      <c r="C323" s="822" t="s">
        <v>739</v>
      </c>
      <c r="D323" s="824" t="str">
        <f t="shared" si="3"/>
        <v>South East</v>
      </c>
      <c r="E323" s="822"/>
      <c r="F323" s="822"/>
      <c r="G323" s="822"/>
      <c r="H323" s="822"/>
    </row>
    <row r="324" spans="2:8" x14ac:dyDescent="0.35">
      <c r="B324" s="823" t="s">
        <v>834</v>
      </c>
      <c r="C324" s="822" t="s">
        <v>739</v>
      </c>
      <c r="D324" s="824" t="str">
        <f t="shared" si="3"/>
        <v>South East</v>
      </c>
      <c r="E324" s="822"/>
      <c r="F324" s="822"/>
      <c r="G324" s="822"/>
      <c r="H324" s="822"/>
    </row>
    <row r="325" spans="2:8" x14ac:dyDescent="0.35">
      <c r="B325" s="823" t="s">
        <v>835</v>
      </c>
      <c r="C325" s="822" t="s">
        <v>739</v>
      </c>
      <c r="D325" s="824" t="str">
        <f t="shared" si="3"/>
        <v>South East</v>
      </c>
      <c r="E325" s="822"/>
      <c r="F325" s="822"/>
      <c r="G325" s="822"/>
      <c r="H325" s="822"/>
    </row>
    <row r="326" spans="2:8" x14ac:dyDescent="0.35">
      <c r="B326" s="823" t="s">
        <v>836</v>
      </c>
      <c r="C326" s="822" t="s">
        <v>739</v>
      </c>
      <c r="D326" s="824" t="str">
        <f t="shared" si="3"/>
        <v>South East</v>
      </c>
      <c r="E326" s="822"/>
      <c r="F326" s="822"/>
      <c r="G326" s="822"/>
      <c r="H326" s="822"/>
    </row>
    <row r="327" spans="2:8" x14ac:dyDescent="0.35">
      <c r="B327" s="823" t="s">
        <v>837</v>
      </c>
      <c r="C327" s="822" t="s">
        <v>739</v>
      </c>
      <c r="D327" s="824" t="str">
        <f t="shared" si="3"/>
        <v>South East</v>
      </c>
    </row>
    <row r="328" spans="2:8" x14ac:dyDescent="0.35">
      <c r="B328" s="823" t="s">
        <v>838</v>
      </c>
      <c r="C328" s="822" t="s">
        <v>739</v>
      </c>
      <c r="D328" s="824" t="str">
        <f t="shared" si="3"/>
        <v>South East</v>
      </c>
    </row>
    <row r="329" spans="2:8" x14ac:dyDescent="0.35">
      <c r="B329" s="823" t="s">
        <v>839</v>
      </c>
      <c r="C329" s="822" t="s">
        <v>739</v>
      </c>
      <c r="D329" s="824" t="str">
        <f t="shared" si="3"/>
        <v>South East</v>
      </c>
    </row>
    <row r="330" spans="2:8" x14ac:dyDescent="0.35">
      <c r="B330" s="823" t="s">
        <v>840</v>
      </c>
      <c r="C330" s="822" t="s">
        <v>739</v>
      </c>
      <c r="D330" s="824" t="str">
        <f t="shared" si="3"/>
        <v>South East</v>
      </c>
    </row>
    <row r="331" spans="2:8" x14ac:dyDescent="0.35">
      <c r="B331" s="823" t="s">
        <v>841</v>
      </c>
      <c r="C331" s="822" t="s">
        <v>739</v>
      </c>
      <c r="D331" s="824" t="str">
        <f t="shared" si="3"/>
        <v>South East</v>
      </c>
    </row>
    <row r="332" spans="2:8" x14ac:dyDescent="0.35">
      <c r="B332" s="823" t="s">
        <v>842</v>
      </c>
      <c r="C332" s="822" t="s">
        <v>739</v>
      </c>
      <c r="D332" s="824" t="str">
        <f t="shared" si="3"/>
        <v>South East</v>
      </c>
    </row>
    <row r="333" spans="2:8" x14ac:dyDescent="0.35">
      <c r="B333" s="823" t="s">
        <v>843</v>
      </c>
      <c r="C333" s="822" t="s">
        <v>739</v>
      </c>
      <c r="D333" s="824" t="str">
        <f t="shared" si="3"/>
        <v>South East</v>
      </c>
    </row>
    <row r="334" spans="2:8" x14ac:dyDescent="0.35">
      <c r="B334" s="823" t="s">
        <v>844</v>
      </c>
      <c r="C334" s="822" t="s">
        <v>740</v>
      </c>
      <c r="D334" s="824">
        <f t="shared" si="3"/>
        <v>0</v>
      </c>
    </row>
  </sheetData>
  <mergeCells count="28">
    <mergeCell ref="A211:A224"/>
    <mergeCell ref="B187:N187"/>
    <mergeCell ref="C188:F188"/>
    <mergeCell ref="O188:R188"/>
    <mergeCell ref="B209:N209"/>
    <mergeCell ref="C210:F210"/>
    <mergeCell ref="G210:J210"/>
    <mergeCell ref="K210:N210"/>
    <mergeCell ref="O210:R210"/>
    <mergeCell ref="A189:A202"/>
    <mergeCell ref="G188:J188"/>
    <mergeCell ref="K188:N188"/>
    <mergeCell ref="R3:Y3"/>
    <mergeCell ref="AG4:AI4"/>
    <mergeCell ref="O4:Q4"/>
    <mergeCell ref="O34:Q34"/>
    <mergeCell ref="A110:A120"/>
    <mergeCell ref="A8:A30"/>
    <mergeCell ref="A59:A81"/>
    <mergeCell ref="A84:A106"/>
    <mergeCell ref="A33:A43"/>
    <mergeCell ref="A46:A56"/>
    <mergeCell ref="A163:A185"/>
    <mergeCell ref="AP4:AT4"/>
    <mergeCell ref="A123:A133"/>
    <mergeCell ref="A136:A146"/>
    <mergeCell ref="A149:A159"/>
    <mergeCell ref="AO37:AO44"/>
  </mergeCells>
  <phoneticPr fontId="15" type="noConversion"/>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FF329-E226-474A-931B-63C685BA48A7}">
  <sheetPr codeName="Sheet14">
    <tabColor theme="0" tint="-0.499984740745262"/>
  </sheetPr>
  <dimension ref="A1:T224"/>
  <sheetViews>
    <sheetView zoomScale="80" zoomScaleNormal="80" workbookViewId="0">
      <selection activeCell="Q31" sqref="Q31"/>
    </sheetView>
  </sheetViews>
  <sheetFormatPr defaultRowHeight="15" x14ac:dyDescent="0.25"/>
  <cols>
    <col min="1" max="1" width="11.5703125" style="1" customWidth="1"/>
    <col min="2" max="2" width="23" style="1558" customWidth="1"/>
    <col min="3" max="4" width="17" style="1558" customWidth="1"/>
    <col min="5" max="5" width="4.28515625" style="1" customWidth="1"/>
    <col min="6" max="6" width="23" style="1558" customWidth="1"/>
    <col min="7" max="8" width="17" style="1558" customWidth="1"/>
    <col min="9" max="9" width="4.28515625" style="1" customWidth="1"/>
    <col min="10" max="10" width="23" style="1558" customWidth="1"/>
    <col min="11" max="12" width="17" style="1558" customWidth="1"/>
    <col min="13" max="13" width="2.85546875" style="1" customWidth="1"/>
    <col min="14" max="16" width="22.85546875" style="1" customWidth="1"/>
    <col min="17" max="17" width="28.85546875" style="1" customWidth="1"/>
    <col min="18" max="18" width="12.85546875" style="1" bestFit="1" customWidth="1"/>
    <col min="19" max="16384" width="9.140625" style="1"/>
  </cols>
  <sheetData>
    <row r="1" spans="1:20" ht="77.25" customHeight="1" thickBot="1" x14ac:dyDescent="0.3">
      <c r="G1" s="1943" t="s">
        <v>436</v>
      </c>
      <c r="J1" s="1942"/>
      <c r="K1" s="1942"/>
      <c r="L1" s="1941" t="s">
        <v>437</v>
      </c>
    </row>
    <row r="2" spans="1:20" ht="35.25" customHeight="1" thickBot="1" x14ac:dyDescent="0.3">
      <c r="B2" s="3521" t="s">
        <v>438</v>
      </c>
      <c r="C2" s="3522"/>
      <c r="D2" s="3523"/>
      <c r="F2" s="3524" t="s">
        <v>439</v>
      </c>
      <c r="G2" s="3525"/>
      <c r="H2" s="3526"/>
      <c r="J2" s="3527" t="s">
        <v>440</v>
      </c>
      <c r="K2" s="3528"/>
      <c r="L2" s="3529"/>
    </row>
    <row r="3" spans="1:20" ht="32.25" customHeight="1" x14ac:dyDescent="0.25">
      <c r="B3" s="3530" t="str">
        <f>IF(O6="",N14,O6)</f>
        <v>Max LTV possible with  0m Rolled &amp; 0.00% Deferred</v>
      </c>
      <c r="C3" s="3531"/>
      <c r="D3" s="3532"/>
      <c r="F3" s="3530" t="str">
        <f>IF(O7="",N18,O7)</f>
        <v>Max LTV possible with  0m Rolled &amp; 0.00% Deferred</v>
      </c>
      <c r="G3" s="3531"/>
      <c r="H3" s="3532"/>
      <c r="J3" s="3530" t="str">
        <f>IF(O8="",N22,O8)</f>
        <v>Max LTV possible with 0m Rolled &amp; 0.00% Deferred</v>
      </c>
      <c r="K3" s="3531"/>
      <c r="L3" s="3532"/>
      <c r="N3" s="898"/>
    </row>
    <row r="4" spans="1:20" ht="32.25" customHeight="1" thickBot="1" x14ac:dyDescent="0.3">
      <c r="B4" s="3533"/>
      <c r="C4" s="3534"/>
      <c r="D4" s="3535"/>
      <c r="F4" s="3533"/>
      <c r="G4" s="3534"/>
      <c r="H4" s="3535"/>
      <c r="J4" s="3533"/>
      <c r="K4" s="3534"/>
      <c r="L4" s="3535"/>
      <c r="Q4" s="1926"/>
    </row>
    <row r="5" spans="1:20" ht="18.75" thickBot="1" x14ac:dyDescent="0.3">
      <c r="N5" s="1558"/>
      <c r="O5" s="2264"/>
      <c r="P5" s="2249"/>
      <c r="Q5" s="1926"/>
    </row>
    <row r="6" spans="1:20" ht="18.75" thickBot="1" x14ac:dyDescent="0.3">
      <c r="B6" s="1944" t="s">
        <v>443</v>
      </c>
      <c r="C6" s="1947" t="str">
        <f>IF(B24&gt;-1,B24&amp;"m Rolled","")</f>
        <v>0m Rolled</v>
      </c>
      <c r="D6" s="1945">
        <f>IF(C6="","",_xlfn.MINIFS(C24:C174,D24:D174,"&gt;="&amp;D8))</f>
        <v>1.00613961606655E-16</v>
      </c>
      <c r="F6" s="1944" t="s">
        <v>443</v>
      </c>
      <c r="G6" s="1947" t="str">
        <f>IF(F24&gt;-1,F24&amp;"m Rolled","")</f>
        <v>0m Rolled</v>
      </c>
      <c r="H6" s="1945">
        <f>IF(G6="","",_xlfn.MINIFS(G24:G174,H24:H174,"&gt;="&amp;H8))</f>
        <v>1.00613961606655E-16</v>
      </c>
      <c r="J6" s="1944" t="s">
        <v>443</v>
      </c>
      <c r="K6" s="1947" t="str">
        <f>IF(J24&gt;-1,J24&amp;"m Rolled","")</f>
        <v>0m Rolled</v>
      </c>
      <c r="L6" s="1945">
        <f>IF(K6="","",_xlfn.MINIFS(K24:K174,L24:L174,"&gt;="&amp;L8))</f>
        <v>1.00613961606655E-16</v>
      </c>
      <c r="N6" s="2266" t="str">
        <f>C6&amp;D6</f>
        <v>0m Rolled1.00613961606655E-16</v>
      </c>
      <c r="O6" s="2264" t="str">
        <f>IF(N6="0m Rolled0", "Please use max rolled and defer","")</f>
        <v/>
      </c>
      <c r="P6" s="2249"/>
      <c r="Q6" s="1926"/>
    </row>
    <row r="7" spans="1:20" ht="18" x14ac:dyDescent="0.25">
      <c r="C7" s="1"/>
      <c r="D7" s="1"/>
      <c r="G7" s="1"/>
      <c r="H7" s="1"/>
      <c r="K7" s="1"/>
      <c r="L7" s="1"/>
      <c r="N7" s="2266" t="str">
        <f>G6&amp;H6</f>
        <v>0m Rolled1.00613961606655E-16</v>
      </c>
      <c r="O7" s="2264" t="str">
        <f>IF(N7="0m Rolled0", "Please use max rolled and defer","")</f>
        <v/>
      </c>
      <c r="P7" s="2249"/>
      <c r="Q7" s="3625"/>
      <c r="R7" s="3625"/>
      <c r="S7" s="3625"/>
      <c r="T7" s="3625"/>
    </row>
    <row r="8" spans="1:20" ht="18" x14ac:dyDescent="0.25">
      <c r="A8" s="1" t="str">
        <f>Product_Selected</f>
        <v>1) Standard</v>
      </c>
      <c r="B8" s="1928">
        <f>VLOOKUP(A8,N28:Q31,4,0)</f>
        <v>7.0400000000000004E-2</v>
      </c>
      <c r="C8" s="1928">
        <v>1.4999999999999999E-2</v>
      </c>
      <c r="D8" s="1929">
        <f>Property_Value*70%</f>
        <v>0</v>
      </c>
      <c r="F8" s="1928">
        <f>VLOOKUP(A8,N28:P31,3,0)</f>
        <v>8.0399999999999999E-2</v>
      </c>
      <c r="G8" s="1928">
        <v>1.4999999999999999E-2</v>
      </c>
      <c r="H8" s="1929">
        <f>Property_Value*70%</f>
        <v>0</v>
      </c>
      <c r="J8" s="1928">
        <f>VLOOKUP(A8,N28:O31,2,0)</f>
        <v>8.9900000000000008E-2</v>
      </c>
      <c r="K8" s="1928">
        <v>1.4999999999999999E-2</v>
      </c>
      <c r="L8" s="1929">
        <f>Property_Value*70%</f>
        <v>0</v>
      </c>
      <c r="N8" s="2266" t="str">
        <f>K6&amp;L6</f>
        <v>0m Rolled1.00613961606655E-16</v>
      </c>
      <c r="O8" s="2264" t="str">
        <f>IF(N8="0m Rolled0", "Please use max rolled and defer","")</f>
        <v/>
      </c>
      <c r="P8" s="1936"/>
      <c r="Q8" s="3625"/>
      <c r="R8" s="3625"/>
      <c r="S8" s="3625"/>
      <c r="T8" s="3625"/>
    </row>
    <row r="9" spans="1:20" x14ac:dyDescent="0.25">
      <c r="B9" s="2249">
        <f>D8-(D8*D6/12)*24-((B8-D6)/12*B24*D8)-(D8*0.06)</f>
        <v>0</v>
      </c>
      <c r="C9" s="1929">
        <f>'KB_CRITERIA AND CALCULATION '!X22+'KB_CRITERIA AND CALCULATION '!AQ126</f>
        <v>0</v>
      </c>
      <c r="D9" s="1558">
        <f>'BTL Calculator'!$V$9</f>
        <v>0</v>
      </c>
      <c r="F9" s="2249">
        <f>H8-(H8*H6/12)*24-((F8-H6)/12*F24*H8)-(H8*0.04)</f>
        <v>0</v>
      </c>
      <c r="G9" s="1929">
        <f>'KB_CRITERIA AND CALCULATION '!X22+'KB_CRITERIA AND CALCULATION '!AQ108</f>
        <v>0</v>
      </c>
      <c r="H9" s="1558">
        <f>'BTL Calculator'!$V$9</f>
        <v>0</v>
      </c>
      <c r="J9" s="2249">
        <f>L8-(L8*L6/12)*24-((J8-L6)/12*J24*L8)-(L8*0.02)</f>
        <v>0</v>
      </c>
      <c r="K9" s="1929">
        <f>'KB_CRITERIA AND CALCULATION '!X22+'KB_CRITERIA AND CALCULATION '!AQ90</f>
        <v>0</v>
      </c>
      <c r="L9" s="1558">
        <f>'BTL Calculator'!$V$9</f>
        <v>0</v>
      </c>
      <c r="N9" s="3622"/>
      <c r="O9" s="3622"/>
      <c r="P9" s="3622"/>
      <c r="Q9" s="3625"/>
      <c r="R9" s="3625"/>
      <c r="S9" s="3625"/>
      <c r="T9" s="3625"/>
    </row>
    <row r="10" spans="1:20" ht="15.75" thickBot="1" x14ac:dyDescent="0.3">
      <c r="B10" s="2249">
        <f>($C$9*24)/((($B$8-C8-BBR+'Product Data'!K3)/12)*(24-6)*'Product Data'!$P$18)-(($C$9*24)/((($B$8-C8-BBR+'Product Data'!K3)/12)*(24-6)*'Product Data'!$P$18))*(B8-1.5%)/12*6-(($C$9*24)/((($B$8-C8-BBR+'Product Data'!K3)/12)*(24-6)*'Product Data'!$P$18))*0.015/12*24-(($C$9*24)/((($B$8-C8-BBR+'Product Data'!K3)/12)*(24-6)*'Product Data'!$P$18))*0.06</f>
        <v>0</v>
      </c>
      <c r="F10" s="2249">
        <f>($G$9*24)/((($F$8-G8-BBR+'Product Data'!K3)/12)*(24-6)*'Product Data'!$P$18)-(($G$9*24)/((($F$8-G8-BBR+'Product Data'!K3)/12)*(24-6)*'Product Data'!$P$18))*(F8-1.5%)/12*6-(($G$9*24)/((($F$8-G8-BBR+'Product Data'!K3)/12)*(24-6)*'Product Data'!$P$18))*0.015/12*24-(($G$9*24)/((($F$8-G8-BBR+'Product Data'!K3)/12)*(24-6)*'Product Data'!$P$18))*0.04</f>
        <v>0</v>
      </c>
      <c r="J10" s="2249">
        <f>($K$9*24)/((($J$8-K8-BBR+'Product Data'!K2)/12)*(24-6)*'Product Data'!$P$18)-(($K$9*24)/((($J$8-K8-BBR+'Product Data'!K2)/12)*(24-6)*'Product Data'!$P$18))*(J8-1.5%)/12*6-(($K$9*24)/((($J$8-K8-BBR+'Product Data'!K2)/12)*(24-6)*'Product Data'!$P$18))*0.015/12*24-(($K$9*24)/((($J$8-K8-BBR+'Product Data'!K2)/12)*(24-6)*'Product Data'!$P$18))*0.02</f>
        <v>0</v>
      </c>
      <c r="N10" s="3623">
        <f>IF(J3="Please use max rolled and defer",J10,J9)</f>
        <v>0</v>
      </c>
      <c r="O10" s="3623"/>
      <c r="P10" s="3624" t="s">
        <v>3713</v>
      </c>
      <c r="Q10" s="3624"/>
      <c r="R10" s="2265"/>
    </row>
    <row r="11" spans="1:20" x14ac:dyDescent="0.25">
      <c r="B11" s="2251" t="s">
        <v>446</v>
      </c>
      <c r="C11" s="2252" t="s">
        <v>293</v>
      </c>
      <c r="D11" s="2253" t="s">
        <v>447</v>
      </c>
      <c r="F11" s="2251" t="s">
        <v>446</v>
      </c>
      <c r="G11" s="2252" t="s">
        <v>293</v>
      </c>
      <c r="H11" s="2253" t="s">
        <v>447</v>
      </c>
      <c r="J11" s="2251" t="s">
        <v>446</v>
      </c>
      <c r="K11" s="2252" t="s">
        <v>293</v>
      </c>
      <c r="L11" s="2253" t="s">
        <v>447</v>
      </c>
      <c r="N11" s="3623">
        <f>IF(F3="Please use max rolled and defer",F10,F9)</f>
        <v>0</v>
      </c>
      <c r="O11" s="3623"/>
      <c r="P11" s="3624" t="s">
        <v>3714</v>
      </c>
      <c r="Q11" s="3624"/>
      <c r="R11" s="2265"/>
    </row>
    <row r="12" spans="1:20" x14ac:dyDescent="0.25">
      <c r="B12" s="2254">
        <v>0</v>
      </c>
      <c r="C12" s="1929">
        <f>($C$9*24)/((($B$8-BBR+'Product Data'!$K$3-'KB_C&amp;S Opt Roll Defer '!$C$8)/12)*(24-'KB_C&amp;S Opt Roll Defer '!B12)*'Product Data'!$P$18)</f>
        <v>0</v>
      </c>
      <c r="D12" s="2255" t="e">
        <f t="shared" ref="D12:D18" si="0">$D$8/C12</f>
        <v>#DIV/0!</v>
      </c>
      <c r="F12" s="2254">
        <v>0</v>
      </c>
      <c r="G12" s="1929">
        <f>($G$9*24)/((($F$8-BBR+'Product Data'!$K$3-'KB_C&amp;S Opt Roll Defer '!$G$8)/12)*(24-'KB_C&amp;S Opt Roll Defer '!F12)*'Product Data'!$P$18)</f>
        <v>0</v>
      </c>
      <c r="H12" s="2255" t="e">
        <f t="shared" ref="H12:H18" si="1">$D$8/G12</f>
        <v>#DIV/0!</v>
      </c>
      <c r="J12" s="2254">
        <v>0</v>
      </c>
      <c r="K12" s="1929">
        <f>($K$9*24)/((($J$8-BBR+'Product Data'!$K$2-'KB_C&amp;S Opt Roll Defer '!$K$8)/12)*(24-'KB_C&amp;S Opt Roll Defer '!J12)*'Product Data'!$P$18)</f>
        <v>0</v>
      </c>
      <c r="L12" s="2255" t="e">
        <f t="shared" ref="L12:L18" si="2">$D$8/K12</f>
        <v>#DIV/0!</v>
      </c>
      <c r="N12" s="3623">
        <f>IF(B3="Please use max rolled and defer",B10,B9)</f>
        <v>0</v>
      </c>
      <c r="O12" s="3623"/>
      <c r="P12" s="3624" t="s">
        <v>3715</v>
      </c>
      <c r="Q12" s="3624"/>
      <c r="R12" s="1952"/>
    </row>
    <row r="13" spans="1:20" x14ac:dyDescent="0.25">
      <c r="B13" s="2254">
        <v>1</v>
      </c>
      <c r="C13" s="1929">
        <f>($C$9*24)/((($B$8-BBR+'Product Data'!$K$3-'KB_C&amp;S Opt Roll Defer '!$C$8)/12)*(24-'KB_C&amp;S Opt Roll Defer '!B13)*'Product Data'!$P$18)</f>
        <v>0</v>
      </c>
      <c r="D13" s="2255" t="e">
        <f t="shared" si="0"/>
        <v>#DIV/0!</v>
      </c>
      <c r="F13" s="2254">
        <v>1</v>
      </c>
      <c r="G13" s="1929">
        <f>($G$9*24)/((($F$8-BBR+'Product Data'!$K$3-'KB_C&amp;S Opt Roll Defer '!$G$8)/12)*(24-'KB_C&amp;S Opt Roll Defer '!F13)*'Product Data'!$P$18)</f>
        <v>0</v>
      </c>
      <c r="H13" s="2255" t="e">
        <f t="shared" si="1"/>
        <v>#DIV/0!</v>
      </c>
      <c r="J13" s="2254">
        <v>1</v>
      </c>
      <c r="K13" s="1929">
        <f>($K$9*24)/((($J$8-BBR+'Product Data'!$K$2-'KB_C&amp;S Opt Roll Defer '!$K$8)/12)*(24-'KB_C&amp;S Opt Roll Defer '!J13)*'Product Data'!$P$18)</f>
        <v>0</v>
      </c>
      <c r="L13" s="2255" t="e">
        <f t="shared" si="2"/>
        <v>#DIV/0!</v>
      </c>
      <c r="P13" s="1935"/>
      <c r="R13" s="1952"/>
    </row>
    <row r="14" spans="1:20" x14ac:dyDescent="0.25">
      <c r="B14" s="2254">
        <v>2</v>
      </c>
      <c r="C14" s="1929">
        <f>($C$9*24)/((($B$8-BBR+'Product Data'!$K$3-'KB_C&amp;S Opt Roll Defer '!$C$8)/12)*(24-'KB_C&amp;S Opt Roll Defer '!B14)*'Product Data'!$P$18)</f>
        <v>0</v>
      </c>
      <c r="D14" s="2255" t="e">
        <f t="shared" si="0"/>
        <v>#DIV/0!</v>
      </c>
      <c r="F14" s="2254">
        <v>2</v>
      </c>
      <c r="G14" s="1929">
        <f>($G$9*24)/((($F$8-BBR+'Product Data'!$K$3-'KB_C&amp;S Opt Roll Defer '!$G$8)/12)*(24-'KB_C&amp;S Opt Roll Defer '!F14)*'Product Data'!$P$18)</f>
        <v>0</v>
      </c>
      <c r="H14" s="2255" t="e">
        <f t="shared" si="1"/>
        <v>#DIV/0!</v>
      </c>
      <c r="J14" s="2254">
        <v>2</v>
      </c>
      <c r="K14" s="1929">
        <f>($K$9*24)/((($J$8-BBR+'Product Data'!$K$2-'KB_C&amp;S Opt Roll Defer '!$K$8)/12)*(24-'KB_C&amp;S Opt Roll Defer '!J14)*'Product Data'!$P$18)</f>
        <v>0</v>
      </c>
      <c r="L14" s="2255" t="e">
        <f t="shared" si="2"/>
        <v>#DIV/0!</v>
      </c>
      <c r="N14" s="1" t="str">
        <f>"Max LTV possible with  "&amp; C6 &amp; IF(B24&gt;-1,IF(D6&gt;-1," &amp; ","")&amp;TEXT(D6,"0.00%")&amp;" Deferred","")</f>
        <v>Max LTV possible with  0m Rolled &amp; 0.00% Deferred</v>
      </c>
      <c r="P14" s="1926"/>
      <c r="Q14" s="1926">
        <f>($G$9*24)/((($F$8-G8-BBR+'Product Data'!K2)/12)*(24-6)*'Product Data'!$P$18)</f>
        <v>0</v>
      </c>
    </row>
    <row r="15" spans="1:20" x14ac:dyDescent="0.25">
      <c r="B15" s="2254">
        <v>3</v>
      </c>
      <c r="C15" s="1929">
        <f>($C$9*24)/((($B$8-BBR+'Product Data'!$K$3-'KB_C&amp;S Opt Roll Defer '!$C$8)/12)*(24-'KB_C&amp;S Opt Roll Defer '!B15)*'Product Data'!$P$18)</f>
        <v>0</v>
      </c>
      <c r="D15" s="2255" t="e">
        <f t="shared" si="0"/>
        <v>#DIV/0!</v>
      </c>
      <c r="F15" s="2254">
        <v>3</v>
      </c>
      <c r="G15" s="1929">
        <f>($G$9*24)/((($F$8-BBR+'Product Data'!$K$3-'KB_C&amp;S Opt Roll Defer '!$G$8)/12)*(24-'KB_C&amp;S Opt Roll Defer '!F15)*'Product Data'!$P$18)</f>
        <v>0</v>
      </c>
      <c r="H15" s="2255" t="e">
        <f t="shared" si="1"/>
        <v>#DIV/0!</v>
      </c>
      <c r="J15" s="2254">
        <v>3</v>
      </c>
      <c r="K15" s="1929">
        <f>($K$9*24)/((($J$8-BBR+'Product Data'!$K$2-'KB_C&amp;S Opt Roll Defer '!$K$8)/12)*(24-'KB_C&amp;S Opt Roll Defer '!J15)*'Product Data'!$P$18)</f>
        <v>0</v>
      </c>
      <c r="L15" s="2255" t="e">
        <f t="shared" si="2"/>
        <v>#DIV/0!</v>
      </c>
    </row>
    <row r="16" spans="1:20" x14ac:dyDescent="0.25">
      <c r="B16" s="2254">
        <v>4</v>
      </c>
      <c r="C16" s="1929">
        <f>($C$9*24)/((($B$8-BBR+'Product Data'!$K$3-'KB_C&amp;S Opt Roll Defer '!$C$8)/12)*(24-'KB_C&amp;S Opt Roll Defer '!B16)*'Product Data'!$P$18)</f>
        <v>0</v>
      </c>
      <c r="D16" s="2255" t="e">
        <f t="shared" si="0"/>
        <v>#DIV/0!</v>
      </c>
      <c r="F16" s="2254">
        <v>4</v>
      </c>
      <c r="G16" s="1929">
        <f>($G$9*24)/((($F$8-BBR+'Product Data'!$K$3-'KB_C&amp;S Opt Roll Defer '!$G$8)/12)*(24-'KB_C&amp;S Opt Roll Defer '!F16)*'Product Data'!$P$18)</f>
        <v>0</v>
      </c>
      <c r="H16" s="2255" t="e">
        <f t="shared" si="1"/>
        <v>#DIV/0!</v>
      </c>
      <c r="J16" s="2254">
        <v>4</v>
      </c>
      <c r="K16" s="1929">
        <f>($K$9*24)/((($J$8-BBR+'Product Data'!$K$2-'KB_C&amp;S Opt Roll Defer '!$K$8)/12)*(24-'KB_C&amp;S Opt Roll Defer '!J16)*'Product Data'!$P$18)</f>
        <v>0</v>
      </c>
      <c r="L16" s="2255" t="e">
        <f t="shared" si="2"/>
        <v>#DIV/0!</v>
      </c>
    </row>
    <row r="17" spans="2:18" x14ac:dyDescent="0.25">
      <c r="B17" s="2254">
        <v>5</v>
      </c>
      <c r="C17" s="1929">
        <f>($C$9*24)/((($B$8-BBR+'Product Data'!$K$3-'KB_C&amp;S Opt Roll Defer '!$C$8)/12)*(24-'KB_C&amp;S Opt Roll Defer '!B17)*'Product Data'!$P$18)</f>
        <v>0</v>
      </c>
      <c r="D17" s="2255" t="e">
        <f t="shared" si="0"/>
        <v>#DIV/0!</v>
      </c>
      <c r="F17" s="2254">
        <v>5</v>
      </c>
      <c r="G17" s="1929">
        <f>($G$9*24)/((($F$8-BBR+'Product Data'!$K$3-'KB_C&amp;S Opt Roll Defer '!$G$8)/12)*(24-'KB_C&amp;S Opt Roll Defer '!F17)*'Product Data'!$P$18)</f>
        <v>0</v>
      </c>
      <c r="H17" s="2255" t="e">
        <f t="shared" si="1"/>
        <v>#DIV/0!</v>
      </c>
      <c r="J17" s="2254">
        <v>5</v>
      </c>
      <c r="K17" s="1929">
        <f>($K$9*24)/((($J$8-BBR+'Product Data'!$K$2-'KB_C&amp;S Opt Roll Defer '!$K$8)/12)*(24-'KB_C&amp;S Opt Roll Defer '!J17)*'Product Data'!$P$18)</f>
        <v>0</v>
      </c>
      <c r="L17" s="2255" t="e">
        <f t="shared" si="2"/>
        <v>#DIV/0!</v>
      </c>
    </row>
    <row r="18" spans="2:18" ht="15.75" thickBot="1" x14ac:dyDescent="0.3">
      <c r="B18" s="2256">
        <v>6</v>
      </c>
      <c r="C18" s="2257">
        <f>($C$9*24)/((($B$8-BBR+'Product Data'!$K$3-'KB_C&amp;S Opt Roll Defer '!$C$8)/12)*(24-'KB_C&amp;S Opt Roll Defer '!B18)*'Product Data'!$P$18)</f>
        <v>0</v>
      </c>
      <c r="D18" s="2258" t="e">
        <f t="shared" si="0"/>
        <v>#DIV/0!</v>
      </c>
      <c r="F18" s="2256">
        <v>6</v>
      </c>
      <c r="G18" s="2257">
        <f>($G$9*24)/((($F$8-BBR+'Product Data'!$K$3-'KB_C&amp;S Opt Roll Defer '!$G$8)/12)*(24-'KB_C&amp;S Opt Roll Defer '!F18)*'Product Data'!$P$18)</f>
        <v>0</v>
      </c>
      <c r="H18" s="2258" t="e">
        <f t="shared" si="1"/>
        <v>#DIV/0!</v>
      </c>
      <c r="J18" s="2256">
        <v>6</v>
      </c>
      <c r="K18" s="1929">
        <f>($K$9*24)/((($J$8-BBR+'Product Data'!$K$2-'KB_C&amp;S Opt Roll Defer '!$K$8)/12)*(24-'KB_C&amp;S Opt Roll Defer '!J18)*'Product Data'!$P$18)</f>
        <v>0</v>
      </c>
      <c r="L18" s="2258" t="e">
        <f t="shared" si="2"/>
        <v>#DIV/0!</v>
      </c>
      <c r="N18" s="1" t="str">
        <f>"Max LTV possible with  "&amp; G6 &amp; IF(F24&gt;-1,IF(H6&gt;-1," &amp; ","")&amp;TEXT(H6,"0.00%")&amp;" Deferred","")</f>
        <v>Max LTV possible with  0m Rolled &amp; 0.00% Deferred</v>
      </c>
    </row>
    <row r="19" spans="2:18" x14ac:dyDescent="0.25">
      <c r="C19" s="2249"/>
      <c r="D19" s="2250"/>
      <c r="G19" s="2249"/>
      <c r="H19" s="2250"/>
      <c r="K19" s="2249"/>
      <c r="L19" s="2250"/>
    </row>
    <row r="20" spans="2:18" x14ac:dyDescent="0.25">
      <c r="C20" s="2249"/>
      <c r="D20" s="2250"/>
      <c r="G20" s="2249"/>
      <c r="H20" s="2250"/>
      <c r="K20" s="2249"/>
      <c r="L20" s="2250"/>
    </row>
    <row r="21" spans="2:18" x14ac:dyDescent="0.25">
      <c r="C21" s="2249"/>
      <c r="D21" s="2250"/>
      <c r="G21" s="2249"/>
      <c r="H21" s="2250"/>
      <c r="K21" s="2249"/>
      <c r="L21" s="2250"/>
    </row>
    <row r="22" spans="2:18" x14ac:dyDescent="0.25">
      <c r="N22" s="1" t="str">
        <f>"Max LTV possible with "&amp; K6 &amp; IF(J24&gt;-1,IF(L6&gt;-1," &amp; ","")&amp;TEXT(L6,"0.00%")&amp;" Deferred","")</f>
        <v>Max LTV possible with 0m Rolled &amp; 0.00% Deferred</v>
      </c>
    </row>
    <row r="23" spans="2:18" x14ac:dyDescent="0.25">
      <c r="B23" s="1937" t="s">
        <v>450</v>
      </c>
      <c r="C23" s="1937" t="s">
        <v>451</v>
      </c>
      <c r="D23" s="1937" t="s">
        <v>452</v>
      </c>
      <c r="F23" s="1937" t="s">
        <v>450</v>
      </c>
      <c r="G23" s="1937" t="s">
        <v>451</v>
      </c>
      <c r="H23" s="1937" t="s">
        <v>452</v>
      </c>
      <c r="J23" s="1937" t="s">
        <v>450</v>
      </c>
      <c r="K23" s="1937" t="s">
        <v>451</v>
      </c>
      <c r="L23" s="1937" t="s">
        <v>452</v>
      </c>
    </row>
    <row r="24" spans="2:18" x14ac:dyDescent="0.25">
      <c r="B24" s="1927">
        <f>_xlfn.MINIFS(B12:B18,D12:D18,"&lt;="&amp;100%)</f>
        <v>0</v>
      </c>
      <c r="C24" s="1928">
        <v>1.4999999999999999E-2</v>
      </c>
      <c r="D24" s="1931">
        <f>($C$9*24)/((($B$8-BBR+'Product Data'!$K$3-C24)/12)*(24-B24)*'Product Data'!$P$18)</f>
        <v>0</v>
      </c>
      <c r="F24" s="1927">
        <f>_xlfn.MINIFS(F12:F21,H12:H21,"&lt;="&amp;100%)</f>
        <v>0</v>
      </c>
      <c r="G24" s="1928">
        <v>1.4999999999999999E-2</v>
      </c>
      <c r="H24" s="1931">
        <f>($G$9*24)/((($F$8-BBR+'Product Data'!$K$3-'KB_C&amp;S Opt Roll Defer '!$G24)/12)*(24-'KB_C&amp;S Opt Roll Defer '!F24)*'Product Data'!$P$18)</f>
        <v>0</v>
      </c>
      <c r="J24" s="1927">
        <f>_xlfn.MINIFS(J12:J21,L12:L21,"&lt;="&amp;100%)</f>
        <v>0</v>
      </c>
      <c r="K24" s="1928">
        <v>1.4999999999999999E-2</v>
      </c>
      <c r="L24" s="1931">
        <f>($K$9*24)/((($J$8-BBR+'Product Data'!$K$2-'KB_C&amp;S Opt Roll Defer '!$K24)/12)*(24-'KB_C&amp;S Opt Roll Defer '!J24)*'Product Data'!$P$18)</f>
        <v>0</v>
      </c>
    </row>
    <row r="25" spans="2:18" x14ac:dyDescent="0.25">
      <c r="B25" s="1927">
        <f>B24</f>
        <v>0</v>
      </c>
      <c r="C25" s="1928">
        <v>1.49E-2</v>
      </c>
      <c r="D25" s="1931">
        <f>($C$9*24)/((($B$8-BBR+'Product Data'!$K$3-C25)/12)*(24-B25)*'Product Data'!$P$18)</f>
        <v>0</v>
      </c>
      <c r="F25" s="1927">
        <f>F24</f>
        <v>0</v>
      </c>
      <c r="G25" s="1928">
        <v>1.49E-2</v>
      </c>
      <c r="H25" s="1931">
        <f>($G$9*24)/((($F$8-BBR+'Product Data'!$K$3-'KB_C&amp;S Opt Roll Defer '!$G25)/12)*(24-'KB_C&amp;S Opt Roll Defer '!F25)*'Product Data'!$P$18)</f>
        <v>0</v>
      </c>
      <c r="J25" s="1927">
        <f>J24</f>
        <v>0</v>
      </c>
      <c r="K25" s="1928">
        <v>1.49E-2</v>
      </c>
      <c r="L25" s="1931">
        <f>($K$9*24)/((($J$8-BBR+'Product Data'!$K$2-'KB_C&amp;S Opt Roll Defer '!$K25)/12)*(24-'KB_C&amp;S Opt Roll Defer '!J25)*'Product Data'!$P$18)</f>
        <v>0</v>
      </c>
    </row>
    <row r="26" spans="2:18" x14ac:dyDescent="0.25">
      <c r="B26" s="1927">
        <f t="shared" ref="B26:B89" si="3">B25</f>
        <v>0</v>
      </c>
      <c r="C26" s="1928">
        <v>1.4800000000000001E-2</v>
      </c>
      <c r="D26" s="1931">
        <f>($C$9*24)/((($B$8-BBR+'Product Data'!$K$3-C26)/12)*(24-B26)*'Product Data'!$P$18)</f>
        <v>0</v>
      </c>
      <c r="F26" s="1927">
        <f t="shared" ref="F26:F89" si="4">F25</f>
        <v>0</v>
      </c>
      <c r="G26" s="1928">
        <v>1.4800000000000001E-2</v>
      </c>
      <c r="H26" s="1931">
        <f>($G$9*24)/((($F$8-BBR+'Product Data'!$K$3-'KB_C&amp;S Opt Roll Defer '!$G26)/12)*(24-'KB_C&amp;S Opt Roll Defer '!F26)*'Product Data'!$P$18)</f>
        <v>0</v>
      </c>
      <c r="J26" s="1927">
        <f t="shared" ref="J26:J89" si="5">J25</f>
        <v>0</v>
      </c>
      <c r="K26" s="1928">
        <v>1.4800000000000001E-2</v>
      </c>
      <c r="L26" s="1931">
        <f>($K$9*24)/((($J$8-BBR+'Product Data'!$K$2-'KB_C&amp;S Opt Roll Defer '!$K26)/12)*(24-'KB_C&amp;S Opt Roll Defer '!J26)*'Product Data'!$P$18)</f>
        <v>0</v>
      </c>
    </row>
    <row r="27" spans="2:18" x14ac:dyDescent="0.25">
      <c r="B27" s="1927">
        <f t="shared" si="3"/>
        <v>0</v>
      </c>
      <c r="C27" s="1928">
        <v>1.47E-2</v>
      </c>
      <c r="D27" s="1931">
        <f>($C$9*24)/((($B$8-BBR+'Product Data'!$K$3-C27)/12)*(24-B27)*'Product Data'!$P$18)</f>
        <v>0</v>
      </c>
      <c r="F27" s="1927">
        <f t="shared" si="4"/>
        <v>0</v>
      </c>
      <c r="G27" s="1928">
        <v>1.47E-2</v>
      </c>
      <c r="H27" s="1931">
        <f>($G$9*24)/((($F$8-BBR+'Product Data'!$K$3-'KB_C&amp;S Opt Roll Defer '!$G27)/12)*(24-'KB_C&amp;S Opt Roll Defer '!F27)*'Product Data'!$P$18)</f>
        <v>0</v>
      </c>
      <c r="J27" s="1927">
        <f t="shared" si="5"/>
        <v>0</v>
      </c>
      <c r="K27" s="1928">
        <v>1.47E-2</v>
      </c>
      <c r="L27" s="1931">
        <f>($K$9*24)/((($J$8-BBR+'Product Data'!$K$2-'KB_C&amp;S Opt Roll Defer '!$K27)/12)*(24-'KB_C&amp;S Opt Roll Defer '!J27)*'Product Data'!$P$18)</f>
        <v>0</v>
      </c>
    </row>
    <row r="28" spans="2:18" x14ac:dyDescent="0.25">
      <c r="B28" s="1927">
        <f t="shared" si="3"/>
        <v>0</v>
      </c>
      <c r="C28" s="1928">
        <v>1.46E-2</v>
      </c>
      <c r="D28" s="1931">
        <f>($C$9*24)/((($B$8-BBR+'Product Data'!$K$3-C28)/12)*(24-B28)*'Product Data'!$P$18)</f>
        <v>0</v>
      </c>
      <c r="F28" s="1927">
        <f t="shared" si="4"/>
        <v>0</v>
      </c>
      <c r="G28" s="1928">
        <v>1.46E-2</v>
      </c>
      <c r="H28" s="1931">
        <f>($G$9*24)/((($F$8-BBR+'Product Data'!$K$3-'KB_C&amp;S Opt Roll Defer '!$G28)/12)*(24-'KB_C&amp;S Opt Roll Defer '!F28)*'Product Data'!$P$18)</f>
        <v>0</v>
      </c>
      <c r="J28" s="1927">
        <f t="shared" si="5"/>
        <v>0</v>
      </c>
      <c r="K28" s="1928">
        <v>1.46E-2</v>
      </c>
      <c r="L28" s="1931">
        <f>($K$9*24)/((($J$8-BBR+'Product Data'!$K$2-'KB_C&amp;S Opt Roll Defer '!$K28)/12)*(24-'KB_C&amp;S Opt Roll Defer '!J28)*'Product Data'!$P$18)</f>
        <v>0</v>
      </c>
      <c r="N28" s="1927" t="s">
        <v>453</v>
      </c>
      <c r="O28" s="1927" t="s">
        <v>454</v>
      </c>
      <c r="P28" s="2335"/>
      <c r="Q28" s="2335"/>
    </row>
    <row r="29" spans="2:18" x14ac:dyDescent="0.25">
      <c r="B29" s="1927">
        <f t="shared" si="3"/>
        <v>0</v>
      </c>
      <c r="C29" s="1928">
        <v>1.4500000000000001E-2</v>
      </c>
      <c r="D29" s="1931">
        <f>($C$9*24)/((($B$8-BBR+'Product Data'!$K$3-C29)/12)*(24-B29)*'Product Data'!$P$18)</f>
        <v>0</v>
      </c>
      <c r="F29" s="1927">
        <f t="shared" si="4"/>
        <v>0</v>
      </c>
      <c r="G29" s="1928">
        <v>1.4500000000000001E-2</v>
      </c>
      <c r="H29" s="1931">
        <f>($G$9*24)/((($F$8-BBR+'Product Data'!$K$3-'KB_C&amp;S Opt Roll Defer '!$G29)/12)*(24-'KB_C&amp;S Opt Roll Defer '!F29)*'Product Data'!$P$18)</f>
        <v>0</v>
      </c>
      <c r="J29" s="1927">
        <f t="shared" si="5"/>
        <v>0</v>
      </c>
      <c r="K29" s="1928">
        <v>1.4500000000000001E-2</v>
      </c>
      <c r="L29" s="1931">
        <f>($K$9*24)/((($J$8-BBR+'Product Data'!$K$2-'KB_C&amp;S Opt Roll Defer '!$K29)/12)*(24-'KB_C&amp;S Opt Roll Defer '!J29)*'Product Data'!$P$18)</f>
        <v>0</v>
      </c>
      <c r="N29" s="1927"/>
      <c r="O29" s="1932">
        <v>0.02</v>
      </c>
      <c r="P29" s="2336">
        <v>0.04</v>
      </c>
      <c r="Q29" s="2336">
        <v>0.06</v>
      </c>
      <c r="R29" s="1927" t="s">
        <v>455</v>
      </c>
    </row>
    <row r="30" spans="2:18" x14ac:dyDescent="0.25">
      <c r="B30" s="1927">
        <f t="shared" si="3"/>
        <v>0</v>
      </c>
      <c r="C30" s="1928">
        <v>1.44E-2</v>
      </c>
      <c r="D30" s="1931">
        <f>($C$9*24)/((($B$8-BBR+'Product Data'!$K$3-C30)/12)*(24-B30)*'Product Data'!$P$18)</f>
        <v>0</v>
      </c>
      <c r="F30" s="1927">
        <f t="shared" si="4"/>
        <v>0</v>
      </c>
      <c r="G30" s="1928">
        <v>1.44E-2</v>
      </c>
      <c r="H30" s="1931">
        <f>($G$9*24)/((($F$8-BBR+'Product Data'!$K$3-'KB_C&amp;S Opt Roll Defer '!$G30)/12)*(24-'KB_C&amp;S Opt Roll Defer '!F30)*'Product Data'!$P$18)</f>
        <v>0</v>
      </c>
      <c r="J30" s="1927">
        <f t="shared" si="5"/>
        <v>0</v>
      </c>
      <c r="K30" s="1928">
        <v>1.44E-2</v>
      </c>
      <c r="L30" s="1931">
        <f>($K$9*24)/((($J$8-BBR+'Product Data'!$K$2-'KB_C&amp;S Opt Roll Defer '!$K30)/12)*(24-'KB_C&amp;S Opt Roll Defer '!J30)*'Product Data'!$P$18)</f>
        <v>0</v>
      </c>
      <c r="N30" s="1927" t="s">
        <v>600</v>
      </c>
      <c r="O30" s="1928">
        <f>'Product Data'!E47+BBR</f>
        <v>8.9900000000000008E-2</v>
      </c>
      <c r="P30" s="2337">
        <f>'Product Data'!E51+BBR</f>
        <v>8.0399999999999999E-2</v>
      </c>
      <c r="Q30" s="2337">
        <f>'Product Data'!E55+BBR</f>
        <v>7.0400000000000004E-2</v>
      </c>
      <c r="R30" s="1932">
        <v>0.7</v>
      </c>
    </row>
    <row r="31" spans="2:18" x14ac:dyDescent="0.25">
      <c r="B31" s="1927">
        <f t="shared" si="3"/>
        <v>0</v>
      </c>
      <c r="C31" s="1928">
        <v>1.43E-2</v>
      </c>
      <c r="D31" s="1931">
        <f>($C$9*24)/((($B$8-BBR+'Product Data'!$K$3-C31)/12)*(24-B31)*'Product Data'!$P$18)</f>
        <v>0</v>
      </c>
      <c r="F31" s="1927">
        <f t="shared" si="4"/>
        <v>0</v>
      </c>
      <c r="G31" s="1928">
        <v>1.43E-2</v>
      </c>
      <c r="H31" s="1931">
        <f>($G$9*24)/((($F$8-BBR+'Product Data'!$K$3-'KB_C&amp;S Opt Roll Defer '!$G31)/12)*(24-'KB_C&amp;S Opt Roll Defer '!F31)*'Product Data'!$P$18)</f>
        <v>0</v>
      </c>
      <c r="J31" s="1927">
        <f t="shared" si="5"/>
        <v>0</v>
      </c>
      <c r="K31" s="1928">
        <v>1.43E-2</v>
      </c>
      <c r="L31" s="1931">
        <f>($K$9*24)/((($J$8-BBR+'Product Data'!$K$2-'KB_C&amp;S Opt Roll Defer '!$K31)/12)*(24-'KB_C&amp;S Opt Roll Defer '!J31)*'Product Data'!$P$18)</f>
        <v>0</v>
      </c>
      <c r="N31" s="1927" t="s">
        <v>607</v>
      </c>
      <c r="O31" s="1928">
        <f>'Product Data'!E48+BBR</f>
        <v>9.290000000000001E-2</v>
      </c>
      <c r="P31" s="2337">
        <f>'Product Data'!E52+BBR</f>
        <v>8.3400000000000002E-2</v>
      </c>
      <c r="Q31" s="2337">
        <f>'Product Data'!E56+BBR</f>
        <v>7.3399999999999993E-2</v>
      </c>
      <c r="R31" s="1932">
        <v>0.7</v>
      </c>
    </row>
    <row r="32" spans="2:18" x14ac:dyDescent="0.25">
      <c r="B32" s="1927">
        <f t="shared" si="3"/>
        <v>0</v>
      </c>
      <c r="C32" s="1928">
        <v>1.4200000000000001E-2</v>
      </c>
      <c r="D32" s="1931">
        <f>($C$9*24)/((($B$8-BBR+'Product Data'!$K$3-C32)/12)*(24-B32)*'Product Data'!$P$18)</f>
        <v>0</v>
      </c>
      <c r="F32" s="1927">
        <f t="shared" si="4"/>
        <v>0</v>
      </c>
      <c r="G32" s="1928">
        <v>1.4200000000000001E-2</v>
      </c>
      <c r="H32" s="1931">
        <f>($G$9*24)/((($F$8-BBR+'Product Data'!$K$3-'KB_C&amp;S Opt Roll Defer '!$G32)/12)*(24-'KB_C&amp;S Opt Roll Defer '!F32)*'Product Data'!$P$18)</f>
        <v>0</v>
      </c>
      <c r="J32" s="1927">
        <f t="shared" si="5"/>
        <v>0</v>
      </c>
      <c r="K32" s="1928">
        <v>1.4200000000000001E-2</v>
      </c>
      <c r="L32" s="1931">
        <f>($K$9*24)/((($J$8-BBR+'Product Data'!$K$2-'KB_C&amp;S Opt Roll Defer '!$K32)/12)*(24-'KB_C&amp;S Opt Roll Defer '!J32)*'Product Data'!$P$18)</f>
        <v>0</v>
      </c>
    </row>
    <row r="33" spans="2:12" x14ac:dyDescent="0.25">
      <c r="B33" s="1927">
        <f t="shared" si="3"/>
        <v>0</v>
      </c>
      <c r="C33" s="1928">
        <v>1.41E-2</v>
      </c>
      <c r="D33" s="1931">
        <f>($C$9*24)/((($B$8-BBR+'Product Data'!$K$3-C33)/12)*(24-B33)*'Product Data'!$P$18)</f>
        <v>0</v>
      </c>
      <c r="F33" s="1927">
        <f t="shared" si="4"/>
        <v>0</v>
      </c>
      <c r="G33" s="1928">
        <v>1.41E-2</v>
      </c>
      <c r="H33" s="1931">
        <f>($G$9*24)/((($F$8-BBR+'Product Data'!$K$3-'KB_C&amp;S Opt Roll Defer '!$G33)/12)*(24-'KB_C&amp;S Opt Roll Defer '!F33)*'Product Data'!$P$18)</f>
        <v>0</v>
      </c>
      <c r="J33" s="1927">
        <f t="shared" si="5"/>
        <v>0</v>
      </c>
      <c r="K33" s="1928">
        <v>1.41E-2</v>
      </c>
      <c r="L33" s="1931">
        <f>($K$9*24)/((($J$8-BBR+'Product Data'!$K$2-'KB_C&amp;S Opt Roll Defer '!$K33)/12)*(24-'KB_C&amp;S Opt Roll Defer '!J33)*'Product Data'!$P$18)</f>
        <v>0</v>
      </c>
    </row>
    <row r="34" spans="2:12" x14ac:dyDescent="0.25">
      <c r="B34" s="1927">
        <f t="shared" si="3"/>
        <v>0</v>
      </c>
      <c r="C34" s="1928">
        <v>1.4E-2</v>
      </c>
      <c r="D34" s="1931">
        <f>($C$9*24)/((($B$8-BBR+'Product Data'!$K$3-C34)/12)*(24-B34)*'Product Data'!$P$18)</f>
        <v>0</v>
      </c>
      <c r="F34" s="1927">
        <f t="shared" si="4"/>
        <v>0</v>
      </c>
      <c r="G34" s="1928">
        <v>1.4E-2</v>
      </c>
      <c r="H34" s="1931">
        <f>($G$9*24)/((($F$8-BBR+'Product Data'!$K$3-'KB_C&amp;S Opt Roll Defer '!$G34)/12)*(24-'KB_C&amp;S Opt Roll Defer '!F34)*'Product Data'!$P$18)</f>
        <v>0</v>
      </c>
      <c r="J34" s="1927">
        <f t="shared" si="5"/>
        <v>0</v>
      </c>
      <c r="K34" s="1928">
        <v>1.4E-2</v>
      </c>
      <c r="L34" s="1931">
        <f>($K$9*24)/((($J$8-BBR+'Product Data'!$K$2-'KB_C&amp;S Opt Roll Defer '!$K34)/12)*(24-'KB_C&amp;S Opt Roll Defer '!J34)*'Product Data'!$P$18)</f>
        <v>0</v>
      </c>
    </row>
    <row r="35" spans="2:12" x14ac:dyDescent="0.25">
      <c r="B35" s="1927">
        <f t="shared" si="3"/>
        <v>0</v>
      </c>
      <c r="C35" s="1928">
        <v>1.3899999999999999E-2</v>
      </c>
      <c r="D35" s="1931">
        <f>($C$9*24)/((($B$8-BBR+'Product Data'!$K$3-C35)/12)*(24-B35)*'Product Data'!$P$18)</f>
        <v>0</v>
      </c>
      <c r="F35" s="1927">
        <f t="shared" si="4"/>
        <v>0</v>
      </c>
      <c r="G35" s="1928">
        <v>1.3899999999999999E-2</v>
      </c>
      <c r="H35" s="1931">
        <f>($G$9*24)/((($F$8-BBR+'Product Data'!$K$3-'KB_C&amp;S Opt Roll Defer '!$G35)/12)*(24-'KB_C&amp;S Opt Roll Defer '!F35)*'Product Data'!$P$18)</f>
        <v>0</v>
      </c>
      <c r="J35" s="1927">
        <f t="shared" si="5"/>
        <v>0</v>
      </c>
      <c r="K35" s="1928">
        <v>1.3899999999999999E-2</v>
      </c>
      <c r="L35" s="1931">
        <f>($K$9*24)/((($J$8-BBR+'Product Data'!$K$2-'KB_C&amp;S Opt Roll Defer '!$K35)/12)*(24-'KB_C&amp;S Opt Roll Defer '!J35)*'Product Data'!$P$18)</f>
        <v>0</v>
      </c>
    </row>
    <row r="36" spans="2:12" x14ac:dyDescent="0.25">
      <c r="B36" s="1927">
        <f t="shared" si="3"/>
        <v>0</v>
      </c>
      <c r="C36" s="1928">
        <v>1.38E-2</v>
      </c>
      <c r="D36" s="1931">
        <f>($C$9*24)/((($B$8-BBR+'Product Data'!$K$3-C36)/12)*(24-B36)*'Product Data'!$P$18)</f>
        <v>0</v>
      </c>
      <c r="F36" s="1927">
        <f t="shared" si="4"/>
        <v>0</v>
      </c>
      <c r="G36" s="1928">
        <v>1.38E-2</v>
      </c>
      <c r="H36" s="1931">
        <f>($G$9*24)/((($F$8-BBR+'Product Data'!$K$3-'KB_C&amp;S Opt Roll Defer '!$G36)/12)*(24-'KB_C&amp;S Opt Roll Defer '!F36)*'Product Data'!$P$18)</f>
        <v>0</v>
      </c>
      <c r="J36" s="1927">
        <f t="shared" si="5"/>
        <v>0</v>
      </c>
      <c r="K36" s="1928">
        <v>1.38E-2</v>
      </c>
      <c r="L36" s="1931">
        <f>($K$9*24)/((($J$8-BBR+'Product Data'!$K$2-'KB_C&amp;S Opt Roll Defer '!$K36)/12)*(24-'KB_C&amp;S Opt Roll Defer '!J36)*'Product Data'!$P$18)</f>
        <v>0</v>
      </c>
    </row>
    <row r="37" spans="2:12" x14ac:dyDescent="0.25">
      <c r="B37" s="1927">
        <f t="shared" si="3"/>
        <v>0</v>
      </c>
      <c r="C37" s="1928">
        <v>1.37E-2</v>
      </c>
      <c r="D37" s="1931">
        <f>($C$9*24)/((($B$8-BBR+'Product Data'!$K$3-C37)/12)*(24-B37)*'Product Data'!$P$18)</f>
        <v>0</v>
      </c>
      <c r="F37" s="1927">
        <f t="shared" si="4"/>
        <v>0</v>
      </c>
      <c r="G37" s="1928">
        <v>1.37E-2</v>
      </c>
      <c r="H37" s="1931">
        <f>($G$9*24)/((($F$8-BBR+'Product Data'!$K$3-'KB_C&amp;S Opt Roll Defer '!$G37)/12)*(24-'KB_C&amp;S Opt Roll Defer '!F37)*'Product Data'!$P$18)</f>
        <v>0</v>
      </c>
      <c r="J37" s="1927">
        <f t="shared" si="5"/>
        <v>0</v>
      </c>
      <c r="K37" s="1928">
        <v>1.37E-2</v>
      </c>
      <c r="L37" s="1931">
        <f>($K$9*24)/((($J$8-BBR+'Product Data'!$K$2-'KB_C&amp;S Opt Roll Defer '!$K37)/12)*(24-'KB_C&amp;S Opt Roll Defer '!J37)*'Product Data'!$P$18)</f>
        <v>0</v>
      </c>
    </row>
    <row r="38" spans="2:12" x14ac:dyDescent="0.25">
      <c r="B38" s="1927">
        <f t="shared" si="3"/>
        <v>0</v>
      </c>
      <c r="C38" s="1928">
        <v>1.3599999999999999E-2</v>
      </c>
      <c r="D38" s="1931">
        <f>($C$9*24)/((($B$8-BBR+'Product Data'!$K$3-C38)/12)*(24-B38)*'Product Data'!$P$18)</f>
        <v>0</v>
      </c>
      <c r="F38" s="1927">
        <f t="shared" si="4"/>
        <v>0</v>
      </c>
      <c r="G38" s="1928">
        <v>1.3599999999999999E-2</v>
      </c>
      <c r="H38" s="1931">
        <f>($G$9*24)/((($F$8-BBR+'Product Data'!$K$3-'KB_C&amp;S Opt Roll Defer '!$G38)/12)*(24-'KB_C&amp;S Opt Roll Defer '!F38)*'Product Data'!$P$18)</f>
        <v>0</v>
      </c>
      <c r="J38" s="1927">
        <f t="shared" si="5"/>
        <v>0</v>
      </c>
      <c r="K38" s="1928">
        <v>1.3599999999999999E-2</v>
      </c>
      <c r="L38" s="1931">
        <f>($K$9*24)/((($J$8-BBR+'Product Data'!$K$2-'KB_C&amp;S Opt Roll Defer '!$K38)/12)*(24-'KB_C&amp;S Opt Roll Defer '!J38)*'Product Data'!$P$18)</f>
        <v>0</v>
      </c>
    </row>
    <row r="39" spans="2:12" x14ac:dyDescent="0.25">
      <c r="B39" s="1927">
        <f t="shared" si="3"/>
        <v>0</v>
      </c>
      <c r="C39" s="1928">
        <v>1.35E-2</v>
      </c>
      <c r="D39" s="1931">
        <f>($C$9*24)/((($B$8-BBR+'Product Data'!$K$3-C39)/12)*(24-B39)*'Product Data'!$P$18)</f>
        <v>0</v>
      </c>
      <c r="F39" s="1927">
        <f t="shared" si="4"/>
        <v>0</v>
      </c>
      <c r="G39" s="1928">
        <v>1.35E-2</v>
      </c>
      <c r="H39" s="1931">
        <f>($G$9*24)/((($F$8-BBR+'Product Data'!$K$3-'KB_C&amp;S Opt Roll Defer '!$G39)/12)*(24-'KB_C&amp;S Opt Roll Defer '!F39)*'Product Data'!$P$18)</f>
        <v>0</v>
      </c>
      <c r="J39" s="1927">
        <f t="shared" si="5"/>
        <v>0</v>
      </c>
      <c r="K39" s="1928">
        <v>1.35E-2</v>
      </c>
      <c r="L39" s="1931">
        <f>($K$9*24)/((($J$8-BBR+'Product Data'!$K$2-'KB_C&amp;S Opt Roll Defer '!$K39)/12)*(24-'KB_C&amp;S Opt Roll Defer '!J39)*'Product Data'!$P$18)</f>
        <v>0</v>
      </c>
    </row>
    <row r="40" spans="2:12" x14ac:dyDescent="0.25">
      <c r="B40" s="1927">
        <f t="shared" si="3"/>
        <v>0</v>
      </c>
      <c r="C40" s="1928">
        <v>1.34E-2</v>
      </c>
      <c r="D40" s="1931">
        <f>($C$9*24)/((($B$8-BBR+'Product Data'!$K$3-C40)/12)*(24-B40)*'Product Data'!$P$18)</f>
        <v>0</v>
      </c>
      <c r="F40" s="1927">
        <f t="shared" si="4"/>
        <v>0</v>
      </c>
      <c r="G40" s="1928">
        <v>1.34E-2</v>
      </c>
      <c r="H40" s="1931">
        <f>($G$9*24)/((($F$8-BBR+'Product Data'!$K$3-'KB_C&amp;S Opt Roll Defer '!$G40)/12)*(24-'KB_C&amp;S Opt Roll Defer '!F40)*'Product Data'!$P$18)</f>
        <v>0</v>
      </c>
      <c r="J40" s="1927">
        <f t="shared" si="5"/>
        <v>0</v>
      </c>
      <c r="K40" s="1928">
        <v>1.34E-2</v>
      </c>
      <c r="L40" s="1931">
        <f>($K$9*24)/((($J$8-BBR+'Product Data'!$K$2-'KB_C&amp;S Opt Roll Defer '!$K40)/12)*(24-'KB_C&amp;S Opt Roll Defer '!J40)*'Product Data'!$P$18)</f>
        <v>0</v>
      </c>
    </row>
    <row r="41" spans="2:12" x14ac:dyDescent="0.25">
      <c r="B41" s="1927">
        <f t="shared" si="3"/>
        <v>0</v>
      </c>
      <c r="C41" s="1928">
        <v>1.3299999999999999E-2</v>
      </c>
      <c r="D41" s="1931">
        <f>($C$9*24)/((($B$8-BBR+'Product Data'!$K$3-C41)/12)*(24-B41)*'Product Data'!$P$18)</f>
        <v>0</v>
      </c>
      <c r="F41" s="1927">
        <f t="shared" si="4"/>
        <v>0</v>
      </c>
      <c r="G41" s="1928">
        <v>1.3299999999999999E-2</v>
      </c>
      <c r="H41" s="1931">
        <f>($G$9*24)/((($F$8-BBR+'Product Data'!$K$3-'KB_C&amp;S Opt Roll Defer '!$G41)/12)*(24-'KB_C&amp;S Opt Roll Defer '!F41)*'Product Data'!$P$18)</f>
        <v>0</v>
      </c>
      <c r="J41" s="1927">
        <f t="shared" si="5"/>
        <v>0</v>
      </c>
      <c r="K41" s="1928">
        <v>1.3299999999999999E-2</v>
      </c>
      <c r="L41" s="1931">
        <f>($K$9*24)/((($J$8-BBR+'Product Data'!$K$2-'KB_C&amp;S Opt Roll Defer '!$K41)/12)*(24-'KB_C&amp;S Opt Roll Defer '!J41)*'Product Data'!$P$18)</f>
        <v>0</v>
      </c>
    </row>
    <row r="42" spans="2:12" x14ac:dyDescent="0.25">
      <c r="B42" s="1927">
        <f t="shared" si="3"/>
        <v>0</v>
      </c>
      <c r="C42" s="1928">
        <v>1.32E-2</v>
      </c>
      <c r="D42" s="1931">
        <f>($C$9*24)/((($B$8-BBR+'Product Data'!$K$3-C42)/12)*(24-B42)*'Product Data'!$P$18)</f>
        <v>0</v>
      </c>
      <c r="F42" s="1927">
        <f t="shared" si="4"/>
        <v>0</v>
      </c>
      <c r="G42" s="1928">
        <v>1.32E-2</v>
      </c>
      <c r="H42" s="1931">
        <f>($G$9*24)/((($F$8-BBR+'Product Data'!$K$3-'KB_C&amp;S Opt Roll Defer '!$G42)/12)*(24-'KB_C&amp;S Opt Roll Defer '!F42)*'Product Data'!$P$18)</f>
        <v>0</v>
      </c>
      <c r="J42" s="1927">
        <f t="shared" si="5"/>
        <v>0</v>
      </c>
      <c r="K42" s="1928">
        <v>1.32E-2</v>
      </c>
      <c r="L42" s="1931">
        <f>($K$9*24)/((($J$8-BBR+'Product Data'!$K$2-'KB_C&amp;S Opt Roll Defer '!$K42)/12)*(24-'KB_C&amp;S Opt Roll Defer '!J42)*'Product Data'!$P$18)</f>
        <v>0</v>
      </c>
    </row>
    <row r="43" spans="2:12" x14ac:dyDescent="0.25">
      <c r="B43" s="1927">
        <f t="shared" si="3"/>
        <v>0</v>
      </c>
      <c r="C43" s="1928">
        <v>1.3100000000000001E-2</v>
      </c>
      <c r="D43" s="1931">
        <f>($C$9*24)/((($B$8-BBR+'Product Data'!$K$3-C43)/12)*(24-B43)*'Product Data'!$P$18)</f>
        <v>0</v>
      </c>
      <c r="F43" s="1927">
        <f t="shared" si="4"/>
        <v>0</v>
      </c>
      <c r="G43" s="1928">
        <v>1.3100000000000001E-2</v>
      </c>
      <c r="H43" s="1931">
        <f>($G$9*24)/((($F$8-BBR+'Product Data'!$K$3-'KB_C&amp;S Opt Roll Defer '!$G43)/12)*(24-'KB_C&amp;S Opt Roll Defer '!F43)*'Product Data'!$P$18)</f>
        <v>0</v>
      </c>
      <c r="J43" s="1927">
        <f t="shared" si="5"/>
        <v>0</v>
      </c>
      <c r="K43" s="1928">
        <v>1.3100000000000001E-2</v>
      </c>
      <c r="L43" s="1931">
        <f>($K$9*24)/((($J$8-BBR+'Product Data'!$K$2-'KB_C&amp;S Opt Roll Defer '!$K43)/12)*(24-'KB_C&amp;S Opt Roll Defer '!J43)*'Product Data'!$P$18)</f>
        <v>0</v>
      </c>
    </row>
    <row r="44" spans="2:12" x14ac:dyDescent="0.25">
      <c r="B44" s="1927">
        <f t="shared" si="3"/>
        <v>0</v>
      </c>
      <c r="C44" s="1928">
        <v>1.2999999999999999E-2</v>
      </c>
      <c r="D44" s="1931">
        <f>($C$9*24)/((($B$8-BBR+'Product Data'!$K$3-C44)/12)*(24-B44)*'Product Data'!$P$18)</f>
        <v>0</v>
      </c>
      <c r="F44" s="1927">
        <f t="shared" si="4"/>
        <v>0</v>
      </c>
      <c r="G44" s="1928">
        <v>1.2999999999999999E-2</v>
      </c>
      <c r="H44" s="1931">
        <f>($G$9*24)/((($F$8-BBR+'Product Data'!$K$3-'KB_C&amp;S Opt Roll Defer '!$G44)/12)*(24-'KB_C&amp;S Opt Roll Defer '!F44)*'Product Data'!$P$18)</f>
        <v>0</v>
      </c>
      <c r="J44" s="1927">
        <f t="shared" si="5"/>
        <v>0</v>
      </c>
      <c r="K44" s="1928">
        <v>1.2999999999999999E-2</v>
      </c>
      <c r="L44" s="1931">
        <f>($K$9*24)/((($J$8-BBR+'Product Data'!$K$2-'KB_C&amp;S Opt Roll Defer '!$K44)/12)*(24-'KB_C&amp;S Opt Roll Defer '!J44)*'Product Data'!$P$18)</f>
        <v>0</v>
      </c>
    </row>
    <row r="45" spans="2:12" x14ac:dyDescent="0.25">
      <c r="B45" s="1927">
        <f t="shared" si="3"/>
        <v>0</v>
      </c>
      <c r="C45" s="1928">
        <v>1.29E-2</v>
      </c>
      <c r="D45" s="1931">
        <f>($C$9*24)/((($B$8-BBR+'Product Data'!$K$3-C45)/12)*(24-B45)*'Product Data'!$P$18)</f>
        <v>0</v>
      </c>
      <c r="F45" s="1927">
        <f t="shared" si="4"/>
        <v>0</v>
      </c>
      <c r="G45" s="1928">
        <v>1.29E-2</v>
      </c>
      <c r="H45" s="1931">
        <f>($G$9*24)/((($F$8-BBR+'Product Data'!$K$3-'KB_C&amp;S Opt Roll Defer '!$G45)/12)*(24-'KB_C&amp;S Opt Roll Defer '!F45)*'Product Data'!$P$18)</f>
        <v>0</v>
      </c>
      <c r="J45" s="1927">
        <f t="shared" si="5"/>
        <v>0</v>
      </c>
      <c r="K45" s="1928">
        <v>1.29E-2</v>
      </c>
      <c r="L45" s="1931">
        <f>($K$9*24)/((($J$8-BBR+'Product Data'!$K$2-'KB_C&amp;S Opt Roll Defer '!$K45)/12)*(24-'KB_C&amp;S Opt Roll Defer '!J45)*'Product Data'!$P$18)</f>
        <v>0</v>
      </c>
    </row>
    <row r="46" spans="2:12" x14ac:dyDescent="0.25">
      <c r="B46" s="1927">
        <f t="shared" si="3"/>
        <v>0</v>
      </c>
      <c r="C46" s="1928">
        <v>1.2800000000000001E-2</v>
      </c>
      <c r="D46" s="1931">
        <f>($C$9*24)/((($B$8-BBR+'Product Data'!$K$3-C46)/12)*(24-B46)*'Product Data'!$P$18)</f>
        <v>0</v>
      </c>
      <c r="F46" s="1927">
        <f t="shared" si="4"/>
        <v>0</v>
      </c>
      <c r="G46" s="1928">
        <v>1.2800000000000001E-2</v>
      </c>
      <c r="H46" s="1931">
        <f>($G$9*24)/((($F$8-BBR+'Product Data'!$K$3-'KB_C&amp;S Opt Roll Defer '!$G46)/12)*(24-'KB_C&amp;S Opt Roll Defer '!F46)*'Product Data'!$P$18)</f>
        <v>0</v>
      </c>
      <c r="J46" s="1927">
        <f t="shared" si="5"/>
        <v>0</v>
      </c>
      <c r="K46" s="1928">
        <v>1.2800000000000001E-2</v>
      </c>
      <c r="L46" s="1931">
        <f>($K$9*24)/((($J$8-BBR+'Product Data'!$K$2-'KB_C&amp;S Opt Roll Defer '!$K46)/12)*(24-'KB_C&amp;S Opt Roll Defer '!J46)*'Product Data'!$P$18)</f>
        <v>0</v>
      </c>
    </row>
    <row r="47" spans="2:12" x14ac:dyDescent="0.25">
      <c r="B47" s="1927">
        <f t="shared" si="3"/>
        <v>0</v>
      </c>
      <c r="C47" s="1928">
        <v>1.2699999999999999E-2</v>
      </c>
      <c r="D47" s="1931">
        <f>($C$9*24)/((($B$8-BBR+'Product Data'!$K$3-C47)/12)*(24-B47)*'Product Data'!$P$18)</f>
        <v>0</v>
      </c>
      <c r="F47" s="1927">
        <f t="shared" si="4"/>
        <v>0</v>
      </c>
      <c r="G47" s="1928">
        <v>1.2699999999999999E-2</v>
      </c>
      <c r="H47" s="1931">
        <f>($G$9*24)/((($F$8-BBR+'Product Data'!$K$3-'KB_C&amp;S Opt Roll Defer '!$G47)/12)*(24-'KB_C&amp;S Opt Roll Defer '!F47)*'Product Data'!$P$18)</f>
        <v>0</v>
      </c>
      <c r="J47" s="1927">
        <f t="shared" si="5"/>
        <v>0</v>
      </c>
      <c r="K47" s="1928">
        <v>1.2699999999999999E-2</v>
      </c>
      <c r="L47" s="1931">
        <f>($K$9*24)/((($J$8-BBR+'Product Data'!$K$2-'KB_C&amp;S Opt Roll Defer '!$K47)/12)*(24-'KB_C&amp;S Opt Roll Defer '!J47)*'Product Data'!$P$18)</f>
        <v>0</v>
      </c>
    </row>
    <row r="48" spans="2:12" x14ac:dyDescent="0.25">
      <c r="B48" s="1927">
        <f t="shared" si="3"/>
        <v>0</v>
      </c>
      <c r="C48" s="1928">
        <v>1.26E-2</v>
      </c>
      <c r="D48" s="1931">
        <f>($C$9*24)/((($B$8-BBR+'Product Data'!$K$3-C48)/12)*(24-B48)*'Product Data'!$P$18)</f>
        <v>0</v>
      </c>
      <c r="F48" s="1927">
        <f t="shared" si="4"/>
        <v>0</v>
      </c>
      <c r="G48" s="1928">
        <v>1.26E-2</v>
      </c>
      <c r="H48" s="1931">
        <f>($G$9*24)/((($F$8-BBR+'Product Data'!$K$3-'KB_C&amp;S Opt Roll Defer '!$G48)/12)*(24-'KB_C&amp;S Opt Roll Defer '!F48)*'Product Data'!$P$18)</f>
        <v>0</v>
      </c>
      <c r="J48" s="1927">
        <f t="shared" si="5"/>
        <v>0</v>
      </c>
      <c r="K48" s="1928">
        <v>1.26E-2</v>
      </c>
      <c r="L48" s="1931">
        <f>($K$9*24)/((($J$8-BBR+'Product Data'!$K$2-'KB_C&amp;S Opt Roll Defer '!$K48)/12)*(24-'KB_C&amp;S Opt Roll Defer '!J48)*'Product Data'!$P$18)</f>
        <v>0</v>
      </c>
    </row>
    <row r="49" spans="2:12" x14ac:dyDescent="0.25">
      <c r="B49" s="1927">
        <f t="shared" si="3"/>
        <v>0</v>
      </c>
      <c r="C49" s="1928">
        <v>1.2500000000000001E-2</v>
      </c>
      <c r="D49" s="1931">
        <f>($C$9*24)/((($B$8-BBR+'Product Data'!$K$3-C49)/12)*(24-B49)*'Product Data'!$P$18)</f>
        <v>0</v>
      </c>
      <c r="F49" s="1927">
        <f t="shared" si="4"/>
        <v>0</v>
      </c>
      <c r="G49" s="1928">
        <v>1.2500000000000001E-2</v>
      </c>
      <c r="H49" s="1931">
        <f>($G$9*24)/((($F$8-BBR+'Product Data'!$K$3-'KB_C&amp;S Opt Roll Defer '!$G49)/12)*(24-'KB_C&amp;S Opt Roll Defer '!F49)*'Product Data'!$P$18)</f>
        <v>0</v>
      </c>
      <c r="J49" s="1927">
        <f t="shared" si="5"/>
        <v>0</v>
      </c>
      <c r="K49" s="1928">
        <v>1.2500000000000001E-2</v>
      </c>
      <c r="L49" s="1931">
        <f>($K$9*24)/((($J$8-BBR+'Product Data'!$K$2-'KB_C&amp;S Opt Roll Defer '!$K49)/12)*(24-'KB_C&amp;S Opt Roll Defer '!J49)*'Product Data'!$P$18)</f>
        <v>0</v>
      </c>
    </row>
    <row r="50" spans="2:12" x14ac:dyDescent="0.25">
      <c r="B50" s="1927">
        <f t="shared" si="3"/>
        <v>0</v>
      </c>
      <c r="C50" s="1928">
        <v>1.24E-2</v>
      </c>
      <c r="D50" s="1931">
        <f>($C$9*24)/((($B$8-BBR+'Product Data'!$K$3-C50)/12)*(24-B50)*'Product Data'!$P$18)</f>
        <v>0</v>
      </c>
      <c r="F50" s="1927">
        <f t="shared" si="4"/>
        <v>0</v>
      </c>
      <c r="G50" s="1928">
        <v>1.24E-2</v>
      </c>
      <c r="H50" s="1931">
        <f>($G$9*24)/((($F$8-BBR+'Product Data'!$K$3-'KB_C&amp;S Opt Roll Defer '!$G50)/12)*(24-'KB_C&amp;S Opt Roll Defer '!F50)*'Product Data'!$P$18)</f>
        <v>0</v>
      </c>
      <c r="J50" s="1927">
        <f t="shared" si="5"/>
        <v>0</v>
      </c>
      <c r="K50" s="1928">
        <v>1.24E-2</v>
      </c>
      <c r="L50" s="1931">
        <f>($K$9*24)/((($J$8-BBR+'Product Data'!$K$2-'KB_C&amp;S Opt Roll Defer '!$K50)/12)*(24-'KB_C&amp;S Opt Roll Defer '!J50)*'Product Data'!$P$18)</f>
        <v>0</v>
      </c>
    </row>
    <row r="51" spans="2:12" x14ac:dyDescent="0.25">
      <c r="B51" s="1927">
        <f t="shared" si="3"/>
        <v>0</v>
      </c>
      <c r="C51" s="1928">
        <v>1.2300000000000101E-2</v>
      </c>
      <c r="D51" s="1931">
        <f>($C$9*24)/((($B$8-BBR+'Product Data'!$K$3-C51)/12)*(24-B51)*'Product Data'!$P$18)</f>
        <v>0</v>
      </c>
      <c r="F51" s="1927">
        <f t="shared" si="4"/>
        <v>0</v>
      </c>
      <c r="G51" s="1928">
        <v>1.2300000000000101E-2</v>
      </c>
      <c r="H51" s="1931">
        <f>($G$9*24)/((($F$8-BBR+'Product Data'!$K$3-'KB_C&amp;S Opt Roll Defer '!$G51)/12)*(24-'KB_C&amp;S Opt Roll Defer '!F51)*'Product Data'!$P$18)</f>
        <v>0</v>
      </c>
      <c r="J51" s="1927">
        <f t="shared" si="5"/>
        <v>0</v>
      </c>
      <c r="K51" s="1928">
        <v>1.2300000000000101E-2</v>
      </c>
      <c r="L51" s="1931">
        <f>($K$9*24)/((($J$8-BBR+'Product Data'!$K$2-'KB_C&amp;S Opt Roll Defer '!$K51)/12)*(24-'KB_C&amp;S Opt Roll Defer '!J51)*'Product Data'!$P$18)</f>
        <v>0</v>
      </c>
    </row>
    <row r="52" spans="2:12" x14ac:dyDescent="0.25">
      <c r="B52" s="1927">
        <f t="shared" si="3"/>
        <v>0</v>
      </c>
      <c r="C52" s="1928">
        <v>1.22000000000001E-2</v>
      </c>
      <c r="D52" s="1931">
        <f>($C$9*24)/((($B$8-BBR+'Product Data'!$K$3-C52)/12)*(24-B52)*'Product Data'!$P$18)</f>
        <v>0</v>
      </c>
      <c r="F52" s="1927">
        <f t="shared" si="4"/>
        <v>0</v>
      </c>
      <c r="G52" s="1928">
        <v>1.22000000000001E-2</v>
      </c>
      <c r="H52" s="1931">
        <f>($G$9*24)/((($F$8-BBR+'Product Data'!$K$3-'KB_C&amp;S Opt Roll Defer '!$G52)/12)*(24-'KB_C&amp;S Opt Roll Defer '!F52)*'Product Data'!$P$18)</f>
        <v>0</v>
      </c>
      <c r="J52" s="1927">
        <f t="shared" si="5"/>
        <v>0</v>
      </c>
      <c r="K52" s="1928">
        <v>1.22000000000001E-2</v>
      </c>
      <c r="L52" s="1931">
        <f>($K$9*24)/((($J$8-BBR+'Product Data'!$K$2-'KB_C&amp;S Opt Roll Defer '!$K52)/12)*(24-'KB_C&amp;S Opt Roll Defer '!J52)*'Product Data'!$P$18)</f>
        <v>0</v>
      </c>
    </row>
    <row r="53" spans="2:12" x14ac:dyDescent="0.25">
      <c r="B53" s="1927">
        <f t="shared" si="3"/>
        <v>0</v>
      </c>
      <c r="C53" s="1928">
        <v>1.21E-2</v>
      </c>
      <c r="D53" s="1931">
        <f>($C$9*24)/((($B$8-BBR+'Product Data'!$K$3-C53)/12)*(24-B53)*'Product Data'!$P$18)</f>
        <v>0</v>
      </c>
      <c r="F53" s="1927">
        <f t="shared" si="4"/>
        <v>0</v>
      </c>
      <c r="G53" s="1928">
        <v>1.21E-2</v>
      </c>
      <c r="H53" s="1931">
        <f>($G$9*24)/((($F$8-BBR+'Product Data'!$K$3-'KB_C&amp;S Opt Roll Defer '!$G53)/12)*(24-'KB_C&amp;S Opt Roll Defer '!F53)*'Product Data'!$P$18)</f>
        <v>0</v>
      </c>
      <c r="J53" s="1927">
        <f t="shared" si="5"/>
        <v>0</v>
      </c>
      <c r="K53" s="1928">
        <v>1.21E-2</v>
      </c>
      <c r="L53" s="1931">
        <f>($K$9*24)/((($J$8-BBR+'Product Data'!$K$2-'KB_C&amp;S Opt Roll Defer '!$K53)/12)*(24-'KB_C&amp;S Opt Roll Defer '!J53)*'Product Data'!$P$18)</f>
        <v>0</v>
      </c>
    </row>
    <row r="54" spans="2:12" x14ac:dyDescent="0.25">
      <c r="B54" s="1927">
        <f t="shared" si="3"/>
        <v>0</v>
      </c>
      <c r="C54" s="1928">
        <v>1.2000000000000101E-2</v>
      </c>
      <c r="D54" s="1931">
        <f>($C$9*24)/((($B$8-BBR+'Product Data'!$K$3-C54)/12)*(24-B54)*'Product Data'!$P$18)</f>
        <v>0</v>
      </c>
      <c r="F54" s="1927">
        <f t="shared" si="4"/>
        <v>0</v>
      </c>
      <c r="G54" s="1928">
        <v>1.2000000000000101E-2</v>
      </c>
      <c r="H54" s="1931">
        <f>($G$9*24)/((($F$8-BBR+'Product Data'!$K$3-'KB_C&amp;S Opt Roll Defer '!$G54)/12)*(24-'KB_C&amp;S Opt Roll Defer '!F54)*'Product Data'!$P$18)</f>
        <v>0</v>
      </c>
      <c r="J54" s="1927">
        <f t="shared" si="5"/>
        <v>0</v>
      </c>
      <c r="K54" s="1928">
        <v>1.2000000000000101E-2</v>
      </c>
      <c r="L54" s="1931">
        <f>($K$9*24)/((($J$8-BBR+'Product Data'!$K$2-'KB_C&amp;S Opt Roll Defer '!$K54)/12)*(24-'KB_C&amp;S Opt Roll Defer '!J54)*'Product Data'!$P$18)</f>
        <v>0</v>
      </c>
    </row>
    <row r="55" spans="2:12" x14ac:dyDescent="0.25">
      <c r="B55" s="1927">
        <f t="shared" si="3"/>
        <v>0</v>
      </c>
      <c r="C55" s="1928">
        <v>1.19000000000001E-2</v>
      </c>
      <c r="D55" s="1931">
        <f>($C$9*24)/((($B$8-BBR+'Product Data'!$K$3-C55)/12)*(24-B55)*'Product Data'!$P$18)</f>
        <v>0</v>
      </c>
      <c r="F55" s="1927">
        <f t="shared" si="4"/>
        <v>0</v>
      </c>
      <c r="G55" s="1928">
        <v>1.19000000000001E-2</v>
      </c>
      <c r="H55" s="1931">
        <f>($G$9*24)/((($F$8-BBR+'Product Data'!$K$3-'KB_C&amp;S Opt Roll Defer '!$G55)/12)*(24-'KB_C&amp;S Opt Roll Defer '!F55)*'Product Data'!$P$18)</f>
        <v>0</v>
      </c>
      <c r="J55" s="1927">
        <f t="shared" si="5"/>
        <v>0</v>
      </c>
      <c r="K55" s="1928">
        <v>1.19000000000001E-2</v>
      </c>
      <c r="L55" s="1931">
        <f>($K$9*24)/((($J$8-BBR+'Product Data'!$K$2-'KB_C&amp;S Opt Roll Defer '!$K55)/12)*(24-'KB_C&amp;S Opt Roll Defer '!J55)*'Product Data'!$P$18)</f>
        <v>0</v>
      </c>
    </row>
    <row r="56" spans="2:12" x14ac:dyDescent="0.25">
      <c r="B56" s="1927">
        <f t="shared" si="3"/>
        <v>0</v>
      </c>
      <c r="C56" s="1928">
        <v>1.18000000000001E-2</v>
      </c>
      <c r="D56" s="1931">
        <f>($C$9*24)/((($B$8-BBR+'Product Data'!$K$3-C56)/12)*(24-B56)*'Product Data'!$P$18)</f>
        <v>0</v>
      </c>
      <c r="F56" s="1927">
        <f t="shared" si="4"/>
        <v>0</v>
      </c>
      <c r="G56" s="1928">
        <v>1.18000000000001E-2</v>
      </c>
      <c r="H56" s="1931">
        <f>($G$9*24)/((($F$8-BBR+'Product Data'!$K$3-'KB_C&amp;S Opt Roll Defer '!$G56)/12)*(24-'KB_C&amp;S Opt Roll Defer '!F56)*'Product Data'!$P$18)</f>
        <v>0</v>
      </c>
      <c r="J56" s="1927">
        <f t="shared" si="5"/>
        <v>0</v>
      </c>
      <c r="K56" s="1928">
        <v>1.18000000000001E-2</v>
      </c>
      <c r="L56" s="1931">
        <f>($K$9*24)/((($J$8-BBR+'Product Data'!$K$2-'KB_C&amp;S Opt Roll Defer '!$K56)/12)*(24-'KB_C&amp;S Opt Roll Defer '!J56)*'Product Data'!$P$18)</f>
        <v>0</v>
      </c>
    </row>
    <row r="57" spans="2:12" x14ac:dyDescent="0.25">
      <c r="B57" s="1927">
        <f t="shared" si="3"/>
        <v>0</v>
      </c>
      <c r="C57" s="1928">
        <v>1.1700000000000099E-2</v>
      </c>
      <c r="D57" s="1931">
        <f>($C$9*24)/((($B$8-BBR+'Product Data'!$K$3-C57)/12)*(24-B57)*'Product Data'!$P$18)</f>
        <v>0</v>
      </c>
      <c r="F57" s="1927">
        <f t="shared" si="4"/>
        <v>0</v>
      </c>
      <c r="G57" s="1928">
        <v>1.1700000000000099E-2</v>
      </c>
      <c r="H57" s="1931">
        <f>($G$9*24)/((($F$8-BBR+'Product Data'!$K$3-'KB_C&amp;S Opt Roll Defer '!$G57)/12)*(24-'KB_C&amp;S Opt Roll Defer '!F57)*'Product Data'!$P$18)</f>
        <v>0</v>
      </c>
      <c r="J57" s="1927">
        <f t="shared" si="5"/>
        <v>0</v>
      </c>
      <c r="K57" s="1928">
        <v>1.1700000000000099E-2</v>
      </c>
      <c r="L57" s="1931">
        <f>($K$9*24)/((($J$8-BBR+'Product Data'!$K$2-'KB_C&amp;S Opt Roll Defer '!$K57)/12)*(24-'KB_C&amp;S Opt Roll Defer '!J57)*'Product Data'!$P$18)</f>
        <v>0</v>
      </c>
    </row>
    <row r="58" spans="2:12" x14ac:dyDescent="0.25">
      <c r="B58" s="1927">
        <f t="shared" si="3"/>
        <v>0</v>
      </c>
      <c r="C58" s="1928">
        <v>1.16000000000001E-2</v>
      </c>
      <c r="D58" s="1931">
        <f>($C$9*24)/((($B$8-BBR+'Product Data'!$K$3-C58)/12)*(24-B58)*'Product Data'!$P$18)</f>
        <v>0</v>
      </c>
      <c r="F58" s="1927">
        <f t="shared" si="4"/>
        <v>0</v>
      </c>
      <c r="G58" s="1928">
        <v>1.16000000000001E-2</v>
      </c>
      <c r="H58" s="1931">
        <f>($G$9*24)/((($F$8-BBR+'Product Data'!$K$3-'KB_C&amp;S Opt Roll Defer '!$G58)/12)*(24-'KB_C&amp;S Opt Roll Defer '!F58)*'Product Data'!$P$18)</f>
        <v>0</v>
      </c>
      <c r="J58" s="1927">
        <f t="shared" si="5"/>
        <v>0</v>
      </c>
      <c r="K58" s="1928">
        <v>1.16000000000001E-2</v>
      </c>
      <c r="L58" s="1931">
        <f>($K$9*24)/((($J$8-BBR+'Product Data'!$K$2-'KB_C&amp;S Opt Roll Defer '!$K58)/12)*(24-'KB_C&amp;S Opt Roll Defer '!J58)*'Product Data'!$P$18)</f>
        <v>0</v>
      </c>
    </row>
    <row r="59" spans="2:12" x14ac:dyDescent="0.25">
      <c r="B59" s="1927">
        <f t="shared" si="3"/>
        <v>0</v>
      </c>
      <c r="C59" s="1928">
        <v>1.15000000000001E-2</v>
      </c>
      <c r="D59" s="1931">
        <f>($C$9*24)/((($B$8-BBR+'Product Data'!$K$3-C59)/12)*(24-B59)*'Product Data'!$P$18)</f>
        <v>0</v>
      </c>
      <c r="F59" s="1927">
        <f t="shared" si="4"/>
        <v>0</v>
      </c>
      <c r="G59" s="1928">
        <v>1.15000000000001E-2</v>
      </c>
      <c r="H59" s="1931">
        <f>($G$9*24)/((($F$8-BBR+'Product Data'!$K$3-'KB_C&amp;S Opt Roll Defer '!$G59)/12)*(24-'KB_C&amp;S Opt Roll Defer '!F59)*'Product Data'!$P$18)</f>
        <v>0</v>
      </c>
      <c r="J59" s="1927">
        <f t="shared" si="5"/>
        <v>0</v>
      </c>
      <c r="K59" s="1928">
        <v>1.15000000000001E-2</v>
      </c>
      <c r="L59" s="1931">
        <f>($K$9*24)/((($J$8-BBR+'Product Data'!$K$2-'KB_C&amp;S Opt Roll Defer '!$K59)/12)*(24-'KB_C&amp;S Opt Roll Defer '!J59)*'Product Data'!$P$18)</f>
        <v>0</v>
      </c>
    </row>
    <row r="60" spans="2:12" x14ac:dyDescent="0.25">
      <c r="B60" s="1927">
        <f t="shared" si="3"/>
        <v>0</v>
      </c>
      <c r="C60" s="1928">
        <v>1.1400000000000099E-2</v>
      </c>
      <c r="D60" s="1931">
        <f>($C$9*24)/((($B$8-BBR+'Product Data'!$K$3-C60)/12)*(24-B60)*'Product Data'!$P$18)</f>
        <v>0</v>
      </c>
      <c r="F60" s="1927">
        <f t="shared" si="4"/>
        <v>0</v>
      </c>
      <c r="G60" s="1928">
        <v>1.1400000000000099E-2</v>
      </c>
      <c r="H60" s="1931">
        <f>($G$9*24)/((($F$8-BBR+'Product Data'!$K$3-'KB_C&amp;S Opt Roll Defer '!$G60)/12)*(24-'KB_C&amp;S Opt Roll Defer '!F60)*'Product Data'!$P$18)</f>
        <v>0</v>
      </c>
      <c r="J60" s="1927">
        <f t="shared" si="5"/>
        <v>0</v>
      </c>
      <c r="K60" s="1928">
        <v>1.1400000000000099E-2</v>
      </c>
      <c r="L60" s="1931">
        <f>($K$9*24)/((($J$8-BBR+'Product Data'!$K$2-'KB_C&amp;S Opt Roll Defer '!$K60)/12)*(24-'KB_C&amp;S Opt Roll Defer '!J60)*'Product Data'!$P$18)</f>
        <v>0</v>
      </c>
    </row>
    <row r="61" spans="2:12" x14ac:dyDescent="0.25">
      <c r="B61" s="1927">
        <f t="shared" si="3"/>
        <v>0</v>
      </c>
      <c r="C61" s="1928">
        <v>1.1299999999999999E-2</v>
      </c>
      <c r="D61" s="1931">
        <f>($C$9*24)/((($B$8-BBR+'Product Data'!$K$3-C61)/12)*(24-B61)*'Product Data'!$P$18)</f>
        <v>0</v>
      </c>
      <c r="F61" s="1927">
        <f t="shared" si="4"/>
        <v>0</v>
      </c>
      <c r="G61" s="1928">
        <v>1.1299999999999999E-2</v>
      </c>
      <c r="H61" s="1931">
        <f>($G$9*24)/((($F$8-BBR+'Product Data'!$K$3-'KB_C&amp;S Opt Roll Defer '!$G61)/12)*(24-'KB_C&amp;S Opt Roll Defer '!F61)*'Product Data'!$P$18)</f>
        <v>0</v>
      </c>
      <c r="J61" s="1927">
        <f t="shared" si="5"/>
        <v>0</v>
      </c>
      <c r="K61" s="1928">
        <v>1.1299999999999999E-2</v>
      </c>
      <c r="L61" s="1931">
        <f>($K$9*24)/((($J$8-BBR+'Product Data'!$K$2-'KB_C&amp;S Opt Roll Defer '!$K61)/12)*(24-'KB_C&amp;S Opt Roll Defer '!J61)*'Product Data'!$P$18)</f>
        <v>0</v>
      </c>
    </row>
    <row r="62" spans="2:12" x14ac:dyDescent="0.25">
      <c r="B62" s="1927">
        <f t="shared" si="3"/>
        <v>0</v>
      </c>
      <c r="C62" s="1928">
        <v>1.1200000000000101E-2</v>
      </c>
      <c r="D62" s="1931">
        <f>($C$9*24)/((($B$8-BBR+'Product Data'!$K$3-C62)/12)*(24-B62)*'Product Data'!$P$18)</f>
        <v>0</v>
      </c>
      <c r="F62" s="1927">
        <f t="shared" si="4"/>
        <v>0</v>
      </c>
      <c r="G62" s="1928">
        <v>1.1200000000000101E-2</v>
      </c>
      <c r="H62" s="1931">
        <f>($G$9*24)/((($F$8-BBR+'Product Data'!$K$3-'KB_C&amp;S Opt Roll Defer '!$G62)/12)*(24-'KB_C&amp;S Opt Roll Defer '!F62)*'Product Data'!$P$18)</f>
        <v>0</v>
      </c>
      <c r="J62" s="1927">
        <f t="shared" si="5"/>
        <v>0</v>
      </c>
      <c r="K62" s="1928">
        <v>1.1200000000000101E-2</v>
      </c>
      <c r="L62" s="1931">
        <f>($K$9*24)/((($J$8-BBR+'Product Data'!$K$2-'KB_C&amp;S Opt Roll Defer '!$K62)/12)*(24-'KB_C&amp;S Opt Roll Defer '!J62)*'Product Data'!$P$18)</f>
        <v>0</v>
      </c>
    </row>
    <row r="63" spans="2:12" x14ac:dyDescent="0.25">
      <c r="B63" s="1927">
        <f t="shared" si="3"/>
        <v>0</v>
      </c>
      <c r="C63" s="1928">
        <v>1.1100000000000099E-2</v>
      </c>
      <c r="D63" s="1931">
        <f>($C$9*24)/((($B$8-BBR+'Product Data'!$K$3-C63)/12)*(24-B63)*'Product Data'!$P$18)</f>
        <v>0</v>
      </c>
      <c r="F63" s="1927">
        <f t="shared" si="4"/>
        <v>0</v>
      </c>
      <c r="G63" s="1928">
        <v>1.1100000000000099E-2</v>
      </c>
      <c r="H63" s="1931">
        <f>($G$9*24)/((($F$8-BBR+'Product Data'!$K$3-'KB_C&amp;S Opt Roll Defer '!$G63)/12)*(24-'KB_C&amp;S Opt Roll Defer '!F63)*'Product Data'!$P$18)</f>
        <v>0</v>
      </c>
      <c r="J63" s="1927">
        <f t="shared" si="5"/>
        <v>0</v>
      </c>
      <c r="K63" s="1928">
        <v>1.1100000000000099E-2</v>
      </c>
      <c r="L63" s="1931">
        <f>($K$9*24)/((($J$8-BBR+'Product Data'!$K$2-'KB_C&amp;S Opt Roll Defer '!$K63)/12)*(24-'KB_C&amp;S Opt Roll Defer '!J63)*'Product Data'!$P$18)</f>
        <v>0</v>
      </c>
    </row>
    <row r="64" spans="2:12" x14ac:dyDescent="0.25">
      <c r="B64" s="1927">
        <f t="shared" si="3"/>
        <v>0</v>
      </c>
      <c r="C64" s="1928">
        <v>1.0999999999999999E-2</v>
      </c>
      <c r="D64" s="1931">
        <f>($C$9*24)/((($B$8-BBR+'Product Data'!$K$3-C64)/12)*(24-B64)*'Product Data'!$P$18)</f>
        <v>0</v>
      </c>
      <c r="F64" s="1927">
        <f t="shared" si="4"/>
        <v>0</v>
      </c>
      <c r="G64" s="1928">
        <v>1.0999999999999999E-2</v>
      </c>
      <c r="H64" s="1931">
        <f>($G$9*24)/((($F$8-BBR+'Product Data'!$K$3-'KB_C&amp;S Opt Roll Defer '!$G64)/12)*(24-'KB_C&amp;S Opt Roll Defer '!F64)*'Product Data'!$P$18)</f>
        <v>0</v>
      </c>
      <c r="J64" s="1927">
        <f t="shared" si="5"/>
        <v>0</v>
      </c>
      <c r="K64" s="1928">
        <v>1.0999999999999999E-2</v>
      </c>
      <c r="L64" s="1931">
        <f>($K$9*24)/((($J$8-BBR+'Product Data'!$K$2-'KB_C&amp;S Opt Roll Defer '!$K64)/12)*(24-'KB_C&amp;S Opt Roll Defer '!J64)*'Product Data'!$P$18)</f>
        <v>0</v>
      </c>
    </row>
    <row r="65" spans="2:12" x14ac:dyDescent="0.25">
      <c r="B65" s="1927">
        <f t="shared" si="3"/>
        <v>0</v>
      </c>
      <c r="C65" s="1928">
        <v>1.0900000000000101E-2</v>
      </c>
      <c r="D65" s="1931">
        <f>($C$9*24)/((($B$8-BBR+'Product Data'!$K$3-C65)/12)*(24-B65)*'Product Data'!$P$18)</f>
        <v>0</v>
      </c>
      <c r="F65" s="1927">
        <f t="shared" si="4"/>
        <v>0</v>
      </c>
      <c r="G65" s="1928">
        <v>1.0900000000000101E-2</v>
      </c>
      <c r="H65" s="1931">
        <f>($G$9*24)/((($F$8-BBR+'Product Data'!$K$3-'KB_C&amp;S Opt Roll Defer '!$G65)/12)*(24-'KB_C&amp;S Opt Roll Defer '!F65)*'Product Data'!$P$18)</f>
        <v>0</v>
      </c>
      <c r="J65" s="1927">
        <f t="shared" si="5"/>
        <v>0</v>
      </c>
      <c r="K65" s="1928">
        <v>1.0900000000000101E-2</v>
      </c>
      <c r="L65" s="1931">
        <f>($K$9*24)/((($J$8-BBR+'Product Data'!$K$2-'KB_C&amp;S Opt Roll Defer '!$K65)/12)*(24-'KB_C&amp;S Opt Roll Defer '!J65)*'Product Data'!$P$18)</f>
        <v>0</v>
      </c>
    </row>
    <row r="66" spans="2:12" x14ac:dyDescent="0.25">
      <c r="B66" s="1927">
        <f t="shared" si="3"/>
        <v>0</v>
      </c>
      <c r="C66" s="1928">
        <v>1.0800000000000099E-2</v>
      </c>
      <c r="D66" s="1931">
        <f>($C$9*24)/((($B$8-BBR+'Product Data'!$K$3-C66)/12)*(24-B66)*'Product Data'!$P$18)</f>
        <v>0</v>
      </c>
      <c r="F66" s="1927">
        <f t="shared" si="4"/>
        <v>0</v>
      </c>
      <c r="G66" s="1928">
        <v>1.0800000000000099E-2</v>
      </c>
      <c r="H66" s="1931">
        <f>($G$9*24)/((($F$8-BBR+'Product Data'!$K$3-'KB_C&amp;S Opt Roll Defer '!$G66)/12)*(24-'KB_C&amp;S Opt Roll Defer '!F66)*'Product Data'!$P$18)</f>
        <v>0</v>
      </c>
      <c r="J66" s="1927">
        <f t="shared" si="5"/>
        <v>0</v>
      </c>
      <c r="K66" s="1928">
        <v>1.0800000000000099E-2</v>
      </c>
      <c r="L66" s="1931">
        <f>($K$9*24)/((($J$8-BBR+'Product Data'!$K$2-'KB_C&amp;S Opt Roll Defer '!$K66)/12)*(24-'KB_C&amp;S Opt Roll Defer '!J66)*'Product Data'!$P$18)</f>
        <v>0</v>
      </c>
    </row>
    <row r="67" spans="2:12" x14ac:dyDescent="0.25">
      <c r="B67" s="1927">
        <f t="shared" si="3"/>
        <v>0</v>
      </c>
      <c r="C67" s="1928">
        <v>1.07000000000001E-2</v>
      </c>
      <c r="D67" s="1931">
        <f>($C$9*24)/((($B$8-BBR+'Product Data'!$K$3-C67)/12)*(24-B67)*'Product Data'!$P$18)</f>
        <v>0</v>
      </c>
      <c r="F67" s="1927">
        <f t="shared" si="4"/>
        <v>0</v>
      </c>
      <c r="G67" s="1928">
        <v>1.07000000000001E-2</v>
      </c>
      <c r="H67" s="1931">
        <f>($G$9*24)/((($F$8-BBR+'Product Data'!$K$3-'KB_C&amp;S Opt Roll Defer '!$G67)/12)*(24-'KB_C&amp;S Opt Roll Defer '!F67)*'Product Data'!$P$18)</f>
        <v>0</v>
      </c>
      <c r="J67" s="1927">
        <f t="shared" si="5"/>
        <v>0</v>
      </c>
      <c r="K67" s="1928">
        <v>1.07000000000001E-2</v>
      </c>
      <c r="L67" s="1931">
        <f>($K$9*24)/((($J$8-BBR+'Product Data'!$K$2-'KB_C&amp;S Opt Roll Defer '!$K67)/12)*(24-'KB_C&amp;S Opt Roll Defer '!J67)*'Product Data'!$P$18)</f>
        <v>0</v>
      </c>
    </row>
    <row r="68" spans="2:12" x14ac:dyDescent="0.25">
      <c r="B68" s="1927">
        <f t="shared" si="3"/>
        <v>0</v>
      </c>
      <c r="C68" s="1928">
        <v>1.0600000000000101E-2</v>
      </c>
      <c r="D68" s="1931">
        <f>($C$9*24)/((($B$8-BBR+'Product Data'!$K$3-C68)/12)*(24-B68)*'Product Data'!$P$18)</f>
        <v>0</v>
      </c>
      <c r="F68" s="1927">
        <f t="shared" si="4"/>
        <v>0</v>
      </c>
      <c r="G68" s="1928">
        <v>1.0600000000000101E-2</v>
      </c>
      <c r="H68" s="1931">
        <f>($G$9*24)/((($F$8-BBR+'Product Data'!$K$3-'KB_C&amp;S Opt Roll Defer '!$G68)/12)*(24-'KB_C&amp;S Opt Roll Defer '!F68)*'Product Data'!$P$18)</f>
        <v>0</v>
      </c>
      <c r="J68" s="1927">
        <f t="shared" si="5"/>
        <v>0</v>
      </c>
      <c r="K68" s="1928">
        <v>1.0600000000000101E-2</v>
      </c>
      <c r="L68" s="1931">
        <f>($K$9*24)/((($J$8-BBR+'Product Data'!$K$2-'KB_C&amp;S Opt Roll Defer '!$K68)/12)*(24-'KB_C&amp;S Opt Roll Defer '!J68)*'Product Data'!$P$18)</f>
        <v>0</v>
      </c>
    </row>
    <row r="69" spans="2:12" x14ac:dyDescent="0.25">
      <c r="B69" s="1927">
        <f t="shared" si="3"/>
        <v>0</v>
      </c>
      <c r="C69" s="1928">
        <v>1.05000000000001E-2</v>
      </c>
      <c r="D69" s="1931">
        <f>($C$9*24)/((($B$8-BBR+'Product Data'!$K$3-C69)/12)*(24-B69)*'Product Data'!$P$18)</f>
        <v>0</v>
      </c>
      <c r="F69" s="1927">
        <f t="shared" si="4"/>
        <v>0</v>
      </c>
      <c r="G69" s="1928">
        <v>1.05000000000001E-2</v>
      </c>
      <c r="H69" s="1931">
        <f>($G$9*24)/((($F$8-BBR+'Product Data'!$K$3-'KB_C&amp;S Opt Roll Defer '!$G69)/12)*(24-'KB_C&amp;S Opt Roll Defer '!F69)*'Product Data'!$P$18)</f>
        <v>0</v>
      </c>
      <c r="J69" s="1927">
        <f t="shared" si="5"/>
        <v>0</v>
      </c>
      <c r="K69" s="1928">
        <v>1.05000000000001E-2</v>
      </c>
      <c r="L69" s="1931">
        <f>($K$9*24)/((($J$8-BBR+'Product Data'!$K$2-'KB_C&amp;S Opt Roll Defer '!$K69)/12)*(24-'KB_C&amp;S Opt Roll Defer '!J69)*'Product Data'!$P$18)</f>
        <v>0</v>
      </c>
    </row>
    <row r="70" spans="2:12" x14ac:dyDescent="0.25">
      <c r="B70" s="1927">
        <f t="shared" si="3"/>
        <v>0</v>
      </c>
      <c r="C70" s="1928">
        <v>1.04000000000001E-2</v>
      </c>
      <c r="D70" s="1931">
        <f>($C$9*24)/((($B$8-BBR+'Product Data'!$K$3-C70)/12)*(24-B70)*'Product Data'!$P$18)</f>
        <v>0</v>
      </c>
      <c r="F70" s="1927">
        <f t="shared" si="4"/>
        <v>0</v>
      </c>
      <c r="G70" s="1928">
        <v>1.04000000000001E-2</v>
      </c>
      <c r="H70" s="1931">
        <f>($G$9*24)/((($F$8-BBR+'Product Data'!$K$3-'KB_C&amp;S Opt Roll Defer '!$G70)/12)*(24-'KB_C&amp;S Opt Roll Defer '!F70)*'Product Data'!$P$18)</f>
        <v>0</v>
      </c>
      <c r="J70" s="1927">
        <f t="shared" si="5"/>
        <v>0</v>
      </c>
      <c r="K70" s="1928">
        <v>1.04000000000001E-2</v>
      </c>
      <c r="L70" s="1931">
        <f>($K$9*24)/((($J$8-BBR+'Product Data'!$K$2-'KB_C&amp;S Opt Roll Defer '!$K70)/12)*(24-'KB_C&amp;S Opt Roll Defer '!J70)*'Product Data'!$P$18)</f>
        <v>0</v>
      </c>
    </row>
    <row r="71" spans="2:12" x14ac:dyDescent="0.25">
      <c r="B71" s="1927">
        <f t="shared" si="3"/>
        <v>0</v>
      </c>
      <c r="C71" s="1928">
        <v>1.0300000000000101E-2</v>
      </c>
      <c r="D71" s="1931">
        <f>($C$9*24)/((($B$8-BBR+'Product Data'!$K$3-C71)/12)*(24-B71)*'Product Data'!$P$18)</f>
        <v>0</v>
      </c>
      <c r="F71" s="1927">
        <f t="shared" si="4"/>
        <v>0</v>
      </c>
      <c r="G71" s="1928">
        <v>1.0300000000000101E-2</v>
      </c>
      <c r="H71" s="1931">
        <f>($G$9*24)/((($F$8-BBR+'Product Data'!$K$3-'KB_C&amp;S Opt Roll Defer '!$G71)/12)*(24-'KB_C&amp;S Opt Roll Defer '!F71)*'Product Data'!$P$18)</f>
        <v>0</v>
      </c>
      <c r="J71" s="1927">
        <f t="shared" si="5"/>
        <v>0</v>
      </c>
      <c r="K71" s="1928">
        <v>1.0300000000000101E-2</v>
      </c>
      <c r="L71" s="1931">
        <f>($K$9*24)/((($J$8-BBR+'Product Data'!$K$2-'KB_C&amp;S Opt Roll Defer '!$K71)/12)*(24-'KB_C&amp;S Opt Roll Defer '!J71)*'Product Data'!$P$18)</f>
        <v>0</v>
      </c>
    </row>
    <row r="72" spans="2:12" x14ac:dyDescent="0.25">
      <c r="B72" s="1927">
        <f t="shared" si="3"/>
        <v>0</v>
      </c>
      <c r="C72" s="1928">
        <v>1.02000000000001E-2</v>
      </c>
      <c r="D72" s="1931">
        <f>($C$9*24)/((($B$8-BBR+'Product Data'!$K$3-C72)/12)*(24-B72)*'Product Data'!$P$18)</f>
        <v>0</v>
      </c>
      <c r="F72" s="1927">
        <f t="shared" si="4"/>
        <v>0</v>
      </c>
      <c r="G72" s="1928">
        <v>1.02000000000001E-2</v>
      </c>
      <c r="H72" s="1931">
        <f>($G$9*24)/((($F$8-BBR+'Product Data'!$K$3-'KB_C&amp;S Opt Roll Defer '!$G72)/12)*(24-'KB_C&amp;S Opt Roll Defer '!F72)*'Product Data'!$P$18)</f>
        <v>0</v>
      </c>
      <c r="J72" s="1927">
        <f t="shared" si="5"/>
        <v>0</v>
      </c>
      <c r="K72" s="1928">
        <v>1.02000000000001E-2</v>
      </c>
      <c r="L72" s="1931">
        <f>($K$9*24)/((($J$8-BBR+'Product Data'!$K$2-'KB_C&amp;S Opt Roll Defer '!$K72)/12)*(24-'KB_C&amp;S Opt Roll Defer '!J72)*'Product Data'!$P$18)</f>
        <v>0</v>
      </c>
    </row>
    <row r="73" spans="2:12" x14ac:dyDescent="0.25">
      <c r="B73" s="1927">
        <f t="shared" si="3"/>
        <v>0</v>
      </c>
      <c r="C73" s="1928">
        <v>1.01000000000001E-2</v>
      </c>
      <c r="D73" s="1931">
        <f>($C$9*24)/((($B$8-BBR+'Product Data'!$K$3-C73)/12)*(24-B73)*'Product Data'!$P$18)</f>
        <v>0</v>
      </c>
      <c r="F73" s="1927">
        <f t="shared" si="4"/>
        <v>0</v>
      </c>
      <c r="G73" s="1928">
        <v>1.01000000000001E-2</v>
      </c>
      <c r="H73" s="1931">
        <f>($G$9*24)/((($F$8-BBR+'Product Data'!$K$3-'KB_C&amp;S Opt Roll Defer '!$G73)/12)*(24-'KB_C&amp;S Opt Roll Defer '!F73)*'Product Data'!$P$18)</f>
        <v>0</v>
      </c>
      <c r="J73" s="1927">
        <f t="shared" si="5"/>
        <v>0</v>
      </c>
      <c r="K73" s="1928">
        <v>1.01000000000001E-2</v>
      </c>
      <c r="L73" s="1931">
        <f>($K$9*24)/((($J$8-BBR+'Product Data'!$K$2-'KB_C&amp;S Opt Roll Defer '!$K73)/12)*(24-'KB_C&amp;S Opt Roll Defer '!J73)*'Product Data'!$P$18)</f>
        <v>0</v>
      </c>
    </row>
    <row r="74" spans="2:12" x14ac:dyDescent="0.25">
      <c r="B74" s="1927">
        <f t="shared" si="3"/>
        <v>0</v>
      </c>
      <c r="C74" s="1928">
        <v>1.0000000000000101E-2</v>
      </c>
      <c r="D74" s="1931">
        <f>($C$9*24)/((($B$8-BBR+'Product Data'!$K$3-C74)/12)*(24-B74)*'Product Data'!$P$18)</f>
        <v>0</v>
      </c>
      <c r="F74" s="1927">
        <f t="shared" si="4"/>
        <v>0</v>
      </c>
      <c r="G74" s="1928">
        <v>1.0000000000000101E-2</v>
      </c>
      <c r="H74" s="1931">
        <f>($G$9*24)/((($F$8-BBR+'Product Data'!$K$3-'KB_C&amp;S Opt Roll Defer '!$G74)/12)*(24-'KB_C&amp;S Opt Roll Defer '!F74)*'Product Data'!$P$18)</f>
        <v>0</v>
      </c>
      <c r="J74" s="1927">
        <f t="shared" si="5"/>
        <v>0</v>
      </c>
      <c r="K74" s="1928">
        <v>1.0000000000000101E-2</v>
      </c>
      <c r="L74" s="1931">
        <f>($K$9*24)/((($J$8-BBR+'Product Data'!$K$2-'KB_C&amp;S Opt Roll Defer '!$K74)/12)*(24-'KB_C&amp;S Opt Roll Defer '!J74)*'Product Data'!$P$18)</f>
        <v>0</v>
      </c>
    </row>
    <row r="75" spans="2:12" x14ac:dyDescent="0.25">
      <c r="B75" s="1927">
        <f t="shared" si="3"/>
        <v>0</v>
      </c>
      <c r="C75" s="1928">
        <v>9.9000000000000997E-3</v>
      </c>
      <c r="D75" s="1931">
        <f>($C$9*24)/((($B$8-BBR+'Product Data'!$K$3-C75)/12)*(24-B75)*'Product Data'!$P$18)</f>
        <v>0</v>
      </c>
      <c r="F75" s="1927">
        <f t="shared" si="4"/>
        <v>0</v>
      </c>
      <c r="G75" s="1928">
        <v>9.9000000000000997E-3</v>
      </c>
      <c r="H75" s="1931">
        <f>($G$9*24)/((($F$8-BBR+'Product Data'!$K$3-'KB_C&amp;S Opt Roll Defer '!$G75)/12)*(24-'KB_C&amp;S Opt Roll Defer '!F75)*'Product Data'!$P$18)</f>
        <v>0</v>
      </c>
      <c r="J75" s="1927">
        <f t="shared" si="5"/>
        <v>0</v>
      </c>
      <c r="K75" s="1928">
        <v>9.9000000000000997E-3</v>
      </c>
      <c r="L75" s="1931">
        <f>($K$9*24)/((($J$8-BBR+'Product Data'!$K$2-'KB_C&amp;S Opt Roll Defer '!$K75)/12)*(24-'KB_C&amp;S Opt Roll Defer '!J75)*'Product Data'!$P$18)</f>
        <v>0</v>
      </c>
    </row>
    <row r="76" spans="2:12" x14ac:dyDescent="0.25">
      <c r="B76" s="1927">
        <f t="shared" si="3"/>
        <v>0</v>
      </c>
      <c r="C76" s="1928">
        <v>9.8000000000001003E-3</v>
      </c>
      <c r="D76" s="1931">
        <f>($C$9*24)/((($B$8-BBR+'Product Data'!$K$3-C76)/12)*(24-B76)*'Product Data'!$P$18)</f>
        <v>0</v>
      </c>
      <c r="F76" s="1927">
        <f t="shared" si="4"/>
        <v>0</v>
      </c>
      <c r="G76" s="1928">
        <v>9.8000000000001003E-3</v>
      </c>
      <c r="H76" s="1931">
        <f>($G$9*24)/((($F$8-BBR+'Product Data'!$K$3-'KB_C&amp;S Opt Roll Defer '!$G76)/12)*(24-'KB_C&amp;S Opt Roll Defer '!F76)*'Product Data'!$P$18)</f>
        <v>0</v>
      </c>
      <c r="J76" s="1927">
        <f t="shared" si="5"/>
        <v>0</v>
      </c>
      <c r="K76" s="1928">
        <v>9.8000000000001003E-3</v>
      </c>
      <c r="L76" s="1931">
        <f>($K$9*24)/((($J$8-BBR+'Product Data'!$K$2-'KB_C&amp;S Opt Roll Defer '!$K76)/12)*(24-'KB_C&amp;S Opt Roll Defer '!J76)*'Product Data'!$P$18)</f>
        <v>0</v>
      </c>
    </row>
    <row r="77" spans="2:12" x14ac:dyDescent="0.25">
      <c r="B77" s="1927">
        <f t="shared" si="3"/>
        <v>0</v>
      </c>
      <c r="C77" s="1928">
        <v>9.7000000000000992E-3</v>
      </c>
      <c r="D77" s="1931">
        <f>($C$9*24)/((($B$8-BBR+'Product Data'!$K$3-C77)/12)*(24-B77)*'Product Data'!$P$18)</f>
        <v>0</v>
      </c>
      <c r="F77" s="1927">
        <f t="shared" si="4"/>
        <v>0</v>
      </c>
      <c r="G77" s="1928">
        <v>9.7000000000000992E-3</v>
      </c>
      <c r="H77" s="1931">
        <f>($G$9*24)/((($F$8-BBR+'Product Data'!$K$3-'KB_C&amp;S Opt Roll Defer '!$G77)/12)*(24-'KB_C&amp;S Opt Roll Defer '!F77)*'Product Data'!$P$18)</f>
        <v>0</v>
      </c>
      <c r="J77" s="1927">
        <f t="shared" si="5"/>
        <v>0</v>
      </c>
      <c r="K77" s="1928">
        <v>9.7000000000000992E-3</v>
      </c>
      <c r="L77" s="1931">
        <f>($K$9*24)/((($J$8-BBR+'Product Data'!$K$2-'KB_C&amp;S Opt Roll Defer '!$K77)/12)*(24-'KB_C&amp;S Opt Roll Defer '!J77)*'Product Data'!$P$18)</f>
        <v>0</v>
      </c>
    </row>
    <row r="78" spans="2:12" x14ac:dyDescent="0.25">
      <c r="B78" s="1927">
        <f t="shared" si="3"/>
        <v>0</v>
      </c>
      <c r="C78" s="1928">
        <v>9.6000000000000998E-3</v>
      </c>
      <c r="D78" s="1931">
        <f>($C$9*24)/((($B$8-BBR+'Product Data'!$K$3-C78)/12)*(24-B78)*'Product Data'!$P$18)</f>
        <v>0</v>
      </c>
      <c r="F78" s="1927">
        <f t="shared" si="4"/>
        <v>0</v>
      </c>
      <c r="G78" s="1928">
        <v>9.6000000000000998E-3</v>
      </c>
      <c r="H78" s="1931">
        <f>($G$9*24)/((($F$8-BBR+'Product Data'!$K$3-'KB_C&amp;S Opt Roll Defer '!$G78)/12)*(24-'KB_C&amp;S Opt Roll Defer '!F78)*'Product Data'!$P$18)</f>
        <v>0</v>
      </c>
      <c r="J78" s="1927">
        <f t="shared" si="5"/>
        <v>0</v>
      </c>
      <c r="K78" s="1928">
        <v>9.6000000000000998E-3</v>
      </c>
      <c r="L78" s="1931">
        <f>($K$9*24)/((($J$8-BBR+'Product Data'!$K$2-'KB_C&amp;S Opt Roll Defer '!$K78)/12)*(24-'KB_C&amp;S Opt Roll Defer '!J78)*'Product Data'!$P$18)</f>
        <v>0</v>
      </c>
    </row>
    <row r="79" spans="2:12" x14ac:dyDescent="0.25">
      <c r="B79" s="1927">
        <f t="shared" si="3"/>
        <v>0</v>
      </c>
      <c r="C79" s="1928">
        <v>9.5000000000001004E-3</v>
      </c>
      <c r="D79" s="1931">
        <f>($C$9*24)/((($B$8-BBR+'Product Data'!$K$3-C79)/12)*(24-B79)*'Product Data'!$P$18)</f>
        <v>0</v>
      </c>
      <c r="F79" s="1927">
        <f t="shared" si="4"/>
        <v>0</v>
      </c>
      <c r="G79" s="1928">
        <v>9.5000000000001004E-3</v>
      </c>
      <c r="H79" s="1931">
        <f>($G$9*24)/((($F$8-BBR+'Product Data'!$K$3-'KB_C&amp;S Opt Roll Defer '!$G79)/12)*(24-'KB_C&amp;S Opt Roll Defer '!F79)*'Product Data'!$P$18)</f>
        <v>0</v>
      </c>
      <c r="J79" s="1927">
        <f t="shared" si="5"/>
        <v>0</v>
      </c>
      <c r="K79" s="1928">
        <v>9.5000000000001004E-3</v>
      </c>
      <c r="L79" s="1931">
        <f>($K$9*24)/((($J$8-BBR+'Product Data'!$K$2-'KB_C&amp;S Opt Roll Defer '!$K79)/12)*(24-'KB_C&amp;S Opt Roll Defer '!J79)*'Product Data'!$P$18)</f>
        <v>0</v>
      </c>
    </row>
    <row r="80" spans="2:12" x14ac:dyDescent="0.25">
      <c r="B80" s="1927">
        <f t="shared" si="3"/>
        <v>0</v>
      </c>
      <c r="C80" s="1928">
        <v>9.4000000000000992E-3</v>
      </c>
      <c r="D80" s="1931">
        <f>($C$9*24)/((($B$8-BBR+'Product Data'!$K$3-C80)/12)*(24-B80)*'Product Data'!$P$18)</f>
        <v>0</v>
      </c>
      <c r="F80" s="1927">
        <f t="shared" si="4"/>
        <v>0</v>
      </c>
      <c r="G80" s="1928">
        <v>9.4000000000000992E-3</v>
      </c>
      <c r="H80" s="1931">
        <f>($G$9*24)/((($F$8-BBR+'Product Data'!$K$3-'KB_C&amp;S Opt Roll Defer '!$G80)/12)*(24-'KB_C&amp;S Opt Roll Defer '!F80)*'Product Data'!$P$18)</f>
        <v>0</v>
      </c>
      <c r="J80" s="1927">
        <f t="shared" si="5"/>
        <v>0</v>
      </c>
      <c r="K80" s="1928">
        <v>9.4000000000000992E-3</v>
      </c>
      <c r="L80" s="1931">
        <f>($K$9*24)/((($J$8-BBR+'Product Data'!$K$2-'KB_C&amp;S Opt Roll Defer '!$K80)/12)*(24-'KB_C&amp;S Opt Roll Defer '!J80)*'Product Data'!$P$18)</f>
        <v>0</v>
      </c>
    </row>
    <row r="81" spans="2:12" x14ac:dyDescent="0.25">
      <c r="B81" s="1927">
        <f t="shared" si="3"/>
        <v>0</v>
      </c>
      <c r="C81" s="1928">
        <v>9.3000000000000999E-3</v>
      </c>
      <c r="D81" s="1931">
        <f>($C$9*24)/((($B$8-BBR+'Product Data'!$K$3-C81)/12)*(24-B81)*'Product Data'!$P$18)</f>
        <v>0</v>
      </c>
      <c r="F81" s="1927">
        <f t="shared" si="4"/>
        <v>0</v>
      </c>
      <c r="G81" s="1928">
        <v>9.3000000000000999E-3</v>
      </c>
      <c r="H81" s="1931">
        <f>($G$9*24)/((($F$8-BBR+'Product Data'!$K$3-'KB_C&amp;S Opt Roll Defer '!$G81)/12)*(24-'KB_C&amp;S Opt Roll Defer '!F81)*'Product Data'!$P$18)</f>
        <v>0</v>
      </c>
      <c r="J81" s="1927">
        <f t="shared" si="5"/>
        <v>0</v>
      </c>
      <c r="K81" s="1928">
        <v>9.3000000000000999E-3</v>
      </c>
      <c r="L81" s="1931">
        <f>($K$9*24)/((($J$8-BBR+'Product Data'!$K$2-'KB_C&amp;S Opt Roll Defer '!$K81)/12)*(24-'KB_C&amp;S Opt Roll Defer '!J81)*'Product Data'!$P$18)</f>
        <v>0</v>
      </c>
    </row>
    <row r="82" spans="2:12" x14ac:dyDescent="0.25">
      <c r="B82" s="1927">
        <f t="shared" si="3"/>
        <v>0</v>
      </c>
      <c r="C82" s="1928">
        <v>9.2000000000001005E-3</v>
      </c>
      <c r="D82" s="1931">
        <f>($C$9*24)/((($B$8-BBR+'Product Data'!$K$3-C82)/12)*(24-B82)*'Product Data'!$P$18)</f>
        <v>0</v>
      </c>
      <c r="F82" s="1927">
        <f t="shared" si="4"/>
        <v>0</v>
      </c>
      <c r="G82" s="1928">
        <v>9.2000000000001005E-3</v>
      </c>
      <c r="H82" s="1931">
        <f>($G$9*24)/((($F$8-BBR+'Product Data'!$K$3-'KB_C&amp;S Opt Roll Defer '!$G82)/12)*(24-'KB_C&amp;S Opt Roll Defer '!F82)*'Product Data'!$P$18)</f>
        <v>0</v>
      </c>
      <c r="J82" s="1927">
        <f t="shared" si="5"/>
        <v>0</v>
      </c>
      <c r="K82" s="1928">
        <v>9.2000000000001005E-3</v>
      </c>
      <c r="L82" s="1931">
        <f>($K$9*24)/((($J$8-BBR+'Product Data'!$K$2-'KB_C&amp;S Opt Roll Defer '!$K82)/12)*(24-'KB_C&amp;S Opt Roll Defer '!J82)*'Product Data'!$P$18)</f>
        <v>0</v>
      </c>
    </row>
    <row r="83" spans="2:12" x14ac:dyDescent="0.25">
      <c r="B83" s="1927">
        <f t="shared" si="3"/>
        <v>0</v>
      </c>
      <c r="C83" s="1928">
        <v>9.1000000000000993E-3</v>
      </c>
      <c r="D83" s="1931">
        <f>($C$9*24)/((($B$8-BBR+'Product Data'!$K$3-C83)/12)*(24-B83)*'Product Data'!$P$18)</f>
        <v>0</v>
      </c>
      <c r="F83" s="1927">
        <f t="shared" si="4"/>
        <v>0</v>
      </c>
      <c r="G83" s="1928">
        <v>9.1000000000000993E-3</v>
      </c>
      <c r="H83" s="1931">
        <f>($G$9*24)/((($F$8-BBR+'Product Data'!$K$3-'KB_C&amp;S Opt Roll Defer '!$G83)/12)*(24-'KB_C&amp;S Opt Roll Defer '!F83)*'Product Data'!$P$18)</f>
        <v>0</v>
      </c>
      <c r="J83" s="1927">
        <f t="shared" si="5"/>
        <v>0</v>
      </c>
      <c r="K83" s="1928">
        <v>9.1000000000000993E-3</v>
      </c>
      <c r="L83" s="1931">
        <f>($K$9*24)/((($J$8-BBR+'Product Data'!$K$2-'KB_C&amp;S Opt Roll Defer '!$K83)/12)*(24-'KB_C&amp;S Opt Roll Defer '!J83)*'Product Data'!$P$18)</f>
        <v>0</v>
      </c>
    </row>
    <row r="84" spans="2:12" x14ac:dyDescent="0.25">
      <c r="B84" s="1927">
        <f t="shared" si="3"/>
        <v>0</v>
      </c>
      <c r="C84" s="1928">
        <v>9.0000000000000999E-3</v>
      </c>
      <c r="D84" s="1931">
        <f>($C$9*24)/((($B$8-BBR+'Product Data'!$K$3-C84)/12)*(24-B84)*'Product Data'!$P$18)</f>
        <v>0</v>
      </c>
      <c r="F84" s="1927">
        <f t="shared" si="4"/>
        <v>0</v>
      </c>
      <c r="G84" s="1928">
        <v>9.0000000000000999E-3</v>
      </c>
      <c r="H84" s="1931">
        <f>($G$9*24)/((($F$8-BBR+'Product Data'!$K$3-'KB_C&amp;S Opt Roll Defer '!$G84)/12)*(24-'KB_C&amp;S Opt Roll Defer '!F84)*'Product Data'!$P$18)</f>
        <v>0</v>
      </c>
      <c r="J84" s="1927">
        <f t="shared" si="5"/>
        <v>0</v>
      </c>
      <c r="K84" s="1928">
        <v>9.0000000000000999E-3</v>
      </c>
      <c r="L84" s="1931">
        <f>($K$9*24)/((($J$8-BBR+'Product Data'!$K$2-'KB_C&amp;S Opt Roll Defer '!$K84)/12)*(24-'KB_C&amp;S Opt Roll Defer '!J84)*'Product Data'!$P$18)</f>
        <v>0</v>
      </c>
    </row>
    <row r="85" spans="2:12" x14ac:dyDescent="0.25">
      <c r="B85" s="1927">
        <f t="shared" si="3"/>
        <v>0</v>
      </c>
      <c r="C85" s="1928">
        <v>8.9000000000001005E-3</v>
      </c>
      <c r="D85" s="1931">
        <f>($C$9*24)/((($B$8-BBR+'Product Data'!$K$3-C85)/12)*(24-B85)*'Product Data'!$P$18)</f>
        <v>0</v>
      </c>
      <c r="F85" s="1927">
        <f t="shared" si="4"/>
        <v>0</v>
      </c>
      <c r="G85" s="1928">
        <v>8.9000000000001005E-3</v>
      </c>
      <c r="H85" s="1931">
        <f>($G$9*24)/((($F$8-BBR+'Product Data'!$K$3-'KB_C&amp;S Opt Roll Defer '!$G85)/12)*(24-'KB_C&amp;S Opt Roll Defer '!F85)*'Product Data'!$P$18)</f>
        <v>0</v>
      </c>
      <c r="J85" s="1927">
        <f t="shared" si="5"/>
        <v>0</v>
      </c>
      <c r="K85" s="1928">
        <v>8.9000000000001005E-3</v>
      </c>
      <c r="L85" s="1931">
        <f>($K$9*24)/((($J$8-BBR+'Product Data'!$K$2-'KB_C&amp;S Opt Roll Defer '!$K85)/12)*(24-'KB_C&amp;S Opt Roll Defer '!J85)*'Product Data'!$P$18)</f>
        <v>0</v>
      </c>
    </row>
    <row r="86" spans="2:12" x14ac:dyDescent="0.25">
      <c r="B86" s="1927">
        <f t="shared" si="3"/>
        <v>0</v>
      </c>
      <c r="C86" s="1928">
        <v>8.8000000000000994E-3</v>
      </c>
      <c r="D86" s="1931">
        <f>($C$9*24)/((($B$8-BBR+'Product Data'!$K$3-C86)/12)*(24-B86)*'Product Data'!$P$18)</f>
        <v>0</v>
      </c>
      <c r="F86" s="1927">
        <f t="shared" si="4"/>
        <v>0</v>
      </c>
      <c r="G86" s="1928">
        <v>8.8000000000000994E-3</v>
      </c>
      <c r="H86" s="1931">
        <f>($G$9*24)/((($F$8-BBR+'Product Data'!$K$3-'KB_C&amp;S Opt Roll Defer '!$G86)/12)*(24-'KB_C&amp;S Opt Roll Defer '!F86)*'Product Data'!$P$18)</f>
        <v>0</v>
      </c>
      <c r="J86" s="1927">
        <f t="shared" si="5"/>
        <v>0</v>
      </c>
      <c r="K86" s="1928">
        <v>8.8000000000000994E-3</v>
      </c>
      <c r="L86" s="1931">
        <f>($K$9*24)/((($J$8-BBR+'Product Data'!$K$2-'KB_C&amp;S Opt Roll Defer '!$K86)/12)*(24-'KB_C&amp;S Opt Roll Defer '!J86)*'Product Data'!$P$18)</f>
        <v>0</v>
      </c>
    </row>
    <row r="87" spans="2:12" x14ac:dyDescent="0.25">
      <c r="B87" s="1927">
        <f t="shared" si="3"/>
        <v>0</v>
      </c>
      <c r="C87" s="1928">
        <v>8.7000000000001E-3</v>
      </c>
      <c r="D87" s="1931">
        <f>($C$9*24)/((($B$8-BBR+'Product Data'!$K$3-C87)/12)*(24-B87)*'Product Data'!$P$18)</f>
        <v>0</v>
      </c>
      <c r="F87" s="1927">
        <f t="shared" si="4"/>
        <v>0</v>
      </c>
      <c r="G87" s="1928">
        <v>8.7000000000001E-3</v>
      </c>
      <c r="H87" s="1931">
        <f>($G$9*24)/((($F$8-BBR+'Product Data'!$K$3-'KB_C&amp;S Opt Roll Defer '!$G87)/12)*(24-'KB_C&amp;S Opt Roll Defer '!F87)*'Product Data'!$P$18)</f>
        <v>0</v>
      </c>
      <c r="J87" s="1927">
        <f t="shared" si="5"/>
        <v>0</v>
      </c>
      <c r="K87" s="1928">
        <v>8.7000000000001E-3</v>
      </c>
      <c r="L87" s="1931">
        <f>($K$9*24)/((($J$8-BBR+'Product Data'!$K$2-'KB_C&amp;S Opt Roll Defer '!$K87)/12)*(24-'KB_C&amp;S Opt Roll Defer '!J87)*'Product Data'!$P$18)</f>
        <v>0</v>
      </c>
    </row>
    <row r="88" spans="2:12" x14ac:dyDescent="0.25">
      <c r="B88" s="1927">
        <f t="shared" si="3"/>
        <v>0</v>
      </c>
      <c r="C88" s="1928">
        <v>8.6000000000001006E-3</v>
      </c>
      <c r="D88" s="1931">
        <f>($C$9*24)/((($B$8-BBR+'Product Data'!$K$3-C88)/12)*(24-B88)*'Product Data'!$P$18)</f>
        <v>0</v>
      </c>
      <c r="F88" s="1927">
        <f t="shared" si="4"/>
        <v>0</v>
      </c>
      <c r="G88" s="1928">
        <v>8.6000000000001006E-3</v>
      </c>
      <c r="H88" s="1931">
        <f>($G$9*24)/((($F$8-BBR+'Product Data'!$K$3-'KB_C&amp;S Opt Roll Defer '!$G88)/12)*(24-'KB_C&amp;S Opt Roll Defer '!F88)*'Product Data'!$P$18)</f>
        <v>0</v>
      </c>
      <c r="J88" s="1927">
        <f t="shared" si="5"/>
        <v>0</v>
      </c>
      <c r="K88" s="1928">
        <v>8.6000000000001006E-3</v>
      </c>
      <c r="L88" s="1931">
        <f>($K$9*24)/((($J$8-BBR+'Product Data'!$K$2-'KB_C&amp;S Opt Roll Defer '!$K88)/12)*(24-'KB_C&amp;S Opt Roll Defer '!J88)*'Product Data'!$P$18)</f>
        <v>0</v>
      </c>
    </row>
    <row r="89" spans="2:12" x14ac:dyDescent="0.25">
      <c r="B89" s="1927">
        <f t="shared" si="3"/>
        <v>0</v>
      </c>
      <c r="C89" s="1928">
        <v>8.5000000000000995E-3</v>
      </c>
      <c r="D89" s="1931">
        <f>($C$9*24)/((($B$8-BBR+'Product Data'!$K$3-C89)/12)*(24-B89)*'Product Data'!$P$18)</f>
        <v>0</v>
      </c>
      <c r="F89" s="1927">
        <f t="shared" si="4"/>
        <v>0</v>
      </c>
      <c r="G89" s="1928">
        <v>8.5000000000000995E-3</v>
      </c>
      <c r="H89" s="1931">
        <f>($G$9*24)/((($F$8-BBR+'Product Data'!$K$3-'KB_C&amp;S Opt Roll Defer '!$G89)/12)*(24-'KB_C&amp;S Opt Roll Defer '!F89)*'Product Data'!$P$18)</f>
        <v>0</v>
      </c>
      <c r="J89" s="1927">
        <f t="shared" si="5"/>
        <v>0</v>
      </c>
      <c r="K89" s="1928">
        <v>8.5000000000000995E-3</v>
      </c>
      <c r="L89" s="1931">
        <f>($K$9*24)/((($J$8-BBR+'Product Data'!$K$2-'KB_C&amp;S Opt Roll Defer '!$K89)/12)*(24-'KB_C&amp;S Opt Roll Defer '!J89)*'Product Data'!$P$18)</f>
        <v>0</v>
      </c>
    </row>
    <row r="90" spans="2:12" x14ac:dyDescent="0.25">
      <c r="B90" s="1927">
        <f t="shared" ref="B90:B153" si="6">B89</f>
        <v>0</v>
      </c>
      <c r="C90" s="1928">
        <v>8.4000000000001001E-3</v>
      </c>
      <c r="D90" s="1931">
        <f>($C$9*24)/((($B$8-BBR+'Product Data'!$K$3-C90)/12)*(24-B90)*'Product Data'!$P$18)</f>
        <v>0</v>
      </c>
      <c r="F90" s="1927">
        <f t="shared" ref="F90:F153" si="7">F89</f>
        <v>0</v>
      </c>
      <c r="G90" s="1928">
        <v>8.4000000000001001E-3</v>
      </c>
      <c r="H90" s="1931">
        <f>($G$9*24)/((($F$8-BBR+'Product Data'!$K$3-'KB_C&amp;S Opt Roll Defer '!$G90)/12)*(24-'KB_C&amp;S Opt Roll Defer '!F90)*'Product Data'!$P$18)</f>
        <v>0</v>
      </c>
      <c r="J90" s="1927">
        <f t="shared" ref="J90:J153" si="8">J89</f>
        <v>0</v>
      </c>
      <c r="K90" s="1928">
        <v>8.4000000000001001E-3</v>
      </c>
      <c r="L90" s="1931">
        <f>($K$9*24)/((($J$8-BBR+'Product Data'!$K$2-'KB_C&amp;S Opt Roll Defer '!$K90)/12)*(24-'KB_C&amp;S Opt Roll Defer '!J90)*'Product Data'!$P$18)</f>
        <v>0</v>
      </c>
    </row>
    <row r="91" spans="2:12" x14ac:dyDescent="0.25">
      <c r="B91" s="1927">
        <f t="shared" si="6"/>
        <v>0</v>
      </c>
      <c r="C91" s="1928">
        <v>8.3000000000001007E-3</v>
      </c>
      <c r="D91" s="1931">
        <f>($C$9*24)/((($B$8-BBR+'Product Data'!$K$3-C91)/12)*(24-B91)*'Product Data'!$P$18)</f>
        <v>0</v>
      </c>
      <c r="F91" s="1927">
        <f t="shared" si="7"/>
        <v>0</v>
      </c>
      <c r="G91" s="1928">
        <v>8.3000000000001007E-3</v>
      </c>
      <c r="H91" s="1931">
        <f>($G$9*24)/((($F$8-BBR+'Product Data'!$K$3-'KB_C&amp;S Opt Roll Defer '!$G91)/12)*(24-'KB_C&amp;S Opt Roll Defer '!F91)*'Product Data'!$P$18)</f>
        <v>0</v>
      </c>
      <c r="J91" s="1927">
        <f t="shared" si="8"/>
        <v>0</v>
      </c>
      <c r="K91" s="1928">
        <v>8.3000000000001007E-3</v>
      </c>
      <c r="L91" s="1931">
        <f>($K$9*24)/((($J$8-BBR+'Product Data'!$K$2-'KB_C&amp;S Opt Roll Defer '!$K91)/12)*(24-'KB_C&amp;S Opt Roll Defer '!J91)*'Product Data'!$P$18)</f>
        <v>0</v>
      </c>
    </row>
    <row r="92" spans="2:12" x14ac:dyDescent="0.25">
      <c r="B92" s="1927">
        <f t="shared" si="6"/>
        <v>0</v>
      </c>
      <c r="C92" s="1928">
        <v>8.2000000000000996E-3</v>
      </c>
      <c r="D92" s="1931">
        <f>($C$9*24)/((($B$8-BBR+'Product Data'!$K$3-C92)/12)*(24-B92)*'Product Data'!$P$18)</f>
        <v>0</v>
      </c>
      <c r="F92" s="1927">
        <f t="shared" si="7"/>
        <v>0</v>
      </c>
      <c r="G92" s="1928">
        <v>8.2000000000000996E-3</v>
      </c>
      <c r="H92" s="1931">
        <f>($G$9*24)/((($F$8-BBR+'Product Data'!$K$3-'KB_C&amp;S Opt Roll Defer '!$G92)/12)*(24-'KB_C&amp;S Opt Roll Defer '!F92)*'Product Data'!$P$18)</f>
        <v>0</v>
      </c>
      <c r="J92" s="1927">
        <f t="shared" si="8"/>
        <v>0</v>
      </c>
      <c r="K92" s="1928">
        <v>8.2000000000000996E-3</v>
      </c>
      <c r="L92" s="1931">
        <f>($K$9*24)/((($J$8-BBR+'Product Data'!$K$2-'KB_C&amp;S Opt Roll Defer '!$K92)/12)*(24-'KB_C&amp;S Opt Roll Defer '!J92)*'Product Data'!$P$18)</f>
        <v>0</v>
      </c>
    </row>
    <row r="93" spans="2:12" x14ac:dyDescent="0.25">
      <c r="B93" s="1927">
        <f t="shared" si="6"/>
        <v>0</v>
      </c>
      <c r="C93" s="1928">
        <v>8.1000000000001002E-3</v>
      </c>
      <c r="D93" s="1931">
        <f>($C$9*24)/((($B$8-BBR+'Product Data'!$K$3-C93)/12)*(24-B93)*'Product Data'!$P$18)</f>
        <v>0</v>
      </c>
      <c r="F93" s="1927">
        <f t="shared" si="7"/>
        <v>0</v>
      </c>
      <c r="G93" s="1928">
        <v>8.1000000000001002E-3</v>
      </c>
      <c r="H93" s="1931">
        <f>($G$9*24)/((($F$8-BBR+'Product Data'!$K$3-'KB_C&amp;S Opt Roll Defer '!$G93)/12)*(24-'KB_C&amp;S Opt Roll Defer '!F93)*'Product Data'!$P$18)</f>
        <v>0</v>
      </c>
      <c r="J93" s="1927">
        <f t="shared" si="8"/>
        <v>0</v>
      </c>
      <c r="K93" s="1928">
        <v>8.1000000000001002E-3</v>
      </c>
      <c r="L93" s="1931">
        <f>($K$9*24)/((($J$8-BBR+'Product Data'!$K$2-'KB_C&amp;S Opt Roll Defer '!$K93)/12)*(24-'KB_C&amp;S Opt Roll Defer '!J93)*'Product Data'!$P$18)</f>
        <v>0</v>
      </c>
    </row>
    <row r="94" spans="2:12" x14ac:dyDescent="0.25">
      <c r="B94" s="1927">
        <f t="shared" si="6"/>
        <v>0</v>
      </c>
      <c r="C94" s="1928">
        <v>8.0000000000001008E-3</v>
      </c>
      <c r="D94" s="1931">
        <f>($C$9*24)/((($B$8-BBR+'Product Data'!$K$3-C94)/12)*(24-B94)*'Product Data'!$P$18)</f>
        <v>0</v>
      </c>
      <c r="F94" s="1927">
        <f t="shared" si="7"/>
        <v>0</v>
      </c>
      <c r="G94" s="1928">
        <v>8.0000000000001008E-3</v>
      </c>
      <c r="H94" s="1931">
        <f>($G$9*24)/((($F$8-BBR+'Product Data'!$K$3-'KB_C&amp;S Opt Roll Defer '!$G94)/12)*(24-'KB_C&amp;S Opt Roll Defer '!F94)*'Product Data'!$P$18)</f>
        <v>0</v>
      </c>
      <c r="J94" s="1927">
        <f t="shared" si="8"/>
        <v>0</v>
      </c>
      <c r="K94" s="1928">
        <v>8.0000000000001008E-3</v>
      </c>
      <c r="L94" s="1931">
        <f>($K$9*24)/((($J$8-BBR+'Product Data'!$K$2-'KB_C&amp;S Opt Roll Defer '!$K94)/12)*(24-'KB_C&amp;S Opt Roll Defer '!J94)*'Product Data'!$P$18)</f>
        <v>0</v>
      </c>
    </row>
    <row r="95" spans="2:12" x14ac:dyDescent="0.25">
      <c r="B95" s="1927">
        <f t="shared" si="6"/>
        <v>0</v>
      </c>
      <c r="C95" s="1928">
        <v>7.9000000000000997E-3</v>
      </c>
      <c r="D95" s="1931">
        <f>($C$9*24)/((($B$8-BBR+'Product Data'!$K$3-C95)/12)*(24-B95)*'Product Data'!$P$18)</f>
        <v>0</v>
      </c>
      <c r="F95" s="1927">
        <f t="shared" si="7"/>
        <v>0</v>
      </c>
      <c r="G95" s="1928">
        <v>7.9000000000000997E-3</v>
      </c>
      <c r="H95" s="1931">
        <f>($G$9*24)/((($F$8-BBR+'Product Data'!$K$3-'KB_C&amp;S Opt Roll Defer '!$G95)/12)*(24-'KB_C&amp;S Opt Roll Defer '!F95)*'Product Data'!$P$18)</f>
        <v>0</v>
      </c>
      <c r="J95" s="1927">
        <f t="shared" si="8"/>
        <v>0</v>
      </c>
      <c r="K95" s="1928">
        <v>7.9000000000000997E-3</v>
      </c>
      <c r="L95" s="1931">
        <f>($K$9*24)/((($J$8-BBR+'Product Data'!$K$2-'KB_C&amp;S Opt Roll Defer '!$K95)/12)*(24-'KB_C&amp;S Opt Roll Defer '!J95)*'Product Data'!$P$18)</f>
        <v>0</v>
      </c>
    </row>
    <row r="96" spans="2:12" x14ac:dyDescent="0.25">
      <c r="B96" s="1927">
        <f t="shared" si="6"/>
        <v>0</v>
      </c>
      <c r="C96" s="1928">
        <v>7.8000000000001003E-3</v>
      </c>
      <c r="D96" s="1931">
        <f>($C$9*24)/((($B$8-BBR+'Product Data'!$K$3-C96)/12)*(24-B96)*'Product Data'!$P$18)</f>
        <v>0</v>
      </c>
      <c r="F96" s="1927">
        <f t="shared" si="7"/>
        <v>0</v>
      </c>
      <c r="G96" s="1928">
        <v>7.8000000000001003E-3</v>
      </c>
      <c r="H96" s="1931">
        <f>($G$9*24)/((($F$8-BBR+'Product Data'!$K$3-'KB_C&amp;S Opt Roll Defer '!$G96)/12)*(24-'KB_C&amp;S Opt Roll Defer '!F96)*'Product Data'!$P$18)</f>
        <v>0</v>
      </c>
      <c r="J96" s="1927">
        <f t="shared" si="8"/>
        <v>0</v>
      </c>
      <c r="K96" s="1928">
        <v>7.8000000000001003E-3</v>
      </c>
      <c r="L96" s="1931">
        <f>($K$9*24)/((($J$8-BBR+'Product Data'!$K$2-'KB_C&amp;S Opt Roll Defer '!$K96)/12)*(24-'KB_C&amp;S Opt Roll Defer '!J96)*'Product Data'!$P$18)</f>
        <v>0</v>
      </c>
    </row>
    <row r="97" spans="2:12" x14ac:dyDescent="0.25">
      <c r="B97" s="1927">
        <f t="shared" si="6"/>
        <v>0</v>
      </c>
      <c r="C97" s="1928">
        <v>7.7000000000001E-3</v>
      </c>
      <c r="D97" s="1931">
        <f>($C$9*24)/((($B$8-BBR+'Product Data'!$K$3-C97)/12)*(24-B97)*'Product Data'!$P$18)</f>
        <v>0</v>
      </c>
      <c r="F97" s="1927">
        <f t="shared" si="7"/>
        <v>0</v>
      </c>
      <c r="G97" s="1928">
        <v>7.7000000000001E-3</v>
      </c>
      <c r="H97" s="1931">
        <f>($G$9*24)/((($F$8-BBR+'Product Data'!$K$3-'KB_C&amp;S Opt Roll Defer '!$G97)/12)*(24-'KB_C&amp;S Opt Roll Defer '!F97)*'Product Data'!$P$18)</f>
        <v>0</v>
      </c>
      <c r="J97" s="1927">
        <f t="shared" si="8"/>
        <v>0</v>
      </c>
      <c r="K97" s="1928">
        <v>7.7000000000001E-3</v>
      </c>
      <c r="L97" s="1931">
        <f>($K$9*24)/((($J$8-BBR+'Product Data'!$K$2-'KB_C&amp;S Opt Roll Defer '!$K97)/12)*(24-'KB_C&amp;S Opt Roll Defer '!J97)*'Product Data'!$P$18)</f>
        <v>0</v>
      </c>
    </row>
    <row r="98" spans="2:12" x14ac:dyDescent="0.25">
      <c r="B98" s="1927">
        <f t="shared" si="6"/>
        <v>0</v>
      </c>
      <c r="C98" s="1928">
        <v>7.6000000000000997E-3</v>
      </c>
      <c r="D98" s="1931">
        <f>($C$9*24)/((($B$8-BBR+'Product Data'!$K$3-C98)/12)*(24-B98)*'Product Data'!$P$18)</f>
        <v>0</v>
      </c>
      <c r="F98" s="1927">
        <f t="shared" si="7"/>
        <v>0</v>
      </c>
      <c r="G98" s="1928">
        <v>7.6000000000000997E-3</v>
      </c>
      <c r="H98" s="1931">
        <f>($G$9*24)/((($F$8-BBR+'Product Data'!$K$3-'KB_C&amp;S Opt Roll Defer '!$G98)/12)*(24-'KB_C&amp;S Opt Roll Defer '!F98)*'Product Data'!$P$18)</f>
        <v>0</v>
      </c>
      <c r="J98" s="1927">
        <f t="shared" si="8"/>
        <v>0</v>
      </c>
      <c r="K98" s="1928">
        <v>7.6000000000000997E-3</v>
      </c>
      <c r="L98" s="1931">
        <f>($K$9*24)/((($J$8-BBR+'Product Data'!$K$2-'KB_C&amp;S Opt Roll Defer '!$K98)/12)*(24-'KB_C&amp;S Opt Roll Defer '!J98)*'Product Data'!$P$18)</f>
        <v>0</v>
      </c>
    </row>
    <row r="99" spans="2:12" x14ac:dyDescent="0.25">
      <c r="B99" s="1927">
        <f t="shared" si="6"/>
        <v>0</v>
      </c>
      <c r="C99" s="1928">
        <v>7.5000000000001003E-3</v>
      </c>
      <c r="D99" s="1931">
        <f>($C$9*24)/((($B$8-BBR+'Product Data'!$K$3-C99)/12)*(24-B99)*'Product Data'!$P$18)</f>
        <v>0</v>
      </c>
      <c r="F99" s="1927">
        <f t="shared" si="7"/>
        <v>0</v>
      </c>
      <c r="G99" s="1928">
        <v>7.5000000000001003E-3</v>
      </c>
      <c r="H99" s="1931">
        <f>($G$9*24)/((($F$8-BBR+'Product Data'!$K$3-'KB_C&amp;S Opt Roll Defer '!$G99)/12)*(24-'KB_C&amp;S Opt Roll Defer '!F99)*'Product Data'!$P$18)</f>
        <v>0</v>
      </c>
      <c r="J99" s="1927">
        <f t="shared" si="8"/>
        <v>0</v>
      </c>
      <c r="K99" s="1928">
        <v>7.5000000000001003E-3</v>
      </c>
      <c r="L99" s="1931">
        <f>($K$9*24)/((($J$8-BBR+'Product Data'!$K$2-'KB_C&amp;S Opt Roll Defer '!$K99)/12)*(24-'KB_C&amp;S Opt Roll Defer '!J99)*'Product Data'!$P$18)</f>
        <v>0</v>
      </c>
    </row>
    <row r="100" spans="2:12" x14ac:dyDescent="0.25">
      <c r="B100" s="1927">
        <f t="shared" si="6"/>
        <v>0</v>
      </c>
      <c r="C100" s="1928">
        <v>7.4000000000001001E-3</v>
      </c>
      <c r="D100" s="1931">
        <f>($C$9*24)/((($B$8-BBR+'Product Data'!$K$3-C100)/12)*(24-B100)*'Product Data'!$P$18)</f>
        <v>0</v>
      </c>
      <c r="F100" s="1927">
        <f t="shared" si="7"/>
        <v>0</v>
      </c>
      <c r="G100" s="1928">
        <v>7.4000000000001001E-3</v>
      </c>
      <c r="H100" s="1931">
        <f>($G$9*24)/((($F$8-BBR+'Product Data'!$K$3-'KB_C&amp;S Opt Roll Defer '!$G100)/12)*(24-'KB_C&amp;S Opt Roll Defer '!F100)*'Product Data'!$P$18)</f>
        <v>0</v>
      </c>
      <c r="J100" s="1927">
        <f t="shared" si="8"/>
        <v>0</v>
      </c>
      <c r="K100" s="1928">
        <v>7.4000000000001001E-3</v>
      </c>
      <c r="L100" s="1931">
        <f>($K$9*24)/((($J$8-BBR+'Product Data'!$K$2-'KB_C&amp;S Opt Roll Defer '!$K100)/12)*(24-'KB_C&amp;S Opt Roll Defer '!J100)*'Product Data'!$P$18)</f>
        <v>0</v>
      </c>
    </row>
    <row r="101" spans="2:12" x14ac:dyDescent="0.25">
      <c r="B101" s="1927">
        <f t="shared" si="6"/>
        <v>0</v>
      </c>
      <c r="C101" s="1928">
        <v>7.3000000000000998E-3</v>
      </c>
      <c r="D101" s="1931">
        <f>($C$9*24)/((($B$8-BBR+'Product Data'!$K$3-C101)/12)*(24-B101)*'Product Data'!$P$18)</f>
        <v>0</v>
      </c>
      <c r="F101" s="1927">
        <f t="shared" si="7"/>
        <v>0</v>
      </c>
      <c r="G101" s="1928">
        <v>7.3000000000000998E-3</v>
      </c>
      <c r="H101" s="1931">
        <f>($G$9*24)/((($F$8-BBR+'Product Data'!$K$3-'KB_C&amp;S Opt Roll Defer '!$G101)/12)*(24-'KB_C&amp;S Opt Roll Defer '!F101)*'Product Data'!$P$18)</f>
        <v>0</v>
      </c>
      <c r="J101" s="1927">
        <f t="shared" si="8"/>
        <v>0</v>
      </c>
      <c r="K101" s="1928">
        <v>7.3000000000000998E-3</v>
      </c>
      <c r="L101" s="1931">
        <f>($K$9*24)/((($J$8-BBR+'Product Data'!$K$2-'KB_C&amp;S Opt Roll Defer '!$K101)/12)*(24-'KB_C&amp;S Opt Roll Defer '!J101)*'Product Data'!$P$18)</f>
        <v>0</v>
      </c>
    </row>
    <row r="102" spans="2:12" x14ac:dyDescent="0.25">
      <c r="B102" s="1927">
        <f t="shared" si="6"/>
        <v>0</v>
      </c>
      <c r="C102" s="1928">
        <v>7.2000000000001004E-3</v>
      </c>
      <c r="D102" s="1931">
        <f>($C$9*24)/((($B$8-BBR+'Product Data'!$K$3-C102)/12)*(24-B102)*'Product Data'!$P$18)</f>
        <v>0</v>
      </c>
      <c r="F102" s="1927">
        <f t="shared" si="7"/>
        <v>0</v>
      </c>
      <c r="G102" s="1928">
        <v>7.2000000000001004E-3</v>
      </c>
      <c r="H102" s="1931">
        <f>($G$9*24)/((($F$8-BBR+'Product Data'!$K$3-'KB_C&amp;S Opt Roll Defer '!$G102)/12)*(24-'KB_C&amp;S Opt Roll Defer '!F102)*'Product Data'!$P$18)</f>
        <v>0</v>
      </c>
      <c r="J102" s="1927">
        <f t="shared" si="8"/>
        <v>0</v>
      </c>
      <c r="K102" s="1928">
        <v>7.2000000000001004E-3</v>
      </c>
      <c r="L102" s="1931">
        <f>($K$9*24)/((($J$8-BBR+'Product Data'!$K$2-'KB_C&amp;S Opt Roll Defer '!$K102)/12)*(24-'KB_C&amp;S Opt Roll Defer '!J102)*'Product Data'!$P$18)</f>
        <v>0</v>
      </c>
    </row>
    <row r="103" spans="2:12" x14ac:dyDescent="0.25">
      <c r="B103" s="1927">
        <f t="shared" si="6"/>
        <v>0</v>
      </c>
      <c r="C103" s="1928">
        <v>7.1000000000001002E-3</v>
      </c>
      <c r="D103" s="1931">
        <f>($C$9*24)/((($B$8-BBR+'Product Data'!$K$3-C103)/12)*(24-B103)*'Product Data'!$P$18)</f>
        <v>0</v>
      </c>
      <c r="F103" s="1927">
        <f t="shared" si="7"/>
        <v>0</v>
      </c>
      <c r="G103" s="1928">
        <v>7.1000000000001002E-3</v>
      </c>
      <c r="H103" s="1931">
        <f>($G$9*24)/((($F$8-BBR+'Product Data'!$K$3-'KB_C&amp;S Opt Roll Defer '!$G103)/12)*(24-'KB_C&amp;S Opt Roll Defer '!F103)*'Product Data'!$P$18)</f>
        <v>0</v>
      </c>
      <c r="J103" s="1927">
        <f t="shared" si="8"/>
        <v>0</v>
      </c>
      <c r="K103" s="1928">
        <v>7.1000000000001002E-3</v>
      </c>
      <c r="L103" s="1931">
        <f>($K$9*24)/((($J$8-BBR+'Product Data'!$K$2-'KB_C&amp;S Opt Roll Defer '!$K103)/12)*(24-'KB_C&amp;S Opt Roll Defer '!J103)*'Product Data'!$P$18)</f>
        <v>0</v>
      </c>
    </row>
    <row r="104" spans="2:12" x14ac:dyDescent="0.25">
      <c r="B104" s="1927">
        <f t="shared" si="6"/>
        <v>0</v>
      </c>
      <c r="C104" s="1928">
        <v>7.0000000000000999E-3</v>
      </c>
      <c r="D104" s="1931">
        <f>($C$9*24)/((($B$8-BBR+'Product Data'!$K$3-C104)/12)*(24-B104)*'Product Data'!$P$18)</f>
        <v>0</v>
      </c>
      <c r="F104" s="1927">
        <f t="shared" si="7"/>
        <v>0</v>
      </c>
      <c r="G104" s="1928">
        <v>7.0000000000000999E-3</v>
      </c>
      <c r="H104" s="1931">
        <f>($G$9*24)/((($F$8-BBR+'Product Data'!$K$3-'KB_C&amp;S Opt Roll Defer '!$G104)/12)*(24-'KB_C&amp;S Opt Roll Defer '!F104)*'Product Data'!$P$18)</f>
        <v>0</v>
      </c>
      <c r="J104" s="1927">
        <f t="shared" si="8"/>
        <v>0</v>
      </c>
      <c r="K104" s="1928">
        <v>7.0000000000000999E-3</v>
      </c>
      <c r="L104" s="1931">
        <f>($K$9*24)/((($J$8-BBR+'Product Data'!$K$2-'KB_C&amp;S Opt Roll Defer '!$K104)/12)*(24-'KB_C&amp;S Opt Roll Defer '!J104)*'Product Data'!$P$18)</f>
        <v>0</v>
      </c>
    </row>
    <row r="105" spans="2:12" x14ac:dyDescent="0.25">
      <c r="B105" s="1927">
        <f t="shared" si="6"/>
        <v>0</v>
      </c>
      <c r="C105" s="1928">
        <v>6.9000000000000996E-3</v>
      </c>
      <c r="D105" s="1931">
        <f>($C$9*24)/((($B$8-BBR+'Product Data'!$K$3-C105)/12)*(24-B105)*'Product Data'!$P$18)</f>
        <v>0</v>
      </c>
      <c r="F105" s="1927">
        <f t="shared" si="7"/>
        <v>0</v>
      </c>
      <c r="G105" s="1928">
        <v>6.9000000000000996E-3</v>
      </c>
      <c r="H105" s="1931">
        <f>($G$9*24)/((($F$8-BBR+'Product Data'!$K$3-'KB_C&amp;S Opt Roll Defer '!$G105)/12)*(24-'KB_C&amp;S Opt Roll Defer '!F105)*'Product Data'!$P$18)</f>
        <v>0</v>
      </c>
      <c r="J105" s="1927">
        <f t="shared" si="8"/>
        <v>0</v>
      </c>
      <c r="K105" s="1928">
        <v>6.9000000000000996E-3</v>
      </c>
      <c r="L105" s="1931">
        <f>($K$9*24)/((($J$8-BBR+'Product Data'!$K$2-'KB_C&amp;S Opt Roll Defer '!$K105)/12)*(24-'KB_C&amp;S Opt Roll Defer '!J105)*'Product Data'!$P$18)</f>
        <v>0</v>
      </c>
    </row>
    <row r="106" spans="2:12" x14ac:dyDescent="0.25">
      <c r="B106" s="1927">
        <f t="shared" si="6"/>
        <v>0</v>
      </c>
      <c r="C106" s="1928">
        <v>6.8000000000001002E-3</v>
      </c>
      <c r="D106" s="1931">
        <f>($C$9*24)/((($B$8-BBR+'Product Data'!$K$3-C106)/12)*(24-B106)*'Product Data'!$P$18)</f>
        <v>0</v>
      </c>
      <c r="F106" s="1927">
        <f t="shared" si="7"/>
        <v>0</v>
      </c>
      <c r="G106" s="1928">
        <v>6.8000000000001002E-3</v>
      </c>
      <c r="H106" s="1931">
        <f>($G$9*24)/((($F$8-BBR+'Product Data'!$K$3-'KB_C&amp;S Opt Roll Defer '!$G106)/12)*(24-'KB_C&amp;S Opt Roll Defer '!F106)*'Product Data'!$P$18)</f>
        <v>0</v>
      </c>
      <c r="J106" s="1927">
        <f t="shared" si="8"/>
        <v>0</v>
      </c>
      <c r="K106" s="1928">
        <v>6.8000000000001002E-3</v>
      </c>
      <c r="L106" s="1931">
        <f>($K$9*24)/((($J$8-BBR+'Product Data'!$K$2-'KB_C&amp;S Opt Roll Defer '!$K106)/12)*(24-'KB_C&amp;S Opt Roll Defer '!J106)*'Product Data'!$P$18)</f>
        <v>0</v>
      </c>
    </row>
    <row r="107" spans="2:12" x14ac:dyDescent="0.25">
      <c r="B107" s="1927">
        <f t="shared" si="6"/>
        <v>0</v>
      </c>
      <c r="C107" s="1928">
        <v>6.7000000000001E-3</v>
      </c>
      <c r="D107" s="1931">
        <f>($C$9*24)/((($B$8-BBR+'Product Data'!$K$3-C107)/12)*(24-B107)*'Product Data'!$P$18)</f>
        <v>0</v>
      </c>
      <c r="F107" s="1927">
        <f t="shared" si="7"/>
        <v>0</v>
      </c>
      <c r="G107" s="1928">
        <v>6.7000000000001E-3</v>
      </c>
      <c r="H107" s="1931">
        <f>($G$9*24)/((($F$8-BBR+'Product Data'!$K$3-'KB_C&amp;S Opt Roll Defer '!$G107)/12)*(24-'KB_C&amp;S Opt Roll Defer '!F107)*'Product Data'!$P$18)</f>
        <v>0</v>
      </c>
      <c r="J107" s="1927">
        <f t="shared" si="8"/>
        <v>0</v>
      </c>
      <c r="K107" s="1928">
        <v>6.7000000000001E-3</v>
      </c>
      <c r="L107" s="1931">
        <f>($K$9*24)/((($J$8-BBR+'Product Data'!$K$2-'KB_C&amp;S Opt Roll Defer '!$K107)/12)*(24-'KB_C&amp;S Opt Roll Defer '!J107)*'Product Data'!$P$18)</f>
        <v>0</v>
      </c>
    </row>
    <row r="108" spans="2:12" x14ac:dyDescent="0.25">
      <c r="B108" s="1927">
        <f t="shared" si="6"/>
        <v>0</v>
      </c>
      <c r="C108" s="1928">
        <v>6.6000000000000997E-3</v>
      </c>
      <c r="D108" s="1931">
        <f>($C$9*24)/((($B$8-BBR+'Product Data'!$K$3-C108)/12)*(24-B108)*'Product Data'!$P$18)</f>
        <v>0</v>
      </c>
      <c r="F108" s="1927">
        <f t="shared" si="7"/>
        <v>0</v>
      </c>
      <c r="G108" s="1928">
        <v>6.6000000000000997E-3</v>
      </c>
      <c r="H108" s="1931">
        <f>($G$9*24)/((($F$8-BBR+'Product Data'!$K$3-'KB_C&amp;S Opt Roll Defer '!$G108)/12)*(24-'KB_C&amp;S Opt Roll Defer '!F108)*'Product Data'!$P$18)</f>
        <v>0</v>
      </c>
      <c r="J108" s="1927">
        <f t="shared" si="8"/>
        <v>0</v>
      </c>
      <c r="K108" s="1928">
        <v>6.6000000000000997E-3</v>
      </c>
      <c r="L108" s="1931">
        <f>($K$9*24)/((($J$8-BBR+'Product Data'!$K$2-'KB_C&amp;S Opt Roll Defer '!$K108)/12)*(24-'KB_C&amp;S Opt Roll Defer '!J108)*'Product Data'!$P$18)</f>
        <v>0</v>
      </c>
    </row>
    <row r="109" spans="2:12" x14ac:dyDescent="0.25">
      <c r="B109" s="1927">
        <f t="shared" si="6"/>
        <v>0</v>
      </c>
      <c r="C109" s="1928">
        <v>6.5000000000001003E-3</v>
      </c>
      <c r="D109" s="1931">
        <f>($C$9*24)/((($B$8-BBR+'Product Data'!$K$3-C109)/12)*(24-B109)*'Product Data'!$P$18)</f>
        <v>0</v>
      </c>
      <c r="F109" s="1927">
        <f t="shared" si="7"/>
        <v>0</v>
      </c>
      <c r="G109" s="1928">
        <v>6.5000000000001003E-3</v>
      </c>
      <c r="H109" s="1931">
        <f>($G$9*24)/((($F$8-BBR+'Product Data'!$K$3-'KB_C&amp;S Opt Roll Defer '!$G109)/12)*(24-'KB_C&amp;S Opt Roll Defer '!F109)*'Product Data'!$P$18)</f>
        <v>0</v>
      </c>
      <c r="J109" s="1927">
        <f t="shared" si="8"/>
        <v>0</v>
      </c>
      <c r="K109" s="1928">
        <v>6.5000000000001003E-3</v>
      </c>
      <c r="L109" s="1931">
        <f>($K$9*24)/((($J$8-BBR+'Product Data'!$K$2-'KB_C&amp;S Opt Roll Defer '!$K109)/12)*(24-'KB_C&amp;S Opt Roll Defer '!J109)*'Product Data'!$P$18)</f>
        <v>0</v>
      </c>
    </row>
    <row r="110" spans="2:12" x14ac:dyDescent="0.25">
      <c r="B110" s="1927">
        <f t="shared" si="6"/>
        <v>0</v>
      </c>
      <c r="C110" s="1928">
        <v>6.4000000000001001E-3</v>
      </c>
      <c r="D110" s="1931">
        <f>($C$9*24)/((($B$8-BBR+'Product Data'!$K$3-C110)/12)*(24-B110)*'Product Data'!$P$18)</f>
        <v>0</v>
      </c>
      <c r="F110" s="1927">
        <f t="shared" si="7"/>
        <v>0</v>
      </c>
      <c r="G110" s="1928">
        <v>6.4000000000001001E-3</v>
      </c>
      <c r="H110" s="1931">
        <f>($G$9*24)/((($F$8-BBR+'Product Data'!$K$3-'KB_C&amp;S Opt Roll Defer '!$G110)/12)*(24-'KB_C&amp;S Opt Roll Defer '!F110)*'Product Data'!$P$18)</f>
        <v>0</v>
      </c>
      <c r="J110" s="1927">
        <f t="shared" si="8"/>
        <v>0</v>
      </c>
      <c r="K110" s="1928">
        <v>6.4000000000001001E-3</v>
      </c>
      <c r="L110" s="1931">
        <f>($K$9*24)/((($J$8-BBR+'Product Data'!$K$2-'KB_C&amp;S Opt Roll Defer '!$K110)/12)*(24-'KB_C&amp;S Opt Roll Defer '!J110)*'Product Data'!$P$18)</f>
        <v>0</v>
      </c>
    </row>
    <row r="111" spans="2:12" x14ac:dyDescent="0.25">
      <c r="B111" s="1927">
        <f t="shared" si="6"/>
        <v>0</v>
      </c>
      <c r="C111" s="1928">
        <v>6.3000000000000998E-3</v>
      </c>
      <c r="D111" s="1931">
        <f>($C$9*24)/((($B$8-BBR+'Product Data'!$K$3-C111)/12)*(24-B111)*'Product Data'!$P$18)</f>
        <v>0</v>
      </c>
      <c r="F111" s="1927">
        <f t="shared" si="7"/>
        <v>0</v>
      </c>
      <c r="G111" s="1928">
        <v>6.3000000000000998E-3</v>
      </c>
      <c r="H111" s="1931">
        <f>($G$9*24)/((($F$8-BBR+'Product Data'!$K$3-'KB_C&amp;S Opt Roll Defer '!$G111)/12)*(24-'KB_C&amp;S Opt Roll Defer '!F111)*'Product Data'!$P$18)</f>
        <v>0</v>
      </c>
      <c r="J111" s="1927">
        <f t="shared" si="8"/>
        <v>0</v>
      </c>
      <c r="K111" s="1928">
        <v>6.3000000000000998E-3</v>
      </c>
      <c r="L111" s="1931">
        <f>($K$9*24)/((($J$8-BBR+'Product Data'!$K$2-'KB_C&amp;S Opt Roll Defer '!$K111)/12)*(24-'KB_C&amp;S Opt Roll Defer '!J111)*'Product Data'!$P$18)</f>
        <v>0</v>
      </c>
    </row>
    <row r="112" spans="2:12" x14ac:dyDescent="0.25">
      <c r="B112" s="1927">
        <f t="shared" si="6"/>
        <v>0</v>
      </c>
      <c r="C112" s="1928">
        <v>6.2000000000001004E-3</v>
      </c>
      <c r="D112" s="1931">
        <f>($C$9*24)/((($B$8-BBR+'Product Data'!$K$3-C112)/12)*(24-B112)*'Product Data'!$P$18)</f>
        <v>0</v>
      </c>
      <c r="F112" s="1927">
        <f t="shared" si="7"/>
        <v>0</v>
      </c>
      <c r="G112" s="1928">
        <v>6.2000000000001004E-3</v>
      </c>
      <c r="H112" s="1931">
        <f>($G$9*24)/((($F$8-BBR+'Product Data'!$K$3-'KB_C&amp;S Opt Roll Defer '!$G112)/12)*(24-'KB_C&amp;S Opt Roll Defer '!F112)*'Product Data'!$P$18)</f>
        <v>0</v>
      </c>
      <c r="J112" s="1927">
        <f t="shared" si="8"/>
        <v>0</v>
      </c>
      <c r="K112" s="1928">
        <v>6.2000000000001004E-3</v>
      </c>
      <c r="L112" s="1931">
        <f>($K$9*24)/((($J$8-BBR+'Product Data'!$K$2-'KB_C&amp;S Opt Roll Defer '!$K112)/12)*(24-'KB_C&amp;S Opt Roll Defer '!J112)*'Product Data'!$P$18)</f>
        <v>0</v>
      </c>
    </row>
    <row r="113" spans="2:12" x14ac:dyDescent="0.25">
      <c r="B113" s="1927">
        <f t="shared" si="6"/>
        <v>0</v>
      </c>
      <c r="C113" s="1928">
        <v>6.1000000000001001E-3</v>
      </c>
      <c r="D113" s="1931">
        <f>($C$9*24)/((($B$8-BBR+'Product Data'!$K$3-C113)/12)*(24-B113)*'Product Data'!$P$18)</f>
        <v>0</v>
      </c>
      <c r="F113" s="1927">
        <f t="shared" si="7"/>
        <v>0</v>
      </c>
      <c r="G113" s="1928">
        <v>6.1000000000001001E-3</v>
      </c>
      <c r="H113" s="1931">
        <f>($G$9*24)/((($F$8-BBR+'Product Data'!$K$3-'KB_C&amp;S Opt Roll Defer '!$G113)/12)*(24-'KB_C&amp;S Opt Roll Defer '!F113)*'Product Data'!$P$18)</f>
        <v>0</v>
      </c>
      <c r="J113" s="1927">
        <f t="shared" si="8"/>
        <v>0</v>
      </c>
      <c r="K113" s="1928">
        <v>6.1000000000001001E-3</v>
      </c>
      <c r="L113" s="1931">
        <f>($K$9*24)/((($J$8-BBR+'Product Data'!$K$2-'KB_C&amp;S Opt Roll Defer '!$K113)/12)*(24-'KB_C&amp;S Opt Roll Defer '!J113)*'Product Data'!$P$18)</f>
        <v>0</v>
      </c>
    </row>
    <row r="114" spans="2:12" x14ac:dyDescent="0.25">
      <c r="B114" s="1927">
        <f t="shared" si="6"/>
        <v>0</v>
      </c>
      <c r="C114" s="1928">
        <v>6.0000000000000999E-3</v>
      </c>
      <c r="D114" s="1931">
        <f>($C$9*24)/((($B$8-BBR+'Product Data'!$K$3-C114)/12)*(24-B114)*'Product Data'!$P$18)</f>
        <v>0</v>
      </c>
      <c r="F114" s="1927">
        <f t="shared" si="7"/>
        <v>0</v>
      </c>
      <c r="G114" s="1928">
        <v>6.0000000000000999E-3</v>
      </c>
      <c r="H114" s="1931">
        <f>($G$9*24)/((($F$8-BBR+'Product Data'!$K$3-'KB_C&amp;S Opt Roll Defer '!$G114)/12)*(24-'KB_C&amp;S Opt Roll Defer '!F114)*'Product Data'!$P$18)</f>
        <v>0</v>
      </c>
      <c r="J114" s="1927">
        <f t="shared" si="8"/>
        <v>0</v>
      </c>
      <c r="K114" s="1928">
        <v>6.0000000000000999E-3</v>
      </c>
      <c r="L114" s="1931">
        <f>($K$9*24)/((($J$8-BBR+'Product Data'!$K$2-'KB_C&amp;S Opt Roll Defer '!$K114)/12)*(24-'KB_C&amp;S Opt Roll Defer '!J114)*'Product Data'!$P$18)</f>
        <v>0</v>
      </c>
    </row>
    <row r="115" spans="2:12" x14ac:dyDescent="0.25">
      <c r="B115" s="1927">
        <f t="shared" si="6"/>
        <v>0</v>
      </c>
      <c r="C115" s="1928">
        <v>5.9000000000000996E-3</v>
      </c>
      <c r="D115" s="1931">
        <f>($C$9*24)/((($B$8-BBR+'Product Data'!$K$3-C115)/12)*(24-B115)*'Product Data'!$P$18)</f>
        <v>0</v>
      </c>
      <c r="F115" s="1927">
        <f t="shared" si="7"/>
        <v>0</v>
      </c>
      <c r="G115" s="1928">
        <v>5.9000000000000996E-3</v>
      </c>
      <c r="H115" s="1931">
        <f>($G$9*24)/((($F$8-BBR+'Product Data'!$K$3-'KB_C&amp;S Opt Roll Defer '!$G115)/12)*(24-'KB_C&amp;S Opt Roll Defer '!F115)*'Product Data'!$P$18)</f>
        <v>0</v>
      </c>
      <c r="J115" s="1927">
        <f t="shared" si="8"/>
        <v>0</v>
      </c>
      <c r="K115" s="1928">
        <v>5.9000000000000996E-3</v>
      </c>
      <c r="L115" s="1931">
        <f>($K$9*24)/((($J$8-BBR+'Product Data'!$K$2-'KB_C&amp;S Opt Roll Defer '!$K115)/12)*(24-'KB_C&amp;S Opt Roll Defer '!J115)*'Product Data'!$P$18)</f>
        <v>0</v>
      </c>
    </row>
    <row r="116" spans="2:12" x14ac:dyDescent="0.25">
      <c r="B116" s="1927">
        <f t="shared" si="6"/>
        <v>0</v>
      </c>
      <c r="C116" s="1928">
        <v>5.8000000000001002E-3</v>
      </c>
      <c r="D116" s="1931">
        <f>($C$9*24)/((($B$8-BBR+'Product Data'!$K$3-C116)/12)*(24-B116)*'Product Data'!$P$18)</f>
        <v>0</v>
      </c>
      <c r="F116" s="1927">
        <f t="shared" si="7"/>
        <v>0</v>
      </c>
      <c r="G116" s="1928">
        <v>5.8000000000001002E-3</v>
      </c>
      <c r="H116" s="1931">
        <f>($G$9*24)/((($F$8-BBR+'Product Data'!$K$3-'KB_C&amp;S Opt Roll Defer '!$G116)/12)*(24-'KB_C&amp;S Opt Roll Defer '!F116)*'Product Data'!$P$18)</f>
        <v>0</v>
      </c>
      <c r="J116" s="1927">
        <f t="shared" si="8"/>
        <v>0</v>
      </c>
      <c r="K116" s="1928">
        <v>5.8000000000001002E-3</v>
      </c>
      <c r="L116" s="1931">
        <f>($K$9*24)/((($J$8-BBR+'Product Data'!$K$2-'KB_C&amp;S Opt Roll Defer '!$K116)/12)*(24-'KB_C&amp;S Opt Roll Defer '!J116)*'Product Data'!$P$18)</f>
        <v>0</v>
      </c>
    </row>
    <row r="117" spans="2:12" x14ac:dyDescent="0.25">
      <c r="B117" s="1927">
        <f t="shared" si="6"/>
        <v>0</v>
      </c>
      <c r="C117" s="1928">
        <v>5.7000000000001E-3</v>
      </c>
      <c r="D117" s="1931">
        <f>($C$9*24)/((($B$8-BBR+'Product Data'!$K$3-C117)/12)*(24-B117)*'Product Data'!$P$18)</f>
        <v>0</v>
      </c>
      <c r="F117" s="1927">
        <f t="shared" si="7"/>
        <v>0</v>
      </c>
      <c r="G117" s="1928">
        <v>5.7000000000001E-3</v>
      </c>
      <c r="H117" s="1931">
        <f>($G$9*24)/((($F$8-BBR+'Product Data'!$K$3-'KB_C&amp;S Opt Roll Defer '!$G117)/12)*(24-'KB_C&amp;S Opt Roll Defer '!F117)*'Product Data'!$P$18)</f>
        <v>0</v>
      </c>
      <c r="J117" s="1927">
        <f t="shared" si="8"/>
        <v>0</v>
      </c>
      <c r="K117" s="1928">
        <v>5.7000000000001E-3</v>
      </c>
      <c r="L117" s="1931">
        <f>($K$9*24)/((($J$8-BBR+'Product Data'!$K$2-'KB_C&amp;S Opt Roll Defer '!$K117)/12)*(24-'KB_C&amp;S Opt Roll Defer '!J117)*'Product Data'!$P$18)</f>
        <v>0</v>
      </c>
    </row>
    <row r="118" spans="2:12" x14ac:dyDescent="0.25">
      <c r="B118" s="1927">
        <f t="shared" si="6"/>
        <v>0</v>
      </c>
      <c r="C118" s="1928">
        <v>5.6000000000000997E-3</v>
      </c>
      <c r="D118" s="1931">
        <f>($C$9*24)/((($B$8-BBR+'Product Data'!$K$3-C118)/12)*(24-B118)*'Product Data'!$P$18)</f>
        <v>0</v>
      </c>
      <c r="F118" s="1927">
        <f t="shared" si="7"/>
        <v>0</v>
      </c>
      <c r="G118" s="1928">
        <v>5.6000000000000997E-3</v>
      </c>
      <c r="H118" s="1931">
        <f>($G$9*24)/((($F$8-BBR+'Product Data'!$K$3-'KB_C&amp;S Opt Roll Defer '!$G118)/12)*(24-'KB_C&amp;S Opt Roll Defer '!F118)*'Product Data'!$P$18)</f>
        <v>0</v>
      </c>
      <c r="J118" s="1927">
        <f t="shared" si="8"/>
        <v>0</v>
      </c>
      <c r="K118" s="1928">
        <v>5.6000000000000997E-3</v>
      </c>
      <c r="L118" s="1931">
        <f>($K$9*24)/((($J$8-BBR+'Product Data'!$K$2-'KB_C&amp;S Opt Roll Defer '!$K118)/12)*(24-'KB_C&amp;S Opt Roll Defer '!J118)*'Product Data'!$P$18)</f>
        <v>0</v>
      </c>
    </row>
    <row r="119" spans="2:12" x14ac:dyDescent="0.25">
      <c r="B119" s="1927">
        <f t="shared" si="6"/>
        <v>0</v>
      </c>
      <c r="C119" s="1928">
        <v>5.5000000000001003E-3</v>
      </c>
      <c r="D119" s="1931">
        <f>($C$9*24)/((($B$8-BBR+'Product Data'!$K$3-C119)/12)*(24-B119)*'Product Data'!$P$18)</f>
        <v>0</v>
      </c>
      <c r="F119" s="1927">
        <f t="shared" si="7"/>
        <v>0</v>
      </c>
      <c r="G119" s="1928">
        <v>5.5000000000001003E-3</v>
      </c>
      <c r="H119" s="1931">
        <f>($G$9*24)/((($F$8-BBR+'Product Data'!$K$3-'KB_C&amp;S Opt Roll Defer '!$G119)/12)*(24-'KB_C&amp;S Opt Roll Defer '!F119)*'Product Data'!$P$18)</f>
        <v>0</v>
      </c>
      <c r="J119" s="1927">
        <f t="shared" si="8"/>
        <v>0</v>
      </c>
      <c r="K119" s="1928">
        <v>5.5000000000001003E-3</v>
      </c>
      <c r="L119" s="1931">
        <f>($K$9*24)/((($J$8-BBR+'Product Data'!$K$2-'KB_C&amp;S Opt Roll Defer '!$K119)/12)*(24-'KB_C&amp;S Opt Roll Defer '!J119)*'Product Data'!$P$18)</f>
        <v>0</v>
      </c>
    </row>
    <row r="120" spans="2:12" x14ac:dyDescent="0.25">
      <c r="B120" s="1927">
        <f t="shared" si="6"/>
        <v>0</v>
      </c>
      <c r="C120" s="1928">
        <v>5.4000000000001E-3</v>
      </c>
      <c r="D120" s="1931">
        <f>($C$9*24)/((($B$8-BBR+'Product Data'!$K$3-C120)/12)*(24-B120)*'Product Data'!$P$18)</f>
        <v>0</v>
      </c>
      <c r="F120" s="1927">
        <f t="shared" si="7"/>
        <v>0</v>
      </c>
      <c r="G120" s="1928">
        <v>5.4000000000001E-3</v>
      </c>
      <c r="H120" s="1931">
        <f>($G$9*24)/((($F$8-BBR+'Product Data'!$K$3-'KB_C&amp;S Opt Roll Defer '!$G120)/12)*(24-'KB_C&amp;S Opt Roll Defer '!F120)*'Product Data'!$P$18)</f>
        <v>0</v>
      </c>
      <c r="J120" s="1927">
        <f t="shared" si="8"/>
        <v>0</v>
      </c>
      <c r="K120" s="1928">
        <v>5.4000000000001E-3</v>
      </c>
      <c r="L120" s="1931">
        <f>($K$9*24)/((($J$8-BBR+'Product Data'!$K$2-'KB_C&amp;S Opt Roll Defer '!$K120)/12)*(24-'KB_C&amp;S Opt Roll Defer '!J120)*'Product Data'!$P$18)</f>
        <v>0</v>
      </c>
    </row>
    <row r="121" spans="2:12" x14ac:dyDescent="0.25">
      <c r="B121" s="1927">
        <f t="shared" si="6"/>
        <v>0</v>
      </c>
      <c r="C121" s="1928">
        <v>5.3000000000000998E-3</v>
      </c>
      <c r="D121" s="1931">
        <f>($C$9*24)/((($B$8-BBR+'Product Data'!$K$3-C121)/12)*(24-B121)*'Product Data'!$P$18)</f>
        <v>0</v>
      </c>
      <c r="F121" s="1927">
        <f t="shared" si="7"/>
        <v>0</v>
      </c>
      <c r="G121" s="1928">
        <v>5.3000000000000998E-3</v>
      </c>
      <c r="H121" s="1931">
        <f>($G$9*24)/((($F$8-BBR+'Product Data'!$K$3-'KB_C&amp;S Opt Roll Defer '!$G121)/12)*(24-'KB_C&amp;S Opt Roll Defer '!F121)*'Product Data'!$P$18)</f>
        <v>0</v>
      </c>
      <c r="J121" s="1927">
        <f t="shared" si="8"/>
        <v>0</v>
      </c>
      <c r="K121" s="1928">
        <v>5.3000000000000998E-3</v>
      </c>
      <c r="L121" s="1931">
        <f>($K$9*24)/((($J$8-BBR+'Product Data'!$K$2-'KB_C&amp;S Opt Roll Defer '!$K121)/12)*(24-'KB_C&amp;S Opt Roll Defer '!J121)*'Product Data'!$P$18)</f>
        <v>0</v>
      </c>
    </row>
    <row r="122" spans="2:12" x14ac:dyDescent="0.25">
      <c r="B122" s="1927">
        <f t="shared" si="6"/>
        <v>0</v>
      </c>
      <c r="C122" s="1928">
        <v>5.2000000000001004E-3</v>
      </c>
      <c r="D122" s="1931">
        <f>($C$9*24)/((($B$8-BBR+'Product Data'!$K$3-C122)/12)*(24-B122)*'Product Data'!$P$18)</f>
        <v>0</v>
      </c>
      <c r="F122" s="1927">
        <f t="shared" si="7"/>
        <v>0</v>
      </c>
      <c r="G122" s="1928">
        <v>5.2000000000001004E-3</v>
      </c>
      <c r="H122" s="1931">
        <f>($G$9*24)/((($F$8-BBR+'Product Data'!$K$3-'KB_C&amp;S Opt Roll Defer '!$G122)/12)*(24-'KB_C&amp;S Opt Roll Defer '!F122)*'Product Data'!$P$18)</f>
        <v>0</v>
      </c>
      <c r="J122" s="1927">
        <f t="shared" si="8"/>
        <v>0</v>
      </c>
      <c r="K122" s="1928">
        <v>5.2000000000001004E-3</v>
      </c>
      <c r="L122" s="1931">
        <f>($K$9*24)/((($J$8-BBR+'Product Data'!$K$2-'KB_C&amp;S Opt Roll Defer '!$K122)/12)*(24-'KB_C&amp;S Opt Roll Defer '!J122)*'Product Data'!$P$18)</f>
        <v>0</v>
      </c>
    </row>
    <row r="123" spans="2:12" x14ac:dyDescent="0.25">
      <c r="B123" s="1927">
        <f t="shared" si="6"/>
        <v>0</v>
      </c>
      <c r="C123" s="1928">
        <v>5.1000000000001001E-3</v>
      </c>
      <c r="D123" s="1931">
        <f>($C$9*24)/((($B$8-BBR+'Product Data'!$K$3-C123)/12)*(24-B123)*'Product Data'!$P$18)</f>
        <v>0</v>
      </c>
      <c r="F123" s="1927">
        <f t="shared" si="7"/>
        <v>0</v>
      </c>
      <c r="G123" s="1928">
        <v>5.1000000000001001E-3</v>
      </c>
      <c r="H123" s="1931">
        <f>($G$9*24)/((($F$8-BBR+'Product Data'!$K$3-'KB_C&amp;S Opt Roll Defer '!$G123)/12)*(24-'KB_C&amp;S Opt Roll Defer '!F123)*'Product Data'!$P$18)</f>
        <v>0</v>
      </c>
      <c r="J123" s="1927">
        <f t="shared" si="8"/>
        <v>0</v>
      </c>
      <c r="K123" s="1928">
        <v>5.1000000000001001E-3</v>
      </c>
      <c r="L123" s="1931">
        <f>($K$9*24)/((($J$8-BBR+'Product Data'!$K$2-'KB_C&amp;S Opt Roll Defer '!$K123)/12)*(24-'KB_C&amp;S Opt Roll Defer '!J123)*'Product Data'!$P$18)</f>
        <v>0</v>
      </c>
    </row>
    <row r="124" spans="2:12" x14ac:dyDescent="0.25">
      <c r="B124" s="1927">
        <f t="shared" si="6"/>
        <v>0</v>
      </c>
      <c r="C124" s="1928">
        <v>5.0000000000000999E-3</v>
      </c>
      <c r="D124" s="1931">
        <f>($C$9*24)/((($B$8-BBR+'Product Data'!$K$3-C124)/12)*(24-B124)*'Product Data'!$P$18)</f>
        <v>0</v>
      </c>
      <c r="F124" s="1927">
        <f t="shared" si="7"/>
        <v>0</v>
      </c>
      <c r="G124" s="1928">
        <v>5.0000000000000999E-3</v>
      </c>
      <c r="H124" s="1931">
        <f>($G$9*24)/((($F$8-BBR+'Product Data'!$K$3-'KB_C&amp;S Opt Roll Defer '!$G124)/12)*(24-'KB_C&amp;S Opt Roll Defer '!F124)*'Product Data'!$P$18)</f>
        <v>0</v>
      </c>
      <c r="J124" s="1927">
        <f t="shared" si="8"/>
        <v>0</v>
      </c>
      <c r="K124" s="1928">
        <v>5.0000000000000999E-3</v>
      </c>
      <c r="L124" s="1931">
        <f>($K$9*24)/((($J$8-BBR+'Product Data'!$K$2-'KB_C&amp;S Opt Roll Defer '!$K124)/12)*(24-'KB_C&amp;S Opt Roll Defer '!J124)*'Product Data'!$P$18)</f>
        <v>0</v>
      </c>
    </row>
    <row r="125" spans="2:12" x14ac:dyDescent="0.25">
      <c r="B125" s="1927">
        <f t="shared" si="6"/>
        <v>0</v>
      </c>
      <c r="C125" s="1928">
        <v>4.9000000000000996E-3</v>
      </c>
      <c r="D125" s="1931">
        <f>($C$9*24)/((($B$8-BBR+'Product Data'!$K$3-C125)/12)*(24-B125)*'Product Data'!$P$18)</f>
        <v>0</v>
      </c>
      <c r="F125" s="1927">
        <f t="shared" si="7"/>
        <v>0</v>
      </c>
      <c r="G125" s="1928">
        <v>4.9000000000000996E-3</v>
      </c>
      <c r="H125" s="1931">
        <f>($G$9*24)/((($F$8-BBR+'Product Data'!$K$3-'KB_C&amp;S Opt Roll Defer '!$G125)/12)*(24-'KB_C&amp;S Opt Roll Defer '!F125)*'Product Data'!$P$18)</f>
        <v>0</v>
      </c>
      <c r="J125" s="1927">
        <f t="shared" si="8"/>
        <v>0</v>
      </c>
      <c r="K125" s="1928">
        <v>4.9000000000000996E-3</v>
      </c>
      <c r="L125" s="1931">
        <f>($K$9*24)/((($J$8-BBR+'Product Data'!$K$2-'KB_C&amp;S Opt Roll Defer '!$K125)/12)*(24-'KB_C&amp;S Opt Roll Defer '!J125)*'Product Data'!$P$18)</f>
        <v>0</v>
      </c>
    </row>
    <row r="126" spans="2:12" x14ac:dyDescent="0.25">
      <c r="B126" s="1927">
        <f t="shared" si="6"/>
        <v>0</v>
      </c>
      <c r="C126" s="1928">
        <v>4.8000000000001002E-3</v>
      </c>
      <c r="D126" s="1931">
        <f>($C$9*24)/((($B$8-BBR+'Product Data'!$K$3-C126)/12)*(24-B126)*'Product Data'!$P$18)</f>
        <v>0</v>
      </c>
      <c r="F126" s="1927">
        <f t="shared" si="7"/>
        <v>0</v>
      </c>
      <c r="G126" s="1928">
        <v>4.8000000000001002E-3</v>
      </c>
      <c r="H126" s="1931">
        <f>($G$9*24)/((($F$8-BBR+'Product Data'!$K$3-'KB_C&amp;S Opt Roll Defer '!$G126)/12)*(24-'KB_C&amp;S Opt Roll Defer '!F126)*'Product Data'!$P$18)</f>
        <v>0</v>
      </c>
      <c r="J126" s="1927">
        <f t="shared" si="8"/>
        <v>0</v>
      </c>
      <c r="K126" s="1928">
        <v>4.8000000000001002E-3</v>
      </c>
      <c r="L126" s="1931">
        <f>($K$9*24)/((($J$8-BBR+'Product Data'!$K$2-'KB_C&amp;S Opt Roll Defer '!$K126)/12)*(24-'KB_C&amp;S Opt Roll Defer '!J126)*'Product Data'!$P$18)</f>
        <v>0</v>
      </c>
    </row>
    <row r="127" spans="2:12" x14ac:dyDescent="0.25">
      <c r="B127" s="1927">
        <f t="shared" si="6"/>
        <v>0</v>
      </c>
      <c r="C127" s="1928">
        <v>4.7000000000000999E-3</v>
      </c>
      <c r="D127" s="1931">
        <f>($C$9*24)/((($B$8-BBR+'Product Data'!$K$3-C127)/12)*(24-B127)*'Product Data'!$P$18)</f>
        <v>0</v>
      </c>
      <c r="F127" s="1927">
        <f t="shared" si="7"/>
        <v>0</v>
      </c>
      <c r="G127" s="1928">
        <v>4.7000000000000999E-3</v>
      </c>
      <c r="H127" s="1931">
        <f>($G$9*24)/((($F$8-BBR+'Product Data'!$K$3-'KB_C&amp;S Opt Roll Defer '!$G127)/12)*(24-'KB_C&amp;S Opt Roll Defer '!F127)*'Product Data'!$P$18)</f>
        <v>0</v>
      </c>
      <c r="J127" s="1927">
        <f t="shared" si="8"/>
        <v>0</v>
      </c>
      <c r="K127" s="1928">
        <v>4.7000000000000999E-3</v>
      </c>
      <c r="L127" s="1931">
        <f>($K$9*24)/((($J$8-BBR+'Product Data'!$K$2-'KB_C&amp;S Opt Roll Defer '!$K127)/12)*(24-'KB_C&amp;S Opt Roll Defer '!J127)*'Product Data'!$P$18)</f>
        <v>0</v>
      </c>
    </row>
    <row r="128" spans="2:12" x14ac:dyDescent="0.25">
      <c r="B128" s="1927">
        <f t="shared" si="6"/>
        <v>0</v>
      </c>
      <c r="C128" s="1928">
        <v>4.6000000000000997E-3</v>
      </c>
      <c r="D128" s="1931">
        <f>($C$9*24)/((($B$8-BBR+'Product Data'!$K$3-C128)/12)*(24-B128)*'Product Data'!$P$18)</f>
        <v>0</v>
      </c>
      <c r="F128" s="1927">
        <f t="shared" si="7"/>
        <v>0</v>
      </c>
      <c r="G128" s="1928">
        <v>4.6000000000000997E-3</v>
      </c>
      <c r="H128" s="1931">
        <f>($G$9*24)/((($F$8-BBR+'Product Data'!$K$3-'KB_C&amp;S Opt Roll Defer '!$G128)/12)*(24-'KB_C&amp;S Opt Roll Defer '!F128)*'Product Data'!$P$18)</f>
        <v>0</v>
      </c>
      <c r="J128" s="1927">
        <f t="shared" si="8"/>
        <v>0</v>
      </c>
      <c r="K128" s="1928">
        <v>4.6000000000000997E-3</v>
      </c>
      <c r="L128" s="1931">
        <f>($K$9*24)/((($J$8-BBR+'Product Data'!$K$2-'KB_C&amp;S Opt Roll Defer '!$K128)/12)*(24-'KB_C&amp;S Opt Roll Defer '!J128)*'Product Data'!$P$18)</f>
        <v>0</v>
      </c>
    </row>
    <row r="129" spans="2:12" x14ac:dyDescent="0.25">
      <c r="B129" s="1927">
        <f t="shared" si="6"/>
        <v>0</v>
      </c>
      <c r="C129" s="1928">
        <v>4.5000000000001003E-3</v>
      </c>
      <c r="D129" s="1931">
        <f>($C$9*24)/((($B$8-BBR+'Product Data'!$K$3-C129)/12)*(24-B129)*'Product Data'!$P$18)</f>
        <v>0</v>
      </c>
      <c r="F129" s="1927">
        <f t="shared" si="7"/>
        <v>0</v>
      </c>
      <c r="G129" s="1928">
        <v>4.5000000000001003E-3</v>
      </c>
      <c r="H129" s="1931">
        <f>($G$9*24)/((($F$8-BBR+'Product Data'!$K$3-'KB_C&amp;S Opt Roll Defer '!$G129)/12)*(24-'KB_C&amp;S Opt Roll Defer '!F129)*'Product Data'!$P$18)</f>
        <v>0</v>
      </c>
      <c r="J129" s="1927">
        <f t="shared" si="8"/>
        <v>0</v>
      </c>
      <c r="K129" s="1928">
        <v>4.5000000000001003E-3</v>
      </c>
      <c r="L129" s="1931">
        <f>($K$9*24)/((($J$8-BBR+'Product Data'!$K$2-'KB_C&amp;S Opt Roll Defer '!$K129)/12)*(24-'KB_C&amp;S Opt Roll Defer '!J129)*'Product Data'!$P$18)</f>
        <v>0</v>
      </c>
    </row>
    <row r="130" spans="2:12" x14ac:dyDescent="0.25">
      <c r="B130" s="1927">
        <f t="shared" si="6"/>
        <v>0</v>
      </c>
      <c r="C130" s="1928">
        <v>4.4000000000001E-3</v>
      </c>
      <c r="D130" s="1931">
        <f>($C$9*24)/((($B$8-BBR+'Product Data'!$K$3-C130)/12)*(24-B130)*'Product Data'!$P$18)</f>
        <v>0</v>
      </c>
      <c r="F130" s="1927">
        <f t="shared" si="7"/>
        <v>0</v>
      </c>
      <c r="G130" s="1928">
        <v>4.4000000000001E-3</v>
      </c>
      <c r="H130" s="1931">
        <f>($G$9*24)/((($F$8-BBR+'Product Data'!$K$3-'KB_C&amp;S Opt Roll Defer '!$G130)/12)*(24-'KB_C&amp;S Opt Roll Defer '!F130)*'Product Data'!$P$18)</f>
        <v>0</v>
      </c>
      <c r="J130" s="1927">
        <f t="shared" si="8"/>
        <v>0</v>
      </c>
      <c r="K130" s="1928">
        <v>4.4000000000001E-3</v>
      </c>
      <c r="L130" s="1931">
        <f>($K$9*24)/((($J$8-BBR+'Product Data'!$K$2-'KB_C&amp;S Opt Roll Defer '!$K130)/12)*(24-'KB_C&amp;S Opt Roll Defer '!J130)*'Product Data'!$P$18)</f>
        <v>0</v>
      </c>
    </row>
    <row r="131" spans="2:12" x14ac:dyDescent="0.25">
      <c r="B131" s="1927">
        <f t="shared" si="6"/>
        <v>0</v>
      </c>
      <c r="C131" s="1928">
        <v>4.3000000000000997E-3</v>
      </c>
      <c r="D131" s="1931">
        <f>($C$9*24)/((($B$8-BBR+'Product Data'!$K$3-C131)/12)*(24-B131)*'Product Data'!$P$18)</f>
        <v>0</v>
      </c>
      <c r="F131" s="1927">
        <f t="shared" si="7"/>
        <v>0</v>
      </c>
      <c r="G131" s="1928">
        <v>4.3000000000000997E-3</v>
      </c>
      <c r="H131" s="1931">
        <f>($G$9*24)/((($F$8-BBR+'Product Data'!$K$3-'KB_C&amp;S Opt Roll Defer '!$G131)/12)*(24-'KB_C&amp;S Opt Roll Defer '!F131)*'Product Data'!$P$18)</f>
        <v>0</v>
      </c>
      <c r="J131" s="1927">
        <f t="shared" si="8"/>
        <v>0</v>
      </c>
      <c r="K131" s="1928">
        <v>4.3000000000000997E-3</v>
      </c>
      <c r="L131" s="1931">
        <f>($K$9*24)/((($J$8-BBR+'Product Data'!$K$2-'KB_C&amp;S Opt Roll Defer '!$K131)/12)*(24-'KB_C&amp;S Opt Roll Defer '!J131)*'Product Data'!$P$18)</f>
        <v>0</v>
      </c>
    </row>
    <row r="132" spans="2:12" x14ac:dyDescent="0.25">
      <c r="B132" s="1927">
        <f t="shared" si="6"/>
        <v>0</v>
      </c>
      <c r="C132" s="1928">
        <v>4.2000000000001004E-3</v>
      </c>
      <c r="D132" s="1931">
        <f>($C$9*24)/((($B$8-BBR+'Product Data'!$K$3-C132)/12)*(24-B132)*'Product Data'!$P$18)</f>
        <v>0</v>
      </c>
      <c r="F132" s="1927">
        <f t="shared" si="7"/>
        <v>0</v>
      </c>
      <c r="G132" s="1928">
        <v>4.2000000000001004E-3</v>
      </c>
      <c r="H132" s="1931">
        <f>($G$9*24)/((($F$8-BBR+'Product Data'!$K$3-'KB_C&amp;S Opt Roll Defer '!$G132)/12)*(24-'KB_C&amp;S Opt Roll Defer '!F132)*'Product Data'!$P$18)</f>
        <v>0</v>
      </c>
      <c r="J132" s="1927">
        <f t="shared" si="8"/>
        <v>0</v>
      </c>
      <c r="K132" s="1928">
        <v>4.2000000000001004E-3</v>
      </c>
      <c r="L132" s="1931">
        <f>($K$9*24)/((($J$8-BBR+'Product Data'!$K$2-'KB_C&amp;S Opt Roll Defer '!$K132)/12)*(24-'KB_C&amp;S Opt Roll Defer '!J132)*'Product Data'!$P$18)</f>
        <v>0</v>
      </c>
    </row>
    <row r="133" spans="2:12" x14ac:dyDescent="0.25">
      <c r="B133" s="1927">
        <f t="shared" si="6"/>
        <v>0</v>
      </c>
      <c r="C133" s="1928">
        <v>4.1000000000001001E-3</v>
      </c>
      <c r="D133" s="1931">
        <f>($C$9*24)/((($B$8-BBR+'Product Data'!$K$3-C133)/12)*(24-B133)*'Product Data'!$P$18)</f>
        <v>0</v>
      </c>
      <c r="F133" s="1927">
        <f t="shared" si="7"/>
        <v>0</v>
      </c>
      <c r="G133" s="1928">
        <v>4.1000000000001001E-3</v>
      </c>
      <c r="H133" s="1931">
        <f>($G$9*24)/((($F$8-BBR+'Product Data'!$K$3-'KB_C&amp;S Opt Roll Defer '!$G133)/12)*(24-'KB_C&amp;S Opt Roll Defer '!F133)*'Product Data'!$P$18)</f>
        <v>0</v>
      </c>
      <c r="J133" s="1927">
        <f t="shared" si="8"/>
        <v>0</v>
      </c>
      <c r="K133" s="1928">
        <v>4.1000000000001001E-3</v>
      </c>
      <c r="L133" s="1931">
        <f>($K$9*24)/((($J$8-BBR+'Product Data'!$K$2-'KB_C&amp;S Opt Roll Defer '!$K133)/12)*(24-'KB_C&amp;S Opt Roll Defer '!J133)*'Product Data'!$P$18)</f>
        <v>0</v>
      </c>
    </row>
    <row r="134" spans="2:12" x14ac:dyDescent="0.25">
      <c r="B134" s="1927">
        <f t="shared" si="6"/>
        <v>0</v>
      </c>
      <c r="C134" s="1928">
        <v>4.0000000000000998E-3</v>
      </c>
      <c r="D134" s="1931">
        <f>($C$9*24)/((($B$8-BBR+'Product Data'!$K$3-C134)/12)*(24-B134)*'Product Data'!$P$18)</f>
        <v>0</v>
      </c>
      <c r="F134" s="1927">
        <f t="shared" si="7"/>
        <v>0</v>
      </c>
      <c r="G134" s="1928">
        <v>4.0000000000000998E-3</v>
      </c>
      <c r="H134" s="1931">
        <f>($G$9*24)/((($F$8-BBR+'Product Data'!$K$3-'KB_C&amp;S Opt Roll Defer '!$G134)/12)*(24-'KB_C&amp;S Opt Roll Defer '!F134)*'Product Data'!$P$18)</f>
        <v>0</v>
      </c>
      <c r="J134" s="1927">
        <f t="shared" si="8"/>
        <v>0</v>
      </c>
      <c r="K134" s="1928">
        <v>4.0000000000000998E-3</v>
      </c>
      <c r="L134" s="1931">
        <f>($K$9*24)/((($J$8-BBR+'Product Data'!$K$2-'KB_C&amp;S Opt Roll Defer '!$K134)/12)*(24-'KB_C&amp;S Opt Roll Defer '!J134)*'Product Data'!$P$18)</f>
        <v>0</v>
      </c>
    </row>
    <row r="135" spans="2:12" x14ac:dyDescent="0.25">
      <c r="B135" s="1927">
        <f t="shared" si="6"/>
        <v>0</v>
      </c>
      <c r="C135" s="1928">
        <v>3.9000000000001E-3</v>
      </c>
      <c r="D135" s="1931">
        <f>($C$9*24)/((($B$8-BBR+'Product Data'!$K$3-C135)/12)*(24-B135)*'Product Data'!$P$18)</f>
        <v>0</v>
      </c>
      <c r="F135" s="1927">
        <f t="shared" si="7"/>
        <v>0</v>
      </c>
      <c r="G135" s="1928">
        <v>3.9000000000001E-3</v>
      </c>
      <c r="H135" s="1931">
        <f>($G$9*24)/((($F$8-BBR+'Product Data'!$K$3-'KB_C&amp;S Opt Roll Defer '!$G135)/12)*(24-'KB_C&amp;S Opt Roll Defer '!F135)*'Product Data'!$P$18)</f>
        <v>0</v>
      </c>
      <c r="J135" s="1927">
        <f t="shared" si="8"/>
        <v>0</v>
      </c>
      <c r="K135" s="1928">
        <v>3.9000000000001E-3</v>
      </c>
      <c r="L135" s="1931">
        <f>($K$9*24)/((($J$8-BBR+'Product Data'!$K$2-'KB_C&amp;S Opt Roll Defer '!$K135)/12)*(24-'KB_C&amp;S Opt Roll Defer '!J135)*'Product Data'!$P$18)</f>
        <v>0</v>
      </c>
    </row>
    <row r="136" spans="2:12" x14ac:dyDescent="0.25">
      <c r="B136" s="1927">
        <f t="shared" si="6"/>
        <v>0</v>
      </c>
      <c r="C136" s="1928">
        <v>3.8000000000001002E-3</v>
      </c>
      <c r="D136" s="1931">
        <f>($C$9*24)/((($B$8-BBR+'Product Data'!$K$3-C136)/12)*(24-B136)*'Product Data'!$P$18)</f>
        <v>0</v>
      </c>
      <c r="F136" s="1927">
        <f t="shared" si="7"/>
        <v>0</v>
      </c>
      <c r="G136" s="1928">
        <v>3.8000000000001002E-3</v>
      </c>
      <c r="H136" s="1931">
        <f>($G$9*24)/((($F$8-BBR+'Product Data'!$K$3-'KB_C&amp;S Opt Roll Defer '!$G136)/12)*(24-'KB_C&amp;S Opt Roll Defer '!F136)*'Product Data'!$P$18)</f>
        <v>0</v>
      </c>
      <c r="J136" s="1927">
        <f t="shared" si="8"/>
        <v>0</v>
      </c>
      <c r="K136" s="1928">
        <v>3.8000000000001002E-3</v>
      </c>
      <c r="L136" s="1931">
        <f>($K$9*24)/((($J$8-BBR+'Product Data'!$K$2-'KB_C&amp;S Opt Roll Defer '!$K136)/12)*(24-'KB_C&amp;S Opt Roll Defer '!J136)*'Product Data'!$P$18)</f>
        <v>0</v>
      </c>
    </row>
    <row r="137" spans="2:12" x14ac:dyDescent="0.25">
      <c r="B137" s="1927">
        <f t="shared" si="6"/>
        <v>0</v>
      </c>
      <c r="C137" s="1928">
        <v>3.7000000000000999E-3</v>
      </c>
      <c r="D137" s="1931">
        <f>($C$9*24)/((($B$8-BBR+'Product Data'!$K$3-C137)/12)*(24-B137)*'Product Data'!$P$18)</f>
        <v>0</v>
      </c>
      <c r="F137" s="1927">
        <f t="shared" si="7"/>
        <v>0</v>
      </c>
      <c r="G137" s="1928">
        <v>3.7000000000000999E-3</v>
      </c>
      <c r="H137" s="1931">
        <f>($G$9*24)/((($F$8-BBR+'Product Data'!$K$3-'KB_C&amp;S Opt Roll Defer '!$G137)/12)*(24-'KB_C&amp;S Opt Roll Defer '!F137)*'Product Data'!$P$18)</f>
        <v>0</v>
      </c>
      <c r="J137" s="1927">
        <f t="shared" si="8"/>
        <v>0</v>
      </c>
      <c r="K137" s="1928">
        <v>3.7000000000000999E-3</v>
      </c>
      <c r="L137" s="1931">
        <f>($K$9*24)/((($J$8-BBR+'Product Data'!$K$2-'KB_C&amp;S Opt Roll Defer '!$K137)/12)*(24-'KB_C&amp;S Opt Roll Defer '!J137)*'Product Data'!$P$18)</f>
        <v>0</v>
      </c>
    </row>
    <row r="138" spans="2:12" x14ac:dyDescent="0.25">
      <c r="B138" s="1927">
        <f t="shared" si="6"/>
        <v>0</v>
      </c>
      <c r="C138" s="1928">
        <v>3.6000000000001001E-3</v>
      </c>
      <c r="D138" s="1931">
        <f>($C$9*24)/((($B$8-BBR+'Product Data'!$K$3-C138)/12)*(24-B138)*'Product Data'!$P$18)</f>
        <v>0</v>
      </c>
      <c r="F138" s="1927">
        <f t="shared" si="7"/>
        <v>0</v>
      </c>
      <c r="G138" s="1928">
        <v>3.6000000000001001E-3</v>
      </c>
      <c r="H138" s="1931">
        <f>($G$9*24)/((($F$8-BBR+'Product Data'!$K$3-'KB_C&amp;S Opt Roll Defer '!$G138)/12)*(24-'KB_C&amp;S Opt Roll Defer '!F138)*'Product Data'!$P$18)</f>
        <v>0</v>
      </c>
      <c r="J138" s="1927">
        <f t="shared" si="8"/>
        <v>0</v>
      </c>
      <c r="K138" s="1928">
        <v>3.6000000000001001E-3</v>
      </c>
      <c r="L138" s="1931">
        <f>($K$9*24)/((($J$8-BBR+'Product Data'!$K$2-'KB_C&amp;S Opt Roll Defer '!$K138)/12)*(24-'KB_C&amp;S Opt Roll Defer '!J138)*'Product Data'!$P$18)</f>
        <v>0</v>
      </c>
    </row>
    <row r="139" spans="2:12" x14ac:dyDescent="0.25">
      <c r="B139" s="1927">
        <f t="shared" si="6"/>
        <v>0</v>
      </c>
      <c r="C139" s="1928">
        <v>3.5000000000000998E-3</v>
      </c>
      <c r="D139" s="1931">
        <f>($C$9*24)/((($B$8-BBR+'Product Data'!$K$3-C139)/12)*(24-B139)*'Product Data'!$P$18)</f>
        <v>0</v>
      </c>
      <c r="F139" s="1927">
        <f t="shared" si="7"/>
        <v>0</v>
      </c>
      <c r="G139" s="1928">
        <v>3.5000000000000998E-3</v>
      </c>
      <c r="H139" s="1931">
        <f>($G$9*24)/((($F$8-BBR+'Product Data'!$K$3-'KB_C&amp;S Opt Roll Defer '!$G139)/12)*(24-'KB_C&amp;S Opt Roll Defer '!F139)*'Product Data'!$P$18)</f>
        <v>0</v>
      </c>
      <c r="J139" s="1927">
        <f t="shared" si="8"/>
        <v>0</v>
      </c>
      <c r="K139" s="1928">
        <v>3.5000000000000998E-3</v>
      </c>
      <c r="L139" s="1931">
        <f>($K$9*24)/((($J$8-BBR+'Product Data'!$K$2-'KB_C&amp;S Opt Roll Defer '!$K139)/12)*(24-'KB_C&amp;S Opt Roll Defer '!J139)*'Product Data'!$P$18)</f>
        <v>0</v>
      </c>
    </row>
    <row r="140" spans="2:12" x14ac:dyDescent="0.25">
      <c r="B140" s="1927">
        <f t="shared" si="6"/>
        <v>0</v>
      </c>
      <c r="C140" s="1928">
        <v>3.4000000000001E-3</v>
      </c>
      <c r="D140" s="1931">
        <f>($C$9*24)/((($B$8-BBR+'Product Data'!$K$3-C140)/12)*(24-B140)*'Product Data'!$P$18)</f>
        <v>0</v>
      </c>
      <c r="F140" s="1927">
        <f t="shared" si="7"/>
        <v>0</v>
      </c>
      <c r="G140" s="1928">
        <v>3.4000000000001E-3</v>
      </c>
      <c r="H140" s="1931">
        <f>($G$9*24)/((($F$8-BBR+'Product Data'!$K$3-'KB_C&amp;S Opt Roll Defer '!$G140)/12)*(24-'KB_C&amp;S Opt Roll Defer '!F140)*'Product Data'!$P$18)</f>
        <v>0</v>
      </c>
      <c r="J140" s="1927">
        <f t="shared" si="8"/>
        <v>0</v>
      </c>
      <c r="K140" s="1928">
        <v>3.4000000000001E-3</v>
      </c>
      <c r="L140" s="1931">
        <f>($K$9*24)/((($J$8-BBR+'Product Data'!$K$2-'KB_C&amp;S Opt Roll Defer '!$K140)/12)*(24-'KB_C&amp;S Opt Roll Defer '!J140)*'Product Data'!$P$18)</f>
        <v>0</v>
      </c>
    </row>
    <row r="141" spans="2:12" x14ac:dyDescent="0.25">
      <c r="B141" s="1927">
        <f t="shared" si="6"/>
        <v>0</v>
      </c>
      <c r="C141" s="1928">
        <v>3.3000000000001002E-3</v>
      </c>
      <c r="D141" s="1931">
        <f>($C$9*24)/((($B$8-BBR+'Product Data'!$K$3-C141)/12)*(24-B141)*'Product Data'!$P$18)</f>
        <v>0</v>
      </c>
      <c r="F141" s="1927">
        <f t="shared" si="7"/>
        <v>0</v>
      </c>
      <c r="G141" s="1928">
        <v>3.3000000000001002E-3</v>
      </c>
      <c r="H141" s="1931">
        <f>($G$9*24)/((($F$8-BBR+'Product Data'!$K$3-'KB_C&amp;S Opt Roll Defer '!$G141)/12)*(24-'KB_C&amp;S Opt Roll Defer '!F141)*'Product Data'!$P$18)</f>
        <v>0</v>
      </c>
      <c r="J141" s="1927">
        <f t="shared" si="8"/>
        <v>0</v>
      </c>
      <c r="K141" s="1928">
        <v>3.3000000000001002E-3</v>
      </c>
      <c r="L141" s="1931">
        <f>($K$9*24)/((($J$8-BBR+'Product Data'!$K$2-'KB_C&amp;S Opt Roll Defer '!$K141)/12)*(24-'KB_C&amp;S Opt Roll Defer '!J141)*'Product Data'!$P$18)</f>
        <v>0</v>
      </c>
    </row>
    <row r="142" spans="2:12" x14ac:dyDescent="0.25">
      <c r="B142" s="1927">
        <f t="shared" si="6"/>
        <v>0</v>
      </c>
      <c r="C142" s="1928">
        <v>3.2000000000000999E-3</v>
      </c>
      <c r="D142" s="1931">
        <f>($C$9*24)/((($B$8-BBR+'Product Data'!$K$3-C142)/12)*(24-B142)*'Product Data'!$P$18)</f>
        <v>0</v>
      </c>
      <c r="F142" s="1927">
        <f t="shared" si="7"/>
        <v>0</v>
      </c>
      <c r="G142" s="1928">
        <v>3.2000000000000999E-3</v>
      </c>
      <c r="H142" s="1931">
        <f>($G$9*24)/((($F$8-BBR+'Product Data'!$K$3-'KB_C&amp;S Opt Roll Defer '!$G142)/12)*(24-'KB_C&amp;S Opt Roll Defer '!F142)*'Product Data'!$P$18)</f>
        <v>0</v>
      </c>
      <c r="J142" s="1927">
        <f t="shared" si="8"/>
        <v>0</v>
      </c>
      <c r="K142" s="1928">
        <v>3.2000000000000999E-3</v>
      </c>
      <c r="L142" s="1931">
        <f>($K$9*24)/((($J$8-BBR+'Product Data'!$K$2-'KB_C&amp;S Opt Roll Defer '!$K142)/12)*(24-'KB_C&amp;S Opt Roll Defer '!J142)*'Product Data'!$P$18)</f>
        <v>0</v>
      </c>
    </row>
    <row r="143" spans="2:12" x14ac:dyDescent="0.25">
      <c r="B143" s="1927">
        <f t="shared" si="6"/>
        <v>0</v>
      </c>
      <c r="C143" s="1928">
        <v>3.1000000000001001E-3</v>
      </c>
      <c r="D143" s="1931">
        <f>($C$9*24)/((($B$8-BBR+'Product Data'!$K$3-C143)/12)*(24-B143)*'Product Data'!$P$18)</f>
        <v>0</v>
      </c>
      <c r="F143" s="1927">
        <f t="shared" si="7"/>
        <v>0</v>
      </c>
      <c r="G143" s="1928">
        <v>3.1000000000001001E-3</v>
      </c>
      <c r="H143" s="1931">
        <f>($G$9*24)/((($F$8-BBR+'Product Data'!$K$3-'KB_C&amp;S Opt Roll Defer '!$G143)/12)*(24-'KB_C&amp;S Opt Roll Defer '!F143)*'Product Data'!$P$18)</f>
        <v>0</v>
      </c>
      <c r="J143" s="1927">
        <f t="shared" si="8"/>
        <v>0</v>
      </c>
      <c r="K143" s="1928">
        <v>3.1000000000001001E-3</v>
      </c>
      <c r="L143" s="1931">
        <f>($K$9*24)/((($J$8-BBR+'Product Data'!$K$2-'KB_C&amp;S Opt Roll Defer '!$K143)/12)*(24-'KB_C&amp;S Opt Roll Defer '!J143)*'Product Data'!$P$18)</f>
        <v>0</v>
      </c>
    </row>
    <row r="144" spans="2:12" x14ac:dyDescent="0.25">
      <c r="B144" s="1927">
        <f t="shared" si="6"/>
        <v>0</v>
      </c>
      <c r="C144" s="1928">
        <v>3.0000000000000998E-3</v>
      </c>
      <c r="D144" s="1931">
        <f>($C$9*24)/((($B$8-BBR+'Product Data'!$K$3-C144)/12)*(24-B144)*'Product Data'!$P$18)</f>
        <v>0</v>
      </c>
      <c r="F144" s="1927">
        <f t="shared" si="7"/>
        <v>0</v>
      </c>
      <c r="G144" s="1928">
        <v>3.0000000000000998E-3</v>
      </c>
      <c r="H144" s="1931">
        <f>($G$9*24)/((($F$8-BBR+'Product Data'!$K$3-'KB_C&amp;S Opt Roll Defer '!$G144)/12)*(24-'KB_C&amp;S Opt Roll Defer '!F144)*'Product Data'!$P$18)</f>
        <v>0</v>
      </c>
      <c r="J144" s="1927">
        <f t="shared" si="8"/>
        <v>0</v>
      </c>
      <c r="K144" s="1928">
        <v>3.0000000000000998E-3</v>
      </c>
      <c r="L144" s="1931">
        <f>($K$9*24)/((($J$8-BBR+'Product Data'!$K$2-'KB_C&amp;S Opt Roll Defer '!$K144)/12)*(24-'KB_C&amp;S Opt Roll Defer '!J144)*'Product Data'!$P$18)</f>
        <v>0</v>
      </c>
    </row>
    <row r="145" spans="2:12" x14ac:dyDescent="0.25">
      <c r="B145" s="1927">
        <f t="shared" si="6"/>
        <v>0</v>
      </c>
      <c r="C145" s="1928">
        <v>2.9000000000001E-3</v>
      </c>
      <c r="D145" s="1931">
        <f>($C$9*24)/((($B$8-BBR+'Product Data'!$K$3-C145)/12)*(24-B145)*'Product Data'!$P$18)</f>
        <v>0</v>
      </c>
      <c r="F145" s="1927">
        <f t="shared" si="7"/>
        <v>0</v>
      </c>
      <c r="G145" s="1928">
        <v>2.9000000000001E-3</v>
      </c>
      <c r="H145" s="1931">
        <f>($G$9*24)/((($F$8-BBR+'Product Data'!$K$3-'KB_C&amp;S Opt Roll Defer '!$G145)/12)*(24-'KB_C&amp;S Opt Roll Defer '!F145)*'Product Data'!$P$18)</f>
        <v>0</v>
      </c>
      <c r="J145" s="1927">
        <f t="shared" si="8"/>
        <v>0</v>
      </c>
      <c r="K145" s="1928">
        <v>2.9000000000001E-3</v>
      </c>
      <c r="L145" s="1931">
        <f>($K$9*24)/((($J$8-BBR+'Product Data'!$K$2-'KB_C&amp;S Opt Roll Defer '!$K145)/12)*(24-'KB_C&amp;S Opt Roll Defer '!J145)*'Product Data'!$P$18)</f>
        <v>0</v>
      </c>
    </row>
    <row r="146" spans="2:12" x14ac:dyDescent="0.25">
      <c r="B146" s="1927">
        <f t="shared" si="6"/>
        <v>0</v>
      </c>
      <c r="C146" s="1928">
        <v>2.8000000000001002E-3</v>
      </c>
      <c r="D146" s="1931">
        <f>($C$9*24)/((($B$8-BBR+'Product Data'!$K$3-C146)/12)*(24-B146)*'Product Data'!$P$18)</f>
        <v>0</v>
      </c>
      <c r="F146" s="1927">
        <f t="shared" si="7"/>
        <v>0</v>
      </c>
      <c r="G146" s="1928">
        <v>2.8000000000001002E-3</v>
      </c>
      <c r="H146" s="1931">
        <f>($G$9*24)/((($F$8-BBR+'Product Data'!$K$3-'KB_C&amp;S Opt Roll Defer '!$G146)/12)*(24-'KB_C&amp;S Opt Roll Defer '!F146)*'Product Data'!$P$18)</f>
        <v>0</v>
      </c>
      <c r="J146" s="1927">
        <f t="shared" si="8"/>
        <v>0</v>
      </c>
      <c r="K146" s="1928">
        <v>2.8000000000001002E-3</v>
      </c>
      <c r="L146" s="1931">
        <f>($K$9*24)/((($J$8-BBR+'Product Data'!$K$2-'KB_C&amp;S Opt Roll Defer '!$K146)/12)*(24-'KB_C&amp;S Opt Roll Defer '!J146)*'Product Data'!$P$18)</f>
        <v>0</v>
      </c>
    </row>
    <row r="147" spans="2:12" x14ac:dyDescent="0.25">
      <c r="B147" s="1927">
        <f t="shared" si="6"/>
        <v>0</v>
      </c>
      <c r="C147" s="1928">
        <v>2.7000000000000999E-3</v>
      </c>
      <c r="D147" s="1931">
        <f>($C$9*24)/((($B$8-BBR+'Product Data'!$K$3-C147)/12)*(24-B147)*'Product Data'!$P$18)</f>
        <v>0</v>
      </c>
      <c r="F147" s="1927">
        <f t="shared" si="7"/>
        <v>0</v>
      </c>
      <c r="G147" s="1928">
        <v>2.7000000000000999E-3</v>
      </c>
      <c r="H147" s="1931">
        <f>($G$9*24)/((($F$8-BBR+'Product Data'!$K$3-'KB_C&amp;S Opt Roll Defer '!$G147)/12)*(24-'KB_C&amp;S Opt Roll Defer '!F147)*'Product Data'!$P$18)</f>
        <v>0</v>
      </c>
      <c r="J147" s="1927">
        <f t="shared" si="8"/>
        <v>0</v>
      </c>
      <c r="K147" s="1928">
        <v>2.7000000000000999E-3</v>
      </c>
      <c r="L147" s="1931">
        <f>($K$9*24)/((($J$8-BBR+'Product Data'!$K$2-'KB_C&amp;S Opt Roll Defer '!$K147)/12)*(24-'KB_C&amp;S Opt Roll Defer '!J147)*'Product Data'!$P$18)</f>
        <v>0</v>
      </c>
    </row>
    <row r="148" spans="2:12" x14ac:dyDescent="0.25">
      <c r="B148" s="1927">
        <f t="shared" si="6"/>
        <v>0</v>
      </c>
      <c r="C148" s="1928">
        <v>2.6000000000001001E-3</v>
      </c>
      <c r="D148" s="1931">
        <f>($C$9*24)/((($B$8-BBR+'Product Data'!$K$3-C148)/12)*(24-B148)*'Product Data'!$P$18)</f>
        <v>0</v>
      </c>
      <c r="F148" s="1927">
        <f t="shared" si="7"/>
        <v>0</v>
      </c>
      <c r="G148" s="1928">
        <v>2.6000000000001001E-3</v>
      </c>
      <c r="H148" s="1931">
        <f>($G$9*24)/((($F$8-BBR+'Product Data'!$K$3-'KB_C&amp;S Opt Roll Defer '!$G148)/12)*(24-'KB_C&amp;S Opt Roll Defer '!F148)*'Product Data'!$P$18)</f>
        <v>0</v>
      </c>
      <c r="J148" s="1927">
        <f t="shared" si="8"/>
        <v>0</v>
      </c>
      <c r="K148" s="1928">
        <v>2.6000000000001001E-3</v>
      </c>
      <c r="L148" s="1931">
        <f>($K$9*24)/((($J$8-BBR+'Product Data'!$K$2-'KB_C&amp;S Opt Roll Defer '!$K148)/12)*(24-'KB_C&amp;S Opt Roll Defer '!J148)*'Product Data'!$P$18)</f>
        <v>0</v>
      </c>
    </row>
    <row r="149" spans="2:12" x14ac:dyDescent="0.25">
      <c r="B149" s="1927">
        <f t="shared" si="6"/>
        <v>0</v>
      </c>
      <c r="C149" s="1928">
        <v>2.5000000000000998E-3</v>
      </c>
      <c r="D149" s="1931">
        <f>($C$9*24)/((($B$8-BBR+'Product Data'!$K$3-C149)/12)*(24-B149)*'Product Data'!$P$18)</f>
        <v>0</v>
      </c>
      <c r="F149" s="1927">
        <f t="shared" si="7"/>
        <v>0</v>
      </c>
      <c r="G149" s="1928">
        <v>2.5000000000000998E-3</v>
      </c>
      <c r="H149" s="1931">
        <f>($G$9*24)/((($F$8-BBR+'Product Data'!$K$3-'KB_C&amp;S Opt Roll Defer '!$G149)/12)*(24-'KB_C&amp;S Opt Roll Defer '!F149)*'Product Data'!$P$18)</f>
        <v>0</v>
      </c>
      <c r="J149" s="1927">
        <f t="shared" si="8"/>
        <v>0</v>
      </c>
      <c r="K149" s="1928">
        <v>2.5000000000000998E-3</v>
      </c>
      <c r="L149" s="1931">
        <f>($K$9*24)/((($J$8-BBR+'Product Data'!$K$2-'KB_C&amp;S Opt Roll Defer '!$K149)/12)*(24-'KB_C&amp;S Opt Roll Defer '!J149)*'Product Data'!$P$18)</f>
        <v>0</v>
      </c>
    </row>
    <row r="150" spans="2:12" x14ac:dyDescent="0.25">
      <c r="B150" s="1927">
        <f t="shared" si="6"/>
        <v>0</v>
      </c>
      <c r="C150" s="1928">
        <v>2.4000000000001E-3</v>
      </c>
      <c r="D150" s="1931">
        <f>($C$9*24)/((($B$8-BBR+'Product Data'!$K$3-C150)/12)*(24-B150)*'Product Data'!$P$18)</f>
        <v>0</v>
      </c>
      <c r="F150" s="1927">
        <f t="shared" si="7"/>
        <v>0</v>
      </c>
      <c r="G150" s="1928">
        <v>2.4000000000001E-3</v>
      </c>
      <c r="H150" s="1931">
        <f>($G$9*24)/((($F$8-BBR+'Product Data'!$K$3-'KB_C&amp;S Opt Roll Defer '!$G150)/12)*(24-'KB_C&amp;S Opt Roll Defer '!F150)*'Product Data'!$P$18)</f>
        <v>0</v>
      </c>
      <c r="J150" s="1927">
        <f t="shared" si="8"/>
        <v>0</v>
      </c>
      <c r="K150" s="1928">
        <v>2.4000000000001E-3</v>
      </c>
      <c r="L150" s="1931">
        <f>($K$9*24)/((($J$8-BBR+'Product Data'!$K$2-'KB_C&amp;S Opt Roll Defer '!$K150)/12)*(24-'KB_C&amp;S Opt Roll Defer '!J150)*'Product Data'!$P$18)</f>
        <v>0</v>
      </c>
    </row>
    <row r="151" spans="2:12" x14ac:dyDescent="0.25">
      <c r="B151" s="1927">
        <f t="shared" si="6"/>
        <v>0</v>
      </c>
      <c r="C151" s="1928">
        <v>2.3000000000001001E-3</v>
      </c>
      <c r="D151" s="1931">
        <f>($C$9*24)/((($B$8-BBR+'Product Data'!$K$3-C151)/12)*(24-B151)*'Product Data'!$P$18)</f>
        <v>0</v>
      </c>
      <c r="F151" s="1927">
        <f t="shared" si="7"/>
        <v>0</v>
      </c>
      <c r="G151" s="1928">
        <v>2.3000000000001001E-3</v>
      </c>
      <c r="H151" s="1931">
        <f>($G$9*24)/((($F$8-BBR+'Product Data'!$K$3-'KB_C&amp;S Opt Roll Defer '!$G151)/12)*(24-'KB_C&amp;S Opt Roll Defer '!F151)*'Product Data'!$P$18)</f>
        <v>0</v>
      </c>
      <c r="J151" s="1927">
        <f t="shared" si="8"/>
        <v>0</v>
      </c>
      <c r="K151" s="1928">
        <v>2.3000000000001001E-3</v>
      </c>
      <c r="L151" s="1931">
        <f>($K$9*24)/((($J$8-BBR+'Product Data'!$K$2-'KB_C&amp;S Opt Roll Defer '!$K151)/12)*(24-'KB_C&amp;S Opt Roll Defer '!J151)*'Product Data'!$P$18)</f>
        <v>0</v>
      </c>
    </row>
    <row r="152" spans="2:12" x14ac:dyDescent="0.25">
      <c r="B152" s="1927">
        <f t="shared" si="6"/>
        <v>0</v>
      </c>
      <c r="C152" s="1928">
        <v>2.2000000000000999E-3</v>
      </c>
      <c r="D152" s="1931">
        <f>($C$9*24)/((($B$8-BBR+'Product Data'!$K$3-C152)/12)*(24-B152)*'Product Data'!$P$18)</f>
        <v>0</v>
      </c>
      <c r="F152" s="1927">
        <f t="shared" si="7"/>
        <v>0</v>
      </c>
      <c r="G152" s="1928">
        <v>2.2000000000000999E-3</v>
      </c>
      <c r="H152" s="1931">
        <f>($G$9*24)/((($F$8-BBR+'Product Data'!$K$3-'KB_C&amp;S Opt Roll Defer '!$G152)/12)*(24-'KB_C&amp;S Opt Roll Defer '!F152)*'Product Data'!$P$18)</f>
        <v>0</v>
      </c>
      <c r="J152" s="1927">
        <f t="shared" si="8"/>
        <v>0</v>
      </c>
      <c r="K152" s="1928">
        <v>2.2000000000000999E-3</v>
      </c>
      <c r="L152" s="1931">
        <f>($K$9*24)/((($J$8-BBR+'Product Data'!$K$2-'KB_C&amp;S Opt Roll Defer '!$K152)/12)*(24-'KB_C&amp;S Opt Roll Defer '!J152)*'Product Data'!$P$18)</f>
        <v>0</v>
      </c>
    </row>
    <row r="153" spans="2:12" x14ac:dyDescent="0.25">
      <c r="B153" s="1927">
        <f t="shared" si="6"/>
        <v>0</v>
      </c>
      <c r="C153" s="1928">
        <v>2.1000000000001001E-3</v>
      </c>
      <c r="D153" s="1931">
        <f>($C$9*24)/((($B$8-BBR+'Product Data'!$K$3-C153)/12)*(24-B153)*'Product Data'!$P$18)</f>
        <v>0</v>
      </c>
      <c r="F153" s="1927">
        <f t="shared" si="7"/>
        <v>0</v>
      </c>
      <c r="G153" s="1928">
        <v>2.1000000000001001E-3</v>
      </c>
      <c r="H153" s="1931">
        <f>($G$9*24)/((($F$8-BBR+'Product Data'!$K$3-'KB_C&amp;S Opt Roll Defer '!$G153)/12)*(24-'KB_C&amp;S Opt Roll Defer '!F153)*'Product Data'!$P$18)</f>
        <v>0</v>
      </c>
      <c r="J153" s="1927">
        <f t="shared" si="8"/>
        <v>0</v>
      </c>
      <c r="K153" s="1928">
        <v>2.1000000000001001E-3</v>
      </c>
      <c r="L153" s="1931">
        <f>($K$9*24)/((($J$8-BBR+'Product Data'!$K$2-'KB_C&amp;S Opt Roll Defer '!$K153)/12)*(24-'KB_C&amp;S Opt Roll Defer '!J153)*'Product Data'!$P$18)</f>
        <v>0</v>
      </c>
    </row>
    <row r="154" spans="2:12" x14ac:dyDescent="0.25">
      <c r="B154" s="1927">
        <f t="shared" ref="B154:B174" si="9">B153</f>
        <v>0</v>
      </c>
      <c r="C154" s="1928">
        <v>2.0000000000000998E-3</v>
      </c>
      <c r="D154" s="1931">
        <f>($C$9*24)/((($B$8-BBR+'Product Data'!$K$3-C154)/12)*(24-B154)*'Product Data'!$P$18)</f>
        <v>0</v>
      </c>
      <c r="F154" s="1927">
        <f t="shared" ref="F154:F174" si="10">F153</f>
        <v>0</v>
      </c>
      <c r="G154" s="1928">
        <v>2.0000000000000998E-3</v>
      </c>
      <c r="H154" s="1931">
        <f>($G$9*24)/((($F$8-BBR+'Product Data'!$K$3-'KB_C&amp;S Opt Roll Defer '!$G154)/12)*(24-'KB_C&amp;S Opt Roll Defer '!F154)*'Product Data'!$P$18)</f>
        <v>0</v>
      </c>
      <c r="J154" s="1927">
        <f t="shared" ref="J154:J174" si="11">J153</f>
        <v>0</v>
      </c>
      <c r="K154" s="1928">
        <v>2.0000000000000998E-3</v>
      </c>
      <c r="L154" s="1931">
        <f>($K$9*24)/((($J$8-BBR+'Product Data'!$K$2-'KB_C&amp;S Opt Roll Defer '!$K154)/12)*(24-'KB_C&amp;S Opt Roll Defer '!J154)*'Product Data'!$P$18)</f>
        <v>0</v>
      </c>
    </row>
    <row r="155" spans="2:12" x14ac:dyDescent="0.25">
      <c r="B155" s="1927">
        <f t="shared" si="9"/>
        <v>0</v>
      </c>
      <c r="C155" s="1928">
        <v>1.9000000000001E-3</v>
      </c>
      <c r="D155" s="1931">
        <f>($C$9*24)/((($B$8-BBR+'Product Data'!$K$3-C155)/12)*(24-B155)*'Product Data'!$P$18)</f>
        <v>0</v>
      </c>
      <c r="F155" s="1927">
        <f t="shared" si="10"/>
        <v>0</v>
      </c>
      <c r="G155" s="1928">
        <v>1.9000000000001E-3</v>
      </c>
      <c r="H155" s="1931">
        <f>($G$9*24)/((($F$8-BBR+'Product Data'!$K$3-'KB_C&amp;S Opt Roll Defer '!$G155)/12)*(24-'KB_C&amp;S Opt Roll Defer '!F155)*'Product Data'!$P$18)</f>
        <v>0</v>
      </c>
      <c r="J155" s="1927">
        <f t="shared" si="11"/>
        <v>0</v>
      </c>
      <c r="K155" s="1928">
        <v>1.9000000000001E-3</v>
      </c>
      <c r="L155" s="1931">
        <f>($K$9*24)/((($J$8-BBR+'Product Data'!$K$2-'KB_C&amp;S Opt Roll Defer '!$K155)/12)*(24-'KB_C&amp;S Opt Roll Defer '!J155)*'Product Data'!$P$18)</f>
        <v>0</v>
      </c>
    </row>
    <row r="156" spans="2:12" x14ac:dyDescent="0.25">
      <c r="B156" s="1927">
        <f t="shared" si="9"/>
        <v>0</v>
      </c>
      <c r="C156" s="1928">
        <v>1.8000000000000999E-3</v>
      </c>
      <c r="D156" s="1931">
        <f>($C$9*24)/((($B$8-BBR+'Product Data'!$K$3-C156)/12)*(24-B156)*'Product Data'!$P$18)</f>
        <v>0</v>
      </c>
      <c r="F156" s="1927">
        <f t="shared" si="10"/>
        <v>0</v>
      </c>
      <c r="G156" s="1928">
        <v>1.8000000000000999E-3</v>
      </c>
      <c r="H156" s="1931">
        <f>($G$9*24)/((($F$8-BBR+'Product Data'!$K$3-'KB_C&amp;S Opt Roll Defer '!$G156)/12)*(24-'KB_C&amp;S Opt Roll Defer '!F156)*'Product Data'!$P$18)</f>
        <v>0</v>
      </c>
      <c r="J156" s="1927">
        <f t="shared" si="11"/>
        <v>0</v>
      </c>
      <c r="K156" s="1928">
        <v>1.8000000000000999E-3</v>
      </c>
      <c r="L156" s="1931">
        <f>($K$9*24)/((($J$8-BBR+'Product Data'!$K$2-'KB_C&amp;S Opt Roll Defer '!$K156)/12)*(24-'KB_C&amp;S Opt Roll Defer '!J156)*'Product Data'!$P$18)</f>
        <v>0</v>
      </c>
    </row>
    <row r="157" spans="2:12" x14ac:dyDescent="0.25">
      <c r="B157" s="1927">
        <f t="shared" si="9"/>
        <v>0</v>
      </c>
      <c r="C157" s="1928">
        <v>1.7000000000001001E-3</v>
      </c>
      <c r="D157" s="1931">
        <f>($C$9*24)/((($B$8-BBR+'Product Data'!$K$3-C157)/12)*(24-B157)*'Product Data'!$P$18)</f>
        <v>0</v>
      </c>
      <c r="F157" s="1927">
        <f t="shared" si="10"/>
        <v>0</v>
      </c>
      <c r="G157" s="1928">
        <v>1.7000000000001001E-3</v>
      </c>
      <c r="H157" s="1931">
        <f>($G$9*24)/((($F$8-BBR+'Product Data'!$K$3-'KB_C&amp;S Opt Roll Defer '!$G157)/12)*(24-'KB_C&amp;S Opt Roll Defer '!F157)*'Product Data'!$P$18)</f>
        <v>0</v>
      </c>
      <c r="J157" s="1927">
        <f t="shared" si="11"/>
        <v>0</v>
      </c>
      <c r="K157" s="1928">
        <v>1.7000000000001001E-3</v>
      </c>
      <c r="L157" s="1931">
        <f>($K$9*24)/((($J$8-BBR+'Product Data'!$K$2-'KB_C&amp;S Opt Roll Defer '!$K157)/12)*(24-'KB_C&amp;S Opt Roll Defer '!J157)*'Product Data'!$P$18)</f>
        <v>0</v>
      </c>
    </row>
    <row r="158" spans="2:12" x14ac:dyDescent="0.25">
      <c r="B158" s="1927">
        <f t="shared" si="9"/>
        <v>0</v>
      </c>
      <c r="C158" s="1928">
        <v>1.6000000000001E-3</v>
      </c>
      <c r="D158" s="1931">
        <f>($C$9*24)/((($B$8-BBR+'Product Data'!$K$3-C158)/12)*(24-B158)*'Product Data'!$P$18)</f>
        <v>0</v>
      </c>
      <c r="F158" s="1927">
        <f t="shared" si="10"/>
        <v>0</v>
      </c>
      <c r="G158" s="1928">
        <v>1.6000000000001E-3</v>
      </c>
      <c r="H158" s="1931">
        <f>($G$9*24)/((($F$8-BBR+'Product Data'!$K$3-'KB_C&amp;S Opt Roll Defer '!$G158)/12)*(24-'KB_C&amp;S Opt Roll Defer '!F158)*'Product Data'!$P$18)</f>
        <v>0</v>
      </c>
      <c r="J158" s="1927">
        <f t="shared" si="11"/>
        <v>0</v>
      </c>
      <c r="K158" s="1928">
        <v>1.6000000000001E-3</v>
      </c>
      <c r="L158" s="1931">
        <f>($K$9*24)/((($J$8-BBR+'Product Data'!$K$2-'KB_C&amp;S Opt Roll Defer '!$K158)/12)*(24-'KB_C&amp;S Opt Roll Defer '!J158)*'Product Data'!$P$18)</f>
        <v>0</v>
      </c>
    </row>
    <row r="159" spans="2:12" x14ac:dyDescent="0.25">
      <c r="B159" s="1927">
        <f t="shared" si="9"/>
        <v>0</v>
      </c>
      <c r="C159" s="1928">
        <v>1.5000000000001E-3</v>
      </c>
      <c r="D159" s="1931">
        <f>($C$9*24)/((($B$8-BBR+'Product Data'!$K$3-C159)/12)*(24-B159)*'Product Data'!$P$18)</f>
        <v>0</v>
      </c>
      <c r="F159" s="1927">
        <f t="shared" si="10"/>
        <v>0</v>
      </c>
      <c r="G159" s="1928">
        <v>1.5000000000001E-3</v>
      </c>
      <c r="H159" s="1931">
        <f>($G$9*24)/((($F$8-BBR+'Product Data'!$K$3-'KB_C&amp;S Opt Roll Defer '!$G159)/12)*(24-'KB_C&amp;S Opt Roll Defer '!F159)*'Product Data'!$P$18)</f>
        <v>0</v>
      </c>
      <c r="J159" s="1927">
        <f t="shared" si="11"/>
        <v>0</v>
      </c>
      <c r="K159" s="1928">
        <v>1.5000000000001E-3</v>
      </c>
      <c r="L159" s="1931">
        <f>($K$9*24)/((($J$8-BBR+'Product Data'!$K$2-'KB_C&amp;S Opt Roll Defer '!$K159)/12)*(24-'KB_C&amp;S Opt Roll Defer '!J159)*'Product Data'!$P$18)</f>
        <v>0</v>
      </c>
    </row>
    <row r="160" spans="2:12" x14ac:dyDescent="0.25">
      <c r="B160" s="1927">
        <f t="shared" si="9"/>
        <v>0</v>
      </c>
      <c r="C160" s="1928">
        <v>1.4000000000000999E-3</v>
      </c>
      <c r="D160" s="1931">
        <f>($C$9*24)/((($B$8-BBR+'Product Data'!$K$3-C160)/12)*(24-B160)*'Product Data'!$P$18)</f>
        <v>0</v>
      </c>
      <c r="F160" s="1927">
        <f t="shared" si="10"/>
        <v>0</v>
      </c>
      <c r="G160" s="1928">
        <v>1.4000000000000999E-3</v>
      </c>
      <c r="H160" s="1931">
        <f>($G$9*24)/((($F$8-BBR+'Product Data'!$K$3-'KB_C&amp;S Opt Roll Defer '!$G160)/12)*(24-'KB_C&amp;S Opt Roll Defer '!F160)*'Product Data'!$P$18)</f>
        <v>0</v>
      </c>
      <c r="J160" s="1927">
        <f t="shared" si="11"/>
        <v>0</v>
      </c>
      <c r="K160" s="1928">
        <v>1.4000000000000999E-3</v>
      </c>
      <c r="L160" s="1931">
        <f>($K$9*24)/((($J$8-BBR+'Product Data'!$K$2-'KB_C&amp;S Opt Roll Defer '!$K160)/12)*(24-'KB_C&amp;S Opt Roll Defer '!J160)*'Product Data'!$P$18)</f>
        <v>0</v>
      </c>
    </row>
    <row r="161" spans="2:12" x14ac:dyDescent="0.25">
      <c r="B161" s="1927">
        <f t="shared" si="9"/>
        <v>0</v>
      </c>
      <c r="C161" s="1928">
        <v>1.3000000000000999E-3</v>
      </c>
      <c r="D161" s="1931">
        <f>($C$9*24)/((($B$8-BBR+'Product Data'!$K$3-C161)/12)*(24-B161)*'Product Data'!$P$18)</f>
        <v>0</v>
      </c>
      <c r="F161" s="1927">
        <f t="shared" si="10"/>
        <v>0</v>
      </c>
      <c r="G161" s="1928">
        <v>1.3000000000000999E-3</v>
      </c>
      <c r="H161" s="1931">
        <f>($G$9*24)/((($F$8-BBR+'Product Data'!$K$3-'KB_C&amp;S Opt Roll Defer '!$G161)/12)*(24-'KB_C&amp;S Opt Roll Defer '!F161)*'Product Data'!$P$18)</f>
        <v>0</v>
      </c>
      <c r="J161" s="1927">
        <f t="shared" si="11"/>
        <v>0</v>
      </c>
      <c r="K161" s="1928">
        <v>1.3000000000000999E-3</v>
      </c>
      <c r="L161" s="1931">
        <f>($K$9*24)/((($J$8-BBR+'Product Data'!$K$2-'KB_C&amp;S Opt Roll Defer '!$K161)/12)*(24-'KB_C&amp;S Opt Roll Defer '!J161)*'Product Data'!$P$18)</f>
        <v>0</v>
      </c>
    </row>
    <row r="162" spans="2:12" x14ac:dyDescent="0.25">
      <c r="B162" s="1927">
        <f t="shared" si="9"/>
        <v>0</v>
      </c>
      <c r="C162" s="1928">
        <v>1.2000000000001001E-3</v>
      </c>
      <c r="D162" s="1931">
        <f>($C$9*24)/((($B$8-BBR+'Product Data'!$K$3-C162)/12)*(24-B162)*'Product Data'!$P$18)</f>
        <v>0</v>
      </c>
      <c r="F162" s="1927">
        <f t="shared" si="10"/>
        <v>0</v>
      </c>
      <c r="G162" s="1928">
        <v>1.2000000000001001E-3</v>
      </c>
      <c r="H162" s="1931">
        <f>($G$9*24)/((($F$8-BBR+'Product Data'!$K$3-'KB_C&amp;S Opt Roll Defer '!$G162)/12)*(24-'KB_C&amp;S Opt Roll Defer '!F162)*'Product Data'!$P$18)</f>
        <v>0</v>
      </c>
      <c r="J162" s="1927">
        <f t="shared" si="11"/>
        <v>0</v>
      </c>
      <c r="K162" s="1928">
        <v>1.2000000000001001E-3</v>
      </c>
      <c r="L162" s="1931">
        <f>($K$9*24)/((($J$8-BBR+'Product Data'!$K$2-'KB_C&amp;S Opt Roll Defer '!$K162)/12)*(24-'KB_C&amp;S Opt Roll Defer '!J162)*'Product Data'!$P$18)</f>
        <v>0</v>
      </c>
    </row>
    <row r="163" spans="2:12" x14ac:dyDescent="0.25">
      <c r="B163" s="1927">
        <f t="shared" si="9"/>
        <v>0</v>
      </c>
      <c r="C163" s="1928">
        <v>1.1000000000001E-3</v>
      </c>
      <c r="D163" s="1931">
        <f>($C$9*24)/((($B$8-BBR+'Product Data'!$K$3-C163)/12)*(24-B163)*'Product Data'!$P$18)</f>
        <v>0</v>
      </c>
      <c r="F163" s="1927">
        <f t="shared" si="10"/>
        <v>0</v>
      </c>
      <c r="G163" s="1928">
        <v>1.1000000000001E-3</v>
      </c>
      <c r="H163" s="1931">
        <f>($G$9*24)/((($F$8-BBR+'Product Data'!$K$3-'KB_C&amp;S Opt Roll Defer '!$G163)/12)*(24-'KB_C&amp;S Opt Roll Defer '!F163)*'Product Data'!$P$18)</f>
        <v>0</v>
      </c>
      <c r="J163" s="1927">
        <f t="shared" si="11"/>
        <v>0</v>
      </c>
      <c r="K163" s="1928">
        <v>1.1000000000001E-3</v>
      </c>
      <c r="L163" s="1931">
        <f>($K$9*24)/((($J$8-BBR+'Product Data'!$K$2-'KB_C&amp;S Opt Roll Defer '!$K163)/12)*(24-'KB_C&amp;S Opt Roll Defer '!J163)*'Product Data'!$P$18)</f>
        <v>0</v>
      </c>
    </row>
    <row r="164" spans="2:12" x14ac:dyDescent="0.25">
      <c r="B164" s="1927">
        <f t="shared" si="9"/>
        <v>0</v>
      </c>
      <c r="C164" s="1928">
        <v>1.0000000000001E-3</v>
      </c>
      <c r="D164" s="1931">
        <f>($C$9*24)/((($B$8-BBR+'Product Data'!$K$3-C164)/12)*(24-B164)*'Product Data'!$P$18)</f>
        <v>0</v>
      </c>
      <c r="F164" s="1927">
        <f t="shared" si="10"/>
        <v>0</v>
      </c>
      <c r="G164" s="1928">
        <v>1.0000000000001E-3</v>
      </c>
      <c r="H164" s="1931">
        <f>($G$9*24)/((($F$8-BBR+'Product Data'!$K$3-'KB_C&amp;S Opt Roll Defer '!$G164)/12)*(24-'KB_C&amp;S Opt Roll Defer '!F164)*'Product Data'!$P$18)</f>
        <v>0</v>
      </c>
      <c r="J164" s="1927">
        <f t="shared" si="11"/>
        <v>0</v>
      </c>
      <c r="K164" s="1928">
        <v>1.0000000000001E-3</v>
      </c>
      <c r="L164" s="1931">
        <f>($K$9*24)/((($J$8-BBR+'Product Data'!$K$2-'KB_C&amp;S Opt Roll Defer '!$K164)/12)*(24-'KB_C&amp;S Opt Roll Defer '!J164)*'Product Data'!$P$18)</f>
        <v>0</v>
      </c>
    </row>
    <row r="165" spans="2:12" x14ac:dyDescent="0.25">
      <c r="B165" s="1927">
        <f t="shared" si="9"/>
        <v>0</v>
      </c>
      <c r="C165" s="1928">
        <v>9.00000000000102E-4</v>
      </c>
      <c r="D165" s="1931">
        <f>($C$9*24)/((($B$8-BBR+'Product Data'!$K$3-C165)/12)*(24-B165)*'Product Data'!$P$18)</f>
        <v>0</v>
      </c>
      <c r="F165" s="1927">
        <f t="shared" si="10"/>
        <v>0</v>
      </c>
      <c r="G165" s="1928">
        <v>9.00000000000102E-4</v>
      </c>
      <c r="H165" s="1931">
        <f>($G$9*24)/((($F$8-BBR+'Product Data'!$K$3-'KB_C&amp;S Opt Roll Defer '!$G165)/12)*(24-'KB_C&amp;S Opt Roll Defer '!F165)*'Product Data'!$P$18)</f>
        <v>0</v>
      </c>
      <c r="J165" s="1927">
        <f t="shared" si="11"/>
        <v>0</v>
      </c>
      <c r="K165" s="1928">
        <v>9.00000000000102E-4</v>
      </c>
      <c r="L165" s="1931">
        <f>($K$9*24)/((($J$8-BBR+'Product Data'!$K$2-'KB_C&amp;S Opt Roll Defer '!$K165)/12)*(24-'KB_C&amp;S Opt Roll Defer '!J165)*'Product Data'!$P$18)</f>
        <v>0</v>
      </c>
    </row>
    <row r="166" spans="2:12" x14ac:dyDescent="0.25">
      <c r="B166" s="1927">
        <f t="shared" si="9"/>
        <v>0</v>
      </c>
      <c r="C166" s="1928">
        <v>8.0000000000009903E-4</v>
      </c>
      <c r="D166" s="1931">
        <f>($C$9*24)/((($B$8-BBR+'Product Data'!$K$3-C166)/12)*(24-B166)*'Product Data'!$P$18)</f>
        <v>0</v>
      </c>
      <c r="F166" s="1927">
        <f t="shared" si="10"/>
        <v>0</v>
      </c>
      <c r="G166" s="1928">
        <v>8.0000000000009903E-4</v>
      </c>
      <c r="H166" s="1931">
        <f>($G$9*24)/((($F$8-BBR+'Product Data'!$K$3-'KB_C&amp;S Opt Roll Defer '!$G166)/12)*(24-'KB_C&amp;S Opt Roll Defer '!F166)*'Product Data'!$P$18)</f>
        <v>0</v>
      </c>
      <c r="J166" s="1927">
        <f t="shared" si="11"/>
        <v>0</v>
      </c>
      <c r="K166" s="1928">
        <v>8.0000000000009903E-4</v>
      </c>
      <c r="L166" s="1931">
        <f>($K$9*24)/((($J$8-BBR+'Product Data'!$K$2-'KB_C&amp;S Opt Roll Defer '!$K166)/12)*(24-'KB_C&amp;S Opt Roll Defer '!J166)*'Product Data'!$P$18)</f>
        <v>0</v>
      </c>
    </row>
    <row r="167" spans="2:12" x14ac:dyDescent="0.25">
      <c r="B167" s="1927">
        <f t="shared" si="9"/>
        <v>0</v>
      </c>
      <c r="C167" s="1928">
        <v>7.0000000000009996E-4</v>
      </c>
      <c r="D167" s="1931">
        <f>($C$9*24)/((($B$8-BBR+'Product Data'!$K$3-C167)/12)*(24-B167)*'Product Data'!$P$18)</f>
        <v>0</v>
      </c>
      <c r="F167" s="1927">
        <f t="shared" si="10"/>
        <v>0</v>
      </c>
      <c r="G167" s="1928">
        <v>7.0000000000009996E-4</v>
      </c>
      <c r="H167" s="1931">
        <f>($G$9*24)/((($F$8-BBR+'Product Data'!$K$3-'KB_C&amp;S Opt Roll Defer '!$G167)/12)*(24-'KB_C&amp;S Opt Roll Defer '!F167)*'Product Data'!$P$18)</f>
        <v>0</v>
      </c>
      <c r="J167" s="1927">
        <f t="shared" si="11"/>
        <v>0</v>
      </c>
      <c r="K167" s="1928">
        <v>7.0000000000009996E-4</v>
      </c>
      <c r="L167" s="1931">
        <f>($K$9*24)/((($J$8-BBR+'Product Data'!$K$2-'KB_C&amp;S Opt Roll Defer '!$K167)/12)*(24-'KB_C&amp;S Opt Roll Defer '!J167)*'Product Data'!$P$18)</f>
        <v>0</v>
      </c>
    </row>
    <row r="168" spans="2:12" x14ac:dyDescent="0.25">
      <c r="B168" s="1927">
        <f t="shared" si="9"/>
        <v>0</v>
      </c>
      <c r="C168" s="1928">
        <v>6.0000000000010002E-4</v>
      </c>
      <c r="D168" s="1931">
        <f>($C$9*24)/((($B$8-BBR+'Product Data'!$K$3-C168)/12)*(24-B168)*'Product Data'!$P$18)</f>
        <v>0</v>
      </c>
      <c r="F168" s="1927">
        <f t="shared" si="10"/>
        <v>0</v>
      </c>
      <c r="G168" s="1928">
        <v>6.0000000000010002E-4</v>
      </c>
      <c r="H168" s="1931">
        <f>($G$9*24)/((($F$8-BBR+'Product Data'!$K$3-'KB_C&amp;S Opt Roll Defer '!$G168)/12)*(24-'KB_C&amp;S Opt Roll Defer '!F168)*'Product Data'!$P$18)</f>
        <v>0</v>
      </c>
      <c r="J168" s="1927">
        <f t="shared" si="11"/>
        <v>0</v>
      </c>
      <c r="K168" s="1928">
        <v>6.0000000000010002E-4</v>
      </c>
      <c r="L168" s="1931">
        <f>($K$9*24)/((($J$8-BBR+'Product Data'!$K$2-'KB_C&amp;S Opt Roll Defer '!$K168)/12)*(24-'KB_C&amp;S Opt Roll Defer '!J168)*'Product Data'!$P$18)</f>
        <v>0</v>
      </c>
    </row>
    <row r="169" spans="2:12" x14ac:dyDescent="0.25">
      <c r="B169" s="1927">
        <f t="shared" si="9"/>
        <v>0</v>
      </c>
      <c r="C169" s="1928">
        <v>5.0000000000010095E-4</v>
      </c>
      <c r="D169" s="1931">
        <f>($C$9*24)/((($B$8-BBR+'Product Data'!$K$3-C169)/12)*(24-B169)*'Product Data'!$P$18)</f>
        <v>0</v>
      </c>
      <c r="F169" s="1927">
        <f t="shared" si="10"/>
        <v>0</v>
      </c>
      <c r="G169" s="1928">
        <v>5.0000000000010095E-4</v>
      </c>
      <c r="H169" s="1931">
        <f>($G$9*24)/((($F$8-BBR+'Product Data'!$K$3-'KB_C&amp;S Opt Roll Defer '!$G169)/12)*(24-'KB_C&amp;S Opt Roll Defer '!F169)*'Product Data'!$P$18)</f>
        <v>0</v>
      </c>
      <c r="J169" s="1927">
        <f t="shared" si="11"/>
        <v>0</v>
      </c>
      <c r="K169" s="1928">
        <v>5.0000000000010095E-4</v>
      </c>
      <c r="L169" s="1931">
        <f>($K$9*24)/((($J$8-BBR+'Product Data'!$K$2-'KB_C&amp;S Opt Roll Defer '!$K169)/12)*(24-'KB_C&amp;S Opt Roll Defer '!J169)*'Product Data'!$P$18)</f>
        <v>0</v>
      </c>
    </row>
    <row r="170" spans="2:12" x14ac:dyDescent="0.25">
      <c r="B170" s="1927">
        <f t="shared" si="9"/>
        <v>0</v>
      </c>
      <c r="C170" s="1928">
        <v>4.0000000000010199E-4</v>
      </c>
      <c r="D170" s="1931">
        <f>($C$9*24)/((($B$8-BBR+'Product Data'!$K$3-C170)/12)*(24-B170)*'Product Data'!$P$18)</f>
        <v>0</v>
      </c>
      <c r="F170" s="1927">
        <f t="shared" si="10"/>
        <v>0</v>
      </c>
      <c r="G170" s="1928">
        <v>4.0000000000010199E-4</v>
      </c>
      <c r="H170" s="1931">
        <f>($G$9*24)/((($F$8-BBR+'Product Data'!$K$3-'KB_C&amp;S Opt Roll Defer '!$G170)/12)*(24-'KB_C&amp;S Opt Roll Defer '!F170)*'Product Data'!$P$18)</f>
        <v>0</v>
      </c>
      <c r="J170" s="1927">
        <f t="shared" si="11"/>
        <v>0</v>
      </c>
      <c r="K170" s="1928">
        <v>4.0000000000010199E-4</v>
      </c>
      <c r="L170" s="1931">
        <f>($K$9*24)/((($J$8-BBR+'Product Data'!$K$2-'KB_C&amp;S Opt Roll Defer '!$K170)/12)*(24-'KB_C&amp;S Opt Roll Defer '!J170)*'Product Data'!$P$18)</f>
        <v>0</v>
      </c>
    </row>
    <row r="171" spans="2:12" x14ac:dyDescent="0.25">
      <c r="B171" s="1927">
        <f t="shared" si="9"/>
        <v>0</v>
      </c>
      <c r="C171" s="1928">
        <v>3.0000000000009902E-4</v>
      </c>
      <c r="D171" s="1931">
        <f>($C$9*24)/((($B$8-BBR+'Product Data'!$K$3-C171)/12)*(24-B171)*'Product Data'!$P$18)</f>
        <v>0</v>
      </c>
      <c r="F171" s="1927">
        <f t="shared" si="10"/>
        <v>0</v>
      </c>
      <c r="G171" s="1928">
        <v>3.0000000000009902E-4</v>
      </c>
      <c r="H171" s="1931">
        <f>($G$9*24)/((($F$8-BBR+'Product Data'!$K$3-'KB_C&amp;S Opt Roll Defer '!$G171)/12)*(24-'KB_C&amp;S Opt Roll Defer '!F171)*'Product Data'!$P$18)</f>
        <v>0</v>
      </c>
      <c r="J171" s="1927">
        <f t="shared" si="11"/>
        <v>0</v>
      </c>
      <c r="K171" s="1928">
        <v>3.0000000000009902E-4</v>
      </c>
      <c r="L171" s="1931">
        <f>($K$9*24)/((($J$8-BBR+'Product Data'!$K$2-'KB_C&amp;S Opt Roll Defer '!$K171)/12)*(24-'KB_C&amp;S Opt Roll Defer '!J171)*'Product Data'!$P$18)</f>
        <v>0</v>
      </c>
    </row>
    <row r="172" spans="2:12" x14ac:dyDescent="0.25">
      <c r="B172" s="1927">
        <f t="shared" si="9"/>
        <v>0</v>
      </c>
      <c r="C172" s="1928">
        <v>2.00000000000099E-4</v>
      </c>
      <c r="D172" s="1931">
        <f>($C$9*24)/((($B$8-BBR+'Product Data'!$K$3-C172)/12)*(24-B172)*'Product Data'!$P$18)</f>
        <v>0</v>
      </c>
      <c r="F172" s="1927">
        <f t="shared" si="10"/>
        <v>0</v>
      </c>
      <c r="G172" s="1928">
        <v>2.00000000000099E-4</v>
      </c>
      <c r="H172" s="1931">
        <f>($G$9*24)/((($F$8-BBR+'Product Data'!$K$3-'KB_C&amp;S Opt Roll Defer '!$G172)/12)*(24-'KB_C&amp;S Opt Roll Defer '!F172)*'Product Data'!$P$18)</f>
        <v>0</v>
      </c>
      <c r="J172" s="1927">
        <f t="shared" si="11"/>
        <v>0</v>
      </c>
      <c r="K172" s="1928">
        <v>2.00000000000099E-4</v>
      </c>
      <c r="L172" s="1931">
        <f>($K$9*24)/((($J$8-BBR+'Product Data'!$K$2-'KB_C&amp;S Opt Roll Defer '!$K172)/12)*(24-'KB_C&amp;S Opt Roll Defer '!J172)*'Product Data'!$P$18)</f>
        <v>0</v>
      </c>
    </row>
    <row r="173" spans="2:12" x14ac:dyDescent="0.25">
      <c r="B173" s="1927">
        <f t="shared" si="9"/>
        <v>0</v>
      </c>
      <c r="C173" s="1928">
        <v>1.000000000001E-4</v>
      </c>
      <c r="D173" s="1931">
        <f>($C$9*24)/((($B$8-BBR+'Product Data'!$K$3-C173)/12)*(24-B173)*'Product Data'!$P$18)</f>
        <v>0</v>
      </c>
      <c r="F173" s="1927">
        <f t="shared" si="10"/>
        <v>0</v>
      </c>
      <c r="G173" s="1928">
        <v>1.000000000001E-4</v>
      </c>
      <c r="H173" s="1931">
        <f>($G$9*24)/((($F$8-BBR+'Product Data'!$K$3-'KB_C&amp;S Opt Roll Defer '!$G173)/12)*(24-'KB_C&amp;S Opt Roll Defer '!F173)*'Product Data'!$P$18)</f>
        <v>0</v>
      </c>
      <c r="J173" s="1927">
        <f t="shared" si="11"/>
        <v>0</v>
      </c>
      <c r="K173" s="1928">
        <v>1.000000000001E-4</v>
      </c>
      <c r="L173" s="1931">
        <f>($K$9*24)/((($J$8-BBR+'Product Data'!$K$2-'KB_C&amp;S Opt Roll Defer '!$K173)/12)*(24-'KB_C&amp;S Opt Roll Defer '!J173)*'Product Data'!$P$18)</f>
        <v>0</v>
      </c>
    </row>
    <row r="174" spans="2:12" x14ac:dyDescent="0.25">
      <c r="B174" s="1927">
        <f t="shared" si="9"/>
        <v>0</v>
      </c>
      <c r="C174" s="1928">
        <v>1.00613961606655E-16</v>
      </c>
      <c r="D174" s="1931">
        <f>($C$9*24)/((($B$8-BBR+'Product Data'!$K$3-C174)/12)*(24-B174)*'Product Data'!$P$18)</f>
        <v>0</v>
      </c>
      <c r="F174" s="1927">
        <f t="shared" si="10"/>
        <v>0</v>
      </c>
      <c r="G174" s="1928">
        <v>1.00613961606655E-16</v>
      </c>
      <c r="H174" s="1931">
        <f>($G$9*24)/((($F$8-BBR+'Product Data'!$K$3-'KB_C&amp;S Opt Roll Defer '!$G174)/12)*(24-'KB_C&amp;S Opt Roll Defer '!F174)*'Product Data'!$P$18)</f>
        <v>0</v>
      </c>
      <c r="J174" s="1927">
        <f t="shared" si="11"/>
        <v>0</v>
      </c>
      <c r="K174" s="1928">
        <v>1.00613961606655E-16</v>
      </c>
      <c r="L174" s="1931">
        <f>($K$9*24)/((($J$8-BBR+'Product Data'!$K$2-'KB_C&amp;S Opt Roll Defer '!$K174)/12)*(24-'KB_C&amp;S Opt Roll Defer '!J174)*'Product Data'!$P$18)</f>
        <v>0</v>
      </c>
    </row>
    <row r="175" spans="2:12" x14ac:dyDescent="0.25">
      <c r="D175" s="2259"/>
      <c r="G175" s="2260"/>
      <c r="H175" s="2259"/>
      <c r="K175" s="2260"/>
      <c r="L175" s="2259"/>
    </row>
    <row r="176" spans="2:12" x14ac:dyDescent="0.25">
      <c r="D176" s="2259"/>
      <c r="G176" s="2260"/>
      <c r="H176" s="2259"/>
      <c r="K176" s="2260"/>
      <c r="L176" s="2259"/>
    </row>
    <row r="177" spans="4:12" x14ac:dyDescent="0.25">
      <c r="D177" s="2259"/>
      <c r="G177" s="2260"/>
      <c r="H177" s="2259"/>
      <c r="K177" s="2260"/>
      <c r="L177" s="2259"/>
    </row>
    <row r="178" spans="4:12" x14ac:dyDescent="0.25">
      <c r="D178" s="2259"/>
      <c r="G178" s="2260"/>
      <c r="H178" s="2259"/>
      <c r="K178" s="2260"/>
      <c r="L178" s="2259"/>
    </row>
    <row r="179" spans="4:12" x14ac:dyDescent="0.25">
      <c r="D179" s="2259"/>
      <c r="G179" s="2260"/>
      <c r="H179" s="2259"/>
      <c r="K179" s="2260"/>
      <c r="L179" s="2259"/>
    </row>
    <row r="180" spans="4:12" x14ac:dyDescent="0.25">
      <c r="D180" s="2259"/>
      <c r="G180" s="2260"/>
      <c r="H180" s="2259"/>
      <c r="K180" s="2260"/>
      <c r="L180" s="2259"/>
    </row>
    <row r="181" spans="4:12" x14ac:dyDescent="0.25">
      <c r="D181" s="2259"/>
      <c r="G181" s="2260"/>
      <c r="H181" s="2259"/>
      <c r="K181" s="2260"/>
      <c r="L181" s="2259"/>
    </row>
    <row r="182" spans="4:12" x14ac:dyDescent="0.25">
      <c r="D182" s="2259"/>
      <c r="G182" s="2260"/>
      <c r="H182" s="2259"/>
      <c r="K182" s="2260"/>
      <c r="L182" s="2259"/>
    </row>
    <row r="183" spans="4:12" x14ac:dyDescent="0.25">
      <c r="D183" s="2259"/>
      <c r="G183" s="2260"/>
      <c r="H183" s="2259"/>
      <c r="K183" s="2260"/>
      <c r="L183" s="2259"/>
    </row>
    <row r="184" spans="4:12" x14ac:dyDescent="0.25">
      <c r="D184" s="2259"/>
      <c r="G184" s="2260"/>
      <c r="H184" s="2259"/>
      <c r="K184" s="2260"/>
      <c r="L184" s="2259"/>
    </row>
    <row r="185" spans="4:12" x14ac:dyDescent="0.25">
      <c r="D185" s="2259"/>
      <c r="G185" s="2260"/>
      <c r="H185" s="2259"/>
      <c r="K185" s="2260"/>
      <c r="L185" s="2259"/>
    </row>
    <row r="186" spans="4:12" x14ac:dyDescent="0.25">
      <c r="D186" s="2259"/>
      <c r="G186" s="2260"/>
      <c r="H186" s="2259"/>
      <c r="K186" s="2260"/>
      <c r="L186" s="2259"/>
    </row>
    <row r="187" spans="4:12" x14ac:dyDescent="0.25">
      <c r="D187" s="2259"/>
      <c r="G187" s="2260"/>
      <c r="H187" s="2259"/>
      <c r="K187" s="2260"/>
      <c r="L187" s="2259"/>
    </row>
    <row r="188" spans="4:12" x14ac:dyDescent="0.25">
      <c r="D188" s="2259"/>
      <c r="G188" s="2260"/>
      <c r="H188" s="2259"/>
      <c r="K188" s="2260"/>
      <c r="L188" s="2259"/>
    </row>
    <row r="189" spans="4:12" x14ac:dyDescent="0.25">
      <c r="D189" s="2259"/>
      <c r="G189" s="2260"/>
      <c r="H189" s="2259"/>
      <c r="K189" s="2260"/>
      <c r="L189" s="2259"/>
    </row>
    <row r="190" spans="4:12" x14ac:dyDescent="0.25">
      <c r="D190" s="2259"/>
      <c r="G190" s="2260"/>
      <c r="H190" s="2259"/>
      <c r="K190" s="2260"/>
      <c r="L190" s="2259"/>
    </row>
    <row r="191" spans="4:12" x14ac:dyDescent="0.25">
      <c r="D191" s="2259"/>
      <c r="G191" s="2260"/>
      <c r="H191" s="2259"/>
      <c r="K191" s="2260"/>
      <c r="L191" s="2259"/>
    </row>
    <row r="192" spans="4:12" x14ac:dyDescent="0.25">
      <c r="D192" s="2259"/>
      <c r="G192" s="2260"/>
      <c r="H192" s="2259"/>
      <c r="K192" s="2260"/>
      <c r="L192" s="2259"/>
    </row>
    <row r="193" spans="4:12" x14ac:dyDescent="0.25">
      <c r="D193" s="2259"/>
      <c r="G193" s="2260"/>
      <c r="H193" s="2259"/>
      <c r="K193" s="2260"/>
      <c r="L193" s="2259"/>
    </row>
    <row r="194" spans="4:12" x14ac:dyDescent="0.25">
      <c r="D194" s="2259"/>
      <c r="G194" s="2260"/>
      <c r="H194" s="2259"/>
      <c r="K194" s="2260"/>
      <c r="L194" s="2259"/>
    </row>
    <row r="195" spans="4:12" x14ac:dyDescent="0.25">
      <c r="D195" s="2259"/>
      <c r="G195" s="2260"/>
      <c r="H195" s="2259"/>
      <c r="K195" s="2260"/>
      <c r="L195" s="2259"/>
    </row>
    <row r="196" spans="4:12" x14ac:dyDescent="0.25">
      <c r="D196" s="2259"/>
      <c r="G196" s="2260"/>
      <c r="H196" s="2259"/>
      <c r="K196" s="2260"/>
      <c r="L196" s="2259"/>
    </row>
    <row r="197" spans="4:12" x14ac:dyDescent="0.25">
      <c r="D197" s="2259"/>
      <c r="G197" s="2260"/>
      <c r="H197" s="2259"/>
      <c r="K197" s="2260"/>
      <c r="L197" s="2259"/>
    </row>
    <row r="198" spans="4:12" x14ac:dyDescent="0.25">
      <c r="D198" s="2259"/>
      <c r="G198" s="2260"/>
      <c r="H198" s="2259"/>
      <c r="K198" s="2260"/>
      <c r="L198" s="2259"/>
    </row>
    <row r="199" spans="4:12" x14ac:dyDescent="0.25">
      <c r="D199" s="2259"/>
      <c r="G199" s="2260"/>
      <c r="H199" s="2259"/>
      <c r="K199" s="2260"/>
      <c r="L199" s="2259"/>
    </row>
    <row r="200" spans="4:12" x14ac:dyDescent="0.25">
      <c r="D200" s="2259"/>
      <c r="G200" s="2260"/>
      <c r="H200" s="2259"/>
      <c r="K200" s="2260"/>
      <c r="L200" s="2259"/>
    </row>
    <row r="201" spans="4:12" x14ac:dyDescent="0.25">
      <c r="D201" s="2259"/>
      <c r="G201" s="2260"/>
      <c r="H201" s="2259"/>
      <c r="K201" s="2260"/>
      <c r="L201" s="2259"/>
    </row>
    <row r="202" spans="4:12" x14ac:dyDescent="0.25">
      <c r="D202" s="2259"/>
      <c r="G202" s="2260"/>
      <c r="H202" s="2259"/>
      <c r="K202" s="2260"/>
      <c r="L202" s="2259"/>
    </row>
    <row r="203" spans="4:12" x14ac:dyDescent="0.25">
      <c r="D203" s="2259"/>
      <c r="G203" s="2260"/>
      <c r="H203" s="2259"/>
      <c r="K203" s="2260"/>
      <c r="L203" s="2259"/>
    </row>
    <row r="204" spans="4:12" x14ac:dyDescent="0.25">
      <c r="D204" s="2259"/>
      <c r="G204" s="2260"/>
      <c r="H204" s="2259"/>
      <c r="K204" s="2260"/>
      <c r="L204" s="2259"/>
    </row>
    <row r="205" spans="4:12" x14ac:dyDescent="0.25">
      <c r="D205" s="2259"/>
      <c r="G205" s="2260"/>
      <c r="H205" s="2259"/>
      <c r="K205" s="2260"/>
      <c r="L205" s="2259"/>
    </row>
    <row r="206" spans="4:12" x14ac:dyDescent="0.25">
      <c r="D206" s="2259"/>
      <c r="G206" s="2260"/>
      <c r="H206" s="2259"/>
      <c r="K206" s="2260"/>
      <c r="L206" s="2259"/>
    </row>
    <row r="207" spans="4:12" x14ac:dyDescent="0.25">
      <c r="D207" s="2259"/>
      <c r="G207" s="2260"/>
      <c r="H207" s="2259"/>
      <c r="K207" s="2260"/>
      <c r="L207" s="2259"/>
    </row>
    <row r="208" spans="4:12" x14ac:dyDescent="0.25">
      <c r="D208" s="2259"/>
      <c r="G208" s="2260"/>
      <c r="H208" s="2259"/>
      <c r="K208" s="2260"/>
      <c r="L208" s="2259"/>
    </row>
    <row r="209" spans="4:12" x14ac:dyDescent="0.25">
      <c r="D209" s="2259"/>
      <c r="G209" s="2260"/>
      <c r="H209" s="2259"/>
      <c r="K209" s="2260"/>
      <c r="L209" s="2259"/>
    </row>
    <row r="210" spans="4:12" x14ac:dyDescent="0.25">
      <c r="D210" s="2259"/>
      <c r="G210" s="2260"/>
      <c r="H210" s="2259"/>
      <c r="K210" s="2260"/>
      <c r="L210" s="2259"/>
    </row>
    <row r="211" spans="4:12" x14ac:dyDescent="0.25">
      <c r="D211" s="2259"/>
      <c r="G211" s="2260"/>
      <c r="H211" s="2259"/>
      <c r="K211" s="2260"/>
      <c r="L211" s="2259"/>
    </row>
    <row r="212" spans="4:12" x14ac:dyDescent="0.25">
      <c r="D212" s="2259"/>
      <c r="G212" s="2260"/>
      <c r="H212" s="2259"/>
      <c r="K212" s="2260"/>
      <c r="L212" s="2259"/>
    </row>
    <row r="213" spans="4:12" x14ac:dyDescent="0.25">
      <c r="D213" s="2259"/>
      <c r="G213" s="2260"/>
      <c r="H213" s="2259"/>
      <c r="K213" s="2260"/>
      <c r="L213" s="2259"/>
    </row>
    <row r="214" spans="4:12" x14ac:dyDescent="0.25">
      <c r="D214" s="2259"/>
      <c r="G214" s="2260"/>
      <c r="H214" s="2259"/>
      <c r="K214" s="2260"/>
      <c r="L214" s="2259"/>
    </row>
    <row r="215" spans="4:12" x14ac:dyDescent="0.25">
      <c r="D215" s="2259"/>
      <c r="G215" s="2260"/>
      <c r="H215" s="2259"/>
      <c r="K215" s="2260"/>
      <c r="L215" s="2259"/>
    </row>
    <row r="216" spans="4:12" x14ac:dyDescent="0.25">
      <c r="D216" s="2259"/>
      <c r="G216" s="2260"/>
      <c r="H216" s="2259"/>
      <c r="K216" s="2260"/>
      <c r="L216" s="2259"/>
    </row>
    <row r="217" spans="4:12" x14ac:dyDescent="0.25">
      <c r="D217" s="2259"/>
      <c r="G217" s="2260"/>
      <c r="H217" s="2259"/>
      <c r="K217" s="2260"/>
      <c r="L217" s="2259"/>
    </row>
    <row r="218" spans="4:12" x14ac:dyDescent="0.25">
      <c r="D218" s="2259"/>
      <c r="G218" s="2260"/>
      <c r="H218" s="2259"/>
      <c r="K218" s="2260"/>
      <c r="L218" s="2259"/>
    </row>
    <row r="219" spans="4:12" x14ac:dyDescent="0.25">
      <c r="D219" s="2259"/>
      <c r="G219" s="2260"/>
      <c r="H219" s="2259"/>
      <c r="K219" s="2260"/>
      <c r="L219" s="2259"/>
    </row>
    <row r="220" spans="4:12" x14ac:dyDescent="0.25">
      <c r="D220" s="2259"/>
      <c r="G220" s="2260"/>
      <c r="H220" s="2259"/>
      <c r="K220" s="2260"/>
      <c r="L220" s="2259"/>
    </row>
    <row r="221" spans="4:12" x14ac:dyDescent="0.25">
      <c r="D221" s="2259"/>
      <c r="G221" s="2260"/>
      <c r="H221" s="2259"/>
      <c r="K221" s="2260"/>
      <c r="L221" s="2259"/>
    </row>
    <row r="222" spans="4:12" x14ac:dyDescent="0.25">
      <c r="D222" s="2259"/>
      <c r="G222" s="2260"/>
      <c r="H222" s="2259"/>
      <c r="K222" s="2260"/>
      <c r="L222" s="2259"/>
    </row>
    <row r="223" spans="4:12" x14ac:dyDescent="0.25">
      <c r="D223" s="2259"/>
      <c r="G223" s="2260"/>
      <c r="H223" s="2259"/>
      <c r="K223" s="2260"/>
      <c r="L223" s="2259"/>
    </row>
    <row r="224" spans="4:12" x14ac:dyDescent="0.25">
      <c r="D224" s="2259"/>
      <c r="G224" s="2260"/>
      <c r="H224" s="2259"/>
      <c r="K224" s="2260"/>
      <c r="L224" s="2259"/>
    </row>
  </sheetData>
  <mergeCells count="19">
    <mergeCell ref="Q7:R7"/>
    <mergeCell ref="S7:T7"/>
    <mergeCell ref="Q8:R8"/>
    <mergeCell ref="S8:T8"/>
    <mergeCell ref="Q9:R9"/>
    <mergeCell ref="S9:T9"/>
    <mergeCell ref="B2:D2"/>
    <mergeCell ref="F2:H2"/>
    <mergeCell ref="J2:L2"/>
    <mergeCell ref="B3:D4"/>
    <mergeCell ref="F3:H4"/>
    <mergeCell ref="J3:L4"/>
    <mergeCell ref="N9:P9"/>
    <mergeCell ref="N10:O10"/>
    <mergeCell ref="N11:O11"/>
    <mergeCell ref="N12:O12"/>
    <mergeCell ref="P10:Q10"/>
    <mergeCell ref="P11:Q11"/>
    <mergeCell ref="P12:Q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17D6A-BD40-462A-99C5-F840E3D14A40}">
  <sheetPr codeName="Sheet39">
    <tabColor theme="0" tint="-0.499984740745262"/>
  </sheetPr>
  <dimension ref="A1:R224"/>
  <sheetViews>
    <sheetView zoomScale="80" zoomScaleNormal="80" workbookViewId="0">
      <selection activeCell="Q31" sqref="Q31"/>
    </sheetView>
  </sheetViews>
  <sheetFormatPr defaultRowHeight="15" x14ac:dyDescent="0.25"/>
  <cols>
    <col min="1" max="1" width="20.7109375" style="1" customWidth="1"/>
    <col min="2" max="2" width="23" style="1558" customWidth="1"/>
    <col min="3" max="4" width="17" style="1558" customWidth="1"/>
    <col min="5" max="5" width="4.28515625" style="1" customWidth="1"/>
    <col min="6" max="6" width="23" style="1558" customWidth="1"/>
    <col min="7" max="8" width="17" style="1558" customWidth="1"/>
    <col min="9" max="9" width="4.28515625" style="1" customWidth="1"/>
    <col min="10" max="10" width="23" style="1558" customWidth="1"/>
    <col min="11" max="12" width="17" style="1558" customWidth="1"/>
    <col min="13" max="13" width="2.85546875" style="1" customWidth="1"/>
    <col min="14" max="16" width="22.85546875" style="1" customWidth="1"/>
    <col min="17" max="17" width="28.85546875" style="1" customWidth="1"/>
    <col min="18" max="18" width="12.85546875" style="1" bestFit="1" customWidth="1"/>
    <col min="19" max="16384" width="9.140625" style="1"/>
  </cols>
  <sheetData>
    <row r="1" spans="1:18" ht="77.25" customHeight="1" thickBot="1" x14ac:dyDescent="0.3">
      <c r="G1" s="1943" t="s">
        <v>436</v>
      </c>
      <c r="J1" s="1942"/>
      <c r="K1" s="1942"/>
      <c r="L1" s="1941" t="s">
        <v>437</v>
      </c>
    </row>
    <row r="2" spans="1:18" ht="35.25" customHeight="1" thickBot="1" x14ac:dyDescent="0.3">
      <c r="B2" s="3521" t="s">
        <v>438</v>
      </c>
      <c r="C2" s="3522"/>
      <c r="D2" s="3523"/>
      <c r="F2" s="3524" t="s">
        <v>439</v>
      </c>
      <c r="G2" s="3525"/>
      <c r="H2" s="3526"/>
      <c r="J2" s="3527" t="s">
        <v>440</v>
      </c>
      <c r="K2" s="3528"/>
      <c r="L2" s="3529"/>
    </row>
    <row r="3" spans="1:18" ht="32.25" customHeight="1" x14ac:dyDescent="0.25">
      <c r="B3" s="3530" t="str">
        <f>IF(O6="",N14,O6)</f>
        <v>Max LTV possible with  0m Rolled &amp; 0.00% Deferred</v>
      </c>
      <c r="C3" s="3531"/>
      <c r="D3" s="3532"/>
      <c r="F3" s="3530" t="str">
        <f>IF(O7="",N18,O7)</f>
        <v>Max LTV possible with  0m Rolled &amp; 0.00% Deferred</v>
      </c>
      <c r="G3" s="3531"/>
      <c r="H3" s="3532"/>
      <c r="J3" s="3530" t="str">
        <f>IF(O8="",N22,O8)</f>
        <v>Max LTV possible with 0m Rolled &amp; 0.00% Deferred</v>
      </c>
      <c r="K3" s="3531"/>
      <c r="L3" s="3532"/>
      <c r="N3" s="898"/>
    </row>
    <row r="4" spans="1:18" ht="32.25" customHeight="1" thickBot="1" x14ac:dyDescent="0.3">
      <c r="B4" s="3533"/>
      <c r="C4" s="3534"/>
      <c r="D4" s="3535"/>
      <c r="F4" s="3533"/>
      <c r="G4" s="3534"/>
      <c r="H4" s="3535"/>
      <c r="J4" s="3533"/>
      <c r="K4" s="3534"/>
      <c r="L4" s="3535"/>
      <c r="Q4" s="1926"/>
    </row>
    <row r="5" spans="1:18" ht="18.75" thickBot="1" x14ac:dyDescent="0.3">
      <c r="N5" s="1558"/>
      <c r="O5" s="2264"/>
      <c r="P5" s="2249"/>
      <c r="Q5" s="1926"/>
    </row>
    <row r="6" spans="1:18" ht="18.75" thickBot="1" x14ac:dyDescent="0.3">
      <c r="B6" s="1944" t="s">
        <v>443</v>
      </c>
      <c r="C6" s="1947" t="str">
        <f>IF(B24&gt;-1,B24&amp;"m Rolled","")</f>
        <v>0m Rolled</v>
      </c>
      <c r="D6" s="1945">
        <f>IF(C6="","",_xlfn.MINIFS(C24:C174,D24:D174,"&gt;="&amp;D8))</f>
        <v>-9.8879238130678004E-17</v>
      </c>
      <c r="F6" s="1944" t="s">
        <v>443</v>
      </c>
      <c r="G6" s="1947" t="str">
        <f>IF(F24&gt;-1,F24&amp;"m Rolled","")</f>
        <v>0m Rolled</v>
      </c>
      <c r="H6" s="1945">
        <f>IF(G6="","",_xlfn.MINIFS(G24:G174,H24:H174,"&gt;="&amp;H8))</f>
        <v>-9.8879238130678004E-17</v>
      </c>
      <c r="J6" s="1944" t="s">
        <v>443</v>
      </c>
      <c r="K6" s="1947" t="str">
        <f>IF(J24&gt;-1,J24&amp;"m Rolled","")</f>
        <v>0m Rolled</v>
      </c>
      <c r="L6" s="1945">
        <f>IF(K6="","",_xlfn.MINIFS(K24:K174,L24:L174,"&gt;="&amp;L8))</f>
        <v>-9.8879238130678004E-17</v>
      </c>
      <c r="N6" s="2266" t="str">
        <f>C6&amp;D6</f>
        <v>0m Rolled-9.8879238130678E-17</v>
      </c>
      <c r="O6" s="2264" t="str">
        <f>IF(N6="0m Rolled0", "Please use max rolled and defer","")</f>
        <v/>
      </c>
      <c r="P6" s="2249"/>
      <c r="Q6" s="1926"/>
    </row>
    <row r="7" spans="1:18" ht="18" x14ac:dyDescent="0.25">
      <c r="C7" s="1"/>
      <c r="D7" s="1"/>
      <c r="G7" s="1"/>
      <c r="H7" s="1"/>
      <c r="K7" s="1"/>
      <c r="L7" s="1"/>
      <c r="N7" s="2266" t="str">
        <f>G6&amp;H6</f>
        <v>0m Rolled-9.8879238130678E-17</v>
      </c>
      <c r="O7" s="2264" t="str">
        <f>IF(N7="0m Rolled0", "Please use max rolled and defer","")</f>
        <v/>
      </c>
      <c r="P7" s="2249"/>
      <c r="Q7" s="1926"/>
    </row>
    <row r="8" spans="1:18" ht="18" x14ac:dyDescent="0.25">
      <c r="A8" s="1" t="str">
        <f>Product_Selected</f>
        <v>1) Standard</v>
      </c>
      <c r="B8" s="1928">
        <f>VLOOKUP(A8,N28:Q31,4,0)</f>
        <v>6.2899999999999998E-2</v>
      </c>
      <c r="C8" s="1928">
        <v>1.2500000000000001E-2</v>
      </c>
      <c r="D8" s="1929">
        <f>Property_Value*70%</f>
        <v>0</v>
      </c>
      <c r="F8" s="1928">
        <f>VLOOKUP(A8,N28:P31,3,0)</f>
        <v>7.1900000000000006E-2</v>
      </c>
      <c r="G8" s="1928">
        <v>1.2500000000000001E-2</v>
      </c>
      <c r="H8" s="1929">
        <f>Property_Value*70%</f>
        <v>0</v>
      </c>
      <c r="J8" s="1928">
        <f>VLOOKUP(A8,N28:O31,2,0)</f>
        <v>8.2900000000000001E-2</v>
      </c>
      <c r="K8" s="1928">
        <v>1.2500000000000001E-2</v>
      </c>
      <c r="L8" s="1929">
        <f>Property_Value*70%</f>
        <v>0</v>
      </c>
      <c r="N8" s="2266" t="str">
        <f>K6&amp;L6</f>
        <v>0m Rolled-9.8879238130678E-17</v>
      </c>
      <c r="O8" s="2264" t="str">
        <f>IF(N8="0m Rolled0", "Please use max rolled and defer","")</f>
        <v/>
      </c>
      <c r="P8" s="1936"/>
      <c r="Q8" s="3540"/>
    </row>
    <row r="9" spans="1:18" x14ac:dyDescent="0.25">
      <c r="B9" s="1936">
        <f>D8-(D8*D6/12)*24-((B8-D6)/12*B24*D8)-(D8*0.06)</f>
        <v>0</v>
      </c>
      <c r="C9" s="1929">
        <f>'KB_CRITERIA AND CALCULATION '!X22+'KB_CRITERIA AND CALCULATION '!AQ126</f>
        <v>0</v>
      </c>
      <c r="D9" s="1558">
        <f>'BTL Calculator'!$V$9</f>
        <v>0</v>
      </c>
      <c r="F9" s="2249">
        <f>H8-(H8*H6/12)*24-((F8-H6)/12*F24*H8)-(H8*0.04)</f>
        <v>0</v>
      </c>
      <c r="G9" s="1929">
        <f>'KB_CRITERIA AND CALCULATION '!X22+'KB_CRITERIA AND CALCULATION '!AQ108</f>
        <v>0</v>
      </c>
      <c r="H9" s="1558">
        <f>'BTL Calculator'!$V$9</f>
        <v>0</v>
      </c>
      <c r="J9" s="2249">
        <f>L8-(L8*L6/12)*24-((J8-L6)/12*J24*L8)-(L8*0.02)</f>
        <v>0</v>
      </c>
      <c r="K9" s="1929">
        <f>'KB_CRITERIA AND CALCULATION '!X22+'KB_CRITERIA AND CALCULATION '!AQ90</f>
        <v>0</v>
      </c>
      <c r="L9" s="1558">
        <f>'BTL Calculator'!$V$9</f>
        <v>0</v>
      </c>
      <c r="N9" s="3622"/>
      <c r="O9" s="3622"/>
      <c r="P9" s="3622"/>
      <c r="Q9" s="3540"/>
    </row>
    <row r="10" spans="1:18" ht="15.75" thickBot="1" x14ac:dyDescent="0.3">
      <c r="B10" s="2249">
        <f>($C$9*24)/((($B$8-'KB_C&amp;S 2yr fixed'!$C$8)/12)*(24-6)*'Product Data'!$P$23)-(($C$9*24)/((($B$8-'KB_C&amp;S 2yr fixed'!$C$8)/12)*(24-6)*'Product Data'!$P$23))*(B8-1.25%)/12*6-(($C$9*24)/((($B$8-'KB_C&amp;S 2yr fixed'!$C$8)/12)*(24-6)*'Product Data'!$P$23))*0.0125/12*24-(($C$9*24)/((($B$8-'KB_C&amp;S 2yr fixed'!$C$8)/12)*(24-6)*'Product Data'!$P$23))*0.06</f>
        <v>0</v>
      </c>
      <c r="F10" s="2249">
        <f>($G$9*24)/((($F$8-'KB_C&amp;S 2yr fixed'!$G$8)/12)*(24-6)*'Product Data'!$P$23)-(($G$9*24)/((($F$8-'KB_C&amp;S 2yr fixed'!$G$8)/12)*(24-6)*'Product Data'!$P$23))*(F8-1.25%)/12*6-(($G$9*24)/((($F$8-'KB_C&amp;S 2yr fixed'!$G$8)/12)*(24-6)*'Product Data'!$P$23))*0.0125/12*24-(($G$9*24)/((($F$8-'KB_C&amp;S 2yr fixed'!$G$8)/12)*(24-6)*'Product Data'!$P$23))*0.04</f>
        <v>0</v>
      </c>
      <c r="J10" s="2249">
        <f>($K$9*24)/((($J$8-'KB_C&amp;S 2yr fixed'!$K$8)/12)*(24-6)*'Product Data'!$P$23)-(($K$9*24)/((($J$8-'KB_C&amp;S 2yr fixed'!$K$8)/12)*(24-6)*'Product Data'!$P$23))*(J8-1.25%)/12*6-(($K$9*24)/((($J$8-'KB_C&amp;S 2yr fixed'!$K$8)/12)*(24-6)*'Product Data'!$P$23))*0.0125/12*24-(($K$9*24)/((($J$8-'KB_C&amp;S 2yr fixed'!$K$8)/12)*(24-6)*'Product Data'!$P$23))*0.02</f>
        <v>0</v>
      </c>
      <c r="N10" s="3623">
        <f>IF(J3="Please use max rolled and defer",J10,J9)</f>
        <v>0</v>
      </c>
      <c r="O10" s="3623"/>
      <c r="P10" s="3624" t="s">
        <v>3713</v>
      </c>
      <c r="Q10" s="3624"/>
      <c r="R10" s="2265"/>
    </row>
    <row r="11" spans="1:18" ht="15.75" thickBot="1" x14ac:dyDescent="0.3">
      <c r="B11" s="2251" t="s">
        <v>446</v>
      </c>
      <c r="C11" s="2252" t="s">
        <v>293</v>
      </c>
      <c r="D11" s="2253" t="s">
        <v>447</v>
      </c>
      <c r="F11" s="2520" t="s">
        <v>446</v>
      </c>
      <c r="G11" s="2521" t="s">
        <v>293</v>
      </c>
      <c r="H11" s="2522" t="s">
        <v>447</v>
      </c>
      <c r="J11" s="2520" t="s">
        <v>446</v>
      </c>
      <c r="K11" s="2521" t="s">
        <v>293</v>
      </c>
      <c r="L11" s="2522" t="s">
        <v>447</v>
      </c>
      <c r="N11" s="3623">
        <f>IF(F3="Please use max rolled and defer",F10,F9)</f>
        <v>0</v>
      </c>
      <c r="O11" s="3623"/>
      <c r="P11" s="3624" t="s">
        <v>3714</v>
      </c>
      <c r="Q11" s="3624"/>
      <c r="R11" s="2265"/>
    </row>
    <row r="12" spans="1:18" x14ac:dyDescent="0.25">
      <c r="B12" s="2254">
        <v>0</v>
      </c>
      <c r="C12" s="1929">
        <f>($C$9*24)/((($B$8-'KB_C&amp;S 2yr fixed'!$C$8)/12)*(24-'KB_C&amp;S 2yr fixed'!B12)*'Product Data'!$P$23)</f>
        <v>0</v>
      </c>
      <c r="D12" s="2255" t="e">
        <f t="shared" ref="D12:D18" si="0">$D$8/C12</f>
        <v>#DIV/0!</v>
      </c>
      <c r="F12" s="2523">
        <v>0</v>
      </c>
      <c r="G12" s="2525">
        <f>($G$9*24)/((($F$8-'KB_C&amp;S 2yr fixed'!$G$8)/12)*(24-'KB_C&amp;S 2yr fixed'!F12)*'Product Data'!$P$23)</f>
        <v>0</v>
      </c>
      <c r="H12" s="2524" t="e">
        <f t="shared" ref="H12:H18" si="1">$D$8/G12</f>
        <v>#DIV/0!</v>
      </c>
      <c r="J12" s="2523">
        <v>0</v>
      </c>
      <c r="K12" s="1929">
        <f>($K$9*24)/((($J$8-'KB_C&amp;S 2yr fixed'!$K$8)/12)*(24-'KB_C&amp;S 2yr fixed'!J12)*'Product Data'!$P$23)</f>
        <v>0</v>
      </c>
      <c r="L12" s="2524" t="e">
        <f t="shared" ref="L12:L18" si="2">$D$8/K12</f>
        <v>#DIV/0!</v>
      </c>
      <c r="N12" s="3623">
        <f>IF(B3="Please use max rolled and defer",B10,B9)</f>
        <v>0</v>
      </c>
      <c r="O12" s="3623"/>
      <c r="P12" s="3624" t="s">
        <v>3715</v>
      </c>
      <c r="Q12" s="3624"/>
      <c r="R12" s="1952"/>
    </row>
    <row r="13" spans="1:18" x14ac:dyDescent="0.25">
      <c r="B13" s="2254">
        <v>1</v>
      </c>
      <c r="C13" s="1929">
        <f>($C$9*24)/((($B$8-'KB_C&amp;S 2yr fixed'!$C$8)/12)*(24-'KB_C&amp;S 2yr fixed'!B13)*'Product Data'!$P$23)</f>
        <v>0</v>
      </c>
      <c r="D13" s="2255" t="e">
        <f t="shared" si="0"/>
        <v>#DIV/0!</v>
      </c>
      <c r="F13" s="2254">
        <v>1</v>
      </c>
      <c r="G13" s="1929">
        <f>($G$9*24)/((($F$8-'KB_C&amp;S 2yr fixed'!$G$8)/12)*(24-'KB_C&amp;S 2yr fixed'!F13)*'Product Data'!$P$23)</f>
        <v>0</v>
      </c>
      <c r="H13" s="2255" t="e">
        <f t="shared" si="1"/>
        <v>#DIV/0!</v>
      </c>
      <c r="J13" s="2254">
        <v>1</v>
      </c>
      <c r="K13" s="1929">
        <f>($K$9*24)/((($J$8-'KB_C&amp;S 2yr fixed'!$K$8)/12)*(24-'KB_C&amp;S 2yr fixed'!J13)*'Product Data'!$P$23)</f>
        <v>0</v>
      </c>
      <c r="L13" s="2255" t="e">
        <f t="shared" si="2"/>
        <v>#DIV/0!</v>
      </c>
      <c r="P13" s="1935"/>
      <c r="R13" s="1952"/>
    </row>
    <row r="14" spans="1:18" x14ac:dyDescent="0.25">
      <c r="B14" s="2254">
        <v>2</v>
      </c>
      <c r="C14" s="1929">
        <f>($C$9*24)/((($B$8-'KB_C&amp;S 2yr fixed'!$C$8)/12)*(24-'KB_C&amp;S 2yr fixed'!B14)*'Product Data'!$P$23)</f>
        <v>0</v>
      </c>
      <c r="D14" s="2255" t="e">
        <f t="shared" si="0"/>
        <v>#DIV/0!</v>
      </c>
      <c r="F14" s="2254">
        <v>2</v>
      </c>
      <c r="G14" s="1929">
        <f>($G$9*24)/((($F$8-'KB_C&amp;S 2yr fixed'!$G$8)/12)*(24-'KB_C&amp;S 2yr fixed'!F14)*'Product Data'!$P$23)</f>
        <v>0</v>
      </c>
      <c r="H14" s="2255" t="e">
        <f t="shared" si="1"/>
        <v>#DIV/0!</v>
      </c>
      <c r="J14" s="2254">
        <v>2</v>
      </c>
      <c r="K14" s="1929">
        <f>($K$9*24)/((($J$8-'KB_C&amp;S 2yr fixed'!$K$8)/12)*(24-'KB_C&amp;S 2yr fixed'!J14)*'Product Data'!$P$23)</f>
        <v>0</v>
      </c>
      <c r="L14" s="2255" t="e">
        <f t="shared" si="2"/>
        <v>#DIV/0!</v>
      </c>
      <c r="N14" s="1" t="str">
        <f>"Max LTV possible with  "&amp; C6 &amp; IF(B24&gt;-1,IF(D6&gt;-1," &amp; ","")&amp;TEXT(D6,"0.00%")&amp;" Deferred","")</f>
        <v>Max LTV possible with  0m Rolled &amp; 0.00% Deferred</v>
      </c>
      <c r="P14" s="1926"/>
    </row>
    <row r="15" spans="1:18" x14ac:dyDescent="0.25">
      <c r="B15" s="2254">
        <v>3</v>
      </c>
      <c r="C15" s="1929">
        <f>($C$9*24)/((($B$8-'KB_C&amp;S 2yr fixed'!$C$8)/12)*(24-'KB_C&amp;S 2yr fixed'!B15)*'Product Data'!$P$23)</f>
        <v>0</v>
      </c>
      <c r="D15" s="2255" t="e">
        <f t="shared" si="0"/>
        <v>#DIV/0!</v>
      </c>
      <c r="F15" s="2254">
        <v>3</v>
      </c>
      <c r="G15" s="1929">
        <f>($G$9*24)/((($F$8-'KB_C&amp;S 2yr fixed'!$G$8)/12)*(24-'KB_C&amp;S 2yr fixed'!F15)*'Product Data'!$P$23)</f>
        <v>0</v>
      </c>
      <c r="H15" s="2255" t="e">
        <f t="shared" si="1"/>
        <v>#DIV/0!</v>
      </c>
      <c r="J15" s="2254">
        <v>3</v>
      </c>
      <c r="K15" s="1929">
        <f>($K$9*24)/((($J$8-'KB_C&amp;S 2yr fixed'!$K$8)/12)*(24-'KB_C&amp;S 2yr fixed'!J15)*'Product Data'!$P$23)</f>
        <v>0</v>
      </c>
      <c r="L15" s="2255" t="e">
        <f t="shared" si="2"/>
        <v>#DIV/0!</v>
      </c>
    </row>
    <row r="16" spans="1:18" x14ac:dyDescent="0.25">
      <c r="B16" s="2254">
        <v>4</v>
      </c>
      <c r="C16" s="1929">
        <f>($C$9*24)/((($B$8-'KB_C&amp;S 2yr fixed'!$C$8)/12)*(24-'KB_C&amp;S 2yr fixed'!B16)*'Product Data'!$P$23)</f>
        <v>0</v>
      </c>
      <c r="D16" s="2255" t="e">
        <f t="shared" si="0"/>
        <v>#DIV/0!</v>
      </c>
      <c r="F16" s="2254">
        <v>4</v>
      </c>
      <c r="G16" s="1929">
        <f>($G$9*24)/((($F$8-'KB_C&amp;S 2yr fixed'!$G$8)/12)*(24-'KB_C&amp;S 2yr fixed'!F16)*'Product Data'!$P$23)</f>
        <v>0</v>
      </c>
      <c r="H16" s="2255" t="e">
        <f t="shared" si="1"/>
        <v>#DIV/0!</v>
      </c>
      <c r="J16" s="2254">
        <v>4</v>
      </c>
      <c r="K16" s="1929">
        <f>($K$9*24)/((($J$8-'KB_C&amp;S 2yr fixed'!$K$8)/12)*(24-'KB_C&amp;S 2yr fixed'!J16)*'Product Data'!$P$23)</f>
        <v>0</v>
      </c>
      <c r="L16" s="2255" t="e">
        <f t="shared" si="2"/>
        <v>#DIV/0!</v>
      </c>
    </row>
    <row r="17" spans="2:18" x14ac:dyDescent="0.25">
      <c r="B17" s="2254">
        <v>5</v>
      </c>
      <c r="C17" s="1929">
        <f>($C$9*24)/((($B$8-'KB_C&amp;S 2yr fixed'!$C$8)/12)*(24-'KB_C&amp;S 2yr fixed'!B17)*'Product Data'!$P$23)</f>
        <v>0</v>
      </c>
      <c r="D17" s="2255" t="e">
        <f t="shared" si="0"/>
        <v>#DIV/0!</v>
      </c>
      <c r="F17" s="2254">
        <v>5</v>
      </c>
      <c r="G17" s="1929">
        <f>($G$9*24)/((($F$8-'KB_C&amp;S 2yr fixed'!$G$8)/12)*(24-'KB_C&amp;S 2yr fixed'!F17)*'Product Data'!$P$23)</f>
        <v>0</v>
      </c>
      <c r="H17" s="2255" t="e">
        <f t="shared" si="1"/>
        <v>#DIV/0!</v>
      </c>
      <c r="J17" s="2254">
        <v>5</v>
      </c>
      <c r="K17" s="1929">
        <f>($K$9*24)/((($J$8-'KB_C&amp;S 2yr fixed'!$K$8)/12)*(24-'KB_C&amp;S 2yr fixed'!J17)*'Product Data'!$P$23)</f>
        <v>0</v>
      </c>
      <c r="L17" s="2255" t="e">
        <f t="shared" si="2"/>
        <v>#DIV/0!</v>
      </c>
    </row>
    <row r="18" spans="2:18" ht="15.75" thickBot="1" x14ac:dyDescent="0.3">
      <c r="B18" s="2256">
        <v>6</v>
      </c>
      <c r="C18" s="1929">
        <f>($C$9*24)/((($B$8-'KB_C&amp;S 2yr fixed'!$C$8)/12)*(24-'KB_C&amp;S 2yr fixed'!B18)*'Product Data'!$P$23)</f>
        <v>0</v>
      </c>
      <c r="D18" s="2258" t="e">
        <f t="shared" si="0"/>
        <v>#DIV/0!</v>
      </c>
      <c r="F18" s="2256">
        <v>6</v>
      </c>
      <c r="G18" s="2257">
        <f>($G$9*24)/((($F$8-'KB_C&amp;S 2yr fixed'!$G$8)/12)*(24-'KB_C&amp;S 2yr fixed'!F18)*'Product Data'!$P$23)</f>
        <v>0</v>
      </c>
      <c r="H18" s="2258" t="e">
        <f t="shared" si="1"/>
        <v>#DIV/0!</v>
      </c>
      <c r="J18" s="2256">
        <v>6</v>
      </c>
      <c r="K18" s="2257">
        <f>($K$9*24)/((($J$8-'KB_C&amp;S 2yr fixed'!$K$8)/12)*(24-'KB_C&amp;S 2yr fixed'!J18)*'Product Data'!$P$23)</f>
        <v>0</v>
      </c>
      <c r="L18" s="2258" t="e">
        <f t="shared" si="2"/>
        <v>#DIV/0!</v>
      </c>
      <c r="N18" s="1" t="str">
        <f>"Max LTV possible with  "&amp; G6 &amp; IF(F24&gt;-1,IF(H6&gt;-1," &amp; ","")&amp;TEXT(H6,"0.00%")&amp;" Deferred","")</f>
        <v>Max LTV possible with  0m Rolled &amp; 0.00% Deferred</v>
      </c>
    </row>
    <row r="19" spans="2:18" x14ac:dyDescent="0.25">
      <c r="C19" s="2249"/>
      <c r="D19" s="2250"/>
      <c r="G19" s="2249"/>
      <c r="H19" s="2250"/>
      <c r="K19" s="2249"/>
      <c r="L19" s="2250"/>
    </row>
    <row r="20" spans="2:18" x14ac:dyDescent="0.25">
      <c r="C20" s="2249"/>
      <c r="D20" s="2250"/>
      <c r="G20" s="2249"/>
      <c r="H20" s="2250"/>
      <c r="K20" s="2249"/>
      <c r="L20" s="2250"/>
    </row>
    <row r="21" spans="2:18" x14ac:dyDescent="0.25">
      <c r="C21" s="2249"/>
      <c r="D21" s="2250"/>
      <c r="G21" s="2249"/>
      <c r="H21" s="2250"/>
      <c r="K21" s="2249"/>
      <c r="L21" s="2250"/>
    </row>
    <row r="22" spans="2:18" x14ac:dyDescent="0.25">
      <c r="N22" s="1" t="str">
        <f>"Max LTV possible with "&amp; K6 &amp; IF(J24&gt;-1,IF(L6&gt;-1," &amp; ","")&amp;TEXT(L6,"0.00%")&amp;" Deferred","")</f>
        <v>Max LTV possible with 0m Rolled &amp; 0.00% Deferred</v>
      </c>
    </row>
    <row r="23" spans="2:18" x14ac:dyDescent="0.25">
      <c r="B23" s="1937" t="s">
        <v>450</v>
      </c>
      <c r="C23" s="1937" t="s">
        <v>451</v>
      </c>
      <c r="D23" s="1937" t="s">
        <v>452</v>
      </c>
      <c r="F23" s="1937" t="s">
        <v>450</v>
      </c>
      <c r="G23" s="1937" t="s">
        <v>451</v>
      </c>
      <c r="H23" s="1937" t="s">
        <v>452</v>
      </c>
      <c r="J23" s="1937" t="s">
        <v>450</v>
      </c>
      <c r="K23" s="1937" t="s">
        <v>451</v>
      </c>
      <c r="L23" s="1937" t="s">
        <v>452</v>
      </c>
    </row>
    <row r="24" spans="2:18" x14ac:dyDescent="0.25">
      <c r="B24" s="1927">
        <f>_xlfn.MINIFS(B12:B18,D12:D18,"&lt;="&amp;100%)</f>
        <v>0</v>
      </c>
      <c r="C24" s="1928">
        <v>1.2500000000000001E-2</v>
      </c>
      <c r="D24" s="1931">
        <f>($C$9*24)/((($B$8-C24)/12)*(24-B24)*'Product Data'!$P$23)</f>
        <v>0</v>
      </c>
      <c r="F24" s="1927">
        <f>_xlfn.MINIFS(F12:F21,H12:H21,"&lt;="&amp;100%)</f>
        <v>0</v>
      </c>
      <c r="G24" s="1928">
        <v>1.2500000000000001E-2</v>
      </c>
      <c r="H24" s="1931">
        <f>($G$9*24)/((($F$8-'KB_C&amp;S 2yr fixed'!$G24)/12)*(24-'KB_C&amp;S 2yr fixed'!F24)*'Product Data'!$P$23)</f>
        <v>0</v>
      </c>
      <c r="J24" s="1927">
        <f>_xlfn.MINIFS(J12:J18,L12:L18,"&lt;="&amp;100%)</f>
        <v>0</v>
      </c>
      <c r="K24" s="1928">
        <v>1.2500000000000001E-2</v>
      </c>
      <c r="L24" s="1931">
        <f>($K$9*24)/((($J$8-'KB_C&amp;S 2yr fixed'!$K24)/12)*(24-'KB_C&amp;S 2yr fixed'!J24)*'Product Data'!$P$23)</f>
        <v>0</v>
      </c>
    </row>
    <row r="25" spans="2:18" x14ac:dyDescent="0.25">
      <c r="B25" s="1927">
        <f>B24</f>
        <v>0</v>
      </c>
      <c r="C25" s="1928">
        <v>1.24E-2</v>
      </c>
      <c r="D25" s="1931">
        <f>($C$9*24)/((($B$8-C25)/12)*(24-B25)*'Product Data'!$P$23)</f>
        <v>0</v>
      </c>
      <c r="F25" s="1927">
        <f>F24</f>
        <v>0</v>
      </c>
      <c r="G25" s="1928">
        <v>1.24E-2</v>
      </c>
      <c r="H25" s="1931">
        <f>($G$9*24)/((($F$8-'KB_C&amp;S 2yr fixed'!$G25)/12)*(24-'KB_C&amp;S 2yr fixed'!F25)*'Product Data'!$P$23)</f>
        <v>0</v>
      </c>
      <c r="J25" s="1927">
        <f>J24</f>
        <v>0</v>
      </c>
      <c r="K25" s="1928">
        <v>1.24E-2</v>
      </c>
      <c r="L25" s="1931">
        <f>($K$9*24)/((($J$8-'KB_C&amp;S 2yr fixed'!$K25)/12)*(24-'KB_C&amp;S 2yr fixed'!J25)*'Product Data'!$P$23)</f>
        <v>0</v>
      </c>
    </row>
    <row r="26" spans="2:18" x14ac:dyDescent="0.25">
      <c r="B26" s="1927">
        <f t="shared" ref="B26:B89" si="3">B25</f>
        <v>0</v>
      </c>
      <c r="C26" s="1928">
        <v>1.23E-2</v>
      </c>
      <c r="D26" s="1931">
        <f>($C$9*24)/((($B$8-C26)/12)*(24-B26)*'Product Data'!$P$23)</f>
        <v>0</v>
      </c>
      <c r="F26" s="1927">
        <f t="shared" ref="F26:F89" si="4">F25</f>
        <v>0</v>
      </c>
      <c r="G26" s="1928">
        <v>1.23E-2</v>
      </c>
      <c r="H26" s="1931">
        <f>($G$9*24)/((($F$8-'KB_C&amp;S 2yr fixed'!$G26)/12)*(24-'KB_C&amp;S 2yr fixed'!F26)*'Product Data'!$P$23)</f>
        <v>0</v>
      </c>
      <c r="J26" s="1927">
        <f t="shared" ref="J26:J89" si="5">J25</f>
        <v>0</v>
      </c>
      <c r="K26" s="1928">
        <v>1.23E-2</v>
      </c>
      <c r="L26" s="1931">
        <f>($K$9*24)/((($J$8-'KB_C&amp;S 2yr fixed'!$K26)/12)*(24-'KB_C&amp;S 2yr fixed'!J26)*'Product Data'!$P$23)</f>
        <v>0</v>
      </c>
    </row>
    <row r="27" spans="2:18" x14ac:dyDescent="0.25">
      <c r="B27" s="1927">
        <f t="shared" si="3"/>
        <v>0</v>
      </c>
      <c r="C27" s="1928">
        <v>1.2200000000000001E-2</v>
      </c>
      <c r="D27" s="1931">
        <f>($C$9*24)/((($B$8-C27)/12)*(24-B27)*'Product Data'!$P$23)</f>
        <v>0</v>
      </c>
      <c r="F27" s="1927">
        <f t="shared" si="4"/>
        <v>0</v>
      </c>
      <c r="G27" s="1928">
        <v>1.2200000000000001E-2</v>
      </c>
      <c r="H27" s="1931">
        <f>($G$9*24)/((($F$8-'KB_C&amp;S 2yr fixed'!$G27)/12)*(24-'KB_C&amp;S 2yr fixed'!F27)*'Product Data'!$P$23)</f>
        <v>0</v>
      </c>
      <c r="J27" s="1927">
        <f t="shared" si="5"/>
        <v>0</v>
      </c>
      <c r="K27" s="1928">
        <v>1.2200000000000001E-2</v>
      </c>
      <c r="L27" s="1931">
        <f>($K$9*24)/((($J$8-'KB_C&amp;S 2yr fixed'!$K27)/12)*(24-'KB_C&amp;S 2yr fixed'!J27)*'Product Data'!$P$23)</f>
        <v>0</v>
      </c>
    </row>
    <row r="28" spans="2:18" x14ac:dyDescent="0.25">
      <c r="B28" s="1927">
        <f t="shared" si="3"/>
        <v>0</v>
      </c>
      <c r="C28" s="1928">
        <v>1.21E-2</v>
      </c>
      <c r="D28" s="1931">
        <f>($C$9*24)/((($B$8-C28)/12)*(24-B28)*'Product Data'!$P$23)</f>
        <v>0</v>
      </c>
      <c r="F28" s="1927">
        <f t="shared" si="4"/>
        <v>0</v>
      </c>
      <c r="G28" s="1928">
        <v>1.21E-2</v>
      </c>
      <c r="H28" s="1931">
        <f>($G$9*24)/((($F$8-'KB_C&amp;S 2yr fixed'!$G28)/12)*(24-'KB_C&amp;S 2yr fixed'!F28)*'Product Data'!$P$23)</f>
        <v>0</v>
      </c>
      <c r="J28" s="1927">
        <f t="shared" si="5"/>
        <v>0</v>
      </c>
      <c r="K28" s="1928">
        <v>1.21E-2</v>
      </c>
      <c r="L28" s="1931">
        <f>($K$9*24)/((($J$8-'KB_C&amp;S 2yr fixed'!$K28)/12)*(24-'KB_C&amp;S 2yr fixed'!J28)*'Product Data'!$P$23)</f>
        <v>0</v>
      </c>
      <c r="N28" s="1927" t="s">
        <v>453</v>
      </c>
      <c r="O28" s="1927" t="s">
        <v>454</v>
      </c>
      <c r="P28" s="2335"/>
      <c r="Q28" s="2335"/>
    </row>
    <row r="29" spans="2:18" x14ac:dyDescent="0.25">
      <c r="B29" s="1927">
        <f t="shared" si="3"/>
        <v>0</v>
      </c>
      <c r="C29" s="1928">
        <v>1.2E-2</v>
      </c>
      <c r="D29" s="1931">
        <f>($C$9*24)/((($B$8-C29)/12)*(24-B29)*'Product Data'!$P$23)</f>
        <v>0</v>
      </c>
      <c r="F29" s="1927">
        <f t="shared" si="4"/>
        <v>0</v>
      </c>
      <c r="G29" s="1928">
        <v>1.2E-2</v>
      </c>
      <c r="H29" s="1931">
        <f>($G$9*24)/((($F$8-'KB_C&amp;S 2yr fixed'!$G29)/12)*(24-'KB_C&amp;S 2yr fixed'!F29)*'Product Data'!$P$23)</f>
        <v>0</v>
      </c>
      <c r="J29" s="1927">
        <f t="shared" si="5"/>
        <v>0</v>
      </c>
      <c r="K29" s="1928">
        <v>1.2E-2</v>
      </c>
      <c r="L29" s="1931">
        <f>($K$9*24)/((($J$8-'KB_C&amp;S 2yr fixed'!$K29)/12)*(24-'KB_C&amp;S 2yr fixed'!J29)*'Product Data'!$P$23)</f>
        <v>0</v>
      </c>
      <c r="N29" s="1927"/>
      <c r="O29" s="1932">
        <v>0.02</v>
      </c>
      <c r="P29" s="2336">
        <v>0.04</v>
      </c>
      <c r="Q29" s="2336">
        <v>0.06</v>
      </c>
      <c r="R29" s="1927" t="s">
        <v>455</v>
      </c>
    </row>
    <row r="30" spans="2:18" x14ac:dyDescent="0.25">
      <c r="B30" s="1927">
        <f t="shared" si="3"/>
        <v>0</v>
      </c>
      <c r="C30" s="1928">
        <v>1.1900000000000001E-2</v>
      </c>
      <c r="D30" s="1931">
        <f>($C$9*24)/((($B$8-C30)/12)*(24-B30)*'Product Data'!$P$23)</f>
        <v>0</v>
      </c>
      <c r="F30" s="1927">
        <f t="shared" si="4"/>
        <v>0</v>
      </c>
      <c r="G30" s="1928">
        <v>1.1900000000000001E-2</v>
      </c>
      <c r="H30" s="1931">
        <f>($G$9*24)/((($F$8-'KB_C&amp;S 2yr fixed'!$G30)/12)*(24-'KB_C&amp;S 2yr fixed'!F30)*'Product Data'!$P$23)</f>
        <v>0</v>
      </c>
      <c r="J30" s="1927">
        <f t="shared" si="5"/>
        <v>0</v>
      </c>
      <c r="K30" s="1928">
        <v>1.1900000000000001E-2</v>
      </c>
      <c r="L30" s="1931">
        <f>($K$9*24)/((($J$8-'KB_C&amp;S 2yr fixed'!$K30)/12)*(24-'KB_C&amp;S 2yr fixed'!J30)*'Product Data'!$P$23)</f>
        <v>0</v>
      </c>
      <c r="N30" s="1927" t="s">
        <v>600</v>
      </c>
      <c r="O30" s="1928">
        <f>'Product Data'!C111</f>
        <v>8.2900000000000001E-2</v>
      </c>
      <c r="P30" s="2337">
        <f>'Product Data'!C115</f>
        <v>7.1900000000000006E-2</v>
      </c>
      <c r="Q30" s="2337">
        <f>'Product Data'!C119</f>
        <v>6.2899999999999998E-2</v>
      </c>
      <c r="R30" s="1932">
        <v>0.7</v>
      </c>
    </row>
    <row r="31" spans="2:18" x14ac:dyDescent="0.25">
      <c r="B31" s="1927">
        <f t="shared" si="3"/>
        <v>0</v>
      </c>
      <c r="C31" s="1928">
        <v>1.18E-2</v>
      </c>
      <c r="D31" s="1931">
        <f>($C$9*24)/((($B$8-C31)/12)*(24-B31)*'Product Data'!$P$23)</f>
        <v>0</v>
      </c>
      <c r="F31" s="1927">
        <f t="shared" si="4"/>
        <v>0</v>
      </c>
      <c r="G31" s="1928">
        <v>1.18E-2</v>
      </c>
      <c r="H31" s="1931">
        <f>($G$9*24)/((($F$8-'KB_C&amp;S 2yr fixed'!$G31)/12)*(24-'KB_C&amp;S 2yr fixed'!F31)*'Product Data'!$P$23)</f>
        <v>0</v>
      </c>
      <c r="J31" s="1927">
        <f t="shared" si="5"/>
        <v>0</v>
      </c>
      <c r="K31" s="1928">
        <v>1.18E-2</v>
      </c>
      <c r="L31" s="1931">
        <f>($K$9*24)/((($J$8-'KB_C&amp;S 2yr fixed'!$K31)/12)*(24-'KB_C&amp;S 2yr fixed'!J31)*'Product Data'!$P$23)</f>
        <v>0</v>
      </c>
      <c r="N31" s="1927" t="s">
        <v>607</v>
      </c>
      <c r="O31" s="1928">
        <f>'Product Data'!C112</f>
        <v>8.7900000000000006E-2</v>
      </c>
      <c r="P31" s="2337">
        <f>'Product Data'!C116</f>
        <v>7.6899999999999996E-2</v>
      </c>
      <c r="Q31" s="2337">
        <f>'Product Data'!C120</f>
        <v>6.7900000000000002E-2</v>
      </c>
      <c r="R31" s="1932">
        <v>0.7</v>
      </c>
    </row>
    <row r="32" spans="2:18" x14ac:dyDescent="0.25">
      <c r="B32" s="1927">
        <f t="shared" si="3"/>
        <v>0</v>
      </c>
      <c r="C32" s="1928">
        <v>1.17E-2</v>
      </c>
      <c r="D32" s="1931">
        <f>($C$9*24)/((($B$8-C32)/12)*(24-B32)*'Product Data'!$P$23)</f>
        <v>0</v>
      </c>
      <c r="F32" s="1927">
        <f t="shared" si="4"/>
        <v>0</v>
      </c>
      <c r="G32" s="1928">
        <v>1.17E-2</v>
      </c>
      <c r="H32" s="1931">
        <f>($G$9*24)/((($F$8-'KB_C&amp;S 2yr fixed'!$G32)/12)*(24-'KB_C&amp;S 2yr fixed'!F32)*'Product Data'!$P$23)</f>
        <v>0</v>
      </c>
      <c r="J32" s="1927">
        <f t="shared" si="5"/>
        <v>0</v>
      </c>
      <c r="K32" s="1928">
        <v>1.17E-2</v>
      </c>
      <c r="L32" s="1931">
        <f>($K$9*24)/((($J$8-'KB_C&amp;S 2yr fixed'!$K32)/12)*(24-'KB_C&amp;S 2yr fixed'!J32)*'Product Data'!$P$23)</f>
        <v>0</v>
      </c>
    </row>
    <row r="33" spans="2:12" x14ac:dyDescent="0.25">
      <c r="B33" s="1927">
        <f t="shared" si="3"/>
        <v>0</v>
      </c>
      <c r="C33" s="1928">
        <v>1.1599999999999999E-2</v>
      </c>
      <c r="D33" s="1931">
        <f>($C$9*24)/((($B$8-C33)/12)*(24-B33)*'Product Data'!$P$23)</f>
        <v>0</v>
      </c>
      <c r="F33" s="1927">
        <f t="shared" si="4"/>
        <v>0</v>
      </c>
      <c r="G33" s="1928">
        <v>1.1599999999999999E-2</v>
      </c>
      <c r="H33" s="1931">
        <f>($G$9*24)/((($F$8-'KB_C&amp;S 2yr fixed'!$G33)/12)*(24-'KB_C&amp;S 2yr fixed'!F33)*'Product Data'!$P$23)</f>
        <v>0</v>
      </c>
      <c r="J33" s="1927">
        <f t="shared" si="5"/>
        <v>0</v>
      </c>
      <c r="K33" s="1928">
        <v>1.1599999999999999E-2</v>
      </c>
      <c r="L33" s="1931">
        <f>($K$9*24)/((($J$8-'KB_C&amp;S 2yr fixed'!$K33)/12)*(24-'KB_C&amp;S 2yr fixed'!J33)*'Product Data'!$P$23)</f>
        <v>0</v>
      </c>
    </row>
    <row r="34" spans="2:12" x14ac:dyDescent="0.25">
      <c r="B34" s="1927">
        <f t="shared" si="3"/>
        <v>0</v>
      </c>
      <c r="C34" s="1928">
        <v>1.15E-2</v>
      </c>
      <c r="D34" s="1931">
        <f>($C$9*24)/((($B$8-C34)/12)*(24-B34)*'Product Data'!$P$23)</f>
        <v>0</v>
      </c>
      <c r="F34" s="1927">
        <f t="shared" si="4"/>
        <v>0</v>
      </c>
      <c r="G34" s="1928">
        <v>1.15E-2</v>
      </c>
      <c r="H34" s="1931">
        <f>($G$9*24)/((($F$8-'KB_C&amp;S 2yr fixed'!$G34)/12)*(24-'KB_C&amp;S 2yr fixed'!F34)*'Product Data'!$P$23)</f>
        <v>0</v>
      </c>
      <c r="J34" s="1927">
        <f t="shared" si="5"/>
        <v>0</v>
      </c>
      <c r="K34" s="1928">
        <v>1.15E-2</v>
      </c>
      <c r="L34" s="1931">
        <f>($K$9*24)/((($J$8-'KB_C&amp;S 2yr fixed'!$K34)/12)*(24-'KB_C&amp;S 2yr fixed'!J34)*'Product Data'!$P$23)</f>
        <v>0</v>
      </c>
    </row>
    <row r="35" spans="2:12" x14ac:dyDescent="0.25">
      <c r="B35" s="1927">
        <f t="shared" si="3"/>
        <v>0</v>
      </c>
      <c r="C35" s="1928">
        <v>1.14E-2</v>
      </c>
      <c r="D35" s="1931">
        <f>($C$9*24)/((($B$8-C35)/12)*(24-B35)*'Product Data'!$P$23)</f>
        <v>0</v>
      </c>
      <c r="F35" s="1927">
        <f t="shared" si="4"/>
        <v>0</v>
      </c>
      <c r="G35" s="1928">
        <v>1.14E-2</v>
      </c>
      <c r="H35" s="1931">
        <f>($G$9*24)/((($F$8-'KB_C&amp;S 2yr fixed'!$G35)/12)*(24-'KB_C&amp;S 2yr fixed'!F35)*'Product Data'!$P$23)</f>
        <v>0</v>
      </c>
      <c r="J35" s="1927">
        <f t="shared" si="5"/>
        <v>0</v>
      </c>
      <c r="K35" s="1928">
        <v>1.14E-2</v>
      </c>
      <c r="L35" s="1931">
        <f>($K$9*24)/((($J$8-'KB_C&amp;S 2yr fixed'!$K35)/12)*(24-'KB_C&amp;S 2yr fixed'!J35)*'Product Data'!$P$23)</f>
        <v>0</v>
      </c>
    </row>
    <row r="36" spans="2:12" x14ac:dyDescent="0.25">
      <c r="B36" s="1927">
        <f t="shared" si="3"/>
        <v>0</v>
      </c>
      <c r="C36" s="1928">
        <v>1.1299999999999999E-2</v>
      </c>
      <c r="D36" s="1931">
        <f>($C$9*24)/((($B$8-C36)/12)*(24-B36)*'Product Data'!$P$23)</f>
        <v>0</v>
      </c>
      <c r="F36" s="1927">
        <f t="shared" si="4"/>
        <v>0</v>
      </c>
      <c r="G36" s="1928">
        <v>1.1299999999999999E-2</v>
      </c>
      <c r="H36" s="1931">
        <f>($G$9*24)/((($F$8-'KB_C&amp;S 2yr fixed'!$G36)/12)*(24-'KB_C&amp;S 2yr fixed'!F36)*'Product Data'!$P$23)</f>
        <v>0</v>
      </c>
      <c r="J36" s="1927">
        <f t="shared" si="5"/>
        <v>0</v>
      </c>
      <c r="K36" s="1928">
        <v>1.1299999999999999E-2</v>
      </c>
      <c r="L36" s="1931">
        <f>($K$9*24)/((($J$8-'KB_C&amp;S 2yr fixed'!$K36)/12)*(24-'KB_C&amp;S 2yr fixed'!J36)*'Product Data'!$P$23)</f>
        <v>0</v>
      </c>
    </row>
    <row r="37" spans="2:12" x14ac:dyDescent="0.25">
      <c r="B37" s="1927">
        <f t="shared" si="3"/>
        <v>0</v>
      </c>
      <c r="C37" s="1928">
        <v>1.12E-2</v>
      </c>
      <c r="D37" s="1931">
        <f>($C$9*24)/((($B$8-C37)/12)*(24-B37)*'Product Data'!$P$23)</f>
        <v>0</v>
      </c>
      <c r="F37" s="1927">
        <f t="shared" si="4"/>
        <v>0</v>
      </c>
      <c r="G37" s="1928">
        <v>1.12E-2</v>
      </c>
      <c r="H37" s="1931">
        <f>($G$9*24)/((($F$8-'KB_C&amp;S 2yr fixed'!$G37)/12)*(24-'KB_C&amp;S 2yr fixed'!F37)*'Product Data'!$P$23)</f>
        <v>0</v>
      </c>
      <c r="J37" s="1927">
        <f t="shared" si="5"/>
        <v>0</v>
      </c>
      <c r="K37" s="1928">
        <v>1.12E-2</v>
      </c>
      <c r="L37" s="1931">
        <f>($K$9*24)/((($J$8-'KB_C&amp;S 2yr fixed'!$K37)/12)*(24-'KB_C&amp;S 2yr fixed'!J37)*'Product Data'!$P$23)</f>
        <v>0</v>
      </c>
    </row>
    <row r="38" spans="2:12" x14ac:dyDescent="0.25">
      <c r="B38" s="1927">
        <f t="shared" si="3"/>
        <v>0</v>
      </c>
      <c r="C38" s="1928">
        <v>1.11E-2</v>
      </c>
      <c r="D38" s="1931">
        <f>($C$9*24)/((($B$8-C38)/12)*(24-B38)*'Product Data'!$P$23)</f>
        <v>0</v>
      </c>
      <c r="F38" s="1927">
        <f t="shared" si="4"/>
        <v>0</v>
      </c>
      <c r="G38" s="1928">
        <v>1.11E-2</v>
      </c>
      <c r="H38" s="1931">
        <f>($G$9*24)/((($F$8-'KB_C&amp;S 2yr fixed'!$G38)/12)*(24-'KB_C&amp;S 2yr fixed'!F38)*'Product Data'!$P$23)</f>
        <v>0</v>
      </c>
      <c r="J38" s="1927">
        <f t="shared" si="5"/>
        <v>0</v>
      </c>
      <c r="K38" s="1928">
        <v>1.11E-2</v>
      </c>
      <c r="L38" s="1931">
        <f>($K$9*24)/((($J$8-'KB_C&amp;S 2yr fixed'!$K38)/12)*(24-'KB_C&amp;S 2yr fixed'!J38)*'Product Data'!$P$23)</f>
        <v>0</v>
      </c>
    </row>
    <row r="39" spans="2:12" x14ac:dyDescent="0.25">
      <c r="B39" s="1927">
        <f t="shared" si="3"/>
        <v>0</v>
      </c>
      <c r="C39" s="1928">
        <v>1.0999999999999999E-2</v>
      </c>
      <c r="D39" s="1931">
        <f>($C$9*24)/((($B$8-C39)/12)*(24-B39)*'Product Data'!$P$23)</f>
        <v>0</v>
      </c>
      <c r="F39" s="1927">
        <f t="shared" si="4"/>
        <v>0</v>
      </c>
      <c r="G39" s="1928">
        <v>1.0999999999999999E-2</v>
      </c>
      <c r="H39" s="1931">
        <f>($G$9*24)/((($F$8-'KB_C&amp;S 2yr fixed'!$G39)/12)*(24-'KB_C&amp;S 2yr fixed'!F39)*'Product Data'!$P$23)</f>
        <v>0</v>
      </c>
      <c r="J39" s="1927">
        <f t="shared" si="5"/>
        <v>0</v>
      </c>
      <c r="K39" s="1928">
        <v>1.0999999999999999E-2</v>
      </c>
      <c r="L39" s="1931">
        <f>($K$9*24)/((($J$8-'KB_C&amp;S 2yr fixed'!$K39)/12)*(24-'KB_C&amp;S 2yr fixed'!J39)*'Product Data'!$P$23)</f>
        <v>0</v>
      </c>
    </row>
    <row r="40" spans="2:12" x14ac:dyDescent="0.25">
      <c r="B40" s="1927">
        <f t="shared" si="3"/>
        <v>0</v>
      </c>
      <c r="C40" s="1928">
        <v>1.09E-2</v>
      </c>
      <c r="D40" s="1931">
        <f>($C$9*24)/((($B$8-C40)/12)*(24-B40)*'Product Data'!$P$23)</f>
        <v>0</v>
      </c>
      <c r="F40" s="1927">
        <f t="shared" si="4"/>
        <v>0</v>
      </c>
      <c r="G40" s="1928">
        <v>1.09E-2</v>
      </c>
      <c r="H40" s="1931">
        <f>($G$9*24)/((($F$8-'KB_C&amp;S 2yr fixed'!$G40)/12)*(24-'KB_C&amp;S 2yr fixed'!F40)*'Product Data'!$P$23)</f>
        <v>0</v>
      </c>
      <c r="J40" s="1927">
        <f t="shared" si="5"/>
        <v>0</v>
      </c>
      <c r="K40" s="1928">
        <v>1.09E-2</v>
      </c>
      <c r="L40" s="1931">
        <f>($K$9*24)/((($J$8-'KB_C&amp;S 2yr fixed'!$K40)/12)*(24-'KB_C&amp;S 2yr fixed'!J40)*'Product Data'!$P$23)</f>
        <v>0</v>
      </c>
    </row>
    <row r="41" spans="2:12" x14ac:dyDescent="0.25">
      <c r="B41" s="1927">
        <f t="shared" si="3"/>
        <v>0</v>
      </c>
      <c r="C41" s="1928">
        <v>1.0800000000000001E-2</v>
      </c>
      <c r="D41" s="1931">
        <f>($C$9*24)/((($B$8-C41)/12)*(24-B41)*'Product Data'!$P$23)</f>
        <v>0</v>
      </c>
      <c r="F41" s="1927">
        <f t="shared" si="4"/>
        <v>0</v>
      </c>
      <c r="G41" s="1928">
        <v>1.0800000000000001E-2</v>
      </c>
      <c r="H41" s="1931">
        <f>($G$9*24)/((($F$8-'KB_C&amp;S 2yr fixed'!$G41)/12)*(24-'KB_C&amp;S 2yr fixed'!F41)*'Product Data'!$P$23)</f>
        <v>0</v>
      </c>
      <c r="J41" s="1927">
        <f t="shared" si="5"/>
        <v>0</v>
      </c>
      <c r="K41" s="1928">
        <v>1.0800000000000001E-2</v>
      </c>
      <c r="L41" s="1931">
        <f>($K$9*24)/((($J$8-'KB_C&amp;S 2yr fixed'!$K41)/12)*(24-'KB_C&amp;S 2yr fixed'!J41)*'Product Data'!$P$23)</f>
        <v>0</v>
      </c>
    </row>
    <row r="42" spans="2:12" x14ac:dyDescent="0.25">
      <c r="B42" s="1927">
        <f t="shared" si="3"/>
        <v>0</v>
      </c>
      <c r="C42" s="1928">
        <v>1.0699999999999999E-2</v>
      </c>
      <c r="D42" s="1931">
        <f>($C$9*24)/((($B$8-C42)/12)*(24-B42)*'Product Data'!$P$23)</f>
        <v>0</v>
      </c>
      <c r="F42" s="1927">
        <f t="shared" si="4"/>
        <v>0</v>
      </c>
      <c r="G42" s="1928">
        <v>1.0699999999999999E-2</v>
      </c>
      <c r="H42" s="1931">
        <f>($G$9*24)/((($F$8-'KB_C&amp;S 2yr fixed'!$G42)/12)*(24-'KB_C&amp;S 2yr fixed'!F42)*'Product Data'!$P$23)</f>
        <v>0</v>
      </c>
      <c r="J42" s="1927">
        <f t="shared" si="5"/>
        <v>0</v>
      </c>
      <c r="K42" s="1928">
        <v>1.0699999999999999E-2</v>
      </c>
      <c r="L42" s="1931">
        <f>($K$9*24)/((($J$8-'KB_C&amp;S 2yr fixed'!$K42)/12)*(24-'KB_C&amp;S 2yr fixed'!J42)*'Product Data'!$P$23)</f>
        <v>0</v>
      </c>
    </row>
    <row r="43" spans="2:12" x14ac:dyDescent="0.25">
      <c r="B43" s="1927">
        <f t="shared" si="3"/>
        <v>0</v>
      </c>
      <c r="C43" s="1928">
        <v>1.06E-2</v>
      </c>
      <c r="D43" s="1931">
        <f>($C$9*24)/((($B$8-C43)/12)*(24-B43)*'Product Data'!$P$23)</f>
        <v>0</v>
      </c>
      <c r="F43" s="1927">
        <f t="shared" si="4"/>
        <v>0</v>
      </c>
      <c r="G43" s="1928">
        <v>1.06E-2</v>
      </c>
      <c r="H43" s="1931">
        <f>($G$9*24)/((($F$8-'KB_C&amp;S 2yr fixed'!$G43)/12)*(24-'KB_C&amp;S 2yr fixed'!F43)*'Product Data'!$P$23)</f>
        <v>0</v>
      </c>
      <c r="J43" s="1927">
        <f t="shared" si="5"/>
        <v>0</v>
      </c>
      <c r="K43" s="1928">
        <v>1.06E-2</v>
      </c>
      <c r="L43" s="1931">
        <f>($K$9*24)/((($J$8-'KB_C&amp;S 2yr fixed'!$K43)/12)*(24-'KB_C&amp;S 2yr fixed'!J43)*'Product Data'!$P$23)</f>
        <v>0</v>
      </c>
    </row>
    <row r="44" spans="2:12" x14ac:dyDescent="0.25">
      <c r="B44" s="1927">
        <f t="shared" si="3"/>
        <v>0</v>
      </c>
      <c r="C44" s="1928">
        <v>1.0500000000000001E-2</v>
      </c>
      <c r="D44" s="1931">
        <f>($C$9*24)/((($B$8-C44)/12)*(24-B44)*'Product Data'!$P$23)</f>
        <v>0</v>
      </c>
      <c r="F44" s="1927">
        <f t="shared" si="4"/>
        <v>0</v>
      </c>
      <c r="G44" s="1928">
        <v>1.0500000000000001E-2</v>
      </c>
      <c r="H44" s="1931">
        <f>($G$9*24)/((($F$8-'KB_C&amp;S 2yr fixed'!$G44)/12)*(24-'KB_C&amp;S 2yr fixed'!F44)*'Product Data'!$P$23)</f>
        <v>0</v>
      </c>
      <c r="J44" s="1927">
        <f t="shared" si="5"/>
        <v>0</v>
      </c>
      <c r="K44" s="1928">
        <v>1.0500000000000001E-2</v>
      </c>
      <c r="L44" s="1931">
        <f>($K$9*24)/((($J$8-'KB_C&amp;S 2yr fixed'!$K44)/12)*(24-'KB_C&amp;S 2yr fixed'!J44)*'Product Data'!$P$23)</f>
        <v>0</v>
      </c>
    </row>
    <row r="45" spans="2:12" x14ac:dyDescent="0.25">
      <c r="B45" s="1927">
        <f t="shared" si="3"/>
        <v>0</v>
      </c>
      <c r="C45" s="1928">
        <v>1.04E-2</v>
      </c>
      <c r="D45" s="1931">
        <f>($C$9*24)/((($B$8-C45)/12)*(24-B45)*'Product Data'!$P$23)</f>
        <v>0</v>
      </c>
      <c r="F45" s="1927">
        <f t="shared" si="4"/>
        <v>0</v>
      </c>
      <c r="G45" s="1928">
        <v>1.04E-2</v>
      </c>
      <c r="H45" s="1931">
        <f>($G$9*24)/((($F$8-'KB_C&amp;S 2yr fixed'!$G45)/12)*(24-'KB_C&amp;S 2yr fixed'!F45)*'Product Data'!$P$23)</f>
        <v>0</v>
      </c>
      <c r="J45" s="1927">
        <f t="shared" si="5"/>
        <v>0</v>
      </c>
      <c r="K45" s="1928">
        <v>1.04E-2</v>
      </c>
      <c r="L45" s="1931">
        <f>($K$9*24)/((($J$8-'KB_C&amp;S 2yr fixed'!$K45)/12)*(24-'KB_C&amp;S 2yr fixed'!J45)*'Product Data'!$P$23)</f>
        <v>0</v>
      </c>
    </row>
    <row r="46" spans="2:12" x14ac:dyDescent="0.25">
      <c r="B46" s="1927">
        <f t="shared" si="3"/>
        <v>0</v>
      </c>
      <c r="C46" s="1928">
        <v>1.03E-2</v>
      </c>
      <c r="D46" s="1931">
        <f>($C$9*24)/((($B$8-C46)/12)*(24-B46)*'Product Data'!$P$23)</f>
        <v>0</v>
      </c>
      <c r="F46" s="1927">
        <f t="shared" si="4"/>
        <v>0</v>
      </c>
      <c r="G46" s="1928">
        <v>1.03E-2</v>
      </c>
      <c r="H46" s="1931">
        <f>($G$9*24)/((($F$8-'KB_C&amp;S 2yr fixed'!$G46)/12)*(24-'KB_C&amp;S 2yr fixed'!F46)*'Product Data'!$P$23)</f>
        <v>0</v>
      </c>
      <c r="J46" s="1927">
        <f t="shared" si="5"/>
        <v>0</v>
      </c>
      <c r="K46" s="1928">
        <v>1.03E-2</v>
      </c>
      <c r="L46" s="1931">
        <f>($K$9*24)/((($J$8-'KB_C&amp;S 2yr fixed'!$K46)/12)*(24-'KB_C&amp;S 2yr fixed'!J46)*'Product Data'!$P$23)</f>
        <v>0</v>
      </c>
    </row>
    <row r="47" spans="2:12" x14ac:dyDescent="0.25">
      <c r="B47" s="1927">
        <f t="shared" si="3"/>
        <v>0</v>
      </c>
      <c r="C47" s="1928">
        <v>1.0200000000000001E-2</v>
      </c>
      <c r="D47" s="1931">
        <f>($C$9*24)/((($B$8-C47)/12)*(24-B47)*'Product Data'!$P$23)</f>
        <v>0</v>
      </c>
      <c r="F47" s="1927">
        <f t="shared" si="4"/>
        <v>0</v>
      </c>
      <c r="G47" s="1928">
        <v>1.0200000000000001E-2</v>
      </c>
      <c r="H47" s="1931">
        <f>($G$9*24)/((($F$8-'KB_C&amp;S 2yr fixed'!$G47)/12)*(24-'KB_C&amp;S 2yr fixed'!F47)*'Product Data'!$P$23)</f>
        <v>0</v>
      </c>
      <c r="J47" s="1927">
        <f t="shared" si="5"/>
        <v>0</v>
      </c>
      <c r="K47" s="1928">
        <v>1.0200000000000001E-2</v>
      </c>
      <c r="L47" s="1931">
        <f>($K$9*24)/((($J$8-'KB_C&amp;S 2yr fixed'!$K47)/12)*(24-'KB_C&amp;S 2yr fixed'!J47)*'Product Data'!$P$23)</f>
        <v>0</v>
      </c>
    </row>
    <row r="48" spans="2:12" x14ac:dyDescent="0.25">
      <c r="B48" s="1927">
        <f t="shared" si="3"/>
        <v>0</v>
      </c>
      <c r="C48" s="1928">
        <v>1.01E-2</v>
      </c>
      <c r="D48" s="1931">
        <f>($C$9*24)/((($B$8-C48)/12)*(24-B48)*'Product Data'!$P$23)</f>
        <v>0</v>
      </c>
      <c r="F48" s="1927">
        <f t="shared" si="4"/>
        <v>0</v>
      </c>
      <c r="G48" s="1928">
        <v>1.01E-2</v>
      </c>
      <c r="H48" s="1931">
        <f>($G$9*24)/((($F$8-'KB_C&amp;S 2yr fixed'!$G48)/12)*(24-'KB_C&amp;S 2yr fixed'!F48)*'Product Data'!$P$23)</f>
        <v>0</v>
      </c>
      <c r="J48" s="1927">
        <f t="shared" si="5"/>
        <v>0</v>
      </c>
      <c r="K48" s="1928">
        <v>1.01E-2</v>
      </c>
      <c r="L48" s="1931">
        <f>($K$9*24)/((($J$8-'KB_C&amp;S 2yr fixed'!$K48)/12)*(24-'KB_C&amp;S 2yr fixed'!J48)*'Product Data'!$P$23)</f>
        <v>0</v>
      </c>
    </row>
    <row r="49" spans="2:12" x14ac:dyDescent="0.25">
      <c r="B49" s="1927">
        <f t="shared" si="3"/>
        <v>0</v>
      </c>
      <c r="C49" s="1928">
        <v>9.9999999999999707E-3</v>
      </c>
      <c r="D49" s="1931">
        <f>($C$9*24)/((($B$8-C49)/12)*(24-B49)*'Product Data'!$P$23)</f>
        <v>0</v>
      </c>
      <c r="F49" s="1927">
        <f t="shared" si="4"/>
        <v>0</v>
      </c>
      <c r="G49" s="1928">
        <v>9.9999999999999707E-3</v>
      </c>
      <c r="H49" s="1931">
        <f>($G$9*24)/((($F$8-'KB_C&amp;S 2yr fixed'!$G49)/12)*(24-'KB_C&amp;S 2yr fixed'!F49)*'Product Data'!$P$23)</f>
        <v>0</v>
      </c>
      <c r="J49" s="1927">
        <f t="shared" si="5"/>
        <v>0</v>
      </c>
      <c r="K49" s="1928">
        <v>9.9999999999999707E-3</v>
      </c>
      <c r="L49" s="1931">
        <f>($K$9*24)/((($J$8-'KB_C&amp;S 2yr fixed'!$K49)/12)*(24-'KB_C&amp;S 2yr fixed'!J49)*'Product Data'!$P$23)</f>
        <v>0</v>
      </c>
    </row>
    <row r="50" spans="2:12" x14ac:dyDescent="0.25">
      <c r="B50" s="1927">
        <f t="shared" si="3"/>
        <v>0</v>
      </c>
      <c r="C50" s="1928">
        <v>9.8999999999999696E-3</v>
      </c>
      <c r="D50" s="1931">
        <f>($C$9*24)/((($B$8-C50)/12)*(24-B50)*'Product Data'!$P$23)</f>
        <v>0</v>
      </c>
      <c r="F50" s="1927">
        <f t="shared" si="4"/>
        <v>0</v>
      </c>
      <c r="G50" s="1928">
        <v>9.8999999999999696E-3</v>
      </c>
      <c r="H50" s="1931">
        <f>($G$9*24)/((($F$8-'KB_C&amp;S 2yr fixed'!$G50)/12)*(24-'KB_C&amp;S 2yr fixed'!F50)*'Product Data'!$P$23)</f>
        <v>0</v>
      </c>
      <c r="J50" s="1927">
        <f t="shared" si="5"/>
        <v>0</v>
      </c>
      <c r="K50" s="1928">
        <v>9.8999999999999696E-3</v>
      </c>
      <c r="L50" s="1931">
        <f>($K$9*24)/((($J$8-'KB_C&amp;S 2yr fixed'!$K50)/12)*(24-'KB_C&amp;S 2yr fixed'!J50)*'Product Data'!$P$23)</f>
        <v>0</v>
      </c>
    </row>
    <row r="51" spans="2:12" x14ac:dyDescent="0.25">
      <c r="B51" s="1927">
        <f t="shared" si="3"/>
        <v>0</v>
      </c>
      <c r="C51" s="1928">
        <v>9.7999999999999702E-3</v>
      </c>
      <c r="D51" s="1931">
        <f>($C$9*24)/((($B$8-C51)/12)*(24-B51)*'Product Data'!$P$23)</f>
        <v>0</v>
      </c>
      <c r="F51" s="1927">
        <f t="shared" si="4"/>
        <v>0</v>
      </c>
      <c r="G51" s="1928">
        <v>9.7999999999999702E-3</v>
      </c>
      <c r="H51" s="1931">
        <f>($G$9*24)/((($F$8-'KB_C&amp;S 2yr fixed'!$G51)/12)*(24-'KB_C&amp;S 2yr fixed'!F51)*'Product Data'!$P$23)</f>
        <v>0</v>
      </c>
      <c r="J51" s="1927">
        <f t="shared" si="5"/>
        <v>0</v>
      </c>
      <c r="K51" s="1928">
        <v>9.7999999999999702E-3</v>
      </c>
      <c r="L51" s="1931">
        <f>($K$9*24)/((($J$8-'KB_C&amp;S 2yr fixed'!$K51)/12)*(24-'KB_C&amp;S 2yr fixed'!J51)*'Product Data'!$P$23)</f>
        <v>0</v>
      </c>
    </row>
    <row r="52" spans="2:12" x14ac:dyDescent="0.25">
      <c r="B52" s="1927">
        <f t="shared" si="3"/>
        <v>0</v>
      </c>
      <c r="C52" s="1928">
        <v>9.6999999999999708E-3</v>
      </c>
      <c r="D52" s="1931">
        <f>($C$9*24)/((($B$8-C52)/12)*(24-B52)*'Product Data'!$P$23)</f>
        <v>0</v>
      </c>
      <c r="F52" s="1927">
        <f t="shared" si="4"/>
        <v>0</v>
      </c>
      <c r="G52" s="1928">
        <v>9.6999999999999708E-3</v>
      </c>
      <c r="H52" s="1931">
        <f>($G$9*24)/((($F$8-'KB_C&amp;S 2yr fixed'!$G52)/12)*(24-'KB_C&amp;S 2yr fixed'!F52)*'Product Data'!$P$23)</f>
        <v>0</v>
      </c>
      <c r="J52" s="1927">
        <f t="shared" si="5"/>
        <v>0</v>
      </c>
      <c r="K52" s="1928">
        <v>9.6999999999999708E-3</v>
      </c>
      <c r="L52" s="1931">
        <f>($K$9*24)/((($J$8-'KB_C&amp;S 2yr fixed'!$K52)/12)*(24-'KB_C&amp;S 2yr fixed'!J52)*'Product Data'!$P$23)</f>
        <v>0</v>
      </c>
    </row>
    <row r="53" spans="2:12" x14ac:dyDescent="0.25">
      <c r="B53" s="1927">
        <f t="shared" si="3"/>
        <v>0</v>
      </c>
      <c r="C53" s="1928">
        <v>9.5999999999999697E-3</v>
      </c>
      <c r="D53" s="1931">
        <f>($C$9*24)/((($B$8-C53)/12)*(24-B53)*'Product Data'!$P$23)</f>
        <v>0</v>
      </c>
      <c r="F53" s="1927">
        <f t="shared" si="4"/>
        <v>0</v>
      </c>
      <c r="G53" s="1928">
        <v>9.5999999999999697E-3</v>
      </c>
      <c r="H53" s="1931">
        <f>($G$9*24)/((($F$8-'KB_C&amp;S 2yr fixed'!$G53)/12)*(24-'KB_C&amp;S 2yr fixed'!F53)*'Product Data'!$P$23)</f>
        <v>0</v>
      </c>
      <c r="J53" s="1927">
        <f t="shared" si="5"/>
        <v>0</v>
      </c>
      <c r="K53" s="1928">
        <v>9.5999999999999697E-3</v>
      </c>
      <c r="L53" s="1931">
        <f>($K$9*24)/((($J$8-'KB_C&amp;S 2yr fixed'!$K53)/12)*(24-'KB_C&amp;S 2yr fixed'!J53)*'Product Data'!$P$23)</f>
        <v>0</v>
      </c>
    </row>
    <row r="54" spans="2:12" x14ac:dyDescent="0.25">
      <c r="B54" s="1927">
        <f t="shared" si="3"/>
        <v>0</v>
      </c>
      <c r="C54" s="1928">
        <v>9.4999999999999703E-3</v>
      </c>
      <c r="D54" s="1931">
        <f>($C$9*24)/((($B$8-C54)/12)*(24-B54)*'Product Data'!$P$23)</f>
        <v>0</v>
      </c>
      <c r="F54" s="1927">
        <f t="shared" si="4"/>
        <v>0</v>
      </c>
      <c r="G54" s="1928">
        <v>9.4999999999999703E-3</v>
      </c>
      <c r="H54" s="1931">
        <f>($G$9*24)/((($F$8-'KB_C&amp;S 2yr fixed'!$G54)/12)*(24-'KB_C&amp;S 2yr fixed'!F54)*'Product Data'!$P$23)</f>
        <v>0</v>
      </c>
      <c r="J54" s="1927">
        <f t="shared" si="5"/>
        <v>0</v>
      </c>
      <c r="K54" s="1928">
        <v>9.4999999999999703E-3</v>
      </c>
      <c r="L54" s="1931">
        <f>($K$9*24)/((($J$8-'KB_C&amp;S 2yr fixed'!$K54)/12)*(24-'KB_C&amp;S 2yr fixed'!J54)*'Product Data'!$P$23)</f>
        <v>0</v>
      </c>
    </row>
    <row r="55" spans="2:12" x14ac:dyDescent="0.25">
      <c r="B55" s="1927">
        <f t="shared" si="3"/>
        <v>0</v>
      </c>
      <c r="C55" s="1928">
        <v>9.3999999999999605E-3</v>
      </c>
      <c r="D55" s="1931">
        <f>($C$9*24)/((($B$8-C55)/12)*(24-B55)*'Product Data'!$P$23)</f>
        <v>0</v>
      </c>
      <c r="F55" s="1927">
        <f t="shared" si="4"/>
        <v>0</v>
      </c>
      <c r="G55" s="1928">
        <v>9.3999999999999605E-3</v>
      </c>
      <c r="H55" s="1931">
        <f>($G$9*24)/((($F$8-'KB_C&amp;S 2yr fixed'!$G55)/12)*(24-'KB_C&amp;S 2yr fixed'!F55)*'Product Data'!$P$23)</f>
        <v>0</v>
      </c>
      <c r="J55" s="1927">
        <f t="shared" si="5"/>
        <v>0</v>
      </c>
      <c r="K55" s="1928">
        <v>9.3999999999999605E-3</v>
      </c>
      <c r="L55" s="1931">
        <f>($K$9*24)/((($J$8-'KB_C&amp;S 2yr fixed'!$K55)/12)*(24-'KB_C&amp;S 2yr fixed'!J55)*'Product Data'!$P$23)</f>
        <v>0</v>
      </c>
    </row>
    <row r="56" spans="2:12" x14ac:dyDescent="0.25">
      <c r="B56" s="1927">
        <f t="shared" si="3"/>
        <v>0</v>
      </c>
      <c r="C56" s="1928">
        <v>9.2999999999999593E-3</v>
      </c>
      <c r="D56" s="1931">
        <f>($C$9*24)/((($B$8-C56)/12)*(24-B56)*'Product Data'!$P$23)</f>
        <v>0</v>
      </c>
      <c r="F56" s="1927">
        <f t="shared" si="4"/>
        <v>0</v>
      </c>
      <c r="G56" s="1928">
        <v>9.2999999999999593E-3</v>
      </c>
      <c r="H56" s="1931">
        <f>($G$9*24)/((($F$8-'KB_C&amp;S 2yr fixed'!$G56)/12)*(24-'KB_C&amp;S 2yr fixed'!F56)*'Product Data'!$P$23)</f>
        <v>0</v>
      </c>
      <c r="J56" s="1927">
        <f t="shared" si="5"/>
        <v>0</v>
      </c>
      <c r="K56" s="1928">
        <v>9.2999999999999593E-3</v>
      </c>
      <c r="L56" s="1931">
        <f>($K$9*24)/((($J$8-'KB_C&amp;S 2yr fixed'!$K56)/12)*(24-'KB_C&amp;S 2yr fixed'!J56)*'Product Data'!$P$23)</f>
        <v>0</v>
      </c>
    </row>
    <row r="57" spans="2:12" x14ac:dyDescent="0.25">
      <c r="B57" s="1927">
        <f t="shared" si="3"/>
        <v>0</v>
      </c>
      <c r="C57" s="1928">
        <v>9.1999999999999599E-3</v>
      </c>
      <c r="D57" s="1931">
        <f>($C$9*24)/((($B$8-C57)/12)*(24-B57)*'Product Data'!$P$23)</f>
        <v>0</v>
      </c>
      <c r="F57" s="1927">
        <f t="shared" si="4"/>
        <v>0</v>
      </c>
      <c r="G57" s="1928">
        <v>9.1999999999999599E-3</v>
      </c>
      <c r="H57" s="1931">
        <f>($G$9*24)/((($F$8-'KB_C&amp;S 2yr fixed'!$G57)/12)*(24-'KB_C&amp;S 2yr fixed'!F57)*'Product Data'!$P$23)</f>
        <v>0</v>
      </c>
      <c r="J57" s="1927">
        <f t="shared" si="5"/>
        <v>0</v>
      </c>
      <c r="K57" s="1928">
        <v>9.1999999999999599E-3</v>
      </c>
      <c r="L57" s="1931">
        <f>($K$9*24)/((($J$8-'KB_C&amp;S 2yr fixed'!$K57)/12)*(24-'KB_C&amp;S 2yr fixed'!J57)*'Product Data'!$P$23)</f>
        <v>0</v>
      </c>
    </row>
    <row r="58" spans="2:12" x14ac:dyDescent="0.25">
      <c r="B58" s="1927">
        <f t="shared" si="3"/>
        <v>0</v>
      </c>
      <c r="C58" s="1928">
        <v>9.0999999999999606E-3</v>
      </c>
      <c r="D58" s="1931">
        <f>($C$9*24)/((($B$8-C58)/12)*(24-B58)*'Product Data'!$P$23)</f>
        <v>0</v>
      </c>
      <c r="F58" s="1927">
        <f t="shared" si="4"/>
        <v>0</v>
      </c>
      <c r="G58" s="1928">
        <v>9.0999999999999606E-3</v>
      </c>
      <c r="H58" s="1931">
        <f>($G$9*24)/((($F$8-'KB_C&amp;S 2yr fixed'!$G58)/12)*(24-'KB_C&amp;S 2yr fixed'!F58)*'Product Data'!$P$23)</f>
        <v>0</v>
      </c>
      <c r="J58" s="1927">
        <f t="shared" si="5"/>
        <v>0</v>
      </c>
      <c r="K58" s="1928">
        <v>9.0999999999999606E-3</v>
      </c>
      <c r="L58" s="1931">
        <f>($K$9*24)/((($J$8-'KB_C&amp;S 2yr fixed'!$K58)/12)*(24-'KB_C&amp;S 2yr fixed'!J58)*'Product Data'!$P$23)</f>
        <v>0</v>
      </c>
    </row>
    <row r="59" spans="2:12" x14ac:dyDescent="0.25">
      <c r="B59" s="1927">
        <f t="shared" si="3"/>
        <v>0</v>
      </c>
      <c r="C59" s="1928">
        <v>8.9999999999999594E-3</v>
      </c>
      <c r="D59" s="1931">
        <f>($C$9*24)/((($B$8-C59)/12)*(24-B59)*'Product Data'!$P$23)</f>
        <v>0</v>
      </c>
      <c r="F59" s="1927">
        <f t="shared" si="4"/>
        <v>0</v>
      </c>
      <c r="G59" s="1928">
        <v>8.9999999999999594E-3</v>
      </c>
      <c r="H59" s="1931">
        <f>($G$9*24)/((($F$8-'KB_C&amp;S 2yr fixed'!$G59)/12)*(24-'KB_C&amp;S 2yr fixed'!F59)*'Product Data'!$P$23)</f>
        <v>0</v>
      </c>
      <c r="J59" s="1927">
        <f t="shared" si="5"/>
        <v>0</v>
      </c>
      <c r="K59" s="1928">
        <v>8.9999999999999594E-3</v>
      </c>
      <c r="L59" s="1931">
        <f>($K$9*24)/((($J$8-'KB_C&amp;S 2yr fixed'!$K59)/12)*(24-'KB_C&amp;S 2yr fixed'!J59)*'Product Data'!$P$23)</f>
        <v>0</v>
      </c>
    </row>
    <row r="60" spans="2:12" x14ac:dyDescent="0.25">
      <c r="B60" s="1927">
        <f t="shared" si="3"/>
        <v>0</v>
      </c>
      <c r="C60" s="1928">
        <v>8.89999999999996E-3</v>
      </c>
      <c r="D60" s="1931">
        <f>($C$9*24)/((($B$8-C60)/12)*(24-B60)*'Product Data'!$P$23)</f>
        <v>0</v>
      </c>
      <c r="F60" s="1927">
        <f t="shared" si="4"/>
        <v>0</v>
      </c>
      <c r="G60" s="1928">
        <v>8.89999999999996E-3</v>
      </c>
      <c r="H60" s="1931">
        <f>($G$9*24)/((($F$8-'KB_C&amp;S 2yr fixed'!$G60)/12)*(24-'KB_C&amp;S 2yr fixed'!F60)*'Product Data'!$P$23)</f>
        <v>0</v>
      </c>
      <c r="J60" s="1927">
        <f t="shared" si="5"/>
        <v>0</v>
      </c>
      <c r="K60" s="1928">
        <v>8.89999999999996E-3</v>
      </c>
      <c r="L60" s="1931">
        <f>($K$9*24)/((($J$8-'KB_C&amp;S 2yr fixed'!$K60)/12)*(24-'KB_C&amp;S 2yr fixed'!J60)*'Product Data'!$P$23)</f>
        <v>0</v>
      </c>
    </row>
    <row r="61" spans="2:12" x14ac:dyDescent="0.25">
      <c r="B61" s="1927">
        <f t="shared" si="3"/>
        <v>0</v>
      </c>
      <c r="C61" s="1928">
        <v>8.7999999999999606E-3</v>
      </c>
      <c r="D61" s="1931">
        <f>($C$9*24)/((($B$8-C61)/12)*(24-B61)*'Product Data'!$P$23)</f>
        <v>0</v>
      </c>
      <c r="F61" s="1927">
        <f t="shared" si="4"/>
        <v>0</v>
      </c>
      <c r="G61" s="1928">
        <v>8.7999999999999606E-3</v>
      </c>
      <c r="H61" s="1931">
        <f>($G$9*24)/((($F$8-'KB_C&amp;S 2yr fixed'!$G61)/12)*(24-'KB_C&amp;S 2yr fixed'!F61)*'Product Data'!$P$23)</f>
        <v>0</v>
      </c>
      <c r="J61" s="1927">
        <f t="shared" si="5"/>
        <v>0</v>
      </c>
      <c r="K61" s="1928">
        <v>8.7999999999999606E-3</v>
      </c>
      <c r="L61" s="1931">
        <f>($K$9*24)/((($J$8-'KB_C&amp;S 2yr fixed'!$K61)/12)*(24-'KB_C&amp;S 2yr fixed'!J61)*'Product Data'!$P$23)</f>
        <v>0</v>
      </c>
    </row>
    <row r="62" spans="2:12" x14ac:dyDescent="0.25">
      <c r="B62" s="1927">
        <f t="shared" si="3"/>
        <v>0</v>
      </c>
      <c r="C62" s="1928">
        <v>8.6999999999999595E-3</v>
      </c>
      <c r="D62" s="1931">
        <f>($C$9*24)/((($B$8-C62)/12)*(24-B62)*'Product Data'!$P$23)</f>
        <v>0</v>
      </c>
      <c r="F62" s="1927">
        <f t="shared" si="4"/>
        <v>0</v>
      </c>
      <c r="G62" s="1928">
        <v>8.6999999999999595E-3</v>
      </c>
      <c r="H62" s="1931">
        <f>($G$9*24)/((($F$8-'KB_C&amp;S 2yr fixed'!$G62)/12)*(24-'KB_C&amp;S 2yr fixed'!F62)*'Product Data'!$P$23)</f>
        <v>0</v>
      </c>
      <c r="J62" s="1927">
        <f t="shared" si="5"/>
        <v>0</v>
      </c>
      <c r="K62" s="1928">
        <v>8.6999999999999595E-3</v>
      </c>
      <c r="L62" s="1931">
        <f>($K$9*24)/((($J$8-'KB_C&amp;S 2yr fixed'!$K62)/12)*(24-'KB_C&amp;S 2yr fixed'!J62)*'Product Data'!$P$23)</f>
        <v>0</v>
      </c>
    </row>
    <row r="63" spans="2:12" x14ac:dyDescent="0.25">
      <c r="B63" s="1927">
        <f t="shared" si="3"/>
        <v>0</v>
      </c>
      <c r="C63" s="1928">
        <v>8.5999999999999601E-3</v>
      </c>
      <c r="D63" s="1931">
        <f>($C$9*24)/((($B$8-C63)/12)*(24-B63)*'Product Data'!$P$23)</f>
        <v>0</v>
      </c>
      <c r="F63" s="1927">
        <f t="shared" si="4"/>
        <v>0</v>
      </c>
      <c r="G63" s="1928">
        <v>8.5999999999999601E-3</v>
      </c>
      <c r="H63" s="1931">
        <f>($G$9*24)/((($F$8-'KB_C&amp;S 2yr fixed'!$G63)/12)*(24-'KB_C&amp;S 2yr fixed'!F63)*'Product Data'!$P$23)</f>
        <v>0</v>
      </c>
      <c r="J63" s="1927">
        <f t="shared" si="5"/>
        <v>0</v>
      </c>
      <c r="K63" s="1928">
        <v>8.5999999999999601E-3</v>
      </c>
      <c r="L63" s="1931">
        <f>($K$9*24)/((($J$8-'KB_C&amp;S 2yr fixed'!$K63)/12)*(24-'KB_C&amp;S 2yr fixed'!J63)*'Product Data'!$P$23)</f>
        <v>0</v>
      </c>
    </row>
    <row r="64" spans="2:12" x14ac:dyDescent="0.25">
      <c r="B64" s="1927">
        <f t="shared" si="3"/>
        <v>0</v>
      </c>
      <c r="C64" s="1928">
        <v>8.4999999999999503E-3</v>
      </c>
      <c r="D64" s="1931">
        <f>($C$9*24)/((($B$8-C64)/12)*(24-B64)*'Product Data'!$P$23)</f>
        <v>0</v>
      </c>
      <c r="F64" s="1927">
        <f t="shared" si="4"/>
        <v>0</v>
      </c>
      <c r="G64" s="1928">
        <v>8.4999999999999503E-3</v>
      </c>
      <c r="H64" s="1931">
        <f>($G$9*24)/((($F$8-'KB_C&amp;S 2yr fixed'!$G64)/12)*(24-'KB_C&amp;S 2yr fixed'!F64)*'Product Data'!$P$23)</f>
        <v>0</v>
      </c>
      <c r="J64" s="1927">
        <f t="shared" si="5"/>
        <v>0</v>
      </c>
      <c r="K64" s="1928">
        <v>8.4999999999999503E-3</v>
      </c>
      <c r="L64" s="1931">
        <f>($K$9*24)/((($J$8-'KB_C&amp;S 2yr fixed'!$K64)/12)*(24-'KB_C&amp;S 2yr fixed'!J64)*'Product Data'!$P$23)</f>
        <v>0</v>
      </c>
    </row>
    <row r="65" spans="2:12" x14ac:dyDescent="0.25">
      <c r="B65" s="1927">
        <f t="shared" si="3"/>
        <v>0</v>
      </c>
      <c r="C65" s="1928">
        <v>8.3999999999999492E-3</v>
      </c>
      <c r="D65" s="1931">
        <f>($C$9*24)/((($B$8-C65)/12)*(24-B65)*'Product Data'!$P$23)</f>
        <v>0</v>
      </c>
      <c r="F65" s="1927">
        <f t="shared" si="4"/>
        <v>0</v>
      </c>
      <c r="G65" s="1928">
        <v>8.3999999999999492E-3</v>
      </c>
      <c r="H65" s="1931">
        <f>($G$9*24)/((($F$8-'KB_C&amp;S 2yr fixed'!$G65)/12)*(24-'KB_C&amp;S 2yr fixed'!F65)*'Product Data'!$P$23)</f>
        <v>0</v>
      </c>
      <c r="J65" s="1927">
        <f t="shared" si="5"/>
        <v>0</v>
      </c>
      <c r="K65" s="1928">
        <v>8.3999999999999492E-3</v>
      </c>
      <c r="L65" s="1931">
        <f>($K$9*24)/((($J$8-'KB_C&amp;S 2yr fixed'!$K65)/12)*(24-'KB_C&amp;S 2yr fixed'!J65)*'Product Data'!$P$23)</f>
        <v>0</v>
      </c>
    </row>
    <row r="66" spans="2:12" x14ac:dyDescent="0.25">
      <c r="B66" s="1927">
        <f t="shared" si="3"/>
        <v>0</v>
      </c>
      <c r="C66" s="1928">
        <v>8.2999999999999498E-3</v>
      </c>
      <c r="D66" s="1931">
        <f>($C$9*24)/((($B$8-C66)/12)*(24-B66)*'Product Data'!$P$23)</f>
        <v>0</v>
      </c>
      <c r="F66" s="1927">
        <f t="shared" si="4"/>
        <v>0</v>
      </c>
      <c r="G66" s="1928">
        <v>8.2999999999999498E-3</v>
      </c>
      <c r="H66" s="1931">
        <f>($G$9*24)/((($F$8-'KB_C&amp;S 2yr fixed'!$G66)/12)*(24-'KB_C&amp;S 2yr fixed'!F66)*'Product Data'!$P$23)</f>
        <v>0</v>
      </c>
      <c r="J66" s="1927">
        <f t="shared" si="5"/>
        <v>0</v>
      </c>
      <c r="K66" s="1928">
        <v>8.2999999999999498E-3</v>
      </c>
      <c r="L66" s="1931">
        <f>($K$9*24)/((($J$8-'KB_C&amp;S 2yr fixed'!$K66)/12)*(24-'KB_C&amp;S 2yr fixed'!J66)*'Product Data'!$P$23)</f>
        <v>0</v>
      </c>
    </row>
    <row r="67" spans="2:12" x14ac:dyDescent="0.25">
      <c r="B67" s="1927">
        <f t="shared" si="3"/>
        <v>0</v>
      </c>
      <c r="C67" s="1928">
        <v>8.1999999999999504E-3</v>
      </c>
      <c r="D67" s="1931">
        <f>($C$9*24)/((($B$8-C67)/12)*(24-B67)*'Product Data'!$P$23)</f>
        <v>0</v>
      </c>
      <c r="F67" s="1927">
        <f t="shared" si="4"/>
        <v>0</v>
      </c>
      <c r="G67" s="1928">
        <v>8.1999999999999504E-3</v>
      </c>
      <c r="H67" s="1931">
        <f>($G$9*24)/((($F$8-'KB_C&amp;S 2yr fixed'!$G67)/12)*(24-'KB_C&amp;S 2yr fixed'!F67)*'Product Data'!$P$23)</f>
        <v>0</v>
      </c>
      <c r="J67" s="1927">
        <f t="shared" si="5"/>
        <v>0</v>
      </c>
      <c r="K67" s="1928">
        <v>8.1999999999999504E-3</v>
      </c>
      <c r="L67" s="1931">
        <f>($K$9*24)/((($J$8-'KB_C&amp;S 2yr fixed'!$K67)/12)*(24-'KB_C&amp;S 2yr fixed'!J67)*'Product Data'!$P$23)</f>
        <v>0</v>
      </c>
    </row>
    <row r="68" spans="2:12" x14ac:dyDescent="0.25">
      <c r="B68" s="1927">
        <f t="shared" si="3"/>
        <v>0</v>
      </c>
      <c r="C68" s="1928">
        <v>8.0999999999999493E-3</v>
      </c>
      <c r="D68" s="1931">
        <f>($C$9*24)/((($B$8-C68)/12)*(24-B68)*'Product Data'!$P$23)</f>
        <v>0</v>
      </c>
      <c r="F68" s="1927">
        <f t="shared" si="4"/>
        <v>0</v>
      </c>
      <c r="G68" s="1928">
        <v>8.0999999999999493E-3</v>
      </c>
      <c r="H68" s="1931">
        <f>($G$9*24)/((($F$8-'KB_C&amp;S 2yr fixed'!$G68)/12)*(24-'KB_C&amp;S 2yr fixed'!F68)*'Product Data'!$P$23)</f>
        <v>0</v>
      </c>
      <c r="J68" s="1927">
        <f t="shared" si="5"/>
        <v>0</v>
      </c>
      <c r="K68" s="1928">
        <v>8.0999999999999493E-3</v>
      </c>
      <c r="L68" s="1931">
        <f>($K$9*24)/((($J$8-'KB_C&amp;S 2yr fixed'!$K68)/12)*(24-'KB_C&amp;S 2yr fixed'!J68)*'Product Data'!$P$23)</f>
        <v>0</v>
      </c>
    </row>
    <row r="69" spans="2:12" x14ac:dyDescent="0.25">
      <c r="B69" s="1927">
        <f t="shared" si="3"/>
        <v>0</v>
      </c>
      <c r="C69" s="1928">
        <v>7.9999999999999499E-3</v>
      </c>
      <c r="D69" s="1931">
        <f>($C$9*24)/((($B$8-C69)/12)*(24-B69)*'Product Data'!$P$23)</f>
        <v>0</v>
      </c>
      <c r="F69" s="1927">
        <f t="shared" si="4"/>
        <v>0</v>
      </c>
      <c r="G69" s="1928">
        <v>7.9999999999999499E-3</v>
      </c>
      <c r="H69" s="1931">
        <f>($G$9*24)/((($F$8-'KB_C&amp;S 2yr fixed'!$G69)/12)*(24-'KB_C&amp;S 2yr fixed'!F69)*'Product Data'!$P$23)</f>
        <v>0</v>
      </c>
      <c r="J69" s="1927">
        <f t="shared" si="5"/>
        <v>0</v>
      </c>
      <c r="K69" s="1928">
        <v>7.9999999999999499E-3</v>
      </c>
      <c r="L69" s="1931">
        <f>($K$9*24)/((($J$8-'KB_C&amp;S 2yr fixed'!$K69)/12)*(24-'KB_C&amp;S 2yr fixed'!J69)*'Product Data'!$P$23)</f>
        <v>0</v>
      </c>
    </row>
    <row r="70" spans="2:12" x14ac:dyDescent="0.25">
      <c r="B70" s="1927">
        <f t="shared" si="3"/>
        <v>0</v>
      </c>
      <c r="C70" s="1928">
        <v>7.8999999999999505E-3</v>
      </c>
      <c r="D70" s="1931">
        <f>($C$9*24)/((($B$8-C70)/12)*(24-B70)*'Product Data'!$P$23)</f>
        <v>0</v>
      </c>
      <c r="F70" s="1927">
        <f t="shared" si="4"/>
        <v>0</v>
      </c>
      <c r="G70" s="1928">
        <v>7.8999999999999505E-3</v>
      </c>
      <c r="H70" s="1931">
        <f>($G$9*24)/((($F$8-'KB_C&amp;S 2yr fixed'!$G70)/12)*(24-'KB_C&amp;S 2yr fixed'!F70)*'Product Data'!$P$23)</f>
        <v>0</v>
      </c>
      <c r="J70" s="1927">
        <f t="shared" si="5"/>
        <v>0</v>
      </c>
      <c r="K70" s="1928">
        <v>7.8999999999999505E-3</v>
      </c>
      <c r="L70" s="1931">
        <f>($K$9*24)/((($J$8-'KB_C&amp;S 2yr fixed'!$K70)/12)*(24-'KB_C&amp;S 2yr fixed'!J70)*'Product Data'!$P$23)</f>
        <v>0</v>
      </c>
    </row>
    <row r="71" spans="2:12" x14ac:dyDescent="0.25">
      <c r="B71" s="1927">
        <f t="shared" si="3"/>
        <v>0</v>
      </c>
      <c r="C71" s="1928">
        <v>7.7999999999999502E-3</v>
      </c>
      <c r="D71" s="1931">
        <f>($C$9*24)/((($B$8-C71)/12)*(24-B71)*'Product Data'!$P$23)</f>
        <v>0</v>
      </c>
      <c r="F71" s="1927">
        <f t="shared" si="4"/>
        <v>0</v>
      </c>
      <c r="G71" s="1928">
        <v>7.7999999999999502E-3</v>
      </c>
      <c r="H71" s="1931">
        <f>($G$9*24)/((($F$8-'KB_C&amp;S 2yr fixed'!$G71)/12)*(24-'KB_C&amp;S 2yr fixed'!F71)*'Product Data'!$P$23)</f>
        <v>0</v>
      </c>
      <c r="J71" s="1927">
        <f t="shared" si="5"/>
        <v>0</v>
      </c>
      <c r="K71" s="1928">
        <v>7.7999999999999502E-3</v>
      </c>
      <c r="L71" s="1931">
        <f>($K$9*24)/((($J$8-'KB_C&amp;S 2yr fixed'!$K71)/12)*(24-'KB_C&amp;S 2yr fixed'!J71)*'Product Data'!$P$23)</f>
        <v>0</v>
      </c>
    </row>
    <row r="72" spans="2:12" x14ac:dyDescent="0.25">
      <c r="B72" s="1927">
        <f t="shared" si="3"/>
        <v>0</v>
      </c>
      <c r="C72" s="1928">
        <v>7.6999999999999499E-3</v>
      </c>
      <c r="D72" s="1931">
        <f>($C$9*24)/((($B$8-C72)/12)*(24-B72)*'Product Data'!$P$23)</f>
        <v>0</v>
      </c>
      <c r="F72" s="1927">
        <f t="shared" si="4"/>
        <v>0</v>
      </c>
      <c r="G72" s="1928">
        <v>7.6999999999999499E-3</v>
      </c>
      <c r="H72" s="1931">
        <f>($G$9*24)/((($F$8-'KB_C&amp;S 2yr fixed'!$G72)/12)*(24-'KB_C&amp;S 2yr fixed'!F72)*'Product Data'!$P$23)</f>
        <v>0</v>
      </c>
      <c r="J72" s="1927">
        <f t="shared" si="5"/>
        <v>0</v>
      </c>
      <c r="K72" s="1928">
        <v>7.6999999999999499E-3</v>
      </c>
      <c r="L72" s="1931">
        <f>($K$9*24)/((($J$8-'KB_C&amp;S 2yr fixed'!$K72)/12)*(24-'KB_C&amp;S 2yr fixed'!J72)*'Product Data'!$P$23)</f>
        <v>0</v>
      </c>
    </row>
    <row r="73" spans="2:12" x14ac:dyDescent="0.25">
      <c r="B73" s="1927">
        <f t="shared" si="3"/>
        <v>0</v>
      </c>
      <c r="C73" s="1928">
        <v>7.5999999999999401E-3</v>
      </c>
      <c r="D73" s="1931">
        <f>($C$9*24)/((($B$8-C73)/12)*(24-B73)*'Product Data'!$P$23)</f>
        <v>0</v>
      </c>
      <c r="F73" s="1927">
        <f t="shared" si="4"/>
        <v>0</v>
      </c>
      <c r="G73" s="1928">
        <v>7.5999999999999401E-3</v>
      </c>
      <c r="H73" s="1931">
        <f>($G$9*24)/((($F$8-'KB_C&amp;S 2yr fixed'!$G73)/12)*(24-'KB_C&amp;S 2yr fixed'!F73)*'Product Data'!$P$23)</f>
        <v>0</v>
      </c>
      <c r="J73" s="1927">
        <f t="shared" si="5"/>
        <v>0</v>
      </c>
      <c r="K73" s="1928">
        <v>7.5999999999999401E-3</v>
      </c>
      <c r="L73" s="1931">
        <f>($K$9*24)/((($J$8-'KB_C&amp;S 2yr fixed'!$K73)/12)*(24-'KB_C&amp;S 2yr fixed'!J73)*'Product Data'!$P$23)</f>
        <v>0</v>
      </c>
    </row>
    <row r="74" spans="2:12" x14ac:dyDescent="0.25">
      <c r="B74" s="1927">
        <f t="shared" si="3"/>
        <v>0</v>
      </c>
      <c r="C74" s="1928">
        <v>7.4999999999999399E-3</v>
      </c>
      <c r="D74" s="1931">
        <f>($C$9*24)/((($B$8-C74)/12)*(24-B74)*'Product Data'!$P$23)</f>
        <v>0</v>
      </c>
      <c r="F74" s="1927">
        <f t="shared" si="4"/>
        <v>0</v>
      </c>
      <c r="G74" s="1928">
        <v>7.4999999999999399E-3</v>
      </c>
      <c r="H74" s="1931">
        <f>($G$9*24)/((($F$8-'KB_C&amp;S 2yr fixed'!$G74)/12)*(24-'KB_C&amp;S 2yr fixed'!F74)*'Product Data'!$P$23)</f>
        <v>0</v>
      </c>
      <c r="J74" s="1927">
        <f t="shared" si="5"/>
        <v>0</v>
      </c>
      <c r="K74" s="1928">
        <v>7.4999999999999399E-3</v>
      </c>
      <c r="L74" s="1931">
        <f>($K$9*24)/((($J$8-'KB_C&amp;S 2yr fixed'!$K74)/12)*(24-'KB_C&amp;S 2yr fixed'!J74)*'Product Data'!$P$23)</f>
        <v>0</v>
      </c>
    </row>
    <row r="75" spans="2:12" x14ac:dyDescent="0.25">
      <c r="B75" s="1927">
        <f t="shared" si="3"/>
        <v>0</v>
      </c>
      <c r="C75" s="1928">
        <v>7.3999999999999396E-3</v>
      </c>
      <c r="D75" s="1931">
        <f>($C$9*24)/((($B$8-C75)/12)*(24-B75)*'Product Data'!$P$23)</f>
        <v>0</v>
      </c>
      <c r="F75" s="1927">
        <f t="shared" si="4"/>
        <v>0</v>
      </c>
      <c r="G75" s="1928">
        <v>7.3999999999999396E-3</v>
      </c>
      <c r="H75" s="1931">
        <f>($G$9*24)/((($F$8-'KB_C&amp;S 2yr fixed'!$G75)/12)*(24-'KB_C&amp;S 2yr fixed'!F75)*'Product Data'!$P$23)</f>
        <v>0</v>
      </c>
      <c r="J75" s="1927">
        <f t="shared" si="5"/>
        <v>0</v>
      </c>
      <c r="K75" s="1928">
        <v>7.3999999999999396E-3</v>
      </c>
      <c r="L75" s="1931">
        <f>($K$9*24)/((($J$8-'KB_C&amp;S 2yr fixed'!$K75)/12)*(24-'KB_C&amp;S 2yr fixed'!J75)*'Product Data'!$P$23)</f>
        <v>0</v>
      </c>
    </row>
    <row r="76" spans="2:12" x14ac:dyDescent="0.25">
      <c r="B76" s="1927">
        <f t="shared" si="3"/>
        <v>0</v>
      </c>
      <c r="C76" s="1928">
        <v>7.2999999999999402E-3</v>
      </c>
      <c r="D76" s="1931">
        <f>($C$9*24)/((($B$8-C76)/12)*(24-B76)*'Product Data'!$P$23)</f>
        <v>0</v>
      </c>
      <c r="F76" s="1927">
        <f t="shared" si="4"/>
        <v>0</v>
      </c>
      <c r="G76" s="1928">
        <v>7.2999999999999402E-3</v>
      </c>
      <c r="H76" s="1931">
        <f>($G$9*24)/((($F$8-'KB_C&amp;S 2yr fixed'!$G76)/12)*(24-'KB_C&amp;S 2yr fixed'!F76)*'Product Data'!$P$23)</f>
        <v>0</v>
      </c>
      <c r="J76" s="1927">
        <f t="shared" si="5"/>
        <v>0</v>
      </c>
      <c r="K76" s="1928">
        <v>7.2999999999999402E-3</v>
      </c>
      <c r="L76" s="1931">
        <f>($K$9*24)/((($J$8-'KB_C&amp;S 2yr fixed'!$K76)/12)*(24-'KB_C&amp;S 2yr fixed'!J76)*'Product Data'!$P$23)</f>
        <v>0</v>
      </c>
    </row>
    <row r="77" spans="2:12" x14ac:dyDescent="0.25">
      <c r="B77" s="1927">
        <f t="shared" si="3"/>
        <v>0</v>
      </c>
      <c r="C77" s="1928">
        <v>7.19999999999994E-3</v>
      </c>
      <c r="D77" s="1931">
        <f>($C$9*24)/((($B$8-C77)/12)*(24-B77)*'Product Data'!$P$23)</f>
        <v>0</v>
      </c>
      <c r="F77" s="1927">
        <f t="shared" si="4"/>
        <v>0</v>
      </c>
      <c r="G77" s="1928">
        <v>7.19999999999994E-3</v>
      </c>
      <c r="H77" s="1931">
        <f>($G$9*24)/((($F$8-'KB_C&amp;S 2yr fixed'!$G77)/12)*(24-'KB_C&amp;S 2yr fixed'!F77)*'Product Data'!$P$23)</f>
        <v>0</v>
      </c>
      <c r="J77" s="1927">
        <f t="shared" si="5"/>
        <v>0</v>
      </c>
      <c r="K77" s="1928">
        <v>7.19999999999994E-3</v>
      </c>
      <c r="L77" s="1931">
        <f>($K$9*24)/((($J$8-'KB_C&amp;S 2yr fixed'!$K77)/12)*(24-'KB_C&amp;S 2yr fixed'!J77)*'Product Data'!$P$23)</f>
        <v>0</v>
      </c>
    </row>
    <row r="78" spans="2:12" x14ac:dyDescent="0.25">
      <c r="B78" s="1927">
        <f t="shared" si="3"/>
        <v>0</v>
      </c>
      <c r="C78" s="1928">
        <v>7.0999999999999397E-3</v>
      </c>
      <c r="D78" s="1931">
        <f>($C$9*24)/((($B$8-C78)/12)*(24-B78)*'Product Data'!$P$23)</f>
        <v>0</v>
      </c>
      <c r="F78" s="1927">
        <f t="shared" si="4"/>
        <v>0</v>
      </c>
      <c r="G78" s="1928">
        <v>7.0999999999999397E-3</v>
      </c>
      <c r="H78" s="1931">
        <f>($G$9*24)/((($F$8-'KB_C&amp;S 2yr fixed'!$G78)/12)*(24-'KB_C&amp;S 2yr fixed'!F78)*'Product Data'!$P$23)</f>
        <v>0</v>
      </c>
      <c r="J78" s="1927">
        <f t="shared" si="5"/>
        <v>0</v>
      </c>
      <c r="K78" s="1928">
        <v>7.0999999999999397E-3</v>
      </c>
      <c r="L78" s="1931">
        <f>($K$9*24)/((($J$8-'KB_C&amp;S 2yr fixed'!$K78)/12)*(24-'KB_C&amp;S 2yr fixed'!J78)*'Product Data'!$P$23)</f>
        <v>0</v>
      </c>
    </row>
    <row r="79" spans="2:12" x14ac:dyDescent="0.25">
      <c r="B79" s="1927">
        <f t="shared" si="3"/>
        <v>0</v>
      </c>
      <c r="C79" s="1928">
        <v>6.9999999999999403E-3</v>
      </c>
      <c r="D79" s="1931">
        <f>($C$9*24)/((($B$8-C79)/12)*(24-B79)*'Product Data'!$P$23)</f>
        <v>0</v>
      </c>
      <c r="F79" s="1927">
        <f t="shared" si="4"/>
        <v>0</v>
      </c>
      <c r="G79" s="1928">
        <v>6.9999999999999403E-3</v>
      </c>
      <c r="H79" s="1931">
        <f>($G$9*24)/((($F$8-'KB_C&amp;S 2yr fixed'!$G79)/12)*(24-'KB_C&amp;S 2yr fixed'!F79)*'Product Data'!$P$23)</f>
        <v>0</v>
      </c>
      <c r="J79" s="1927">
        <f t="shared" si="5"/>
        <v>0</v>
      </c>
      <c r="K79" s="1928">
        <v>6.9999999999999403E-3</v>
      </c>
      <c r="L79" s="1931">
        <f>($K$9*24)/((($J$8-'KB_C&amp;S 2yr fixed'!$K79)/12)*(24-'KB_C&amp;S 2yr fixed'!J79)*'Product Data'!$P$23)</f>
        <v>0</v>
      </c>
    </row>
    <row r="80" spans="2:12" x14ac:dyDescent="0.25">
      <c r="B80" s="1927">
        <f t="shared" si="3"/>
        <v>0</v>
      </c>
      <c r="C80" s="1928">
        <v>6.89999999999994E-3</v>
      </c>
      <c r="D80" s="1931">
        <f>($C$9*24)/((($B$8-C80)/12)*(24-B80)*'Product Data'!$P$23)</f>
        <v>0</v>
      </c>
      <c r="F80" s="1927">
        <f t="shared" si="4"/>
        <v>0</v>
      </c>
      <c r="G80" s="1928">
        <v>6.89999999999994E-3</v>
      </c>
      <c r="H80" s="1931">
        <f>($G$9*24)/((($F$8-'KB_C&amp;S 2yr fixed'!$G80)/12)*(24-'KB_C&amp;S 2yr fixed'!F80)*'Product Data'!$P$23)</f>
        <v>0</v>
      </c>
      <c r="J80" s="1927">
        <f t="shared" si="5"/>
        <v>0</v>
      </c>
      <c r="K80" s="1928">
        <v>6.89999999999994E-3</v>
      </c>
      <c r="L80" s="1931">
        <f>($K$9*24)/((($J$8-'KB_C&amp;S 2yr fixed'!$K80)/12)*(24-'KB_C&amp;S 2yr fixed'!J80)*'Product Data'!$P$23)</f>
        <v>0</v>
      </c>
    </row>
    <row r="81" spans="2:12" x14ac:dyDescent="0.25">
      <c r="B81" s="1927">
        <f t="shared" si="3"/>
        <v>0</v>
      </c>
      <c r="C81" s="1928">
        <v>6.7999999999999398E-3</v>
      </c>
      <c r="D81" s="1931">
        <f>($C$9*24)/((($B$8-C81)/12)*(24-B81)*'Product Data'!$P$23)</f>
        <v>0</v>
      </c>
      <c r="F81" s="1927">
        <f t="shared" si="4"/>
        <v>0</v>
      </c>
      <c r="G81" s="1928">
        <v>6.7999999999999398E-3</v>
      </c>
      <c r="H81" s="1931">
        <f>($G$9*24)/((($F$8-'KB_C&amp;S 2yr fixed'!$G81)/12)*(24-'KB_C&amp;S 2yr fixed'!F81)*'Product Data'!$P$23)</f>
        <v>0</v>
      </c>
      <c r="J81" s="1927">
        <f t="shared" si="5"/>
        <v>0</v>
      </c>
      <c r="K81" s="1928">
        <v>6.7999999999999398E-3</v>
      </c>
      <c r="L81" s="1931">
        <f>($K$9*24)/((($J$8-'KB_C&amp;S 2yr fixed'!$K81)/12)*(24-'KB_C&amp;S 2yr fixed'!J81)*'Product Data'!$P$23)</f>
        <v>0</v>
      </c>
    </row>
    <row r="82" spans="2:12" x14ac:dyDescent="0.25">
      <c r="B82" s="1927">
        <f t="shared" si="3"/>
        <v>0</v>
      </c>
      <c r="C82" s="1928">
        <v>6.69999999999993E-3</v>
      </c>
      <c r="D82" s="1931">
        <f>($C$9*24)/((($B$8-C82)/12)*(24-B82)*'Product Data'!$P$23)</f>
        <v>0</v>
      </c>
      <c r="F82" s="1927">
        <f t="shared" si="4"/>
        <v>0</v>
      </c>
      <c r="G82" s="1928">
        <v>6.69999999999993E-3</v>
      </c>
      <c r="H82" s="1931">
        <f>($G$9*24)/((($F$8-'KB_C&amp;S 2yr fixed'!$G82)/12)*(24-'KB_C&amp;S 2yr fixed'!F82)*'Product Data'!$P$23)</f>
        <v>0</v>
      </c>
      <c r="J82" s="1927">
        <f t="shared" si="5"/>
        <v>0</v>
      </c>
      <c r="K82" s="1928">
        <v>6.69999999999993E-3</v>
      </c>
      <c r="L82" s="1931">
        <f>($K$9*24)/((($J$8-'KB_C&amp;S 2yr fixed'!$K82)/12)*(24-'KB_C&amp;S 2yr fixed'!J82)*'Product Data'!$P$23)</f>
        <v>0</v>
      </c>
    </row>
    <row r="83" spans="2:12" x14ac:dyDescent="0.25">
      <c r="B83" s="1927">
        <f t="shared" si="3"/>
        <v>0</v>
      </c>
      <c r="C83" s="1928">
        <v>6.5999999999999297E-3</v>
      </c>
      <c r="D83" s="1931">
        <f>($C$9*24)/((($B$8-C83)/12)*(24-B83)*'Product Data'!$P$23)</f>
        <v>0</v>
      </c>
      <c r="F83" s="1927">
        <f t="shared" si="4"/>
        <v>0</v>
      </c>
      <c r="G83" s="1928">
        <v>6.5999999999999297E-3</v>
      </c>
      <c r="H83" s="1931">
        <f>($G$9*24)/((($F$8-'KB_C&amp;S 2yr fixed'!$G83)/12)*(24-'KB_C&amp;S 2yr fixed'!F83)*'Product Data'!$P$23)</f>
        <v>0</v>
      </c>
      <c r="J83" s="1927">
        <f t="shared" si="5"/>
        <v>0</v>
      </c>
      <c r="K83" s="1928">
        <v>6.5999999999999297E-3</v>
      </c>
      <c r="L83" s="1931">
        <f>($K$9*24)/((($J$8-'KB_C&amp;S 2yr fixed'!$K83)/12)*(24-'KB_C&amp;S 2yr fixed'!J83)*'Product Data'!$P$23)</f>
        <v>0</v>
      </c>
    </row>
    <row r="84" spans="2:12" x14ac:dyDescent="0.25">
      <c r="B84" s="1927">
        <f t="shared" si="3"/>
        <v>0</v>
      </c>
      <c r="C84" s="1928">
        <v>6.4999999999999303E-3</v>
      </c>
      <c r="D84" s="1931">
        <f>($C$9*24)/((($B$8-C84)/12)*(24-B84)*'Product Data'!$P$23)</f>
        <v>0</v>
      </c>
      <c r="F84" s="1927">
        <f t="shared" si="4"/>
        <v>0</v>
      </c>
      <c r="G84" s="1928">
        <v>6.4999999999999303E-3</v>
      </c>
      <c r="H84" s="1931">
        <f>($G$9*24)/((($F$8-'KB_C&amp;S 2yr fixed'!$G84)/12)*(24-'KB_C&amp;S 2yr fixed'!F84)*'Product Data'!$P$23)</f>
        <v>0</v>
      </c>
      <c r="J84" s="1927">
        <f t="shared" si="5"/>
        <v>0</v>
      </c>
      <c r="K84" s="1928">
        <v>6.4999999999999303E-3</v>
      </c>
      <c r="L84" s="1931">
        <f>($K$9*24)/((($J$8-'KB_C&amp;S 2yr fixed'!$K84)/12)*(24-'KB_C&amp;S 2yr fixed'!J84)*'Product Data'!$P$23)</f>
        <v>0</v>
      </c>
    </row>
    <row r="85" spans="2:12" x14ac:dyDescent="0.25">
      <c r="B85" s="1927">
        <f t="shared" si="3"/>
        <v>0</v>
      </c>
      <c r="C85" s="1928">
        <v>6.3999999999999301E-3</v>
      </c>
      <c r="D85" s="1931">
        <f>($C$9*24)/((($B$8-C85)/12)*(24-B85)*'Product Data'!$P$23)</f>
        <v>0</v>
      </c>
      <c r="F85" s="1927">
        <f t="shared" si="4"/>
        <v>0</v>
      </c>
      <c r="G85" s="1928">
        <v>6.3999999999999301E-3</v>
      </c>
      <c r="H85" s="1931">
        <f>($G$9*24)/((($F$8-'KB_C&amp;S 2yr fixed'!$G85)/12)*(24-'KB_C&amp;S 2yr fixed'!F85)*'Product Data'!$P$23)</f>
        <v>0</v>
      </c>
      <c r="J85" s="1927">
        <f t="shared" si="5"/>
        <v>0</v>
      </c>
      <c r="K85" s="1928">
        <v>6.3999999999999301E-3</v>
      </c>
      <c r="L85" s="1931">
        <f>($K$9*24)/((($J$8-'KB_C&amp;S 2yr fixed'!$K85)/12)*(24-'KB_C&amp;S 2yr fixed'!J85)*'Product Data'!$P$23)</f>
        <v>0</v>
      </c>
    </row>
    <row r="86" spans="2:12" x14ac:dyDescent="0.25">
      <c r="B86" s="1927">
        <f t="shared" si="3"/>
        <v>0</v>
      </c>
      <c r="C86" s="1928">
        <v>6.2999999999999298E-3</v>
      </c>
      <c r="D86" s="1931">
        <f>($C$9*24)/((($B$8-C86)/12)*(24-B86)*'Product Data'!$P$23)</f>
        <v>0</v>
      </c>
      <c r="F86" s="1927">
        <f t="shared" si="4"/>
        <v>0</v>
      </c>
      <c r="G86" s="1928">
        <v>6.2999999999999298E-3</v>
      </c>
      <c r="H86" s="1931">
        <f>($G$9*24)/((($F$8-'KB_C&amp;S 2yr fixed'!$G86)/12)*(24-'KB_C&amp;S 2yr fixed'!F86)*'Product Data'!$P$23)</f>
        <v>0</v>
      </c>
      <c r="J86" s="1927">
        <f t="shared" si="5"/>
        <v>0</v>
      </c>
      <c r="K86" s="1928">
        <v>6.2999999999999298E-3</v>
      </c>
      <c r="L86" s="1931">
        <f>($K$9*24)/((($J$8-'KB_C&amp;S 2yr fixed'!$K86)/12)*(24-'KB_C&amp;S 2yr fixed'!J86)*'Product Data'!$P$23)</f>
        <v>0</v>
      </c>
    </row>
    <row r="87" spans="2:12" x14ac:dyDescent="0.25">
      <c r="B87" s="1927">
        <f t="shared" si="3"/>
        <v>0</v>
      </c>
      <c r="C87" s="1928">
        <v>6.1999999999999304E-3</v>
      </c>
      <c r="D87" s="1931">
        <f>($C$9*24)/((($B$8-C87)/12)*(24-B87)*'Product Data'!$P$23)</f>
        <v>0</v>
      </c>
      <c r="F87" s="1927">
        <f t="shared" si="4"/>
        <v>0</v>
      </c>
      <c r="G87" s="1928">
        <v>6.1999999999999304E-3</v>
      </c>
      <c r="H87" s="1931">
        <f>($G$9*24)/((($F$8-'KB_C&amp;S 2yr fixed'!$G87)/12)*(24-'KB_C&amp;S 2yr fixed'!F87)*'Product Data'!$P$23)</f>
        <v>0</v>
      </c>
      <c r="J87" s="1927">
        <f t="shared" si="5"/>
        <v>0</v>
      </c>
      <c r="K87" s="1928">
        <v>6.1999999999999304E-3</v>
      </c>
      <c r="L87" s="1931">
        <f>($K$9*24)/((($J$8-'KB_C&amp;S 2yr fixed'!$K87)/12)*(24-'KB_C&amp;S 2yr fixed'!J87)*'Product Data'!$P$23)</f>
        <v>0</v>
      </c>
    </row>
    <row r="88" spans="2:12" x14ac:dyDescent="0.25">
      <c r="B88" s="1927">
        <f t="shared" si="3"/>
        <v>0</v>
      </c>
      <c r="C88" s="1928">
        <v>6.0999999999999301E-3</v>
      </c>
      <c r="D88" s="1931">
        <f>($C$9*24)/((($B$8-C88)/12)*(24-B88)*'Product Data'!$P$23)</f>
        <v>0</v>
      </c>
      <c r="F88" s="1927">
        <f t="shared" si="4"/>
        <v>0</v>
      </c>
      <c r="G88" s="1928">
        <v>6.0999999999999301E-3</v>
      </c>
      <c r="H88" s="1931">
        <f>($G$9*24)/((($F$8-'KB_C&amp;S 2yr fixed'!$G88)/12)*(24-'KB_C&amp;S 2yr fixed'!F88)*'Product Data'!$P$23)</f>
        <v>0</v>
      </c>
      <c r="J88" s="1927">
        <f t="shared" si="5"/>
        <v>0</v>
      </c>
      <c r="K88" s="1928">
        <v>6.0999999999999301E-3</v>
      </c>
      <c r="L88" s="1931">
        <f>($K$9*24)/((($J$8-'KB_C&amp;S 2yr fixed'!$K88)/12)*(24-'KB_C&amp;S 2yr fixed'!J88)*'Product Data'!$P$23)</f>
        <v>0</v>
      </c>
    </row>
    <row r="89" spans="2:12" x14ac:dyDescent="0.25">
      <c r="B89" s="1927">
        <f t="shared" si="3"/>
        <v>0</v>
      </c>
      <c r="C89" s="1928">
        <v>5.9999999999999299E-3</v>
      </c>
      <c r="D89" s="1931">
        <f>($C$9*24)/((($B$8-C89)/12)*(24-B89)*'Product Data'!$P$23)</f>
        <v>0</v>
      </c>
      <c r="F89" s="1927">
        <f t="shared" si="4"/>
        <v>0</v>
      </c>
      <c r="G89" s="1928">
        <v>5.9999999999999299E-3</v>
      </c>
      <c r="H89" s="1931">
        <f>($G$9*24)/((($F$8-'KB_C&amp;S 2yr fixed'!$G89)/12)*(24-'KB_C&amp;S 2yr fixed'!F89)*'Product Data'!$P$23)</f>
        <v>0</v>
      </c>
      <c r="J89" s="1927">
        <f t="shared" si="5"/>
        <v>0</v>
      </c>
      <c r="K89" s="1928">
        <v>5.9999999999999299E-3</v>
      </c>
      <c r="L89" s="1931">
        <f>($K$9*24)/((($J$8-'KB_C&amp;S 2yr fixed'!$K89)/12)*(24-'KB_C&amp;S 2yr fixed'!J89)*'Product Data'!$P$23)</f>
        <v>0</v>
      </c>
    </row>
    <row r="90" spans="2:12" x14ac:dyDescent="0.25">
      <c r="B90" s="1927">
        <f t="shared" ref="B90:B149" si="6">B89</f>
        <v>0</v>
      </c>
      <c r="C90" s="1928">
        <v>5.8999999999999296E-3</v>
      </c>
      <c r="D90" s="1931">
        <f>($C$9*24)/((($B$8-C90)/12)*(24-B90)*'Product Data'!$P$23)</f>
        <v>0</v>
      </c>
      <c r="F90" s="1927">
        <f t="shared" ref="F90:F149" si="7">F89</f>
        <v>0</v>
      </c>
      <c r="G90" s="1928">
        <v>5.8999999999999296E-3</v>
      </c>
      <c r="H90" s="1931">
        <f>($G$9*24)/((($F$8-'KB_C&amp;S 2yr fixed'!$G90)/12)*(24-'KB_C&amp;S 2yr fixed'!F90)*'Product Data'!$P$23)</f>
        <v>0</v>
      </c>
      <c r="J90" s="1927">
        <f t="shared" ref="J90:J149" si="8">J89</f>
        <v>0</v>
      </c>
      <c r="K90" s="1928">
        <v>5.8999999999999296E-3</v>
      </c>
      <c r="L90" s="1931">
        <f>($K$9*24)/((($J$8-'KB_C&amp;S 2yr fixed'!$K90)/12)*(24-'KB_C&amp;S 2yr fixed'!J90)*'Product Data'!$P$23)</f>
        <v>0</v>
      </c>
    </row>
    <row r="91" spans="2:12" x14ac:dyDescent="0.25">
      <c r="B91" s="1927">
        <f t="shared" si="6"/>
        <v>0</v>
      </c>
      <c r="C91" s="1928">
        <v>5.7999999999999198E-3</v>
      </c>
      <c r="D91" s="1931">
        <f>($C$9*24)/((($B$8-C91)/12)*(24-B91)*'Product Data'!$P$23)</f>
        <v>0</v>
      </c>
      <c r="F91" s="1927">
        <f t="shared" si="7"/>
        <v>0</v>
      </c>
      <c r="G91" s="1928">
        <v>5.7999999999999198E-3</v>
      </c>
      <c r="H91" s="1931">
        <f>($G$9*24)/((($F$8-'KB_C&amp;S 2yr fixed'!$G91)/12)*(24-'KB_C&amp;S 2yr fixed'!F91)*'Product Data'!$P$23)</f>
        <v>0</v>
      </c>
      <c r="J91" s="1927">
        <f t="shared" si="8"/>
        <v>0</v>
      </c>
      <c r="K91" s="1928">
        <v>5.7999999999999198E-3</v>
      </c>
      <c r="L91" s="1931">
        <f>($K$9*24)/((($J$8-'KB_C&amp;S 2yr fixed'!$K91)/12)*(24-'KB_C&amp;S 2yr fixed'!J91)*'Product Data'!$P$23)</f>
        <v>0</v>
      </c>
    </row>
    <row r="92" spans="2:12" x14ac:dyDescent="0.25">
      <c r="B92" s="1927">
        <f t="shared" si="6"/>
        <v>0</v>
      </c>
      <c r="C92" s="1928">
        <v>5.6999999999999204E-3</v>
      </c>
      <c r="D92" s="1931">
        <f>($C$9*24)/((($B$8-C92)/12)*(24-B92)*'Product Data'!$P$23)</f>
        <v>0</v>
      </c>
      <c r="F92" s="1927">
        <f t="shared" si="7"/>
        <v>0</v>
      </c>
      <c r="G92" s="1928">
        <v>5.6999999999999204E-3</v>
      </c>
      <c r="H92" s="1931">
        <f>($G$9*24)/((($F$8-'KB_C&amp;S 2yr fixed'!$G92)/12)*(24-'KB_C&amp;S 2yr fixed'!F92)*'Product Data'!$P$23)</f>
        <v>0</v>
      </c>
      <c r="J92" s="1927">
        <f t="shared" si="8"/>
        <v>0</v>
      </c>
      <c r="K92" s="1928">
        <v>5.6999999999999204E-3</v>
      </c>
      <c r="L92" s="1931">
        <f>($K$9*24)/((($J$8-'KB_C&amp;S 2yr fixed'!$K92)/12)*(24-'KB_C&amp;S 2yr fixed'!J92)*'Product Data'!$P$23)</f>
        <v>0</v>
      </c>
    </row>
    <row r="93" spans="2:12" x14ac:dyDescent="0.25">
      <c r="B93" s="1927">
        <f t="shared" si="6"/>
        <v>0</v>
      </c>
      <c r="C93" s="1928">
        <v>5.5999999999999201E-3</v>
      </c>
      <c r="D93" s="1931">
        <f>($C$9*24)/((($B$8-C93)/12)*(24-B93)*'Product Data'!$P$23)</f>
        <v>0</v>
      </c>
      <c r="F93" s="1927">
        <f t="shared" si="7"/>
        <v>0</v>
      </c>
      <c r="G93" s="1928">
        <v>5.5999999999999201E-3</v>
      </c>
      <c r="H93" s="1931">
        <f>($G$9*24)/((($F$8-'KB_C&amp;S 2yr fixed'!$G93)/12)*(24-'KB_C&amp;S 2yr fixed'!F93)*'Product Data'!$P$23)</f>
        <v>0</v>
      </c>
      <c r="J93" s="1927">
        <f t="shared" si="8"/>
        <v>0</v>
      </c>
      <c r="K93" s="1928">
        <v>5.5999999999999201E-3</v>
      </c>
      <c r="L93" s="1931">
        <f>($K$9*24)/((($J$8-'KB_C&amp;S 2yr fixed'!$K93)/12)*(24-'KB_C&amp;S 2yr fixed'!J93)*'Product Data'!$P$23)</f>
        <v>0</v>
      </c>
    </row>
    <row r="94" spans="2:12" x14ac:dyDescent="0.25">
      <c r="B94" s="1927">
        <f t="shared" si="6"/>
        <v>0</v>
      </c>
      <c r="C94" s="1928">
        <v>5.4999999999999199E-3</v>
      </c>
      <c r="D94" s="1931">
        <f>($C$9*24)/((($B$8-C94)/12)*(24-B94)*'Product Data'!$P$23)</f>
        <v>0</v>
      </c>
      <c r="F94" s="1927">
        <f t="shared" si="7"/>
        <v>0</v>
      </c>
      <c r="G94" s="1928">
        <v>5.4999999999999199E-3</v>
      </c>
      <c r="H94" s="1931">
        <f>($G$9*24)/((($F$8-'KB_C&amp;S 2yr fixed'!$G94)/12)*(24-'KB_C&amp;S 2yr fixed'!F94)*'Product Data'!$P$23)</f>
        <v>0</v>
      </c>
      <c r="J94" s="1927">
        <f t="shared" si="8"/>
        <v>0</v>
      </c>
      <c r="K94" s="1928">
        <v>5.4999999999999199E-3</v>
      </c>
      <c r="L94" s="1931">
        <f>($K$9*24)/((($J$8-'KB_C&amp;S 2yr fixed'!$K94)/12)*(24-'KB_C&amp;S 2yr fixed'!J94)*'Product Data'!$P$23)</f>
        <v>0</v>
      </c>
    </row>
    <row r="95" spans="2:12" x14ac:dyDescent="0.25">
      <c r="B95" s="1927">
        <f t="shared" si="6"/>
        <v>0</v>
      </c>
      <c r="C95" s="1928">
        <v>5.3999999999999196E-3</v>
      </c>
      <c r="D95" s="1931">
        <f>($C$9*24)/((($B$8-C95)/12)*(24-B95)*'Product Data'!$P$23)</f>
        <v>0</v>
      </c>
      <c r="F95" s="1927">
        <f t="shared" si="7"/>
        <v>0</v>
      </c>
      <c r="G95" s="1928">
        <v>5.3999999999999196E-3</v>
      </c>
      <c r="H95" s="1931">
        <f>($G$9*24)/((($F$8-'KB_C&amp;S 2yr fixed'!$G95)/12)*(24-'KB_C&amp;S 2yr fixed'!F95)*'Product Data'!$P$23)</f>
        <v>0</v>
      </c>
      <c r="J95" s="1927">
        <f t="shared" si="8"/>
        <v>0</v>
      </c>
      <c r="K95" s="1928">
        <v>5.3999999999999196E-3</v>
      </c>
      <c r="L95" s="1931">
        <f>($K$9*24)/((($J$8-'KB_C&amp;S 2yr fixed'!$K95)/12)*(24-'KB_C&amp;S 2yr fixed'!J95)*'Product Data'!$P$23)</f>
        <v>0</v>
      </c>
    </row>
    <row r="96" spans="2:12" x14ac:dyDescent="0.25">
      <c r="B96" s="1927">
        <f t="shared" si="6"/>
        <v>0</v>
      </c>
      <c r="C96" s="1928">
        <v>5.2999999999999202E-3</v>
      </c>
      <c r="D96" s="1931">
        <f>($C$9*24)/((($B$8-C96)/12)*(24-B96)*'Product Data'!$P$23)</f>
        <v>0</v>
      </c>
      <c r="F96" s="1927">
        <f t="shared" si="7"/>
        <v>0</v>
      </c>
      <c r="G96" s="1928">
        <v>5.2999999999999202E-3</v>
      </c>
      <c r="H96" s="1931">
        <f>($G$9*24)/((($F$8-'KB_C&amp;S 2yr fixed'!$G96)/12)*(24-'KB_C&amp;S 2yr fixed'!F96)*'Product Data'!$P$23)</f>
        <v>0</v>
      </c>
      <c r="J96" s="1927">
        <f t="shared" si="8"/>
        <v>0</v>
      </c>
      <c r="K96" s="1928">
        <v>5.2999999999999202E-3</v>
      </c>
      <c r="L96" s="1931">
        <f>($K$9*24)/((($J$8-'KB_C&amp;S 2yr fixed'!$K96)/12)*(24-'KB_C&amp;S 2yr fixed'!J96)*'Product Data'!$P$23)</f>
        <v>0</v>
      </c>
    </row>
    <row r="97" spans="2:12" x14ac:dyDescent="0.25">
      <c r="B97" s="1927">
        <f t="shared" si="6"/>
        <v>0</v>
      </c>
      <c r="C97" s="1928">
        <v>5.19999999999992E-3</v>
      </c>
      <c r="D97" s="1931">
        <f>($C$9*24)/((($B$8-C97)/12)*(24-B97)*'Product Data'!$P$23)</f>
        <v>0</v>
      </c>
      <c r="F97" s="1927">
        <f t="shared" si="7"/>
        <v>0</v>
      </c>
      <c r="G97" s="1928">
        <v>5.19999999999992E-3</v>
      </c>
      <c r="H97" s="1931">
        <f>($G$9*24)/((($F$8-'KB_C&amp;S 2yr fixed'!$G97)/12)*(24-'KB_C&amp;S 2yr fixed'!F97)*'Product Data'!$P$23)</f>
        <v>0</v>
      </c>
      <c r="J97" s="1927">
        <f t="shared" si="8"/>
        <v>0</v>
      </c>
      <c r="K97" s="1928">
        <v>5.19999999999992E-3</v>
      </c>
      <c r="L97" s="1931">
        <f>($K$9*24)/((($J$8-'KB_C&amp;S 2yr fixed'!$K97)/12)*(24-'KB_C&amp;S 2yr fixed'!J97)*'Product Data'!$P$23)</f>
        <v>0</v>
      </c>
    </row>
    <row r="98" spans="2:12" x14ac:dyDescent="0.25">
      <c r="B98" s="1927">
        <f t="shared" si="6"/>
        <v>0</v>
      </c>
      <c r="C98" s="1928">
        <v>5.0999999999999197E-3</v>
      </c>
      <c r="D98" s="1931">
        <f>($C$9*24)/((($B$8-C98)/12)*(24-B98)*'Product Data'!$P$23)</f>
        <v>0</v>
      </c>
      <c r="F98" s="1927">
        <f t="shared" si="7"/>
        <v>0</v>
      </c>
      <c r="G98" s="1928">
        <v>5.0999999999999197E-3</v>
      </c>
      <c r="H98" s="1931">
        <f>($G$9*24)/((($F$8-'KB_C&amp;S 2yr fixed'!$G98)/12)*(24-'KB_C&amp;S 2yr fixed'!F98)*'Product Data'!$P$23)</f>
        <v>0</v>
      </c>
      <c r="J98" s="1927">
        <f t="shared" si="8"/>
        <v>0</v>
      </c>
      <c r="K98" s="1928">
        <v>5.0999999999999197E-3</v>
      </c>
      <c r="L98" s="1931">
        <f>($K$9*24)/((($J$8-'KB_C&amp;S 2yr fixed'!$K98)/12)*(24-'KB_C&amp;S 2yr fixed'!J98)*'Product Data'!$P$23)</f>
        <v>0</v>
      </c>
    </row>
    <row r="99" spans="2:12" x14ac:dyDescent="0.25">
      <c r="B99" s="1927">
        <f t="shared" si="6"/>
        <v>0</v>
      </c>
      <c r="C99" s="1928">
        <v>4.9999999999999203E-3</v>
      </c>
      <c r="D99" s="1931">
        <f>($C$9*24)/((($B$8-C99)/12)*(24-B99)*'Product Data'!$P$23)</f>
        <v>0</v>
      </c>
      <c r="F99" s="1927">
        <f t="shared" si="7"/>
        <v>0</v>
      </c>
      <c r="G99" s="1928">
        <v>4.9999999999999203E-3</v>
      </c>
      <c r="H99" s="1931">
        <f>($G$9*24)/((($F$8-'KB_C&amp;S 2yr fixed'!$G99)/12)*(24-'KB_C&amp;S 2yr fixed'!F99)*'Product Data'!$P$23)</f>
        <v>0</v>
      </c>
      <c r="J99" s="1927">
        <f t="shared" si="8"/>
        <v>0</v>
      </c>
      <c r="K99" s="1928">
        <v>4.9999999999999203E-3</v>
      </c>
      <c r="L99" s="1931">
        <f>($K$9*24)/((($J$8-'KB_C&amp;S 2yr fixed'!$K99)/12)*(24-'KB_C&amp;S 2yr fixed'!J99)*'Product Data'!$P$23)</f>
        <v>0</v>
      </c>
    </row>
    <row r="100" spans="2:12" x14ac:dyDescent="0.25">
      <c r="B100" s="1927">
        <f t="shared" si="6"/>
        <v>0</v>
      </c>
      <c r="C100" s="1928">
        <v>4.8999999999999096E-3</v>
      </c>
      <c r="D100" s="1931">
        <f>($C$9*24)/((($B$8-C100)/12)*(24-B100)*'Product Data'!$P$23)</f>
        <v>0</v>
      </c>
      <c r="F100" s="1927">
        <f t="shared" si="7"/>
        <v>0</v>
      </c>
      <c r="G100" s="1928">
        <v>4.8999999999999096E-3</v>
      </c>
      <c r="H100" s="1931">
        <f>($G$9*24)/((($F$8-'KB_C&amp;S 2yr fixed'!$G100)/12)*(24-'KB_C&amp;S 2yr fixed'!F100)*'Product Data'!$P$23)</f>
        <v>0</v>
      </c>
      <c r="J100" s="1927">
        <f t="shared" si="8"/>
        <v>0</v>
      </c>
      <c r="K100" s="1928">
        <v>4.8999999999999096E-3</v>
      </c>
      <c r="L100" s="1931">
        <f>($K$9*24)/((($J$8-'KB_C&amp;S 2yr fixed'!$K100)/12)*(24-'KB_C&amp;S 2yr fixed'!J100)*'Product Data'!$P$23)</f>
        <v>0</v>
      </c>
    </row>
    <row r="101" spans="2:12" x14ac:dyDescent="0.25">
      <c r="B101" s="1927">
        <f t="shared" si="6"/>
        <v>0</v>
      </c>
      <c r="C101" s="1928">
        <v>4.7999999999999102E-3</v>
      </c>
      <c r="D101" s="1931">
        <f>($C$9*24)/((($B$8-C101)/12)*(24-B101)*'Product Data'!$P$23)</f>
        <v>0</v>
      </c>
      <c r="F101" s="1927">
        <f t="shared" si="7"/>
        <v>0</v>
      </c>
      <c r="G101" s="1928">
        <v>4.7999999999999102E-3</v>
      </c>
      <c r="H101" s="1931">
        <f>($G$9*24)/((($F$8-'KB_C&amp;S 2yr fixed'!$G101)/12)*(24-'KB_C&amp;S 2yr fixed'!F101)*'Product Data'!$P$23)</f>
        <v>0</v>
      </c>
      <c r="J101" s="1927">
        <f t="shared" si="8"/>
        <v>0</v>
      </c>
      <c r="K101" s="1928">
        <v>4.7999999999999102E-3</v>
      </c>
      <c r="L101" s="1931">
        <f>($K$9*24)/((($J$8-'KB_C&amp;S 2yr fixed'!$K101)/12)*(24-'KB_C&amp;S 2yr fixed'!J101)*'Product Data'!$P$23)</f>
        <v>0</v>
      </c>
    </row>
    <row r="102" spans="2:12" x14ac:dyDescent="0.25">
      <c r="B102" s="1927">
        <f t="shared" si="6"/>
        <v>0</v>
      </c>
      <c r="C102" s="1928">
        <v>4.69999999999991E-3</v>
      </c>
      <c r="D102" s="1931">
        <f>($C$9*24)/((($B$8-C102)/12)*(24-B102)*'Product Data'!$P$23)</f>
        <v>0</v>
      </c>
      <c r="F102" s="1927">
        <f t="shared" si="7"/>
        <v>0</v>
      </c>
      <c r="G102" s="1928">
        <v>4.69999999999991E-3</v>
      </c>
      <c r="H102" s="1931">
        <f>($G$9*24)/((($F$8-'KB_C&amp;S 2yr fixed'!$G102)/12)*(24-'KB_C&amp;S 2yr fixed'!F102)*'Product Data'!$P$23)</f>
        <v>0</v>
      </c>
      <c r="J102" s="1927">
        <f t="shared" si="8"/>
        <v>0</v>
      </c>
      <c r="K102" s="1928">
        <v>4.69999999999991E-3</v>
      </c>
      <c r="L102" s="1931">
        <f>($K$9*24)/((($J$8-'KB_C&amp;S 2yr fixed'!$K102)/12)*(24-'KB_C&amp;S 2yr fixed'!J102)*'Product Data'!$P$23)</f>
        <v>0</v>
      </c>
    </row>
    <row r="103" spans="2:12" x14ac:dyDescent="0.25">
      <c r="B103" s="1927">
        <f t="shared" si="6"/>
        <v>0</v>
      </c>
      <c r="C103" s="1928">
        <v>4.5999999999999097E-3</v>
      </c>
      <c r="D103" s="1931">
        <f>($C$9*24)/((($B$8-C103)/12)*(24-B103)*'Product Data'!$P$23)</f>
        <v>0</v>
      </c>
      <c r="F103" s="1927">
        <f t="shared" si="7"/>
        <v>0</v>
      </c>
      <c r="G103" s="1928">
        <v>4.5999999999999097E-3</v>
      </c>
      <c r="H103" s="1931">
        <f>($G$9*24)/((($F$8-'KB_C&amp;S 2yr fixed'!$G103)/12)*(24-'KB_C&amp;S 2yr fixed'!F103)*'Product Data'!$P$23)</f>
        <v>0</v>
      </c>
      <c r="J103" s="1927">
        <f t="shared" si="8"/>
        <v>0</v>
      </c>
      <c r="K103" s="1928">
        <v>4.5999999999999097E-3</v>
      </c>
      <c r="L103" s="1931">
        <f>($K$9*24)/((($J$8-'KB_C&amp;S 2yr fixed'!$K103)/12)*(24-'KB_C&amp;S 2yr fixed'!J103)*'Product Data'!$P$23)</f>
        <v>0</v>
      </c>
    </row>
    <row r="104" spans="2:12" x14ac:dyDescent="0.25">
      <c r="B104" s="1927">
        <f t="shared" si="6"/>
        <v>0</v>
      </c>
      <c r="C104" s="1928">
        <v>4.4999999999999103E-3</v>
      </c>
      <c r="D104" s="1931">
        <f>($C$9*24)/((($B$8-C104)/12)*(24-B104)*'Product Data'!$P$23)</f>
        <v>0</v>
      </c>
      <c r="F104" s="1927">
        <f t="shared" si="7"/>
        <v>0</v>
      </c>
      <c r="G104" s="1928">
        <v>4.4999999999999103E-3</v>
      </c>
      <c r="H104" s="1931">
        <f>($G$9*24)/((($F$8-'KB_C&amp;S 2yr fixed'!$G104)/12)*(24-'KB_C&amp;S 2yr fixed'!F104)*'Product Data'!$P$23)</f>
        <v>0</v>
      </c>
      <c r="J104" s="1927">
        <f t="shared" si="8"/>
        <v>0</v>
      </c>
      <c r="K104" s="1928">
        <v>4.4999999999999103E-3</v>
      </c>
      <c r="L104" s="1931">
        <f>($K$9*24)/((($J$8-'KB_C&amp;S 2yr fixed'!$K104)/12)*(24-'KB_C&amp;S 2yr fixed'!J104)*'Product Data'!$P$23)</f>
        <v>0</v>
      </c>
    </row>
    <row r="105" spans="2:12" x14ac:dyDescent="0.25">
      <c r="B105" s="1927">
        <f t="shared" si="6"/>
        <v>0</v>
      </c>
      <c r="C105" s="1928">
        <v>4.3999999999999101E-3</v>
      </c>
      <c r="D105" s="1931">
        <f>($C$9*24)/((($B$8-C105)/12)*(24-B105)*'Product Data'!$P$23)</f>
        <v>0</v>
      </c>
      <c r="F105" s="1927">
        <f t="shared" si="7"/>
        <v>0</v>
      </c>
      <c r="G105" s="1928">
        <v>4.3999999999999101E-3</v>
      </c>
      <c r="H105" s="1931">
        <f>($G$9*24)/((($F$8-'KB_C&amp;S 2yr fixed'!$G105)/12)*(24-'KB_C&amp;S 2yr fixed'!F105)*'Product Data'!$P$23)</f>
        <v>0</v>
      </c>
      <c r="J105" s="1927">
        <f t="shared" si="8"/>
        <v>0</v>
      </c>
      <c r="K105" s="1928">
        <v>4.3999999999999101E-3</v>
      </c>
      <c r="L105" s="1931">
        <f>($K$9*24)/((($J$8-'KB_C&amp;S 2yr fixed'!$K105)/12)*(24-'KB_C&amp;S 2yr fixed'!J105)*'Product Data'!$P$23)</f>
        <v>0</v>
      </c>
    </row>
    <row r="106" spans="2:12" x14ac:dyDescent="0.25">
      <c r="B106" s="1927">
        <f t="shared" si="6"/>
        <v>0</v>
      </c>
      <c r="C106" s="1928">
        <v>4.2999999999999098E-3</v>
      </c>
      <c r="D106" s="1931">
        <f>($C$9*24)/((($B$8-C106)/12)*(24-B106)*'Product Data'!$P$23)</f>
        <v>0</v>
      </c>
      <c r="F106" s="1927">
        <f t="shared" si="7"/>
        <v>0</v>
      </c>
      <c r="G106" s="1928">
        <v>4.2999999999999098E-3</v>
      </c>
      <c r="H106" s="1931">
        <f>($G$9*24)/((($F$8-'KB_C&amp;S 2yr fixed'!$G106)/12)*(24-'KB_C&amp;S 2yr fixed'!F106)*'Product Data'!$P$23)</f>
        <v>0</v>
      </c>
      <c r="J106" s="1927">
        <f t="shared" si="8"/>
        <v>0</v>
      </c>
      <c r="K106" s="1928">
        <v>4.2999999999999098E-3</v>
      </c>
      <c r="L106" s="1931">
        <f>($K$9*24)/((($J$8-'KB_C&amp;S 2yr fixed'!$K106)/12)*(24-'KB_C&amp;S 2yr fixed'!J106)*'Product Data'!$P$23)</f>
        <v>0</v>
      </c>
    </row>
    <row r="107" spans="2:12" x14ac:dyDescent="0.25">
      <c r="B107" s="1927">
        <f t="shared" si="6"/>
        <v>0</v>
      </c>
      <c r="C107" s="1928">
        <v>4.1999999999999104E-3</v>
      </c>
      <c r="D107" s="1931">
        <f>($C$9*24)/((($B$8-C107)/12)*(24-B107)*'Product Data'!$P$23)</f>
        <v>0</v>
      </c>
      <c r="F107" s="1927">
        <f t="shared" si="7"/>
        <v>0</v>
      </c>
      <c r="G107" s="1928">
        <v>4.1999999999999104E-3</v>
      </c>
      <c r="H107" s="1931">
        <f>($G$9*24)/((($F$8-'KB_C&amp;S 2yr fixed'!$G107)/12)*(24-'KB_C&amp;S 2yr fixed'!F107)*'Product Data'!$P$23)</f>
        <v>0</v>
      </c>
      <c r="J107" s="1927">
        <f t="shared" si="8"/>
        <v>0</v>
      </c>
      <c r="K107" s="1928">
        <v>4.1999999999999104E-3</v>
      </c>
      <c r="L107" s="1931">
        <f>($K$9*24)/((($J$8-'KB_C&amp;S 2yr fixed'!$K107)/12)*(24-'KB_C&amp;S 2yr fixed'!J107)*'Product Data'!$P$23)</f>
        <v>0</v>
      </c>
    </row>
    <row r="108" spans="2:12" x14ac:dyDescent="0.25">
      <c r="B108" s="1927">
        <f t="shared" si="6"/>
        <v>0</v>
      </c>
      <c r="C108" s="1928">
        <v>4.0999999999999101E-3</v>
      </c>
      <c r="D108" s="1931">
        <f>($C$9*24)/((($B$8-C108)/12)*(24-B108)*'Product Data'!$P$23)</f>
        <v>0</v>
      </c>
      <c r="F108" s="1927">
        <f t="shared" si="7"/>
        <v>0</v>
      </c>
      <c r="G108" s="1928">
        <v>4.0999999999999101E-3</v>
      </c>
      <c r="H108" s="1931">
        <f>($G$9*24)/((($F$8-'KB_C&amp;S 2yr fixed'!$G108)/12)*(24-'KB_C&amp;S 2yr fixed'!F108)*'Product Data'!$P$23)</f>
        <v>0</v>
      </c>
      <c r="J108" s="1927">
        <f t="shared" si="8"/>
        <v>0</v>
      </c>
      <c r="K108" s="1928">
        <v>4.0999999999999101E-3</v>
      </c>
      <c r="L108" s="1931">
        <f>($K$9*24)/((($J$8-'KB_C&amp;S 2yr fixed'!$K108)/12)*(24-'KB_C&amp;S 2yr fixed'!J108)*'Product Data'!$P$23)</f>
        <v>0</v>
      </c>
    </row>
    <row r="109" spans="2:12" x14ac:dyDescent="0.25">
      <c r="B109" s="1927">
        <f t="shared" si="6"/>
        <v>0</v>
      </c>
      <c r="C109" s="1928">
        <v>3.9999999999999003E-3</v>
      </c>
      <c r="D109" s="1931">
        <f>($C$9*24)/((($B$8-C109)/12)*(24-B109)*'Product Data'!$P$23)</f>
        <v>0</v>
      </c>
      <c r="F109" s="1927">
        <f t="shared" si="7"/>
        <v>0</v>
      </c>
      <c r="G109" s="1928">
        <v>3.9999999999999003E-3</v>
      </c>
      <c r="H109" s="1931">
        <f>($G$9*24)/((($F$8-'KB_C&amp;S 2yr fixed'!$G109)/12)*(24-'KB_C&amp;S 2yr fixed'!F109)*'Product Data'!$P$23)</f>
        <v>0</v>
      </c>
      <c r="J109" s="1927">
        <f t="shared" si="8"/>
        <v>0</v>
      </c>
      <c r="K109" s="1928">
        <v>3.9999999999999003E-3</v>
      </c>
      <c r="L109" s="1931">
        <f>($K$9*24)/((($J$8-'KB_C&amp;S 2yr fixed'!$K109)/12)*(24-'KB_C&amp;S 2yr fixed'!J109)*'Product Data'!$P$23)</f>
        <v>0</v>
      </c>
    </row>
    <row r="110" spans="2:12" x14ac:dyDescent="0.25">
      <c r="B110" s="1927">
        <f t="shared" si="6"/>
        <v>0</v>
      </c>
      <c r="C110" s="1928">
        <v>3.8999999999999001E-3</v>
      </c>
      <c r="D110" s="1931">
        <f>($C$9*24)/((($B$8-C110)/12)*(24-B110)*'Product Data'!$P$23)</f>
        <v>0</v>
      </c>
      <c r="F110" s="1927">
        <f t="shared" si="7"/>
        <v>0</v>
      </c>
      <c r="G110" s="1928">
        <v>3.8999999999999001E-3</v>
      </c>
      <c r="H110" s="1931">
        <f>($G$9*24)/((($F$8-'KB_C&amp;S 2yr fixed'!$G110)/12)*(24-'KB_C&amp;S 2yr fixed'!F110)*'Product Data'!$P$23)</f>
        <v>0</v>
      </c>
      <c r="J110" s="1927">
        <f t="shared" si="8"/>
        <v>0</v>
      </c>
      <c r="K110" s="1928">
        <v>3.8999999999999001E-3</v>
      </c>
      <c r="L110" s="1931">
        <f>($K$9*24)/((($J$8-'KB_C&amp;S 2yr fixed'!$K110)/12)*(24-'KB_C&amp;S 2yr fixed'!J110)*'Product Data'!$P$23)</f>
        <v>0</v>
      </c>
    </row>
    <row r="111" spans="2:12" x14ac:dyDescent="0.25">
      <c r="B111" s="1927">
        <f t="shared" si="6"/>
        <v>0</v>
      </c>
      <c r="C111" s="1928">
        <v>3.7999999999998998E-3</v>
      </c>
      <c r="D111" s="1931">
        <f>($C$9*24)/((($B$8-C111)/12)*(24-B111)*'Product Data'!$P$23)</f>
        <v>0</v>
      </c>
      <c r="F111" s="1927">
        <f t="shared" si="7"/>
        <v>0</v>
      </c>
      <c r="G111" s="1928">
        <v>3.7999999999998998E-3</v>
      </c>
      <c r="H111" s="1931">
        <f>($G$9*24)/((($F$8-'KB_C&amp;S 2yr fixed'!$G111)/12)*(24-'KB_C&amp;S 2yr fixed'!F111)*'Product Data'!$P$23)</f>
        <v>0</v>
      </c>
      <c r="J111" s="1927">
        <f t="shared" si="8"/>
        <v>0</v>
      </c>
      <c r="K111" s="1928">
        <v>3.7999999999998998E-3</v>
      </c>
      <c r="L111" s="1931">
        <f>($K$9*24)/((($J$8-'KB_C&amp;S 2yr fixed'!$K111)/12)*(24-'KB_C&amp;S 2yr fixed'!J111)*'Product Data'!$P$23)</f>
        <v>0</v>
      </c>
    </row>
    <row r="112" spans="2:12" x14ac:dyDescent="0.25">
      <c r="B112" s="1927">
        <f t="shared" si="6"/>
        <v>0</v>
      </c>
      <c r="C112" s="1928">
        <v>3.6999999999999E-3</v>
      </c>
      <c r="D112" s="1931">
        <f>($C$9*24)/((($B$8-C112)/12)*(24-B112)*'Product Data'!$P$23)</f>
        <v>0</v>
      </c>
      <c r="F112" s="1927">
        <f t="shared" si="7"/>
        <v>0</v>
      </c>
      <c r="G112" s="1928">
        <v>3.6999999999999E-3</v>
      </c>
      <c r="H112" s="1931">
        <f>($G$9*24)/((($F$8-'KB_C&amp;S 2yr fixed'!$G112)/12)*(24-'KB_C&amp;S 2yr fixed'!F112)*'Product Data'!$P$23)</f>
        <v>0</v>
      </c>
      <c r="J112" s="1927">
        <f t="shared" si="8"/>
        <v>0</v>
      </c>
      <c r="K112" s="1928">
        <v>3.6999999999999E-3</v>
      </c>
      <c r="L112" s="1931">
        <f>($K$9*24)/((($J$8-'KB_C&amp;S 2yr fixed'!$K112)/12)*(24-'KB_C&amp;S 2yr fixed'!J112)*'Product Data'!$P$23)</f>
        <v>0</v>
      </c>
    </row>
    <row r="113" spans="2:12" x14ac:dyDescent="0.25">
      <c r="B113" s="1927">
        <f t="shared" si="6"/>
        <v>0</v>
      </c>
      <c r="C113" s="1928">
        <v>3.5999999999999002E-3</v>
      </c>
      <c r="D113" s="1931">
        <f>($C$9*24)/((($B$8-C113)/12)*(24-B113)*'Product Data'!$P$23)</f>
        <v>0</v>
      </c>
      <c r="F113" s="1927">
        <f t="shared" si="7"/>
        <v>0</v>
      </c>
      <c r="G113" s="1928">
        <v>3.5999999999999002E-3</v>
      </c>
      <c r="H113" s="1931">
        <f>($G$9*24)/((($F$8-'KB_C&amp;S 2yr fixed'!$G113)/12)*(24-'KB_C&amp;S 2yr fixed'!F113)*'Product Data'!$P$23)</f>
        <v>0</v>
      </c>
      <c r="J113" s="1927">
        <f t="shared" si="8"/>
        <v>0</v>
      </c>
      <c r="K113" s="1928">
        <v>3.5999999999999002E-3</v>
      </c>
      <c r="L113" s="1931">
        <f>($K$9*24)/((($J$8-'KB_C&amp;S 2yr fixed'!$K113)/12)*(24-'KB_C&amp;S 2yr fixed'!J113)*'Product Data'!$P$23)</f>
        <v>0</v>
      </c>
    </row>
    <row r="114" spans="2:12" x14ac:dyDescent="0.25">
      <c r="B114" s="1927">
        <f t="shared" si="6"/>
        <v>0</v>
      </c>
      <c r="C114" s="1928">
        <v>3.4999999999998999E-3</v>
      </c>
      <c r="D114" s="1931">
        <f>($C$9*24)/((($B$8-C114)/12)*(24-B114)*'Product Data'!$P$23)</f>
        <v>0</v>
      </c>
      <c r="F114" s="1927">
        <f t="shared" si="7"/>
        <v>0</v>
      </c>
      <c r="G114" s="1928">
        <v>3.4999999999998999E-3</v>
      </c>
      <c r="H114" s="1931">
        <f>($G$9*24)/((($F$8-'KB_C&amp;S 2yr fixed'!$G114)/12)*(24-'KB_C&amp;S 2yr fixed'!F114)*'Product Data'!$P$23)</f>
        <v>0</v>
      </c>
      <c r="J114" s="1927">
        <f t="shared" si="8"/>
        <v>0</v>
      </c>
      <c r="K114" s="1928">
        <v>3.4999999999998999E-3</v>
      </c>
      <c r="L114" s="1931">
        <f>($K$9*24)/((($J$8-'KB_C&amp;S 2yr fixed'!$K114)/12)*(24-'KB_C&amp;S 2yr fixed'!J114)*'Product Data'!$P$23)</f>
        <v>0</v>
      </c>
    </row>
    <row r="115" spans="2:12" x14ac:dyDescent="0.25">
      <c r="B115" s="1927">
        <f t="shared" si="6"/>
        <v>0</v>
      </c>
      <c r="C115" s="1928">
        <v>3.3999999999999001E-3</v>
      </c>
      <c r="D115" s="1931">
        <f>($C$9*24)/((($B$8-C115)/12)*(24-B115)*'Product Data'!$P$23)</f>
        <v>0</v>
      </c>
      <c r="F115" s="1927">
        <f t="shared" si="7"/>
        <v>0</v>
      </c>
      <c r="G115" s="1928">
        <v>3.3999999999999001E-3</v>
      </c>
      <c r="H115" s="1931">
        <f>($G$9*24)/((($F$8-'KB_C&amp;S 2yr fixed'!$G115)/12)*(24-'KB_C&amp;S 2yr fixed'!F115)*'Product Data'!$P$23)</f>
        <v>0</v>
      </c>
      <c r="J115" s="1927">
        <f t="shared" si="8"/>
        <v>0</v>
      </c>
      <c r="K115" s="1928">
        <v>3.3999999999999001E-3</v>
      </c>
      <c r="L115" s="1931">
        <f>($K$9*24)/((($J$8-'KB_C&amp;S 2yr fixed'!$K115)/12)*(24-'KB_C&amp;S 2yr fixed'!J115)*'Product Data'!$P$23)</f>
        <v>0</v>
      </c>
    </row>
    <row r="116" spans="2:12" x14ac:dyDescent="0.25">
      <c r="B116" s="1927">
        <f t="shared" si="6"/>
        <v>0</v>
      </c>
      <c r="C116" s="1928">
        <v>3.2999999999998998E-3</v>
      </c>
      <c r="D116" s="1931">
        <f>($C$9*24)/((($B$8-C116)/12)*(24-B116)*'Product Data'!$P$23)</f>
        <v>0</v>
      </c>
      <c r="F116" s="1927">
        <f t="shared" si="7"/>
        <v>0</v>
      </c>
      <c r="G116" s="1928">
        <v>3.2999999999998998E-3</v>
      </c>
      <c r="H116" s="1931">
        <f>($G$9*24)/((($F$8-'KB_C&amp;S 2yr fixed'!$G116)/12)*(24-'KB_C&amp;S 2yr fixed'!F116)*'Product Data'!$P$23)</f>
        <v>0</v>
      </c>
      <c r="J116" s="1927">
        <f t="shared" si="8"/>
        <v>0</v>
      </c>
      <c r="K116" s="1928">
        <v>3.2999999999998998E-3</v>
      </c>
      <c r="L116" s="1931">
        <f>($K$9*24)/((($J$8-'KB_C&amp;S 2yr fixed'!$K116)/12)*(24-'KB_C&amp;S 2yr fixed'!J116)*'Product Data'!$P$23)</f>
        <v>0</v>
      </c>
    </row>
    <row r="117" spans="2:12" x14ac:dyDescent="0.25">
      <c r="B117" s="1927">
        <f t="shared" si="6"/>
        <v>0</v>
      </c>
      <c r="C117" s="1928">
        <v>3.19999999999989E-3</v>
      </c>
      <c r="D117" s="1931">
        <f>($C$9*24)/((($B$8-C117)/12)*(24-B117)*'Product Data'!$P$23)</f>
        <v>0</v>
      </c>
      <c r="F117" s="1927">
        <f t="shared" si="7"/>
        <v>0</v>
      </c>
      <c r="G117" s="1928">
        <v>3.19999999999989E-3</v>
      </c>
      <c r="H117" s="1931">
        <f>($G$9*24)/((($F$8-'KB_C&amp;S 2yr fixed'!$G117)/12)*(24-'KB_C&amp;S 2yr fixed'!F117)*'Product Data'!$P$23)</f>
        <v>0</v>
      </c>
      <c r="J117" s="1927">
        <f t="shared" si="8"/>
        <v>0</v>
      </c>
      <c r="K117" s="1928">
        <v>3.19999999999989E-3</v>
      </c>
      <c r="L117" s="1931">
        <f>($K$9*24)/((($J$8-'KB_C&amp;S 2yr fixed'!$K117)/12)*(24-'KB_C&amp;S 2yr fixed'!J117)*'Product Data'!$P$23)</f>
        <v>0</v>
      </c>
    </row>
    <row r="118" spans="2:12" x14ac:dyDescent="0.25">
      <c r="B118" s="1927">
        <f t="shared" si="6"/>
        <v>0</v>
      </c>
      <c r="C118" s="1928">
        <v>3.0999999999998902E-3</v>
      </c>
      <c r="D118" s="1931">
        <f>($C$9*24)/((($B$8-C118)/12)*(24-B118)*'Product Data'!$P$23)</f>
        <v>0</v>
      </c>
      <c r="F118" s="1927">
        <f t="shared" si="7"/>
        <v>0</v>
      </c>
      <c r="G118" s="1928">
        <v>3.0999999999998902E-3</v>
      </c>
      <c r="H118" s="1931">
        <f>($G$9*24)/((($F$8-'KB_C&amp;S 2yr fixed'!$G118)/12)*(24-'KB_C&amp;S 2yr fixed'!F118)*'Product Data'!$P$23)</f>
        <v>0</v>
      </c>
      <c r="J118" s="1927">
        <f t="shared" si="8"/>
        <v>0</v>
      </c>
      <c r="K118" s="1928">
        <v>3.0999999999998902E-3</v>
      </c>
      <c r="L118" s="1931">
        <f>($K$9*24)/((($J$8-'KB_C&amp;S 2yr fixed'!$K118)/12)*(24-'KB_C&amp;S 2yr fixed'!J118)*'Product Data'!$P$23)</f>
        <v>0</v>
      </c>
    </row>
    <row r="119" spans="2:12" x14ac:dyDescent="0.25">
      <c r="B119" s="1927">
        <f t="shared" si="6"/>
        <v>0</v>
      </c>
      <c r="C119" s="1928">
        <v>2.9999999999998899E-3</v>
      </c>
      <c r="D119" s="1931">
        <f>($C$9*24)/((($B$8-C119)/12)*(24-B119)*'Product Data'!$P$23)</f>
        <v>0</v>
      </c>
      <c r="F119" s="1927">
        <f t="shared" si="7"/>
        <v>0</v>
      </c>
      <c r="G119" s="1928">
        <v>2.9999999999998899E-3</v>
      </c>
      <c r="H119" s="1931">
        <f>($G$9*24)/((($F$8-'KB_C&amp;S 2yr fixed'!$G119)/12)*(24-'KB_C&amp;S 2yr fixed'!F119)*'Product Data'!$P$23)</f>
        <v>0</v>
      </c>
      <c r="J119" s="1927">
        <f t="shared" si="8"/>
        <v>0</v>
      </c>
      <c r="K119" s="1928">
        <v>2.9999999999998899E-3</v>
      </c>
      <c r="L119" s="1931">
        <f>($K$9*24)/((($J$8-'KB_C&amp;S 2yr fixed'!$K119)/12)*(24-'KB_C&amp;S 2yr fixed'!J119)*'Product Data'!$P$23)</f>
        <v>0</v>
      </c>
    </row>
    <row r="120" spans="2:12" x14ac:dyDescent="0.25">
      <c r="B120" s="1927">
        <f t="shared" si="6"/>
        <v>0</v>
      </c>
      <c r="C120" s="1928">
        <v>2.8999999999998901E-3</v>
      </c>
      <c r="D120" s="1931">
        <f>($C$9*24)/((($B$8-C120)/12)*(24-B120)*'Product Data'!$P$23)</f>
        <v>0</v>
      </c>
      <c r="F120" s="1927">
        <f t="shared" si="7"/>
        <v>0</v>
      </c>
      <c r="G120" s="1928">
        <v>2.8999999999998901E-3</v>
      </c>
      <c r="H120" s="1931">
        <f>($G$9*24)/((($F$8-'KB_C&amp;S 2yr fixed'!$G120)/12)*(24-'KB_C&amp;S 2yr fixed'!F120)*'Product Data'!$P$23)</f>
        <v>0</v>
      </c>
      <c r="J120" s="1927">
        <f t="shared" si="8"/>
        <v>0</v>
      </c>
      <c r="K120" s="1928">
        <v>2.8999999999998901E-3</v>
      </c>
      <c r="L120" s="1931">
        <f>($K$9*24)/((($J$8-'KB_C&amp;S 2yr fixed'!$K120)/12)*(24-'KB_C&amp;S 2yr fixed'!J120)*'Product Data'!$P$23)</f>
        <v>0</v>
      </c>
    </row>
    <row r="121" spans="2:12" x14ac:dyDescent="0.25">
      <c r="B121" s="1927">
        <f t="shared" si="6"/>
        <v>0</v>
      </c>
      <c r="C121" s="1928">
        <v>2.7999999999998898E-3</v>
      </c>
      <c r="D121" s="1931">
        <f>($C$9*24)/((($B$8-C121)/12)*(24-B121)*'Product Data'!$P$23)</f>
        <v>0</v>
      </c>
      <c r="F121" s="1927">
        <f t="shared" si="7"/>
        <v>0</v>
      </c>
      <c r="G121" s="1928">
        <v>2.7999999999998898E-3</v>
      </c>
      <c r="H121" s="1931">
        <f>($G$9*24)/((($F$8-'KB_C&amp;S 2yr fixed'!$G121)/12)*(24-'KB_C&amp;S 2yr fixed'!F121)*'Product Data'!$P$23)</f>
        <v>0</v>
      </c>
      <c r="J121" s="1927">
        <f t="shared" si="8"/>
        <v>0</v>
      </c>
      <c r="K121" s="1928">
        <v>2.7999999999998898E-3</v>
      </c>
      <c r="L121" s="1931">
        <f>($K$9*24)/((($J$8-'KB_C&amp;S 2yr fixed'!$K121)/12)*(24-'KB_C&amp;S 2yr fixed'!J121)*'Product Data'!$P$23)</f>
        <v>0</v>
      </c>
    </row>
    <row r="122" spans="2:12" x14ac:dyDescent="0.25">
      <c r="B122" s="1927">
        <f t="shared" si="6"/>
        <v>0</v>
      </c>
      <c r="C122" s="1928">
        <v>2.69999999999989E-3</v>
      </c>
      <c r="D122" s="1931">
        <f>($C$9*24)/((($B$8-C122)/12)*(24-B122)*'Product Data'!$P$23)</f>
        <v>0</v>
      </c>
      <c r="F122" s="1927">
        <f t="shared" si="7"/>
        <v>0</v>
      </c>
      <c r="G122" s="1928">
        <v>2.69999999999989E-3</v>
      </c>
      <c r="H122" s="1931">
        <f>($G$9*24)/((($F$8-'KB_C&amp;S 2yr fixed'!$G122)/12)*(24-'KB_C&amp;S 2yr fixed'!F122)*'Product Data'!$P$23)</f>
        <v>0</v>
      </c>
      <c r="J122" s="1927">
        <f t="shared" si="8"/>
        <v>0</v>
      </c>
      <c r="K122" s="1928">
        <v>2.69999999999989E-3</v>
      </c>
      <c r="L122" s="1931">
        <f>($K$9*24)/((($J$8-'KB_C&amp;S 2yr fixed'!$K122)/12)*(24-'KB_C&amp;S 2yr fixed'!J122)*'Product Data'!$P$23)</f>
        <v>0</v>
      </c>
    </row>
    <row r="123" spans="2:12" x14ac:dyDescent="0.25">
      <c r="B123" s="1927">
        <f t="shared" si="6"/>
        <v>0</v>
      </c>
      <c r="C123" s="1928">
        <v>2.5999999999998902E-3</v>
      </c>
      <c r="D123" s="1931">
        <f>($C$9*24)/((($B$8-C123)/12)*(24-B123)*'Product Data'!$P$23)</f>
        <v>0</v>
      </c>
      <c r="F123" s="1927">
        <f t="shared" si="7"/>
        <v>0</v>
      </c>
      <c r="G123" s="1928">
        <v>2.5999999999998902E-3</v>
      </c>
      <c r="H123" s="1931">
        <f>($G$9*24)/((($F$8-'KB_C&amp;S 2yr fixed'!$G123)/12)*(24-'KB_C&amp;S 2yr fixed'!F123)*'Product Data'!$P$23)</f>
        <v>0</v>
      </c>
      <c r="J123" s="1927">
        <f t="shared" si="8"/>
        <v>0</v>
      </c>
      <c r="K123" s="1928">
        <v>2.5999999999998902E-3</v>
      </c>
      <c r="L123" s="1931">
        <f>($K$9*24)/((($J$8-'KB_C&amp;S 2yr fixed'!$K123)/12)*(24-'KB_C&amp;S 2yr fixed'!J123)*'Product Data'!$P$23)</f>
        <v>0</v>
      </c>
    </row>
    <row r="124" spans="2:12" x14ac:dyDescent="0.25">
      <c r="B124" s="1927">
        <f t="shared" si="6"/>
        <v>0</v>
      </c>
      <c r="C124" s="1928">
        <v>2.4999999999998999E-3</v>
      </c>
      <c r="D124" s="1931">
        <f>($C$9*24)/((($B$8-C124)/12)*(24-B124)*'Product Data'!$P$23)</f>
        <v>0</v>
      </c>
      <c r="F124" s="1927">
        <f t="shared" si="7"/>
        <v>0</v>
      </c>
      <c r="G124" s="1928">
        <v>2.4999999999998999E-3</v>
      </c>
      <c r="H124" s="1931">
        <f>($G$9*24)/((($F$8-'KB_C&amp;S 2yr fixed'!$G124)/12)*(24-'KB_C&amp;S 2yr fixed'!F124)*'Product Data'!$P$23)</f>
        <v>0</v>
      </c>
      <c r="J124" s="1927">
        <f t="shared" si="8"/>
        <v>0</v>
      </c>
      <c r="K124" s="1928">
        <v>2.4999999999998999E-3</v>
      </c>
      <c r="L124" s="1931">
        <f>($K$9*24)/((($J$8-'KB_C&amp;S 2yr fixed'!$K124)/12)*(24-'KB_C&amp;S 2yr fixed'!J124)*'Product Data'!$P$23)</f>
        <v>0</v>
      </c>
    </row>
    <row r="125" spans="2:12" x14ac:dyDescent="0.25">
      <c r="B125" s="1927">
        <f t="shared" si="6"/>
        <v>0</v>
      </c>
      <c r="C125" s="1928">
        <v>2.3999999999999E-3</v>
      </c>
      <c r="D125" s="1931">
        <f>($C$9*24)/((($B$8-C125)/12)*(24-B125)*'Product Data'!$P$23)</f>
        <v>0</v>
      </c>
      <c r="F125" s="1927">
        <f t="shared" si="7"/>
        <v>0</v>
      </c>
      <c r="G125" s="1928">
        <v>2.3999999999999E-3</v>
      </c>
      <c r="H125" s="1931">
        <f>($G$9*24)/((($F$8-'KB_C&amp;S 2yr fixed'!$G125)/12)*(24-'KB_C&amp;S 2yr fixed'!F125)*'Product Data'!$P$23)</f>
        <v>0</v>
      </c>
      <c r="J125" s="1927">
        <f t="shared" si="8"/>
        <v>0</v>
      </c>
      <c r="K125" s="1928">
        <v>2.3999999999999E-3</v>
      </c>
      <c r="L125" s="1931">
        <f>($K$9*24)/((($J$8-'KB_C&amp;S 2yr fixed'!$K125)/12)*(24-'KB_C&amp;S 2yr fixed'!J125)*'Product Data'!$P$23)</f>
        <v>0</v>
      </c>
    </row>
    <row r="126" spans="2:12" x14ac:dyDescent="0.25">
      <c r="B126" s="1927">
        <f t="shared" si="6"/>
        <v>0</v>
      </c>
      <c r="C126" s="1928">
        <v>2.2999999999999002E-3</v>
      </c>
      <c r="D126" s="1931">
        <f>($C$9*24)/((($B$8-C126)/12)*(24-B126)*'Product Data'!$P$23)</f>
        <v>0</v>
      </c>
      <c r="F126" s="1927">
        <f t="shared" si="7"/>
        <v>0</v>
      </c>
      <c r="G126" s="1928">
        <v>2.2999999999999002E-3</v>
      </c>
      <c r="H126" s="1931">
        <f>($G$9*24)/((($F$8-'KB_C&amp;S 2yr fixed'!$G126)/12)*(24-'KB_C&amp;S 2yr fixed'!F126)*'Product Data'!$P$23)</f>
        <v>0</v>
      </c>
      <c r="J126" s="1927">
        <f t="shared" si="8"/>
        <v>0</v>
      </c>
      <c r="K126" s="1928">
        <v>2.2999999999999002E-3</v>
      </c>
      <c r="L126" s="1931">
        <f>($K$9*24)/((($J$8-'KB_C&amp;S 2yr fixed'!$K126)/12)*(24-'KB_C&amp;S 2yr fixed'!J126)*'Product Data'!$P$23)</f>
        <v>0</v>
      </c>
    </row>
    <row r="127" spans="2:12" x14ac:dyDescent="0.25">
      <c r="B127" s="1927">
        <f t="shared" si="6"/>
        <v>0</v>
      </c>
      <c r="C127" s="1928">
        <v>2.1999999999999E-3</v>
      </c>
      <c r="D127" s="1931">
        <f>($C$9*24)/((($B$8-C127)/12)*(24-B127)*'Product Data'!$P$23)</f>
        <v>0</v>
      </c>
      <c r="F127" s="1927">
        <f t="shared" si="7"/>
        <v>0</v>
      </c>
      <c r="G127" s="1928">
        <v>2.1999999999999E-3</v>
      </c>
      <c r="H127" s="1931">
        <f>($G$9*24)/((($F$8-'KB_C&amp;S 2yr fixed'!$G127)/12)*(24-'KB_C&amp;S 2yr fixed'!F127)*'Product Data'!$P$23)</f>
        <v>0</v>
      </c>
      <c r="J127" s="1927">
        <f t="shared" si="8"/>
        <v>0</v>
      </c>
      <c r="K127" s="1928">
        <v>2.1999999999999E-3</v>
      </c>
      <c r="L127" s="1931">
        <f>($K$9*24)/((($J$8-'KB_C&amp;S 2yr fixed'!$K127)/12)*(24-'KB_C&amp;S 2yr fixed'!J127)*'Product Data'!$P$23)</f>
        <v>0</v>
      </c>
    </row>
    <row r="128" spans="2:12" x14ac:dyDescent="0.25">
      <c r="B128" s="1927">
        <f t="shared" si="6"/>
        <v>0</v>
      </c>
      <c r="C128" s="1928">
        <v>2.0999999999999001E-3</v>
      </c>
      <c r="D128" s="1931">
        <f>($C$9*24)/((($B$8-C128)/12)*(24-B128)*'Product Data'!$P$23)</f>
        <v>0</v>
      </c>
      <c r="F128" s="1927">
        <f t="shared" si="7"/>
        <v>0</v>
      </c>
      <c r="G128" s="1928">
        <v>2.0999999999999001E-3</v>
      </c>
      <c r="H128" s="1931">
        <f>($G$9*24)/((($F$8-'KB_C&amp;S 2yr fixed'!$G128)/12)*(24-'KB_C&amp;S 2yr fixed'!F128)*'Product Data'!$P$23)</f>
        <v>0</v>
      </c>
      <c r="J128" s="1927">
        <f t="shared" si="8"/>
        <v>0</v>
      </c>
      <c r="K128" s="1928">
        <v>2.0999999999999001E-3</v>
      </c>
      <c r="L128" s="1931">
        <f>($K$9*24)/((($J$8-'KB_C&amp;S 2yr fixed'!$K128)/12)*(24-'KB_C&amp;S 2yr fixed'!J128)*'Product Data'!$P$23)</f>
        <v>0</v>
      </c>
    </row>
    <row r="129" spans="2:12" x14ac:dyDescent="0.25">
      <c r="B129" s="1927">
        <f t="shared" si="6"/>
        <v>0</v>
      </c>
      <c r="C129" s="1928">
        <v>1.9999999999998999E-3</v>
      </c>
      <c r="D129" s="1931">
        <f>($C$9*24)/((($B$8-C129)/12)*(24-B129)*'Product Data'!$P$23)</f>
        <v>0</v>
      </c>
      <c r="F129" s="1927">
        <f t="shared" si="7"/>
        <v>0</v>
      </c>
      <c r="G129" s="1928">
        <v>1.9999999999998999E-3</v>
      </c>
      <c r="H129" s="1931">
        <f>($G$9*24)/((($F$8-'KB_C&amp;S 2yr fixed'!$G129)/12)*(24-'KB_C&amp;S 2yr fixed'!F129)*'Product Data'!$P$23)</f>
        <v>0</v>
      </c>
      <c r="J129" s="1927">
        <f t="shared" si="8"/>
        <v>0</v>
      </c>
      <c r="K129" s="1928">
        <v>1.9999999999998999E-3</v>
      </c>
      <c r="L129" s="1931">
        <f>($K$9*24)/((($J$8-'KB_C&amp;S 2yr fixed'!$K129)/12)*(24-'KB_C&amp;S 2yr fixed'!J129)*'Product Data'!$P$23)</f>
        <v>0</v>
      </c>
    </row>
    <row r="130" spans="2:12" x14ac:dyDescent="0.25">
      <c r="B130" s="1927">
        <f t="shared" si="6"/>
        <v>0</v>
      </c>
      <c r="C130" s="1928">
        <v>1.8999999999999E-3</v>
      </c>
      <c r="D130" s="1931">
        <f>($C$9*24)/((($B$8-C130)/12)*(24-B130)*'Product Data'!$P$23)</f>
        <v>0</v>
      </c>
      <c r="F130" s="1927">
        <f t="shared" si="7"/>
        <v>0</v>
      </c>
      <c r="G130" s="1928">
        <v>1.8999999999999E-3</v>
      </c>
      <c r="H130" s="1931">
        <f>($G$9*24)/((($F$8-'KB_C&amp;S 2yr fixed'!$G130)/12)*(24-'KB_C&amp;S 2yr fixed'!F130)*'Product Data'!$P$23)</f>
        <v>0</v>
      </c>
      <c r="J130" s="1927">
        <f t="shared" si="8"/>
        <v>0</v>
      </c>
      <c r="K130" s="1928">
        <v>1.8999999999999E-3</v>
      </c>
      <c r="L130" s="1931">
        <f>($K$9*24)/((($J$8-'KB_C&amp;S 2yr fixed'!$K130)/12)*(24-'KB_C&amp;S 2yr fixed'!J130)*'Product Data'!$P$23)</f>
        <v>0</v>
      </c>
    </row>
    <row r="131" spans="2:12" x14ac:dyDescent="0.25">
      <c r="B131" s="1927">
        <f t="shared" si="6"/>
        <v>0</v>
      </c>
      <c r="C131" s="1928">
        <v>1.7999999999999E-3</v>
      </c>
      <c r="D131" s="1931">
        <f>($C$9*24)/((($B$8-C131)/12)*(24-B131)*'Product Data'!$P$23)</f>
        <v>0</v>
      </c>
      <c r="F131" s="1927">
        <f t="shared" si="7"/>
        <v>0</v>
      </c>
      <c r="G131" s="1928">
        <v>1.7999999999999E-3</v>
      </c>
      <c r="H131" s="1931">
        <f>($G$9*24)/((($F$8-'KB_C&amp;S 2yr fixed'!$G131)/12)*(24-'KB_C&amp;S 2yr fixed'!F131)*'Product Data'!$P$23)</f>
        <v>0</v>
      </c>
      <c r="J131" s="1927">
        <f t="shared" si="8"/>
        <v>0</v>
      </c>
      <c r="K131" s="1928">
        <v>1.7999999999999E-3</v>
      </c>
      <c r="L131" s="1931">
        <f>($K$9*24)/((($J$8-'KB_C&amp;S 2yr fixed'!$K131)/12)*(24-'KB_C&amp;S 2yr fixed'!J131)*'Product Data'!$P$23)</f>
        <v>0</v>
      </c>
    </row>
    <row r="132" spans="2:12" x14ac:dyDescent="0.25">
      <c r="B132" s="1927">
        <f t="shared" si="6"/>
        <v>0</v>
      </c>
      <c r="C132" s="1928">
        <v>1.6999999999998999E-3</v>
      </c>
      <c r="D132" s="1931">
        <f>($C$9*24)/((($B$8-C132)/12)*(24-B132)*'Product Data'!$P$23)</f>
        <v>0</v>
      </c>
      <c r="F132" s="1927">
        <f t="shared" si="7"/>
        <v>0</v>
      </c>
      <c r="G132" s="1928">
        <v>1.6999999999998999E-3</v>
      </c>
      <c r="H132" s="1931">
        <f>($G$9*24)/((($F$8-'KB_C&amp;S 2yr fixed'!$G132)/12)*(24-'KB_C&amp;S 2yr fixed'!F132)*'Product Data'!$P$23)</f>
        <v>0</v>
      </c>
      <c r="J132" s="1927">
        <f t="shared" si="8"/>
        <v>0</v>
      </c>
      <c r="K132" s="1928">
        <v>1.6999999999998999E-3</v>
      </c>
      <c r="L132" s="1931">
        <f>($K$9*24)/((($J$8-'KB_C&amp;S 2yr fixed'!$K132)/12)*(24-'KB_C&amp;S 2yr fixed'!J132)*'Product Data'!$P$23)</f>
        <v>0</v>
      </c>
    </row>
    <row r="133" spans="2:12" x14ac:dyDescent="0.25">
      <c r="B133" s="1927">
        <f t="shared" si="6"/>
        <v>0</v>
      </c>
      <c r="C133" s="1928">
        <v>1.5999999999998999E-3</v>
      </c>
      <c r="D133" s="1931">
        <f>($C$9*24)/((($B$8-C133)/12)*(24-B133)*'Product Data'!$P$23)</f>
        <v>0</v>
      </c>
      <c r="F133" s="1927">
        <f t="shared" si="7"/>
        <v>0</v>
      </c>
      <c r="G133" s="1928">
        <v>1.5999999999998999E-3</v>
      </c>
      <c r="H133" s="1931">
        <f>($G$9*24)/((($F$8-'KB_C&amp;S 2yr fixed'!$G133)/12)*(24-'KB_C&amp;S 2yr fixed'!F133)*'Product Data'!$P$23)</f>
        <v>0</v>
      </c>
      <c r="J133" s="1927">
        <f t="shared" si="8"/>
        <v>0</v>
      </c>
      <c r="K133" s="1928">
        <v>1.5999999999998999E-3</v>
      </c>
      <c r="L133" s="1931">
        <f>($K$9*24)/((($J$8-'KB_C&amp;S 2yr fixed'!$K133)/12)*(24-'KB_C&amp;S 2yr fixed'!J133)*'Product Data'!$P$23)</f>
        <v>0</v>
      </c>
    </row>
    <row r="134" spans="2:12" x14ac:dyDescent="0.25">
      <c r="B134" s="1927">
        <f t="shared" si="6"/>
        <v>0</v>
      </c>
      <c r="C134" s="1928">
        <v>1.4999999999999001E-3</v>
      </c>
      <c r="D134" s="1931">
        <f>($C$9*24)/((($B$8-C134)/12)*(24-B134)*'Product Data'!$P$23)</f>
        <v>0</v>
      </c>
      <c r="F134" s="1927">
        <f t="shared" si="7"/>
        <v>0</v>
      </c>
      <c r="G134" s="1928">
        <v>1.4999999999999001E-3</v>
      </c>
      <c r="H134" s="1931">
        <f>($G$9*24)/((($F$8-'KB_C&amp;S 2yr fixed'!$G134)/12)*(24-'KB_C&amp;S 2yr fixed'!F134)*'Product Data'!$P$23)</f>
        <v>0</v>
      </c>
      <c r="J134" s="1927">
        <f t="shared" si="8"/>
        <v>0</v>
      </c>
      <c r="K134" s="1928">
        <v>1.4999999999999001E-3</v>
      </c>
      <c r="L134" s="1931">
        <f>($K$9*24)/((($J$8-'KB_C&amp;S 2yr fixed'!$K134)/12)*(24-'KB_C&amp;S 2yr fixed'!J134)*'Product Data'!$P$23)</f>
        <v>0</v>
      </c>
    </row>
    <row r="135" spans="2:12" x14ac:dyDescent="0.25">
      <c r="B135" s="1927">
        <f t="shared" si="6"/>
        <v>0</v>
      </c>
      <c r="C135" s="1928">
        <v>1.3999999999999E-3</v>
      </c>
      <c r="D135" s="1931">
        <f>($C$9*24)/((($B$8-C135)/12)*(24-B135)*'Product Data'!$P$23)</f>
        <v>0</v>
      </c>
      <c r="F135" s="1927">
        <f t="shared" si="7"/>
        <v>0</v>
      </c>
      <c r="G135" s="1928">
        <v>1.3999999999999E-3</v>
      </c>
      <c r="H135" s="1931">
        <f>($G$9*24)/((($F$8-'KB_C&amp;S 2yr fixed'!$G135)/12)*(24-'KB_C&amp;S 2yr fixed'!F135)*'Product Data'!$P$23)</f>
        <v>0</v>
      </c>
      <c r="J135" s="1927">
        <f t="shared" si="8"/>
        <v>0</v>
      </c>
      <c r="K135" s="1928">
        <v>1.3999999999999E-3</v>
      </c>
      <c r="L135" s="1931">
        <f>($K$9*24)/((($J$8-'KB_C&amp;S 2yr fixed'!$K135)/12)*(24-'KB_C&amp;S 2yr fixed'!J135)*'Product Data'!$P$23)</f>
        <v>0</v>
      </c>
    </row>
    <row r="136" spans="2:12" x14ac:dyDescent="0.25">
      <c r="B136" s="1927">
        <f t="shared" si="6"/>
        <v>0</v>
      </c>
      <c r="C136" s="1928">
        <v>1.2999999999999E-3</v>
      </c>
      <c r="D136" s="1931">
        <f>($C$9*24)/((($B$8-C136)/12)*(24-B136)*'Product Data'!$P$23)</f>
        <v>0</v>
      </c>
      <c r="F136" s="1927">
        <f t="shared" si="7"/>
        <v>0</v>
      </c>
      <c r="G136" s="1928">
        <v>1.2999999999999E-3</v>
      </c>
      <c r="H136" s="1931">
        <f>($G$9*24)/((($F$8-'KB_C&amp;S 2yr fixed'!$G136)/12)*(24-'KB_C&amp;S 2yr fixed'!F136)*'Product Data'!$P$23)</f>
        <v>0</v>
      </c>
      <c r="J136" s="1927">
        <f t="shared" si="8"/>
        <v>0</v>
      </c>
      <c r="K136" s="1928">
        <v>1.2999999999999E-3</v>
      </c>
      <c r="L136" s="1931">
        <f>($K$9*24)/((($J$8-'KB_C&amp;S 2yr fixed'!$K136)/12)*(24-'KB_C&amp;S 2yr fixed'!J136)*'Product Data'!$P$23)</f>
        <v>0</v>
      </c>
    </row>
    <row r="137" spans="2:12" x14ac:dyDescent="0.25">
      <c r="B137" s="1927">
        <f t="shared" si="6"/>
        <v>0</v>
      </c>
      <c r="C137" s="1928">
        <v>1.1999999999998999E-3</v>
      </c>
      <c r="D137" s="1931">
        <f>($C$9*24)/((($B$8-C137)/12)*(24-B137)*'Product Data'!$P$23)</f>
        <v>0</v>
      </c>
      <c r="F137" s="1927">
        <f t="shared" si="7"/>
        <v>0</v>
      </c>
      <c r="G137" s="1928">
        <v>1.1999999999998999E-3</v>
      </c>
      <c r="H137" s="1931">
        <f>($G$9*24)/((($F$8-'KB_C&amp;S 2yr fixed'!$G137)/12)*(24-'KB_C&amp;S 2yr fixed'!F137)*'Product Data'!$P$23)</f>
        <v>0</v>
      </c>
      <c r="J137" s="1927">
        <f t="shared" si="8"/>
        <v>0</v>
      </c>
      <c r="K137" s="1928">
        <v>1.1999999999998999E-3</v>
      </c>
      <c r="L137" s="1931">
        <f>($K$9*24)/((($J$8-'KB_C&amp;S 2yr fixed'!$K137)/12)*(24-'KB_C&amp;S 2yr fixed'!J137)*'Product Data'!$P$23)</f>
        <v>0</v>
      </c>
    </row>
    <row r="138" spans="2:12" x14ac:dyDescent="0.25">
      <c r="B138" s="1927">
        <f t="shared" si="6"/>
        <v>0</v>
      </c>
      <c r="C138" s="1928">
        <v>1.0999999999999001E-3</v>
      </c>
      <c r="D138" s="1931">
        <f>($C$9*24)/((($B$8-C138)/12)*(24-B138)*'Product Data'!$P$23)</f>
        <v>0</v>
      </c>
      <c r="F138" s="1927">
        <f t="shared" si="7"/>
        <v>0</v>
      </c>
      <c r="G138" s="1928">
        <v>1.0999999999999001E-3</v>
      </c>
      <c r="H138" s="1931">
        <f>($G$9*24)/((($F$8-'KB_C&amp;S 2yr fixed'!$G138)/12)*(24-'KB_C&amp;S 2yr fixed'!F138)*'Product Data'!$P$23)</f>
        <v>0</v>
      </c>
      <c r="J138" s="1927">
        <f t="shared" si="8"/>
        <v>0</v>
      </c>
      <c r="K138" s="1928">
        <v>1.0999999999999001E-3</v>
      </c>
      <c r="L138" s="1931">
        <f>($K$9*24)/((($J$8-'KB_C&amp;S 2yr fixed'!$K138)/12)*(24-'KB_C&amp;S 2yr fixed'!J138)*'Product Data'!$P$23)</f>
        <v>0</v>
      </c>
    </row>
    <row r="139" spans="2:12" x14ac:dyDescent="0.25">
      <c r="B139" s="1927">
        <f t="shared" si="6"/>
        <v>0</v>
      </c>
      <c r="C139" s="1928">
        <v>9.9999999999990006E-4</v>
      </c>
      <c r="D139" s="1931">
        <f>($C$9*24)/((($B$8-C139)/12)*(24-B139)*'Product Data'!$P$23)</f>
        <v>0</v>
      </c>
      <c r="F139" s="1927">
        <f t="shared" si="7"/>
        <v>0</v>
      </c>
      <c r="G139" s="1928">
        <v>9.9999999999990006E-4</v>
      </c>
      <c r="H139" s="1931">
        <f>($G$9*24)/((($F$8-'KB_C&amp;S 2yr fixed'!$G139)/12)*(24-'KB_C&amp;S 2yr fixed'!F139)*'Product Data'!$P$23)</f>
        <v>0</v>
      </c>
      <c r="J139" s="1927">
        <f t="shared" si="8"/>
        <v>0</v>
      </c>
      <c r="K139" s="1928">
        <v>9.9999999999990006E-4</v>
      </c>
      <c r="L139" s="1931">
        <f>($K$9*24)/((($J$8-'KB_C&amp;S 2yr fixed'!$K139)/12)*(24-'KB_C&amp;S 2yr fixed'!J139)*'Product Data'!$P$23)</f>
        <v>0</v>
      </c>
    </row>
    <row r="140" spans="2:12" x14ac:dyDescent="0.25">
      <c r="B140" s="1927">
        <f t="shared" si="6"/>
        <v>0</v>
      </c>
      <c r="C140" s="1928">
        <v>8.9999999999990099E-4</v>
      </c>
      <c r="D140" s="1931">
        <f>($C$9*24)/((($B$8-C140)/12)*(24-B140)*'Product Data'!$P$23)</f>
        <v>0</v>
      </c>
      <c r="F140" s="1927">
        <f t="shared" si="7"/>
        <v>0</v>
      </c>
      <c r="G140" s="1928">
        <v>8.9999999999990099E-4</v>
      </c>
      <c r="H140" s="1931">
        <f>($G$9*24)/((($F$8-'KB_C&amp;S 2yr fixed'!$G140)/12)*(24-'KB_C&amp;S 2yr fixed'!F140)*'Product Data'!$P$23)</f>
        <v>0</v>
      </c>
      <c r="J140" s="1927">
        <f t="shared" si="8"/>
        <v>0</v>
      </c>
      <c r="K140" s="1928">
        <v>8.9999999999990099E-4</v>
      </c>
      <c r="L140" s="1931">
        <f>($K$9*24)/((($J$8-'KB_C&amp;S 2yr fixed'!$K140)/12)*(24-'KB_C&amp;S 2yr fixed'!J140)*'Product Data'!$P$23)</f>
        <v>0</v>
      </c>
    </row>
    <row r="141" spans="2:12" x14ac:dyDescent="0.25">
      <c r="B141" s="1927">
        <f t="shared" si="6"/>
        <v>0</v>
      </c>
      <c r="C141" s="1928">
        <v>7.9999999999990105E-4</v>
      </c>
      <c r="D141" s="1931">
        <f>($C$9*24)/((($B$8-C141)/12)*(24-B141)*'Product Data'!$P$23)</f>
        <v>0</v>
      </c>
      <c r="F141" s="1927">
        <f t="shared" si="7"/>
        <v>0</v>
      </c>
      <c r="G141" s="1928">
        <v>7.9999999999990105E-4</v>
      </c>
      <c r="H141" s="1931">
        <f>($G$9*24)/((($F$8-'KB_C&amp;S 2yr fixed'!$G141)/12)*(24-'KB_C&amp;S 2yr fixed'!F141)*'Product Data'!$P$23)</f>
        <v>0</v>
      </c>
      <c r="J141" s="1927">
        <f t="shared" si="8"/>
        <v>0</v>
      </c>
      <c r="K141" s="1928">
        <v>7.9999999999990105E-4</v>
      </c>
      <c r="L141" s="1931">
        <f>($K$9*24)/((($J$8-'KB_C&amp;S 2yr fixed'!$K141)/12)*(24-'KB_C&amp;S 2yr fixed'!J141)*'Product Data'!$P$23)</f>
        <v>0</v>
      </c>
    </row>
    <row r="142" spans="2:12" x14ac:dyDescent="0.25">
      <c r="B142" s="1927">
        <f t="shared" si="6"/>
        <v>0</v>
      </c>
      <c r="C142" s="1928">
        <v>6.9999999999990003E-4</v>
      </c>
      <c r="D142" s="1931">
        <f>($C$9*24)/((($B$8-C142)/12)*(24-B142)*'Product Data'!$P$23)</f>
        <v>0</v>
      </c>
      <c r="F142" s="1927">
        <f t="shared" si="7"/>
        <v>0</v>
      </c>
      <c r="G142" s="1928">
        <v>6.9999999999990003E-4</v>
      </c>
      <c r="H142" s="1931">
        <f>($G$9*24)/((($F$8-'KB_C&amp;S 2yr fixed'!$G142)/12)*(24-'KB_C&amp;S 2yr fixed'!F142)*'Product Data'!$P$23)</f>
        <v>0</v>
      </c>
      <c r="J142" s="1927">
        <f t="shared" si="8"/>
        <v>0</v>
      </c>
      <c r="K142" s="1928">
        <v>6.9999999999990003E-4</v>
      </c>
      <c r="L142" s="1931">
        <f>($K$9*24)/((($J$8-'KB_C&amp;S 2yr fixed'!$K142)/12)*(24-'KB_C&amp;S 2yr fixed'!J142)*'Product Data'!$P$23)</f>
        <v>0</v>
      </c>
    </row>
    <row r="143" spans="2:12" x14ac:dyDescent="0.25">
      <c r="B143" s="1927">
        <f t="shared" si="6"/>
        <v>0</v>
      </c>
      <c r="C143" s="1928">
        <v>5.9999999999990096E-4</v>
      </c>
      <c r="D143" s="1931">
        <f>($C$9*24)/((($B$8-C143)/12)*(24-B143)*'Product Data'!$P$23)</f>
        <v>0</v>
      </c>
      <c r="F143" s="1927">
        <f t="shared" si="7"/>
        <v>0</v>
      </c>
      <c r="G143" s="1928">
        <v>5.9999999999990096E-4</v>
      </c>
      <c r="H143" s="1931">
        <f>($G$9*24)/((($F$8-'KB_C&amp;S 2yr fixed'!$G143)/12)*(24-'KB_C&amp;S 2yr fixed'!F143)*'Product Data'!$P$23)</f>
        <v>0</v>
      </c>
      <c r="J143" s="1927">
        <f t="shared" si="8"/>
        <v>0</v>
      </c>
      <c r="K143" s="1928">
        <v>5.9999999999990096E-4</v>
      </c>
      <c r="L143" s="1931">
        <f>($K$9*24)/((($J$8-'KB_C&amp;S 2yr fixed'!$K143)/12)*(24-'KB_C&amp;S 2yr fixed'!J143)*'Product Data'!$P$23)</f>
        <v>0</v>
      </c>
    </row>
    <row r="144" spans="2:12" x14ac:dyDescent="0.25">
      <c r="B144" s="1927">
        <f t="shared" si="6"/>
        <v>0</v>
      </c>
      <c r="C144" s="1928">
        <v>4.9999999999990005E-4</v>
      </c>
      <c r="D144" s="1931">
        <f>($C$9*24)/((($B$8-C144)/12)*(24-B144)*'Product Data'!$P$23)</f>
        <v>0</v>
      </c>
      <c r="F144" s="1927">
        <f t="shared" si="7"/>
        <v>0</v>
      </c>
      <c r="G144" s="1928">
        <v>4.9999999999990005E-4</v>
      </c>
      <c r="H144" s="1931">
        <f>($G$9*24)/((($F$8-'KB_C&amp;S 2yr fixed'!$G144)/12)*(24-'KB_C&amp;S 2yr fixed'!F144)*'Product Data'!$P$23)</f>
        <v>0</v>
      </c>
      <c r="J144" s="1927">
        <f t="shared" si="8"/>
        <v>0</v>
      </c>
      <c r="K144" s="1928">
        <v>4.9999999999990005E-4</v>
      </c>
      <c r="L144" s="1931">
        <f>($K$9*24)/((($J$8-'KB_C&amp;S 2yr fixed'!$K144)/12)*(24-'KB_C&amp;S 2yr fixed'!J144)*'Product Data'!$P$23)</f>
        <v>0</v>
      </c>
    </row>
    <row r="145" spans="2:12" x14ac:dyDescent="0.25">
      <c r="B145" s="1927">
        <f t="shared" si="6"/>
        <v>0</v>
      </c>
      <c r="C145" s="1928">
        <v>3.999999999999E-4</v>
      </c>
      <c r="D145" s="1931">
        <f>($C$9*24)/((($B$8-C145)/12)*(24-B145)*'Product Data'!$P$23)</f>
        <v>0</v>
      </c>
      <c r="F145" s="1927">
        <f t="shared" si="7"/>
        <v>0</v>
      </c>
      <c r="G145" s="1928">
        <v>3.999999999999E-4</v>
      </c>
      <c r="H145" s="1931">
        <f>($G$9*24)/((($F$8-'KB_C&amp;S 2yr fixed'!$G145)/12)*(24-'KB_C&amp;S 2yr fixed'!F145)*'Product Data'!$P$23)</f>
        <v>0</v>
      </c>
      <c r="J145" s="1927">
        <f t="shared" si="8"/>
        <v>0</v>
      </c>
      <c r="K145" s="1928">
        <v>3.999999999999E-4</v>
      </c>
      <c r="L145" s="1931">
        <f>($K$9*24)/((($J$8-'KB_C&amp;S 2yr fixed'!$K145)/12)*(24-'KB_C&amp;S 2yr fixed'!J145)*'Product Data'!$P$23)</f>
        <v>0</v>
      </c>
    </row>
    <row r="146" spans="2:12" x14ac:dyDescent="0.25">
      <c r="B146" s="1927">
        <f t="shared" si="6"/>
        <v>0</v>
      </c>
      <c r="C146" s="1928">
        <v>2.9999999999990099E-4</v>
      </c>
      <c r="D146" s="1931">
        <f>($C$9*24)/((($B$8-C146)/12)*(24-B146)*'Product Data'!$P$23)</f>
        <v>0</v>
      </c>
      <c r="F146" s="1927">
        <f t="shared" si="7"/>
        <v>0</v>
      </c>
      <c r="G146" s="1928">
        <v>2.9999999999990099E-4</v>
      </c>
      <c r="H146" s="1931">
        <f>($G$9*24)/((($F$8-'KB_C&amp;S 2yr fixed'!$G146)/12)*(24-'KB_C&amp;S 2yr fixed'!F146)*'Product Data'!$P$23)</f>
        <v>0</v>
      </c>
      <c r="J146" s="1927">
        <f t="shared" si="8"/>
        <v>0</v>
      </c>
      <c r="K146" s="1928">
        <v>2.9999999999990099E-4</v>
      </c>
      <c r="L146" s="1931">
        <f>($K$9*24)/((($J$8-'KB_C&amp;S 2yr fixed'!$K146)/12)*(24-'KB_C&amp;S 2yr fixed'!J146)*'Product Data'!$P$23)</f>
        <v>0</v>
      </c>
    </row>
    <row r="147" spans="2:12" x14ac:dyDescent="0.25">
      <c r="B147" s="1927">
        <f t="shared" si="6"/>
        <v>0</v>
      </c>
      <c r="C147" s="1928">
        <v>1.9999999999989999E-4</v>
      </c>
      <c r="D147" s="1931">
        <f>($C$9*24)/((($B$8-C147)/12)*(24-B147)*'Product Data'!$P$23)</f>
        <v>0</v>
      </c>
      <c r="F147" s="1927">
        <f t="shared" si="7"/>
        <v>0</v>
      </c>
      <c r="G147" s="1928">
        <v>1.9999999999989999E-4</v>
      </c>
      <c r="H147" s="1931">
        <f>($G$9*24)/((($F$8-'KB_C&amp;S 2yr fixed'!$G147)/12)*(24-'KB_C&amp;S 2yr fixed'!F147)*'Product Data'!$P$23)</f>
        <v>0</v>
      </c>
      <c r="J147" s="1927">
        <f t="shared" si="8"/>
        <v>0</v>
      </c>
      <c r="K147" s="1928">
        <v>1.9999999999989999E-4</v>
      </c>
      <c r="L147" s="1931">
        <f>($K$9*24)/((($J$8-'KB_C&amp;S 2yr fixed'!$K147)/12)*(24-'KB_C&amp;S 2yr fixed'!J147)*'Product Data'!$P$23)</f>
        <v>0</v>
      </c>
    </row>
    <row r="148" spans="2:12" x14ac:dyDescent="0.25">
      <c r="B148" s="1927">
        <f t="shared" si="6"/>
        <v>0</v>
      </c>
      <c r="C148" s="1928">
        <v>9.9999999999900502E-5</v>
      </c>
      <c r="D148" s="1931">
        <f>($C$9*24)/((($B$8-C148)/12)*(24-B148)*'Product Data'!$P$23)</f>
        <v>0</v>
      </c>
      <c r="F148" s="1927">
        <f t="shared" si="7"/>
        <v>0</v>
      </c>
      <c r="G148" s="1928">
        <v>9.9999999999900502E-5</v>
      </c>
      <c r="H148" s="1931">
        <f>($G$9*24)/((($F$8-'KB_C&amp;S 2yr fixed'!$G148)/12)*(24-'KB_C&amp;S 2yr fixed'!F148)*'Product Data'!$P$23)</f>
        <v>0</v>
      </c>
      <c r="J148" s="1927">
        <f t="shared" si="8"/>
        <v>0</v>
      </c>
      <c r="K148" s="1928">
        <v>9.9999999999900502E-5</v>
      </c>
      <c r="L148" s="1931">
        <f>($K$9*24)/((($J$8-'KB_C&amp;S 2yr fixed'!$K148)/12)*(24-'KB_C&amp;S 2yr fixed'!J148)*'Product Data'!$P$23)</f>
        <v>0</v>
      </c>
    </row>
    <row r="149" spans="2:12" x14ac:dyDescent="0.25">
      <c r="B149" s="1927">
        <f t="shared" si="6"/>
        <v>0</v>
      </c>
      <c r="C149" s="1928">
        <v>-9.8879238130678004E-17</v>
      </c>
      <c r="D149" s="1931">
        <f>($C$9*24)/((($B$8-C149)/12)*(24-B149)*'Product Data'!$P$23)</f>
        <v>0</v>
      </c>
      <c r="F149" s="1927">
        <f t="shared" si="7"/>
        <v>0</v>
      </c>
      <c r="G149" s="1928">
        <v>-9.8879238130678004E-17</v>
      </c>
      <c r="H149" s="1931">
        <f>($G$9*24)/((($F$8-'KB_C&amp;S 2yr fixed'!$G149)/12)*(24-'KB_C&amp;S 2yr fixed'!F149)*'Product Data'!$P$23)</f>
        <v>0</v>
      </c>
      <c r="J149" s="1927">
        <f t="shared" si="8"/>
        <v>0</v>
      </c>
      <c r="K149" s="1928">
        <v>-9.8879238130678004E-17</v>
      </c>
      <c r="L149" s="1931">
        <f>($K$9*24)/((($J$8-'KB_C&amp;S 2yr fixed'!$K149)/12)*(24-'KB_C&amp;S 2yr fixed'!J149)*'Product Data'!$P$23)</f>
        <v>0</v>
      </c>
    </row>
    <row r="150" spans="2:12" x14ac:dyDescent="0.25">
      <c r="B150" s="1927"/>
      <c r="C150" s="1928"/>
      <c r="D150" s="1931"/>
      <c r="F150" s="1927"/>
      <c r="G150" s="1928"/>
      <c r="H150" s="1931"/>
      <c r="J150" s="1927"/>
      <c r="K150" s="1928"/>
      <c r="L150" s="1931"/>
    </row>
    <row r="151" spans="2:12" x14ac:dyDescent="0.25">
      <c r="B151" s="1927"/>
      <c r="C151" s="1928"/>
      <c r="D151" s="1931"/>
      <c r="F151" s="1927"/>
      <c r="G151" s="1928"/>
      <c r="H151" s="1931"/>
      <c r="J151" s="1927"/>
      <c r="K151" s="1928"/>
      <c r="L151" s="1931"/>
    </row>
    <row r="152" spans="2:12" x14ac:dyDescent="0.25">
      <c r="B152" s="1927"/>
      <c r="C152" s="1928"/>
      <c r="D152" s="1931"/>
      <c r="F152" s="1927"/>
      <c r="G152" s="1928"/>
      <c r="H152" s="1931"/>
      <c r="J152" s="1927"/>
      <c r="K152" s="1928"/>
      <c r="L152" s="1931"/>
    </row>
    <row r="153" spans="2:12" x14ac:dyDescent="0.25">
      <c r="B153" s="1927"/>
      <c r="C153" s="1928"/>
      <c r="D153" s="1931"/>
      <c r="F153" s="1927"/>
      <c r="G153" s="1928"/>
      <c r="H153" s="1931"/>
      <c r="J153" s="1927"/>
      <c r="K153" s="1928"/>
      <c r="L153" s="1931"/>
    </row>
    <row r="154" spans="2:12" x14ac:dyDescent="0.25">
      <c r="B154" s="1927"/>
      <c r="C154" s="1928"/>
      <c r="D154" s="1931"/>
      <c r="F154" s="1927"/>
      <c r="G154" s="1928"/>
      <c r="H154" s="1931"/>
      <c r="J154" s="1927"/>
      <c r="K154" s="1928"/>
      <c r="L154" s="1931"/>
    </row>
    <row r="155" spans="2:12" x14ac:dyDescent="0.25">
      <c r="B155" s="1927"/>
      <c r="C155" s="1928"/>
      <c r="D155" s="1931"/>
      <c r="F155" s="1927"/>
      <c r="G155" s="1928"/>
      <c r="H155" s="1931"/>
      <c r="J155" s="1927"/>
      <c r="K155" s="1928"/>
      <c r="L155" s="1931"/>
    </row>
    <row r="156" spans="2:12" x14ac:dyDescent="0.25">
      <c r="B156" s="1927"/>
      <c r="C156" s="1928"/>
      <c r="D156" s="1931"/>
      <c r="F156" s="1927"/>
      <c r="G156" s="1928"/>
      <c r="H156" s="1931"/>
      <c r="J156" s="1927"/>
      <c r="K156" s="1928"/>
      <c r="L156" s="1931"/>
    </row>
    <row r="157" spans="2:12" x14ac:dyDescent="0.25">
      <c r="B157" s="1927"/>
      <c r="C157" s="1928"/>
      <c r="D157" s="1931"/>
      <c r="F157" s="1927"/>
      <c r="G157" s="1928"/>
      <c r="H157" s="1931"/>
      <c r="J157" s="1927"/>
      <c r="K157" s="1928"/>
      <c r="L157" s="1931"/>
    </row>
    <row r="158" spans="2:12" x14ac:dyDescent="0.25">
      <c r="B158" s="1927"/>
      <c r="C158" s="1928"/>
      <c r="D158" s="1931"/>
      <c r="F158" s="1927"/>
      <c r="G158" s="1928"/>
      <c r="H158" s="1931"/>
      <c r="J158" s="1927"/>
      <c r="K158" s="1928"/>
      <c r="L158" s="1931"/>
    </row>
    <row r="159" spans="2:12" x14ac:dyDescent="0.25">
      <c r="B159" s="1927"/>
      <c r="C159" s="1928"/>
      <c r="D159" s="1931"/>
      <c r="F159" s="1927"/>
      <c r="G159" s="1928"/>
      <c r="H159" s="1931"/>
      <c r="J159" s="1927"/>
      <c r="K159" s="1928"/>
      <c r="L159" s="1931"/>
    </row>
    <row r="160" spans="2:12" x14ac:dyDescent="0.25">
      <c r="B160" s="1927"/>
      <c r="C160" s="1928"/>
      <c r="D160" s="1931"/>
      <c r="F160" s="1927"/>
      <c r="G160" s="1928"/>
      <c r="H160" s="1931"/>
      <c r="J160" s="1927"/>
      <c r="K160" s="1928"/>
      <c r="L160" s="1931"/>
    </row>
    <row r="161" spans="2:12" x14ac:dyDescent="0.25">
      <c r="B161" s="1927"/>
      <c r="C161" s="1928"/>
      <c r="D161" s="1931"/>
      <c r="F161" s="1927"/>
      <c r="G161" s="1928"/>
      <c r="H161" s="1931"/>
      <c r="J161" s="1927"/>
      <c r="K161" s="1928"/>
      <c r="L161" s="1931"/>
    </row>
    <row r="162" spans="2:12" x14ac:dyDescent="0.25">
      <c r="B162" s="1927"/>
      <c r="C162" s="1928"/>
      <c r="D162" s="1931"/>
      <c r="F162" s="1927"/>
      <c r="G162" s="1928"/>
      <c r="H162" s="1931"/>
      <c r="J162" s="1927"/>
      <c r="K162" s="1928"/>
      <c r="L162" s="1931"/>
    </row>
    <row r="163" spans="2:12" x14ac:dyDescent="0.25">
      <c r="B163" s="1927"/>
      <c r="C163" s="1928"/>
      <c r="D163" s="1931"/>
      <c r="F163" s="1927"/>
      <c r="G163" s="1928"/>
      <c r="H163" s="1931"/>
      <c r="J163" s="1927"/>
      <c r="K163" s="1928"/>
      <c r="L163" s="1931"/>
    </row>
    <row r="164" spans="2:12" x14ac:dyDescent="0.25">
      <c r="B164" s="1927"/>
      <c r="C164" s="1928"/>
      <c r="D164" s="1931"/>
      <c r="F164" s="1927"/>
      <c r="G164" s="1928"/>
      <c r="H164" s="1931"/>
      <c r="J164" s="1927"/>
      <c r="K164" s="1928"/>
      <c r="L164" s="1931"/>
    </row>
    <row r="165" spans="2:12" x14ac:dyDescent="0.25">
      <c r="B165" s="1927"/>
      <c r="C165" s="1928"/>
      <c r="D165" s="1931"/>
      <c r="F165" s="1927"/>
      <c r="G165" s="1928"/>
      <c r="H165" s="1931"/>
      <c r="J165" s="1927"/>
      <c r="K165" s="1928"/>
      <c r="L165" s="1931"/>
    </row>
    <row r="166" spans="2:12" x14ac:dyDescent="0.25">
      <c r="B166" s="1927"/>
      <c r="C166" s="1928"/>
      <c r="D166" s="1931"/>
      <c r="F166" s="1927"/>
      <c r="G166" s="1928"/>
      <c r="H166" s="1931"/>
      <c r="J166" s="1927"/>
      <c r="K166" s="1928"/>
      <c r="L166" s="1931"/>
    </row>
    <row r="167" spans="2:12" x14ac:dyDescent="0.25">
      <c r="B167" s="1927"/>
      <c r="C167" s="1928"/>
      <c r="D167" s="1931"/>
      <c r="F167" s="1927"/>
      <c r="G167" s="1928"/>
      <c r="H167" s="1931"/>
      <c r="J167" s="1927"/>
      <c r="K167" s="1928"/>
      <c r="L167" s="1931"/>
    </row>
    <row r="168" spans="2:12" x14ac:dyDescent="0.25">
      <c r="B168" s="1927"/>
      <c r="C168" s="1928"/>
      <c r="D168" s="1931"/>
      <c r="F168" s="1927"/>
      <c r="G168" s="1928"/>
      <c r="H168" s="1931"/>
      <c r="J168" s="1927"/>
      <c r="K168" s="1928"/>
      <c r="L168" s="1931"/>
    </row>
    <row r="169" spans="2:12" x14ac:dyDescent="0.25">
      <c r="B169" s="1927"/>
      <c r="C169" s="1928"/>
      <c r="D169" s="1931"/>
      <c r="F169" s="1927"/>
      <c r="G169" s="1928"/>
      <c r="H169" s="1931"/>
      <c r="J169" s="1927"/>
      <c r="K169" s="1928"/>
      <c r="L169" s="1931"/>
    </row>
    <row r="170" spans="2:12" x14ac:dyDescent="0.25">
      <c r="B170" s="1927"/>
      <c r="C170" s="1928"/>
      <c r="D170" s="1931"/>
      <c r="F170" s="1927"/>
      <c r="G170" s="1928"/>
      <c r="H170" s="1931"/>
      <c r="J170" s="1927"/>
      <c r="K170" s="1928"/>
      <c r="L170" s="1931"/>
    </row>
    <row r="171" spans="2:12" x14ac:dyDescent="0.25">
      <c r="B171" s="1927"/>
      <c r="C171" s="1928"/>
      <c r="D171" s="1931"/>
      <c r="F171" s="1927"/>
      <c r="G171" s="1928"/>
      <c r="H171" s="1931"/>
      <c r="J171" s="1927"/>
      <c r="K171" s="1928"/>
      <c r="L171" s="1931"/>
    </row>
    <row r="172" spans="2:12" x14ac:dyDescent="0.25">
      <c r="B172" s="1927"/>
      <c r="C172" s="1928"/>
      <c r="D172" s="1931"/>
      <c r="F172" s="1927"/>
      <c r="G172" s="1928"/>
      <c r="H172" s="1931"/>
      <c r="J172" s="1927"/>
      <c r="K172" s="1928"/>
      <c r="L172" s="1931"/>
    </row>
    <row r="173" spans="2:12" x14ac:dyDescent="0.25">
      <c r="B173" s="1927"/>
      <c r="C173" s="1928"/>
      <c r="D173" s="1931"/>
      <c r="F173" s="1927"/>
      <c r="G173" s="1928"/>
      <c r="H173" s="1931"/>
      <c r="J173" s="1927"/>
      <c r="K173" s="1928"/>
      <c r="L173" s="1931"/>
    </row>
    <row r="174" spans="2:12" x14ac:dyDescent="0.25">
      <c r="B174" s="1927"/>
      <c r="C174" s="1928"/>
      <c r="D174" s="1931"/>
      <c r="F174" s="1927"/>
      <c r="G174" s="1928"/>
      <c r="H174" s="1931"/>
      <c r="J174" s="1927"/>
      <c r="K174" s="1928"/>
      <c r="L174" s="1931"/>
    </row>
    <row r="175" spans="2:12" x14ac:dyDescent="0.25">
      <c r="D175" s="2259"/>
      <c r="G175" s="2260"/>
      <c r="H175" s="2259"/>
      <c r="K175" s="2260"/>
      <c r="L175" s="2259"/>
    </row>
    <row r="176" spans="2:12" x14ac:dyDescent="0.25">
      <c r="D176" s="2259"/>
      <c r="G176" s="2260"/>
      <c r="H176" s="2259"/>
      <c r="K176" s="2260"/>
      <c r="L176" s="2259"/>
    </row>
    <row r="177" spans="4:12" x14ac:dyDescent="0.25">
      <c r="D177" s="2259"/>
      <c r="G177" s="2260"/>
      <c r="H177" s="2259"/>
      <c r="K177" s="2260"/>
      <c r="L177" s="2259"/>
    </row>
    <row r="178" spans="4:12" x14ac:dyDescent="0.25">
      <c r="D178" s="2259"/>
      <c r="G178" s="2260"/>
      <c r="H178" s="2259"/>
      <c r="K178" s="2260"/>
      <c r="L178" s="2259"/>
    </row>
    <row r="179" spans="4:12" x14ac:dyDescent="0.25">
      <c r="D179" s="2259"/>
      <c r="G179" s="2260"/>
      <c r="H179" s="2259"/>
      <c r="K179" s="2260"/>
      <c r="L179" s="2259"/>
    </row>
    <row r="180" spans="4:12" x14ac:dyDescent="0.25">
      <c r="D180" s="2259"/>
      <c r="G180" s="2260"/>
      <c r="H180" s="2259"/>
      <c r="K180" s="2260"/>
      <c r="L180" s="2259"/>
    </row>
    <row r="181" spans="4:12" x14ac:dyDescent="0.25">
      <c r="D181" s="2259"/>
      <c r="G181" s="2260"/>
      <c r="H181" s="2259"/>
      <c r="K181" s="2260"/>
      <c r="L181" s="2259"/>
    </row>
    <row r="182" spans="4:12" x14ac:dyDescent="0.25">
      <c r="D182" s="2259"/>
      <c r="G182" s="2260"/>
      <c r="H182" s="2259"/>
      <c r="K182" s="2260"/>
      <c r="L182" s="2259"/>
    </row>
    <row r="183" spans="4:12" x14ac:dyDescent="0.25">
      <c r="D183" s="2259"/>
      <c r="G183" s="2260"/>
      <c r="H183" s="2259"/>
      <c r="K183" s="2260"/>
      <c r="L183" s="2259"/>
    </row>
    <row r="184" spans="4:12" x14ac:dyDescent="0.25">
      <c r="D184" s="2259"/>
      <c r="G184" s="2260"/>
      <c r="H184" s="2259"/>
      <c r="K184" s="2260"/>
      <c r="L184" s="2259"/>
    </row>
    <row r="185" spans="4:12" x14ac:dyDescent="0.25">
      <c r="D185" s="2259"/>
      <c r="G185" s="2260"/>
      <c r="H185" s="2259"/>
      <c r="K185" s="2260"/>
      <c r="L185" s="2259"/>
    </row>
    <row r="186" spans="4:12" x14ac:dyDescent="0.25">
      <c r="D186" s="2259"/>
      <c r="G186" s="2260"/>
      <c r="H186" s="2259"/>
      <c r="K186" s="2260"/>
      <c r="L186" s="2259"/>
    </row>
    <row r="187" spans="4:12" x14ac:dyDescent="0.25">
      <c r="D187" s="2259"/>
      <c r="G187" s="2260"/>
      <c r="H187" s="2259"/>
      <c r="K187" s="2260"/>
      <c r="L187" s="2259"/>
    </row>
    <row r="188" spans="4:12" x14ac:dyDescent="0.25">
      <c r="D188" s="2259"/>
      <c r="G188" s="2260"/>
      <c r="H188" s="2259"/>
      <c r="K188" s="2260"/>
      <c r="L188" s="2259"/>
    </row>
    <row r="189" spans="4:12" x14ac:dyDescent="0.25">
      <c r="D189" s="2259"/>
      <c r="G189" s="2260"/>
      <c r="H189" s="2259"/>
      <c r="K189" s="2260"/>
      <c r="L189" s="2259"/>
    </row>
    <row r="190" spans="4:12" x14ac:dyDescent="0.25">
      <c r="D190" s="2259"/>
      <c r="G190" s="2260"/>
      <c r="H190" s="2259"/>
      <c r="K190" s="2260"/>
      <c r="L190" s="2259"/>
    </row>
    <row r="191" spans="4:12" x14ac:dyDescent="0.25">
      <c r="D191" s="2259"/>
      <c r="G191" s="2260"/>
      <c r="H191" s="2259"/>
      <c r="K191" s="2260"/>
      <c r="L191" s="2259"/>
    </row>
    <row r="192" spans="4:12" x14ac:dyDescent="0.25">
      <c r="D192" s="2259"/>
      <c r="G192" s="2260"/>
      <c r="H192" s="2259"/>
      <c r="K192" s="2260"/>
      <c r="L192" s="2259"/>
    </row>
    <row r="193" spans="4:12" x14ac:dyDescent="0.25">
      <c r="D193" s="2259"/>
      <c r="G193" s="2260"/>
      <c r="H193" s="2259"/>
      <c r="K193" s="2260"/>
      <c r="L193" s="2259"/>
    </row>
    <row r="194" spans="4:12" x14ac:dyDescent="0.25">
      <c r="D194" s="2259"/>
      <c r="G194" s="2260"/>
      <c r="H194" s="2259"/>
      <c r="K194" s="2260"/>
      <c r="L194" s="2259"/>
    </row>
    <row r="195" spans="4:12" x14ac:dyDescent="0.25">
      <c r="D195" s="2259"/>
      <c r="G195" s="2260"/>
      <c r="H195" s="2259"/>
      <c r="K195" s="2260"/>
      <c r="L195" s="2259"/>
    </row>
    <row r="196" spans="4:12" x14ac:dyDescent="0.25">
      <c r="D196" s="2259"/>
      <c r="G196" s="2260"/>
      <c r="H196" s="2259"/>
      <c r="K196" s="2260"/>
      <c r="L196" s="2259"/>
    </row>
    <row r="197" spans="4:12" x14ac:dyDescent="0.25">
      <c r="D197" s="2259"/>
      <c r="G197" s="2260"/>
      <c r="H197" s="2259"/>
      <c r="K197" s="2260"/>
      <c r="L197" s="2259"/>
    </row>
    <row r="198" spans="4:12" x14ac:dyDescent="0.25">
      <c r="D198" s="2259"/>
      <c r="G198" s="2260"/>
      <c r="H198" s="2259"/>
      <c r="K198" s="2260"/>
      <c r="L198" s="2259"/>
    </row>
    <row r="199" spans="4:12" x14ac:dyDescent="0.25">
      <c r="D199" s="2259"/>
      <c r="G199" s="2260"/>
      <c r="H199" s="2259"/>
      <c r="K199" s="2260"/>
      <c r="L199" s="2259"/>
    </row>
    <row r="200" spans="4:12" x14ac:dyDescent="0.25">
      <c r="D200" s="2259"/>
      <c r="G200" s="2260"/>
      <c r="H200" s="2259"/>
      <c r="K200" s="2260"/>
      <c r="L200" s="2259"/>
    </row>
    <row r="201" spans="4:12" x14ac:dyDescent="0.25">
      <c r="D201" s="2259"/>
      <c r="G201" s="2260"/>
      <c r="H201" s="2259"/>
      <c r="K201" s="2260"/>
      <c r="L201" s="2259"/>
    </row>
    <row r="202" spans="4:12" x14ac:dyDescent="0.25">
      <c r="D202" s="2259"/>
      <c r="G202" s="2260"/>
      <c r="H202" s="2259"/>
      <c r="K202" s="2260"/>
      <c r="L202" s="2259"/>
    </row>
    <row r="203" spans="4:12" x14ac:dyDescent="0.25">
      <c r="D203" s="2259"/>
      <c r="G203" s="2260"/>
      <c r="H203" s="2259"/>
      <c r="K203" s="2260"/>
      <c r="L203" s="2259"/>
    </row>
    <row r="204" spans="4:12" x14ac:dyDescent="0.25">
      <c r="D204" s="2259"/>
      <c r="G204" s="2260"/>
      <c r="H204" s="2259"/>
      <c r="K204" s="2260"/>
      <c r="L204" s="2259"/>
    </row>
    <row r="205" spans="4:12" x14ac:dyDescent="0.25">
      <c r="D205" s="2259"/>
      <c r="G205" s="2260"/>
      <c r="H205" s="2259"/>
      <c r="K205" s="2260"/>
      <c r="L205" s="2259"/>
    </row>
    <row r="206" spans="4:12" x14ac:dyDescent="0.25">
      <c r="D206" s="2259"/>
      <c r="G206" s="2260"/>
      <c r="H206" s="2259"/>
      <c r="K206" s="2260"/>
      <c r="L206" s="2259"/>
    </row>
    <row r="207" spans="4:12" x14ac:dyDescent="0.25">
      <c r="D207" s="2259"/>
      <c r="G207" s="2260"/>
      <c r="H207" s="2259"/>
      <c r="K207" s="2260"/>
      <c r="L207" s="2259"/>
    </row>
    <row r="208" spans="4:12" x14ac:dyDescent="0.25">
      <c r="D208" s="2259"/>
      <c r="G208" s="2260"/>
      <c r="H208" s="2259"/>
      <c r="K208" s="2260"/>
      <c r="L208" s="2259"/>
    </row>
    <row r="209" spans="4:12" x14ac:dyDescent="0.25">
      <c r="D209" s="2259"/>
      <c r="G209" s="2260"/>
      <c r="H209" s="2259"/>
      <c r="K209" s="2260"/>
      <c r="L209" s="2259"/>
    </row>
    <row r="210" spans="4:12" x14ac:dyDescent="0.25">
      <c r="D210" s="2259"/>
      <c r="G210" s="2260"/>
      <c r="H210" s="2259"/>
      <c r="K210" s="2260"/>
      <c r="L210" s="2259"/>
    </row>
    <row r="211" spans="4:12" x14ac:dyDescent="0.25">
      <c r="D211" s="2259"/>
      <c r="G211" s="2260"/>
      <c r="H211" s="2259"/>
      <c r="K211" s="2260"/>
      <c r="L211" s="2259"/>
    </row>
    <row r="212" spans="4:12" x14ac:dyDescent="0.25">
      <c r="D212" s="2259"/>
      <c r="G212" s="2260"/>
      <c r="H212" s="2259"/>
      <c r="K212" s="2260"/>
      <c r="L212" s="2259"/>
    </row>
    <row r="213" spans="4:12" x14ac:dyDescent="0.25">
      <c r="D213" s="2259"/>
      <c r="G213" s="2260"/>
      <c r="H213" s="2259"/>
      <c r="K213" s="2260"/>
      <c r="L213" s="2259"/>
    </row>
    <row r="214" spans="4:12" x14ac:dyDescent="0.25">
      <c r="D214" s="2259"/>
      <c r="G214" s="2260"/>
      <c r="H214" s="2259"/>
      <c r="K214" s="2260"/>
      <c r="L214" s="2259"/>
    </row>
    <row r="215" spans="4:12" x14ac:dyDescent="0.25">
      <c r="D215" s="2259"/>
      <c r="G215" s="2260"/>
      <c r="H215" s="2259"/>
      <c r="K215" s="2260"/>
      <c r="L215" s="2259"/>
    </row>
    <row r="216" spans="4:12" x14ac:dyDescent="0.25">
      <c r="D216" s="2259"/>
      <c r="G216" s="2260"/>
      <c r="H216" s="2259"/>
      <c r="K216" s="2260"/>
      <c r="L216" s="2259"/>
    </row>
    <row r="217" spans="4:12" x14ac:dyDescent="0.25">
      <c r="D217" s="2259"/>
      <c r="G217" s="2260"/>
      <c r="H217" s="2259"/>
      <c r="K217" s="2260"/>
      <c r="L217" s="2259"/>
    </row>
    <row r="218" spans="4:12" x14ac:dyDescent="0.25">
      <c r="D218" s="2259"/>
      <c r="G218" s="2260"/>
      <c r="H218" s="2259"/>
      <c r="K218" s="2260"/>
      <c r="L218" s="2259"/>
    </row>
    <row r="219" spans="4:12" x14ac:dyDescent="0.25">
      <c r="D219" s="2259"/>
      <c r="G219" s="2260"/>
      <c r="H219" s="2259"/>
      <c r="K219" s="2260"/>
      <c r="L219" s="2259"/>
    </row>
    <row r="220" spans="4:12" x14ac:dyDescent="0.25">
      <c r="D220" s="2259"/>
      <c r="G220" s="2260"/>
      <c r="H220" s="2259"/>
      <c r="K220" s="2260"/>
      <c r="L220" s="2259"/>
    </row>
    <row r="221" spans="4:12" x14ac:dyDescent="0.25">
      <c r="D221" s="2259"/>
      <c r="G221" s="2260"/>
      <c r="H221" s="2259"/>
      <c r="K221" s="2260"/>
      <c r="L221" s="2259"/>
    </row>
    <row r="222" spans="4:12" x14ac:dyDescent="0.25">
      <c r="D222" s="2259"/>
      <c r="G222" s="2260"/>
      <c r="H222" s="2259"/>
      <c r="K222" s="2260"/>
      <c r="L222" s="2259"/>
    </row>
    <row r="223" spans="4:12" x14ac:dyDescent="0.25">
      <c r="D223" s="2259"/>
      <c r="G223" s="2260"/>
      <c r="H223" s="2259"/>
      <c r="K223" s="2260"/>
      <c r="L223" s="2259"/>
    </row>
    <row r="224" spans="4:12" x14ac:dyDescent="0.25">
      <c r="D224" s="2259"/>
      <c r="G224" s="2260"/>
      <c r="H224" s="2259"/>
      <c r="K224" s="2260"/>
      <c r="L224" s="2259"/>
    </row>
  </sheetData>
  <mergeCells count="14">
    <mergeCell ref="Q8:Q9"/>
    <mergeCell ref="N9:P9"/>
    <mergeCell ref="N10:O10"/>
    <mergeCell ref="N11:O11"/>
    <mergeCell ref="N12:O12"/>
    <mergeCell ref="P10:Q10"/>
    <mergeCell ref="P11:Q11"/>
    <mergeCell ref="P12:Q12"/>
    <mergeCell ref="B2:D2"/>
    <mergeCell ref="F2:H2"/>
    <mergeCell ref="J2:L2"/>
    <mergeCell ref="B3:D4"/>
    <mergeCell ref="F3:H4"/>
    <mergeCell ref="J3: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12B3A-9A94-4C06-BDB5-CDC65536E611}">
  <sheetPr codeName="Sheet40">
    <tabColor theme="0" tint="-0.499984740745262"/>
  </sheetPr>
  <dimension ref="A1:V224"/>
  <sheetViews>
    <sheetView zoomScale="80" zoomScaleNormal="80" workbookViewId="0">
      <selection activeCell="Q31" sqref="Q31"/>
    </sheetView>
  </sheetViews>
  <sheetFormatPr defaultRowHeight="15" x14ac:dyDescent="0.25"/>
  <cols>
    <col min="1" max="1" width="20.7109375" style="1" customWidth="1"/>
    <col min="2" max="2" width="23" style="1558" customWidth="1"/>
    <col min="3" max="4" width="17" style="1558" customWidth="1"/>
    <col min="5" max="5" width="4.28515625" style="1" customWidth="1"/>
    <col min="6" max="6" width="23" style="1558" customWidth="1"/>
    <col min="7" max="8" width="17" style="1558" customWidth="1"/>
    <col min="9" max="9" width="4.28515625" style="1" customWidth="1"/>
    <col min="10" max="10" width="23" style="1558" customWidth="1"/>
    <col min="11" max="12" width="17" style="1558" customWidth="1"/>
    <col min="13" max="13" width="2.85546875" style="1" customWidth="1"/>
    <col min="14" max="16" width="22.85546875" style="1" customWidth="1"/>
    <col min="17" max="17" width="28.85546875" style="1" customWidth="1"/>
    <col min="18" max="18" width="12.85546875" style="1" bestFit="1" customWidth="1"/>
    <col min="19" max="21" width="9.140625" style="1"/>
    <col min="22" max="22" width="12" style="1" bestFit="1" customWidth="1"/>
    <col min="23" max="16384" width="9.140625" style="1"/>
  </cols>
  <sheetData>
    <row r="1" spans="1:22" ht="77.25" customHeight="1" thickBot="1" x14ac:dyDescent="0.3">
      <c r="G1" s="1943" t="s">
        <v>436</v>
      </c>
      <c r="J1" s="1942"/>
      <c r="K1" s="1942"/>
      <c r="L1" s="1941" t="s">
        <v>437</v>
      </c>
    </row>
    <row r="2" spans="1:22" ht="35.25" customHeight="1" thickBot="1" x14ac:dyDescent="0.3">
      <c r="B2" s="3521" t="s">
        <v>438</v>
      </c>
      <c r="C2" s="3522"/>
      <c r="D2" s="3523"/>
      <c r="F2" s="3524" t="s">
        <v>439</v>
      </c>
      <c r="G2" s="3525"/>
      <c r="H2" s="3526"/>
      <c r="J2" s="3527" t="s">
        <v>440</v>
      </c>
      <c r="K2" s="3528"/>
      <c r="L2" s="3529"/>
    </row>
    <row r="3" spans="1:22" ht="32.25" customHeight="1" x14ac:dyDescent="0.25">
      <c r="B3" s="3530" t="str">
        <f>IF(O6="",N14,O6)</f>
        <v>Max LTV possible with  0m Rolled &amp; 0.00% Deferred</v>
      </c>
      <c r="C3" s="3531"/>
      <c r="D3" s="3532"/>
      <c r="F3" s="3530" t="str">
        <f>IF(O7="",N18,O7)</f>
        <v>Max LTV possible with  0m Rolled &amp; 0.00% Deferred</v>
      </c>
      <c r="G3" s="3531"/>
      <c r="H3" s="3532"/>
      <c r="J3" s="3530" t="str">
        <f>IF(O8="",N22,O8)</f>
        <v>Max LTV possible with 0m Rolled &amp; 0.00% Deferred</v>
      </c>
      <c r="K3" s="3531"/>
      <c r="L3" s="3532"/>
      <c r="N3" s="898"/>
    </row>
    <row r="4" spans="1:22" ht="32.25" customHeight="1" thickBot="1" x14ac:dyDescent="0.3">
      <c r="B4" s="3533"/>
      <c r="C4" s="3534"/>
      <c r="D4" s="3535"/>
      <c r="F4" s="3533"/>
      <c r="G4" s="3534"/>
      <c r="H4" s="3535"/>
      <c r="J4" s="3533"/>
      <c r="K4" s="3534"/>
      <c r="L4" s="3535"/>
      <c r="Q4" s="1926"/>
    </row>
    <row r="5" spans="1:22" ht="18.75" thickBot="1" x14ac:dyDescent="0.3">
      <c r="N5" s="1558"/>
      <c r="O5" s="2264"/>
      <c r="P5" s="2249"/>
      <c r="Q5" s="1926"/>
    </row>
    <row r="6" spans="1:22" ht="18.75" thickBot="1" x14ac:dyDescent="0.3">
      <c r="B6" s="1944" t="s">
        <v>443</v>
      </c>
      <c r="C6" s="1947" t="str">
        <f>IF(B24&gt;-1,B24&amp;"m Rolled","")</f>
        <v>0m Rolled</v>
      </c>
      <c r="D6" s="1945">
        <f>IF(C6="","",_xlfn.MINIFS(C24:C174,D24:D174,"&gt;="&amp;D8))</f>
        <v>-9.8879238130678004E-17</v>
      </c>
      <c r="F6" s="1944" t="s">
        <v>443</v>
      </c>
      <c r="G6" s="1947" t="str">
        <f>IF(F24&gt;-1,F24&amp;"m Rolled","")</f>
        <v>0m Rolled</v>
      </c>
      <c r="H6" s="1945">
        <f>IF(G6="","",_xlfn.MINIFS(G24:G174,H24:H174,"&gt;="&amp;H8))</f>
        <v>-9.8879238130678004E-17</v>
      </c>
      <c r="J6" s="1944" t="s">
        <v>443</v>
      </c>
      <c r="K6" s="1947" t="str">
        <f>IF(J24&gt;-1,J24&amp;"m Rolled","")</f>
        <v>0m Rolled</v>
      </c>
      <c r="L6" s="1945">
        <f>IF(K6="","",_xlfn.MINIFS(K24:K174,L24:L174,"&gt;="&amp;L8))</f>
        <v>-9.8879238130678004E-17</v>
      </c>
      <c r="N6" s="2266" t="str">
        <f>C6&amp;D6</f>
        <v>0m Rolled-9.8879238130678E-17</v>
      </c>
      <c r="O6" s="2264" t="str">
        <f>IF(N6="0m Rolled0", "Please use max rolled and defer","")</f>
        <v/>
      </c>
      <c r="P6" s="2249"/>
      <c r="Q6" s="1926"/>
    </row>
    <row r="7" spans="1:22" ht="18" x14ac:dyDescent="0.25">
      <c r="C7" s="1"/>
      <c r="D7" s="1"/>
      <c r="G7" s="1"/>
      <c r="H7" s="1"/>
      <c r="K7" s="1"/>
      <c r="L7" s="1"/>
      <c r="N7" s="2266" t="str">
        <f>G6&amp;H6</f>
        <v>0m Rolled-9.8879238130678E-17</v>
      </c>
      <c r="O7" s="2264" t="str">
        <f>IF(N7="0m Rolled0", "Please use max rolled and defer","")</f>
        <v/>
      </c>
      <c r="P7" s="2249"/>
      <c r="Q7" s="1926"/>
    </row>
    <row r="8" spans="1:22" ht="18" x14ac:dyDescent="0.25">
      <c r="A8" s="1" t="str">
        <f>Product_Selected</f>
        <v>1) Standard</v>
      </c>
      <c r="B8" s="1928">
        <f>VLOOKUP(A8,N28:Q31,4,0)</f>
        <v>6.7900000000000002E-2</v>
      </c>
      <c r="C8" s="1928">
        <v>1.2500000000000001E-2</v>
      </c>
      <c r="D8" s="1929">
        <f>Property_Value*70%</f>
        <v>0</v>
      </c>
      <c r="F8" s="1928">
        <f>VLOOKUP(A8,N28:P31,3,0)</f>
        <v>7.4899999999999994E-2</v>
      </c>
      <c r="G8" s="1928">
        <v>1.2500000000000001E-2</v>
      </c>
      <c r="H8" s="1929">
        <f>Property_Value*70%</f>
        <v>0</v>
      </c>
      <c r="J8" s="1928">
        <f>VLOOKUP(A8,N28:O31,2,0)</f>
        <v>8.1900000000000001E-2</v>
      </c>
      <c r="K8" s="1928">
        <v>1.2500000000000001E-2</v>
      </c>
      <c r="L8" s="1929">
        <f>Property_Value*70%</f>
        <v>0</v>
      </c>
      <c r="N8" s="2266" t="str">
        <f>K6&amp;L6</f>
        <v>0m Rolled-9.8879238130678E-17</v>
      </c>
      <c r="O8" s="2264" t="str">
        <f>IF(N8="0m Rolled0", "Please use max rolled and defer","")</f>
        <v/>
      </c>
      <c r="P8" s="1936"/>
      <c r="Q8" s="3540"/>
      <c r="V8" s="1" t="s">
        <v>3716</v>
      </c>
    </row>
    <row r="9" spans="1:22" x14ac:dyDescent="0.25">
      <c r="B9" s="2249">
        <f>D8-(D8*D6/12)*36-((B8-D6)/12*B24*D8)-(D8*0.06)</f>
        <v>0</v>
      </c>
      <c r="C9" s="1929">
        <f>'KB_CRITERIA AND CALCULATION '!X22+'KB_CRITERIA AND CALCULATION '!AQ126</f>
        <v>0</v>
      </c>
      <c r="D9" s="1558">
        <f>'BTL Calculator'!$V$9</f>
        <v>0</v>
      </c>
      <c r="F9" s="2249">
        <f>H8-(H8*H6/12)*36-((F8-H6)/12*F24*H8)-(H8*0.04)</f>
        <v>0</v>
      </c>
      <c r="G9" s="1929">
        <f>'KB_CRITERIA AND CALCULATION '!X22+'KB_CRITERIA AND CALCULATION '!AQ108</f>
        <v>0</v>
      </c>
      <c r="H9" s="1558">
        <f>'BTL Calculator'!$V$9</f>
        <v>0</v>
      </c>
      <c r="J9" s="2249">
        <f>L8-(L8*L6/12)*36-((J8-L6)/12*J24*L8)-(L8*0.02)</f>
        <v>0</v>
      </c>
      <c r="K9" s="1929">
        <f>'KB_CRITERIA AND CALCULATION '!X22+'KB_CRITERIA AND CALCULATION '!AQ90</f>
        <v>0</v>
      </c>
      <c r="L9" s="1558">
        <f>'BTL Calculator'!$V$9</f>
        <v>0</v>
      </c>
      <c r="N9" s="3622"/>
      <c r="O9" s="3622"/>
      <c r="P9" s="3622"/>
      <c r="Q9" s="3540"/>
      <c r="V9" s="2265">
        <f>($K$9*36)/((($J$8-'KB_C&amp;S 3yr fixed'!$K$8)/12)*(36-6)*'Product Data'!$P$23)</f>
        <v>0</v>
      </c>
    </row>
    <row r="10" spans="1:22" ht="15.75" thickBot="1" x14ac:dyDescent="0.3">
      <c r="B10" s="2249">
        <f>($C$9*36)/((($B$8-'KB_C&amp;S 3yr fixed'!$C$8)/12)*(36-6)*'Product Data'!$P$23)-(($C$9*36)/((($B$8-'KB_C&amp;S 3yr fixed'!$C$8)/12)*(36-6)*'Product Data'!$P$23))*(B8-1.25%)/12*6-(($C$9*36)/((($B$8-'KB_C&amp;S 3yr fixed'!$C$8)/12)*(36-6)*'Product Data'!$P$23))*0.0125/12*36-(($C$9*36)/((($B$8-'KB_C&amp;S 3yr fixed'!$C$8)/12)*(36-6)*'Product Data'!$P$23))*0.06</f>
        <v>0</v>
      </c>
      <c r="F10" s="2249">
        <f>($G$9*36)/((($F$8-'KB_C&amp;S 3yr fixed'!$G$8)/12)*(36-6)*'Product Data'!$P$23)-(($G$9*36)/((($F$8-'KB_C&amp;S 3yr fixed'!$G$8)/12)*(36-6)*'Product Data'!$P$23))*(F8-1.25%)/12*6-(($G$9*36)/((($F$8-'KB_C&amp;S 3yr fixed'!$G$8)/12)*(36-6)*'Product Data'!$P$23))*0.0125/12*36-(($G$9*36)/((($F$8-'KB_C&amp;S 3yr fixed'!$G$8)/12)*(36-6)*'Product Data'!$P$23))*0.04</f>
        <v>0</v>
      </c>
      <c r="J10" s="2249">
        <f>($K$9*36)/((($J$8-'KB_C&amp;S 3yr fixed'!$K$8)/12)*(36-6)*'Product Data'!$P$23)-(($K$9*36)/((($J$8-'KB_C&amp;S 3yr fixed'!$K$8)/12)*(36-6)*'Product Data'!$P$23))*(J8-1.25%)/12*6-(($K$9*36)/((($J$8-'KB_C&amp;S 3yr fixed'!$K$8)/12)*(36-6)*'Product Data'!$P$23))*0.0125/12*36-(($K$9*36)/((($J$8-'KB_C&amp;S 3yr fixed'!$K$8)/12)*(36-6)*'Product Data'!$P$23))*0.02</f>
        <v>0</v>
      </c>
      <c r="N10" s="3623">
        <f>IF(J3="Please use max rolled and defer",J10,J9)</f>
        <v>0</v>
      </c>
      <c r="O10" s="3623"/>
      <c r="P10" s="3624" t="s">
        <v>3713</v>
      </c>
      <c r="Q10" s="3624"/>
      <c r="R10" s="2265"/>
    </row>
    <row r="11" spans="1:22" ht="15.75" thickBot="1" x14ac:dyDescent="0.3">
      <c r="B11" s="2251" t="s">
        <v>446</v>
      </c>
      <c r="C11" s="2252" t="s">
        <v>293</v>
      </c>
      <c r="D11" s="2253" t="s">
        <v>447</v>
      </c>
      <c r="F11" s="2520" t="s">
        <v>446</v>
      </c>
      <c r="G11" s="2521" t="s">
        <v>293</v>
      </c>
      <c r="H11" s="2522" t="s">
        <v>447</v>
      </c>
      <c r="J11" s="2520" t="s">
        <v>446</v>
      </c>
      <c r="K11" s="2521" t="s">
        <v>293</v>
      </c>
      <c r="L11" s="2522" t="s">
        <v>447</v>
      </c>
      <c r="N11" s="3623">
        <f>IF(F3="Please use max rolled and defer",F10,F9)</f>
        <v>0</v>
      </c>
      <c r="O11" s="3623"/>
      <c r="P11" s="3624" t="s">
        <v>3714</v>
      </c>
      <c r="Q11" s="3624"/>
      <c r="R11" s="2265"/>
    </row>
    <row r="12" spans="1:22" x14ac:dyDescent="0.25">
      <c r="B12" s="2254">
        <v>0</v>
      </c>
      <c r="C12" s="1929">
        <f>($C$9*36)/((($B$8-'KB_C&amp;S 3yr fixed'!$C$8)/12)*(36-'KB_C&amp;S 3yr fixed'!B12)*'Product Data'!$P$23)</f>
        <v>0</v>
      </c>
      <c r="D12" s="2255" t="e">
        <f t="shared" ref="D12:D18" si="0">$D$8/C12</f>
        <v>#DIV/0!</v>
      </c>
      <c r="F12" s="2523">
        <v>0</v>
      </c>
      <c r="G12" s="2525">
        <f>($G$9*36)/((($F$8-'KB_C&amp;S 3yr fixed'!$G$8)/12)*(36-'KB_C&amp;S 3yr fixed'!F12)*'Product Data'!$P$23)</f>
        <v>0</v>
      </c>
      <c r="H12" s="2524" t="e">
        <f t="shared" ref="H12:H18" si="1">$D$8/G12</f>
        <v>#DIV/0!</v>
      </c>
      <c r="J12" s="2523">
        <v>0</v>
      </c>
      <c r="K12" s="1929">
        <f>($K$9*36)/((($J$8-'KB_C&amp;S 3yr fixed'!$K$8)/12)*(36-'KB_C&amp;S 3yr fixed'!J12)*'Product Data'!$P$23)</f>
        <v>0</v>
      </c>
      <c r="L12" s="2524" t="e">
        <f t="shared" ref="L12:L18" si="2">$D$8/K12</f>
        <v>#DIV/0!</v>
      </c>
      <c r="N12" s="3623">
        <f>IF(B3="Please use max rolled and defer",B10,B9)</f>
        <v>0</v>
      </c>
      <c r="O12" s="3623"/>
      <c r="P12" s="3624" t="s">
        <v>3715</v>
      </c>
      <c r="Q12" s="3624"/>
      <c r="R12" s="1952"/>
    </row>
    <row r="13" spans="1:22" x14ac:dyDescent="0.25">
      <c r="B13" s="2254">
        <v>1</v>
      </c>
      <c r="C13" s="1929">
        <f>($C$9*36)/((($B$8-'KB_C&amp;S 3yr fixed'!$C$8)/12)*(36-'KB_C&amp;S 3yr fixed'!B13)*'Product Data'!$P$23)</f>
        <v>0</v>
      </c>
      <c r="D13" s="2255" t="e">
        <f t="shared" si="0"/>
        <v>#DIV/0!</v>
      </c>
      <c r="F13" s="2254">
        <v>1</v>
      </c>
      <c r="G13" s="1929">
        <f>($G$9*36)/((($F$8-'KB_C&amp;S 3yr fixed'!$G$8)/12)*(36-'KB_C&amp;S 3yr fixed'!F13)*'Product Data'!$P$23)</f>
        <v>0</v>
      </c>
      <c r="H13" s="2255" t="e">
        <f t="shared" si="1"/>
        <v>#DIV/0!</v>
      </c>
      <c r="J13" s="2254">
        <v>1</v>
      </c>
      <c r="K13" s="1929">
        <f>($K$9*36)/((($J$8-'KB_C&amp;S 3yr fixed'!$K$8)/12)*(36-'KB_C&amp;S 3yr fixed'!J13)*'Product Data'!$P$23)</f>
        <v>0</v>
      </c>
      <c r="L13" s="2255" t="e">
        <f t="shared" si="2"/>
        <v>#DIV/0!</v>
      </c>
      <c r="P13" s="1935"/>
      <c r="Q13" s="2265"/>
      <c r="R13" s="1952"/>
    </row>
    <row r="14" spans="1:22" x14ac:dyDescent="0.25">
      <c r="B14" s="2254">
        <v>2</v>
      </c>
      <c r="C14" s="1929">
        <f>($C$9*36)/((($B$8-'KB_C&amp;S 3yr fixed'!$C$8)/12)*(36-'KB_C&amp;S 3yr fixed'!B14)*'Product Data'!$P$23)</f>
        <v>0</v>
      </c>
      <c r="D14" s="2255" t="e">
        <f t="shared" si="0"/>
        <v>#DIV/0!</v>
      </c>
      <c r="F14" s="2254">
        <v>2</v>
      </c>
      <c r="G14" s="1929">
        <f>($G$9*36)/((($F$8-'KB_C&amp;S 3yr fixed'!$G$8)/12)*(36-'KB_C&amp;S 3yr fixed'!F14)*'Product Data'!$P$23)</f>
        <v>0</v>
      </c>
      <c r="H14" s="2255" t="e">
        <f t="shared" si="1"/>
        <v>#DIV/0!</v>
      </c>
      <c r="J14" s="2254">
        <v>2</v>
      </c>
      <c r="K14" s="1929">
        <f>($K$9*36)/((($J$8-'KB_C&amp;S 3yr fixed'!$K$8)/12)*(36-'KB_C&amp;S 3yr fixed'!J14)*'Product Data'!$P$23)</f>
        <v>0</v>
      </c>
      <c r="L14" s="2255" t="e">
        <f t="shared" si="2"/>
        <v>#DIV/0!</v>
      </c>
      <c r="N14" s="1" t="str">
        <f>"Max LTV possible with  "&amp; C6 &amp; IF(B24&gt;-1,IF(D6&gt;-1," &amp; ","")&amp;TEXT(D6,"0.00%")&amp;" Deferred","")</f>
        <v>Max LTV possible with  0m Rolled &amp; 0.00% Deferred</v>
      </c>
      <c r="P14" s="1926"/>
    </row>
    <row r="15" spans="1:22" x14ac:dyDescent="0.25">
      <c r="B15" s="2254">
        <v>3</v>
      </c>
      <c r="C15" s="1929">
        <f>($C$9*36)/((($B$8-'KB_C&amp;S 3yr fixed'!$C$8)/12)*(36-'KB_C&amp;S 3yr fixed'!B15)*'Product Data'!$P$23)</f>
        <v>0</v>
      </c>
      <c r="D15" s="2255" t="e">
        <f t="shared" si="0"/>
        <v>#DIV/0!</v>
      </c>
      <c r="F15" s="2254">
        <v>3</v>
      </c>
      <c r="G15" s="1929">
        <f>($G$9*36)/((($F$8-'KB_C&amp;S 3yr fixed'!$G$8)/12)*(36-'KB_C&amp;S 3yr fixed'!F15)*'Product Data'!$P$23)</f>
        <v>0</v>
      </c>
      <c r="H15" s="2255" t="e">
        <f t="shared" si="1"/>
        <v>#DIV/0!</v>
      </c>
      <c r="J15" s="2254">
        <v>3</v>
      </c>
      <c r="K15" s="1929">
        <f>($K$9*36)/((($J$8-'KB_C&amp;S 3yr fixed'!$K$8)/12)*(36-'KB_C&amp;S 3yr fixed'!J15)*'Product Data'!$P$23)</f>
        <v>0</v>
      </c>
      <c r="L15" s="2255" t="e">
        <f t="shared" si="2"/>
        <v>#DIV/0!</v>
      </c>
    </row>
    <row r="16" spans="1:22" x14ac:dyDescent="0.25">
      <c r="B16" s="2254">
        <v>4</v>
      </c>
      <c r="C16" s="1929">
        <f>($C$9*36)/((($B$8-'KB_C&amp;S 3yr fixed'!$C$8)/12)*(36-'KB_C&amp;S 3yr fixed'!B16)*'Product Data'!$P$23)</f>
        <v>0</v>
      </c>
      <c r="D16" s="2255" t="e">
        <f t="shared" si="0"/>
        <v>#DIV/0!</v>
      </c>
      <c r="F16" s="2254">
        <v>4</v>
      </c>
      <c r="G16" s="1929">
        <f>($G$9*36)/((($F$8-'KB_C&amp;S 3yr fixed'!$G$8)/12)*(36-'KB_C&amp;S 3yr fixed'!F16)*'Product Data'!$P$23)</f>
        <v>0</v>
      </c>
      <c r="H16" s="2255" t="e">
        <f t="shared" si="1"/>
        <v>#DIV/0!</v>
      </c>
      <c r="J16" s="2254">
        <v>4</v>
      </c>
      <c r="K16" s="1929">
        <f>($K$9*36)/((($J$8-'KB_C&amp;S 3yr fixed'!$K$8)/12)*(36-'KB_C&amp;S 3yr fixed'!J16)*'Product Data'!$P$23)</f>
        <v>0</v>
      </c>
      <c r="L16" s="2255" t="e">
        <f t="shared" si="2"/>
        <v>#DIV/0!</v>
      </c>
    </row>
    <row r="17" spans="2:18" x14ac:dyDescent="0.25">
      <c r="B17" s="2254">
        <v>5</v>
      </c>
      <c r="C17" s="1929">
        <f>($C$9*36)/((($B$8-'KB_C&amp;S 3yr fixed'!$C$8)/12)*(36-'KB_C&amp;S 3yr fixed'!B17)*'Product Data'!$P$23)</f>
        <v>0</v>
      </c>
      <c r="D17" s="2255" t="e">
        <f t="shared" si="0"/>
        <v>#DIV/0!</v>
      </c>
      <c r="F17" s="2254">
        <v>5</v>
      </c>
      <c r="G17" s="1929">
        <f>($G$9*36)/((($F$8-'KB_C&amp;S 3yr fixed'!$G$8)/12)*(36-'KB_C&amp;S 3yr fixed'!F17)*'Product Data'!$P$23)</f>
        <v>0</v>
      </c>
      <c r="H17" s="2255" t="e">
        <f t="shared" si="1"/>
        <v>#DIV/0!</v>
      </c>
      <c r="J17" s="2254">
        <v>5</v>
      </c>
      <c r="K17" s="1929">
        <f>($K$9*36)/((($J$8-'KB_C&amp;S 3yr fixed'!$K$8)/12)*(36-'KB_C&amp;S 3yr fixed'!J17)*'Product Data'!$P$23)</f>
        <v>0</v>
      </c>
      <c r="L17" s="2255" t="e">
        <f t="shared" si="2"/>
        <v>#DIV/0!</v>
      </c>
    </row>
    <row r="18" spans="2:18" ht="15.75" thickBot="1" x14ac:dyDescent="0.3">
      <c r="B18" s="2256">
        <v>6</v>
      </c>
      <c r="C18" s="1929">
        <f>($C$9*36)/((($B$8-'KB_C&amp;S 3yr fixed'!$C$8)/12)*(36-'KB_C&amp;S 3yr fixed'!B18)*'Product Data'!$P$23)</f>
        <v>0</v>
      </c>
      <c r="D18" s="2258" t="e">
        <f t="shared" si="0"/>
        <v>#DIV/0!</v>
      </c>
      <c r="F18" s="2256">
        <v>6</v>
      </c>
      <c r="G18" s="2257">
        <f>($G$9*36)/((($F$8-'KB_C&amp;S 3yr fixed'!$G$8)/12)*(36-'KB_C&amp;S 3yr fixed'!F18)*'Product Data'!$P$23)</f>
        <v>0</v>
      </c>
      <c r="H18" s="2258" t="e">
        <f t="shared" si="1"/>
        <v>#DIV/0!</v>
      </c>
      <c r="J18" s="2256">
        <v>6</v>
      </c>
      <c r="K18" s="2257">
        <f>($K$9*36)/((($J$8-'KB_C&amp;S 3yr fixed'!$K$8)/12)*(36-'KB_C&amp;S 3yr fixed'!J18)*'Product Data'!$P$23)</f>
        <v>0</v>
      </c>
      <c r="L18" s="2258" t="e">
        <f t="shared" si="2"/>
        <v>#DIV/0!</v>
      </c>
      <c r="N18" s="1" t="str">
        <f>"Max LTV possible with  "&amp; G6 &amp; IF(F24&gt;-1,IF(H6&gt;-1," &amp; ","")&amp;TEXT(H6,"0.00%")&amp;" Deferred","")</f>
        <v>Max LTV possible with  0m Rolled &amp; 0.00% Deferred</v>
      </c>
    </row>
    <row r="19" spans="2:18" x14ac:dyDescent="0.25">
      <c r="C19" s="2249"/>
      <c r="D19" s="2250"/>
      <c r="G19" s="2249"/>
      <c r="H19" s="2250"/>
      <c r="K19" s="2249"/>
      <c r="L19" s="2250"/>
    </row>
    <row r="20" spans="2:18" x14ac:dyDescent="0.25">
      <c r="C20" s="2249"/>
      <c r="D20" s="2250"/>
      <c r="G20" s="2249"/>
      <c r="H20" s="2250"/>
      <c r="K20" s="2249"/>
      <c r="L20" s="2250"/>
    </row>
    <row r="21" spans="2:18" x14ac:dyDescent="0.25">
      <c r="C21" s="2249"/>
      <c r="D21" s="2250"/>
      <c r="G21" s="2249"/>
      <c r="H21" s="2250"/>
      <c r="K21" s="2249"/>
      <c r="L21" s="2250"/>
    </row>
    <row r="22" spans="2:18" x14ac:dyDescent="0.25">
      <c r="N22" s="1" t="str">
        <f>"Max LTV possible with "&amp; K6 &amp; IF(J24&gt;-1,IF(L6&gt;-1," &amp; ","")&amp;TEXT(L6,"0.00%")&amp;" Deferred","")</f>
        <v>Max LTV possible with 0m Rolled &amp; 0.00% Deferred</v>
      </c>
    </row>
    <row r="23" spans="2:18" x14ac:dyDescent="0.25">
      <c r="B23" s="1937" t="s">
        <v>450</v>
      </c>
      <c r="C23" s="1937" t="s">
        <v>451</v>
      </c>
      <c r="D23" s="1937" t="s">
        <v>452</v>
      </c>
      <c r="F23" s="1937" t="s">
        <v>450</v>
      </c>
      <c r="G23" s="1937" t="s">
        <v>451</v>
      </c>
      <c r="H23" s="1937" t="s">
        <v>452</v>
      </c>
      <c r="J23" s="1937" t="s">
        <v>450</v>
      </c>
      <c r="K23" s="1937" t="s">
        <v>451</v>
      </c>
      <c r="L23" s="1937" t="s">
        <v>452</v>
      </c>
    </row>
    <row r="24" spans="2:18" x14ac:dyDescent="0.25">
      <c r="B24" s="1927">
        <f>_xlfn.MINIFS(B12:B18,D12:D18,"&lt;="&amp;100%)</f>
        <v>0</v>
      </c>
      <c r="C24" s="1928">
        <v>1.2500000000000001E-2</v>
      </c>
      <c r="D24" s="1931">
        <f>($C$9*36)/((($B$8-C24)/12)*(36-B24)*'Product Data'!$P$23)</f>
        <v>0</v>
      </c>
      <c r="F24" s="1927">
        <f>_xlfn.MINIFS(F12:F21,H12:H21,"&lt;="&amp;100%)</f>
        <v>0</v>
      </c>
      <c r="G24" s="1928">
        <v>1.2500000000000001E-2</v>
      </c>
      <c r="H24" s="1931">
        <f>($G$9*36)/((($F$8-'KB_C&amp;S 3yr fixed'!$G24)/12)*(36-'KB_C&amp;S 3yr fixed'!F24)*'Product Data'!$P$23)</f>
        <v>0</v>
      </c>
      <c r="J24" s="1927">
        <f>_xlfn.MINIFS(J12:J18,L12:L18,"&lt;="&amp;100%)</f>
        <v>0</v>
      </c>
      <c r="K24" s="1928">
        <v>1.2500000000000001E-2</v>
      </c>
      <c r="L24" s="1931">
        <f>($K$9*36)/((($J$8-'KB_C&amp;S 3yr fixed'!$K24)/12)*(36-'KB_C&amp;S 3yr fixed'!J24)*'Product Data'!$P$23)</f>
        <v>0</v>
      </c>
    </row>
    <row r="25" spans="2:18" x14ac:dyDescent="0.25">
      <c r="B25" s="1927">
        <f>B24</f>
        <v>0</v>
      </c>
      <c r="C25" s="1928">
        <v>1.24E-2</v>
      </c>
      <c r="D25" s="1931">
        <f>($C$9*36)/((($B$8-C25)/12)*(36-B25)*'Product Data'!$P$23)</f>
        <v>0</v>
      </c>
      <c r="F25" s="1927">
        <f>F24</f>
        <v>0</v>
      </c>
      <c r="G25" s="1928">
        <v>1.24E-2</v>
      </c>
      <c r="H25" s="1931">
        <f>($G$9*36)/((($F$8-'KB_C&amp;S 3yr fixed'!$G25)/12)*(36-'KB_C&amp;S 3yr fixed'!F25)*'Product Data'!$P$23)</f>
        <v>0</v>
      </c>
      <c r="J25" s="1927">
        <f>J24</f>
        <v>0</v>
      </c>
      <c r="K25" s="1928">
        <v>1.24E-2</v>
      </c>
      <c r="L25" s="1931">
        <f>($K$9*36)/((($J$8-'KB_C&amp;S 3yr fixed'!$K25)/12)*(36-'KB_C&amp;S 3yr fixed'!J25)*'Product Data'!$P$23)</f>
        <v>0</v>
      </c>
    </row>
    <row r="26" spans="2:18" x14ac:dyDescent="0.25">
      <c r="B26" s="1927">
        <f t="shared" ref="B26:B89" si="3">B25</f>
        <v>0</v>
      </c>
      <c r="C26" s="1928">
        <v>1.23E-2</v>
      </c>
      <c r="D26" s="1931">
        <f>($C$9*36)/((($B$8-C26)/12)*(36-B26)*'Product Data'!$P$23)</f>
        <v>0</v>
      </c>
      <c r="F26" s="1927">
        <f t="shared" ref="F26:F89" si="4">F25</f>
        <v>0</v>
      </c>
      <c r="G26" s="1928">
        <v>1.23E-2</v>
      </c>
      <c r="H26" s="1931">
        <f>($G$9*36)/((($F$8-'KB_C&amp;S 3yr fixed'!$G26)/12)*(36-'KB_C&amp;S 3yr fixed'!F26)*'Product Data'!$P$23)</f>
        <v>0</v>
      </c>
      <c r="J26" s="1927">
        <f t="shared" ref="J26:J89" si="5">J25</f>
        <v>0</v>
      </c>
      <c r="K26" s="1928">
        <v>1.23E-2</v>
      </c>
      <c r="L26" s="1931">
        <f>($K$9*36)/((($J$8-'KB_C&amp;S 3yr fixed'!$K26)/12)*(36-'KB_C&amp;S 3yr fixed'!J26)*'Product Data'!$P$23)</f>
        <v>0</v>
      </c>
    </row>
    <row r="27" spans="2:18" x14ac:dyDescent="0.25">
      <c r="B27" s="1927">
        <f t="shared" si="3"/>
        <v>0</v>
      </c>
      <c r="C27" s="1928">
        <v>1.2200000000000001E-2</v>
      </c>
      <c r="D27" s="1931">
        <f>($C$9*36)/((($B$8-C27)/12)*(36-B27)*'Product Data'!$P$23)</f>
        <v>0</v>
      </c>
      <c r="F27" s="1927">
        <f t="shared" si="4"/>
        <v>0</v>
      </c>
      <c r="G27" s="1928">
        <v>1.2200000000000001E-2</v>
      </c>
      <c r="H27" s="1931">
        <f>($G$9*36)/((($F$8-'KB_C&amp;S 3yr fixed'!$G27)/12)*(36-'KB_C&amp;S 3yr fixed'!F27)*'Product Data'!$P$23)</f>
        <v>0</v>
      </c>
      <c r="J27" s="1927">
        <f t="shared" si="5"/>
        <v>0</v>
      </c>
      <c r="K27" s="1928">
        <v>1.2200000000000001E-2</v>
      </c>
      <c r="L27" s="1931">
        <f>($K$9*36)/((($J$8-'KB_C&amp;S 3yr fixed'!$K27)/12)*(36-'KB_C&amp;S 3yr fixed'!J27)*'Product Data'!$P$23)</f>
        <v>0</v>
      </c>
    </row>
    <row r="28" spans="2:18" x14ac:dyDescent="0.25">
      <c r="B28" s="1927">
        <f t="shared" si="3"/>
        <v>0</v>
      </c>
      <c r="C28" s="1928">
        <v>1.21E-2</v>
      </c>
      <c r="D28" s="1931">
        <f>($C$9*36)/((($B$8-C28)/12)*(36-B28)*'Product Data'!$P$23)</f>
        <v>0</v>
      </c>
      <c r="F28" s="1927">
        <f t="shared" si="4"/>
        <v>0</v>
      </c>
      <c r="G28" s="1928">
        <v>1.21E-2</v>
      </c>
      <c r="H28" s="1931">
        <f>($G$9*36)/((($F$8-'KB_C&amp;S 3yr fixed'!$G28)/12)*(36-'KB_C&amp;S 3yr fixed'!F28)*'Product Data'!$P$23)</f>
        <v>0</v>
      </c>
      <c r="J28" s="1927">
        <f t="shared" si="5"/>
        <v>0</v>
      </c>
      <c r="K28" s="1928">
        <v>1.21E-2</v>
      </c>
      <c r="L28" s="1931">
        <f>($K$9*36)/((($J$8-'KB_C&amp;S 3yr fixed'!$K28)/12)*(36-'KB_C&amp;S 3yr fixed'!J28)*'Product Data'!$P$23)</f>
        <v>0</v>
      </c>
      <c r="N28" s="1927" t="s">
        <v>453</v>
      </c>
      <c r="O28" s="1927" t="s">
        <v>454</v>
      </c>
      <c r="P28" s="2335"/>
      <c r="Q28" s="2335"/>
    </row>
    <row r="29" spans="2:18" x14ac:dyDescent="0.25">
      <c r="B29" s="1927">
        <f t="shared" si="3"/>
        <v>0</v>
      </c>
      <c r="C29" s="1928">
        <v>1.2E-2</v>
      </c>
      <c r="D29" s="1931">
        <f>($C$9*36)/((($B$8-C29)/12)*(36-B29)*'Product Data'!$P$23)</f>
        <v>0</v>
      </c>
      <c r="F29" s="1927">
        <f t="shared" si="4"/>
        <v>0</v>
      </c>
      <c r="G29" s="1928">
        <v>1.2E-2</v>
      </c>
      <c r="H29" s="1931">
        <f>($G$9*36)/((($F$8-'KB_C&amp;S 3yr fixed'!$G29)/12)*(36-'KB_C&amp;S 3yr fixed'!F29)*'Product Data'!$P$23)</f>
        <v>0</v>
      </c>
      <c r="J29" s="1927">
        <f t="shared" si="5"/>
        <v>0</v>
      </c>
      <c r="K29" s="1928">
        <v>1.2E-2</v>
      </c>
      <c r="L29" s="1931">
        <f>($K$9*36)/((($J$8-'KB_C&amp;S 3yr fixed'!$K29)/12)*(36-'KB_C&amp;S 3yr fixed'!J29)*'Product Data'!$P$23)</f>
        <v>0</v>
      </c>
      <c r="N29" s="1927"/>
      <c r="O29" s="1932">
        <v>0.02</v>
      </c>
      <c r="P29" s="2336">
        <v>0.04</v>
      </c>
      <c r="Q29" s="2336">
        <v>0.06</v>
      </c>
      <c r="R29" s="1927" t="s">
        <v>455</v>
      </c>
    </row>
    <row r="30" spans="2:18" x14ac:dyDescent="0.25">
      <c r="B30" s="1927">
        <f t="shared" si="3"/>
        <v>0</v>
      </c>
      <c r="C30" s="1928">
        <v>1.1900000000000001E-2</v>
      </c>
      <c r="D30" s="1931">
        <f>($C$9*36)/((($B$8-C30)/12)*(36-B30)*'Product Data'!$P$23)</f>
        <v>0</v>
      </c>
      <c r="F30" s="1927">
        <f t="shared" si="4"/>
        <v>0</v>
      </c>
      <c r="G30" s="1928">
        <v>1.1900000000000001E-2</v>
      </c>
      <c r="H30" s="1931">
        <f>($G$9*36)/((($F$8-'KB_C&amp;S 3yr fixed'!$G30)/12)*(36-'KB_C&amp;S 3yr fixed'!F30)*'Product Data'!$P$23)</f>
        <v>0</v>
      </c>
      <c r="J30" s="1927">
        <f t="shared" si="5"/>
        <v>0</v>
      </c>
      <c r="K30" s="1928">
        <v>1.1900000000000001E-2</v>
      </c>
      <c r="L30" s="1931">
        <f>($K$9*36)/((($J$8-'KB_C&amp;S 3yr fixed'!$K30)/12)*(36-'KB_C&amp;S 3yr fixed'!J30)*'Product Data'!$P$23)</f>
        <v>0</v>
      </c>
      <c r="N30" s="1927" t="s">
        <v>600</v>
      </c>
      <c r="O30" s="1928">
        <f>'Product Data'!C124</f>
        <v>8.1900000000000001E-2</v>
      </c>
      <c r="P30" s="2337">
        <f>'Product Data'!C128</f>
        <v>7.4899999999999994E-2</v>
      </c>
      <c r="Q30" s="2337">
        <f>'Product Data'!C132</f>
        <v>6.7900000000000002E-2</v>
      </c>
      <c r="R30" s="1932">
        <v>0.7</v>
      </c>
    </row>
    <row r="31" spans="2:18" x14ac:dyDescent="0.25">
      <c r="B31" s="1927">
        <f t="shared" si="3"/>
        <v>0</v>
      </c>
      <c r="C31" s="1928">
        <v>1.18E-2</v>
      </c>
      <c r="D31" s="1931">
        <f>($C$9*36)/((($B$8-C31)/12)*(36-B31)*'Product Data'!$P$23)</f>
        <v>0</v>
      </c>
      <c r="F31" s="1927">
        <f t="shared" si="4"/>
        <v>0</v>
      </c>
      <c r="G31" s="1928">
        <v>1.18E-2</v>
      </c>
      <c r="H31" s="1931">
        <f>($G$9*36)/((($F$8-'KB_C&amp;S 3yr fixed'!$G31)/12)*(36-'KB_C&amp;S 3yr fixed'!F31)*'Product Data'!$P$23)</f>
        <v>0</v>
      </c>
      <c r="J31" s="1927">
        <f t="shared" si="5"/>
        <v>0</v>
      </c>
      <c r="K31" s="1928">
        <v>1.18E-2</v>
      </c>
      <c r="L31" s="1931">
        <f>($K$9*36)/((($J$8-'KB_C&amp;S 3yr fixed'!$K31)/12)*(36-'KB_C&amp;S 3yr fixed'!J31)*'Product Data'!$P$23)</f>
        <v>0</v>
      </c>
      <c r="N31" s="1927" t="s">
        <v>607</v>
      </c>
      <c r="O31" s="1928">
        <f>'Product Data'!C125</f>
        <v>8.6900000000000005E-2</v>
      </c>
      <c r="P31" s="2337">
        <f>'Product Data'!C129</f>
        <v>7.9899999999999999E-2</v>
      </c>
      <c r="Q31" s="2337">
        <f>'Product Data'!C133</f>
        <v>7.2900000000000006E-2</v>
      </c>
      <c r="R31" s="1932">
        <v>0.7</v>
      </c>
    </row>
    <row r="32" spans="2:18" x14ac:dyDescent="0.25">
      <c r="B32" s="1927">
        <f t="shared" si="3"/>
        <v>0</v>
      </c>
      <c r="C32" s="1928">
        <v>1.17E-2</v>
      </c>
      <c r="D32" s="1931">
        <f>($C$9*36)/((($B$8-C32)/12)*(36-B32)*'Product Data'!$P$23)</f>
        <v>0</v>
      </c>
      <c r="F32" s="1927">
        <f t="shared" si="4"/>
        <v>0</v>
      </c>
      <c r="G32" s="1928">
        <v>1.17E-2</v>
      </c>
      <c r="H32" s="1931">
        <f>($G$9*36)/((($F$8-'KB_C&amp;S 3yr fixed'!$G32)/12)*(36-'KB_C&amp;S 3yr fixed'!F32)*'Product Data'!$P$23)</f>
        <v>0</v>
      </c>
      <c r="J32" s="1927">
        <f t="shared" si="5"/>
        <v>0</v>
      </c>
      <c r="K32" s="1928">
        <v>1.17E-2</v>
      </c>
      <c r="L32" s="1931">
        <f>($K$9*36)/((($J$8-'KB_C&amp;S 3yr fixed'!$K32)/12)*(36-'KB_C&amp;S 3yr fixed'!J32)*'Product Data'!$P$23)</f>
        <v>0</v>
      </c>
    </row>
    <row r="33" spans="2:12" x14ac:dyDescent="0.25">
      <c r="B33" s="1927">
        <f t="shared" si="3"/>
        <v>0</v>
      </c>
      <c r="C33" s="1928">
        <v>1.1599999999999999E-2</v>
      </c>
      <c r="D33" s="1931">
        <f>($C$9*36)/((($B$8-C33)/12)*(36-B33)*'Product Data'!$P$23)</f>
        <v>0</v>
      </c>
      <c r="F33" s="1927">
        <f t="shared" si="4"/>
        <v>0</v>
      </c>
      <c r="G33" s="1928">
        <v>1.1599999999999999E-2</v>
      </c>
      <c r="H33" s="1931">
        <f>($G$9*36)/((($F$8-'KB_C&amp;S 3yr fixed'!$G33)/12)*(36-'KB_C&amp;S 3yr fixed'!F33)*'Product Data'!$P$23)</f>
        <v>0</v>
      </c>
      <c r="J33" s="1927">
        <f t="shared" si="5"/>
        <v>0</v>
      </c>
      <c r="K33" s="1928">
        <v>1.1599999999999999E-2</v>
      </c>
      <c r="L33" s="1931">
        <f>($K$9*36)/((($J$8-'KB_C&amp;S 3yr fixed'!$K33)/12)*(36-'KB_C&amp;S 3yr fixed'!J33)*'Product Data'!$P$23)</f>
        <v>0</v>
      </c>
    </row>
    <row r="34" spans="2:12" x14ac:dyDescent="0.25">
      <c r="B34" s="1927">
        <f t="shared" si="3"/>
        <v>0</v>
      </c>
      <c r="C34" s="1928">
        <v>1.15E-2</v>
      </c>
      <c r="D34" s="1931">
        <f>($C$9*36)/((($B$8-C34)/12)*(36-B34)*'Product Data'!$P$23)</f>
        <v>0</v>
      </c>
      <c r="F34" s="1927">
        <f t="shared" si="4"/>
        <v>0</v>
      </c>
      <c r="G34" s="1928">
        <v>1.15E-2</v>
      </c>
      <c r="H34" s="1931">
        <f>($G$9*36)/((($F$8-'KB_C&amp;S 3yr fixed'!$G34)/12)*(36-'KB_C&amp;S 3yr fixed'!F34)*'Product Data'!$P$23)</f>
        <v>0</v>
      </c>
      <c r="J34" s="1927">
        <f t="shared" si="5"/>
        <v>0</v>
      </c>
      <c r="K34" s="1928">
        <v>1.15E-2</v>
      </c>
      <c r="L34" s="1931">
        <f>($K$9*36)/((($J$8-'KB_C&amp;S 3yr fixed'!$K34)/12)*(36-'KB_C&amp;S 3yr fixed'!J34)*'Product Data'!$P$23)</f>
        <v>0</v>
      </c>
    </row>
    <row r="35" spans="2:12" x14ac:dyDescent="0.25">
      <c r="B35" s="1927">
        <f t="shared" si="3"/>
        <v>0</v>
      </c>
      <c r="C35" s="1928">
        <v>1.14E-2</v>
      </c>
      <c r="D35" s="1931">
        <f>($C$9*36)/((($B$8-C35)/12)*(36-B35)*'Product Data'!$P$23)</f>
        <v>0</v>
      </c>
      <c r="F35" s="1927">
        <f t="shared" si="4"/>
        <v>0</v>
      </c>
      <c r="G35" s="1928">
        <v>1.14E-2</v>
      </c>
      <c r="H35" s="1931">
        <f>($G$9*36)/((($F$8-'KB_C&amp;S 3yr fixed'!$G35)/12)*(36-'KB_C&amp;S 3yr fixed'!F35)*'Product Data'!$P$23)</f>
        <v>0</v>
      </c>
      <c r="J35" s="1927">
        <f t="shared" si="5"/>
        <v>0</v>
      </c>
      <c r="K35" s="1928">
        <v>1.14E-2</v>
      </c>
      <c r="L35" s="1931">
        <f>($K$9*36)/((($J$8-'KB_C&amp;S 3yr fixed'!$K35)/12)*(36-'KB_C&amp;S 3yr fixed'!J35)*'Product Data'!$P$23)</f>
        <v>0</v>
      </c>
    </row>
    <row r="36" spans="2:12" x14ac:dyDescent="0.25">
      <c r="B36" s="1927">
        <f t="shared" si="3"/>
        <v>0</v>
      </c>
      <c r="C36" s="1928">
        <v>1.1299999999999999E-2</v>
      </c>
      <c r="D36" s="1931">
        <f>($C$9*36)/((($B$8-C36)/12)*(36-B36)*'Product Data'!$P$23)</f>
        <v>0</v>
      </c>
      <c r="F36" s="1927">
        <f t="shared" si="4"/>
        <v>0</v>
      </c>
      <c r="G36" s="1928">
        <v>1.1299999999999999E-2</v>
      </c>
      <c r="H36" s="1931">
        <f>($G$9*36)/((($F$8-'KB_C&amp;S 3yr fixed'!$G36)/12)*(36-'KB_C&amp;S 3yr fixed'!F36)*'Product Data'!$P$23)</f>
        <v>0</v>
      </c>
      <c r="J36" s="1927">
        <f t="shared" si="5"/>
        <v>0</v>
      </c>
      <c r="K36" s="1928">
        <v>1.1299999999999999E-2</v>
      </c>
      <c r="L36" s="1931">
        <f>($K$9*36)/((($J$8-'KB_C&amp;S 3yr fixed'!$K36)/12)*(36-'KB_C&amp;S 3yr fixed'!J36)*'Product Data'!$P$23)</f>
        <v>0</v>
      </c>
    </row>
    <row r="37" spans="2:12" x14ac:dyDescent="0.25">
      <c r="B37" s="1927">
        <f t="shared" si="3"/>
        <v>0</v>
      </c>
      <c r="C37" s="1928">
        <v>1.12E-2</v>
      </c>
      <c r="D37" s="1931">
        <f>($C$9*36)/((($B$8-C37)/12)*(36-B37)*'Product Data'!$P$23)</f>
        <v>0</v>
      </c>
      <c r="F37" s="1927">
        <f t="shared" si="4"/>
        <v>0</v>
      </c>
      <c r="G37" s="1928">
        <v>1.12E-2</v>
      </c>
      <c r="H37" s="1931">
        <f>($G$9*36)/((($F$8-'KB_C&amp;S 3yr fixed'!$G37)/12)*(36-'KB_C&amp;S 3yr fixed'!F37)*'Product Data'!$P$23)</f>
        <v>0</v>
      </c>
      <c r="J37" s="1927">
        <f t="shared" si="5"/>
        <v>0</v>
      </c>
      <c r="K37" s="1928">
        <v>1.12E-2</v>
      </c>
      <c r="L37" s="1931">
        <f>($K$9*36)/((($J$8-'KB_C&amp;S 3yr fixed'!$K37)/12)*(36-'KB_C&amp;S 3yr fixed'!J37)*'Product Data'!$P$23)</f>
        <v>0</v>
      </c>
    </row>
    <row r="38" spans="2:12" x14ac:dyDescent="0.25">
      <c r="B38" s="1927">
        <f t="shared" si="3"/>
        <v>0</v>
      </c>
      <c r="C38" s="1928">
        <v>1.11E-2</v>
      </c>
      <c r="D38" s="1931">
        <f>($C$9*36)/((($B$8-C38)/12)*(36-B38)*'Product Data'!$P$23)</f>
        <v>0</v>
      </c>
      <c r="F38" s="1927">
        <f t="shared" si="4"/>
        <v>0</v>
      </c>
      <c r="G38" s="1928">
        <v>1.11E-2</v>
      </c>
      <c r="H38" s="1931">
        <f>($G$9*36)/((($F$8-'KB_C&amp;S 3yr fixed'!$G38)/12)*(36-'KB_C&amp;S 3yr fixed'!F38)*'Product Data'!$P$23)</f>
        <v>0</v>
      </c>
      <c r="J38" s="1927">
        <f t="shared" si="5"/>
        <v>0</v>
      </c>
      <c r="K38" s="1928">
        <v>1.11E-2</v>
      </c>
      <c r="L38" s="1931">
        <f>($K$9*36)/((($J$8-'KB_C&amp;S 3yr fixed'!$K38)/12)*(36-'KB_C&amp;S 3yr fixed'!J38)*'Product Data'!$P$23)</f>
        <v>0</v>
      </c>
    </row>
    <row r="39" spans="2:12" x14ac:dyDescent="0.25">
      <c r="B39" s="1927">
        <f t="shared" si="3"/>
        <v>0</v>
      </c>
      <c r="C39" s="1928">
        <v>1.0999999999999999E-2</v>
      </c>
      <c r="D39" s="1931">
        <f>($C$9*36)/((($B$8-C39)/12)*(36-B39)*'Product Data'!$P$23)</f>
        <v>0</v>
      </c>
      <c r="F39" s="1927">
        <f t="shared" si="4"/>
        <v>0</v>
      </c>
      <c r="G39" s="1928">
        <v>1.0999999999999999E-2</v>
      </c>
      <c r="H39" s="1931">
        <f>($G$9*36)/((($F$8-'KB_C&amp;S 3yr fixed'!$G39)/12)*(36-'KB_C&amp;S 3yr fixed'!F39)*'Product Data'!$P$23)</f>
        <v>0</v>
      </c>
      <c r="J39" s="1927">
        <f t="shared" si="5"/>
        <v>0</v>
      </c>
      <c r="K39" s="1928">
        <v>1.0999999999999999E-2</v>
      </c>
      <c r="L39" s="1931">
        <f>($K$9*36)/((($J$8-'KB_C&amp;S 3yr fixed'!$K39)/12)*(36-'KB_C&amp;S 3yr fixed'!J39)*'Product Data'!$P$23)</f>
        <v>0</v>
      </c>
    </row>
    <row r="40" spans="2:12" x14ac:dyDescent="0.25">
      <c r="B40" s="1927">
        <f t="shared" si="3"/>
        <v>0</v>
      </c>
      <c r="C40" s="1928">
        <v>1.09E-2</v>
      </c>
      <c r="D40" s="1931">
        <f>($C$9*36)/((($B$8-C40)/12)*(36-B40)*'Product Data'!$P$23)</f>
        <v>0</v>
      </c>
      <c r="F40" s="1927">
        <f t="shared" si="4"/>
        <v>0</v>
      </c>
      <c r="G40" s="1928">
        <v>1.09E-2</v>
      </c>
      <c r="H40" s="1931">
        <f>($G$9*36)/((($F$8-'KB_C&amp;S 3yr fixed'!$G40)/12)*(36-'KB_C&amp;S 3yr fixed'!F40)*'Product Data'!$P$23)</f>
        <v>0</v>
      </c>
      <c r="J40" s="1927">
        <f t="shared" si="5"/>
        <v>0</v>
      </c>
      <c r="K40" s="1928">
        <v>1.09E-2</v>
      </c>
      <c r="L40" s="1931">
        <f>($K$9*36)/((($J$8-'KB_C&amp;S 3yr fixed'!$K40)/12)*(36-'KB_C&amp;S 3yr fixed'!J40)*'Product Data'!$P$23)</f>
        <v>0</v>
      </c>
    </row>
    <row r="41" spans="2:12" x14ac:dyDescent="0.25">
      <c r="B41" s="1927">
        <f t="shared" si="3"/>
        <v>0</v>
      </c>
      <c r="C41" s="1928">
        <v>1.0800000000000001E-2</v>
      </c>
      <c r="D41" s="1931">
        <f>($C$9*36)/((($B$8-C41)/12)*(36-B41)*'Product Data'!$P$23)</f>
        <v>0</v>
      </c>
      <c r="F41" s="1927">
        <f t="shared" si="4"/>
        <v>0</v>
      </c>
      <c r="G41" s="1928">
        <v>1.0800000000000001E-2</v>
      </c>
      <c r="H41" s="1931">
        <f>($G$9*36)/((($F$8-'KB_C&amp;S 3yr fixed'!$G41)/12)*(36-'KB_C&amp;S 3yr fixed'!F41)*'Product Data'!$P$23)</f>
        <v>0</v>
      </c>
      <c r="J41" s="1927">
        <f t="shared" si="5"/>
        <v>0</v>
      </c>
      <c r="K41" s="1928">
        <v>1.0800000000000001E-2</v>
      </c>
      <c r="L41" s="1931">
        <f>($K$9*36)/((($J$8-'KB_C&amp;S 3yr fixed'!$K41)/12)*(36-'KB_C&amp;S 3yr fixed'!J41)*'Product Data'!$P$23)</f>
        <v>0</v>
      </c>
    </row>
    <row r="42" spans="2:12" x14ac:dyDescent="0.25">
      <c r="B42" s="1927">
        <f t="shared" si="3"/>
        <v>0</v>
      </c>
      <c r="C42" s="1928">
        <v>1.0699999999999999E-2</v>
      </c>
      <c r="D42" s="1931">
        <f>($C$9*36)/((($B$8-C42)/12)*(36-B42)*'Product Data'!$P$23)</f>
        <v>0</v>
      </c>
      <c r="F42" s="1927">
        <f t="shared" si="4"/>
        <v>0</v>
      </c>
      <c r="G42" s="1928">
        <v>1.0699999999999999E-2</v>
      </c>
      <c r="H42" s="1931">
        <f>($G$9*36)/((($F$8-'KB_C&amp;S 3yr fixed'!$G42)/12)*(36-'KB_C&amp;S 3yr fixed'!F42)*'Product Data'!$P$23)</f>
        <v>0</v>
      </c>
      <c r="J42" s="1927">
        <f t="shared" si="5"/>
        <v>0</v>
      </c>
      <c r="K42" s="1928">
        <v>1.0699999999999999E-2</v>
      </c>
      <c r="L42" s="1931">
        <f>($K$9*36)/((($J$8-'KB_C&amp;S 3yr fixed'!$K42)/12)*(36-'KB_C&amp;S 3yr fixed'!J42)*'Product Data'!$P$23)</f>
        <v>0</v>
      </c>
    </row>
    <row r="43" spans="2:12" x14ac:dyDescent="0.25">
      <c r="B43" s="1927">
        <f t="shared" si="3"/>
        <v>0</v>
      </c>
      <c r="C43" s="1928">
        <v>1.06E-2</v>
      </c>
      <c r="D43" s="1931">
        <f>($C$9*36)/((($B$8-C43)/12)*(36-B43)*'Product Data'!$P$23)</f>
        <v>0</v>
      </c>
      <c r="F43" s="1927">
        <f t="shared" si="4"/>
        <v>0</v>
      </c>
      <c r="G43" s="1928">
        <v>1.06E-2</v>
      </c>
      <c r="H43" s="1931">
        <f>($G$9*36)/((($F$8-'KB_C&amp;S 3yr fixed'!$G43)/12)*(36-'KB_C&amp;S 3yr fixed'!F43)*'Product Data'!$P$23)</f>
        <v>0</v>
      </c>
      <c r="J43" s="1927">
        <f t="shared" si="5"/>
        <v>0</v>
      </c>
      <c r="K43" s="1928">
        <v>1.06E-2</v>
      </c>
      <c r="L43" s="1931">
        <f>($K$9*36)/((($J$8-'KB_C&amp;S 3yr fixed'!$K43)/12)*(36-'KB_C&amp;S 3yr fixed'!J43)*'Product Data'!$P$23)</f>
        <v>0</v>
      </c>
    </row>
    <row r="44" spans="2:12" x14ac:dyDescent="0.25">
      <c r="B44" s="1927">
        <f t="shared" si="3"/>
        <v>0</v>
      </c>
      <c r="C44" s="1928">
        <v>1.0500000000000001E-2</v>
      </c>
      <c r="D44" s="1931">
        <f>($C$9*36)/((($B$8-C44)/12)*(36-B44)*'Product Data'!$P$23)</f>
        <v>0</v>
      </c>
      <c r="F44" s="1927">
        <f t="shared" si="4"/>
        <v>0</v>
      </c>
      <c r="G44" s="1928">
        <v>1.0500000000000001E-2</v>
      </c>
      <c r="H44" s="1931">
        <f>($G$9*36)/((($F$8-'KB_C&amp;S 3yr fixed'!$G44)/12)*(36-'KB_C&amp;S 3yr fixed'!F44)*'Product Data'!$P$23)</f>
        <v>0</v>
      </c>
      <c r="J44" s="1927">
        <f t="shared" si="5"/>
        <v>0</v>
      </c>
      <c r="K44" s="1928">
        <v>1.0500000000000001E-2</v>
      </c>
      <c r="L44" s="1931">
        <f>($K$9*36)/((($J$8-'KB_C&amp;S 3yr fixed'!$K44)/12)*(36-'KB_C&amp;S 3yr fixed'!J44)*'Product Data'!$P$23)</f>
        <v>0</v>
      </c>
    </row>
    <row r="45" spans="2:12" x14ac:dyDescent="0.25">
      <c r="B45" s="1927">
        <f t="shared" si="3"/>
        <v>0</v>
      </c>
      <c r="C45" s="1928">
        <v>1.04E-2</v>
      </c>
      <c r="D45" s="1931">
        <f>($C$9*36)/((($B$8-C45)/12)*(36-B45)*'Product Data'!$P$23)</f>
        <v>0</v>
      </c>
      <c r="F45" s="1927">
        <f t="shared" si="4"/>
        <v>0</v>
      </c>
      <c r="G45" s="1928">
        <v>1.04E-2</v>
      </c>
      <c r="H45" s="1931">
        <f>($G$9*36)/((($F$8-'KB_C&amp;S 3yr fixed'!$G45)/12)*(36-'KB_C&amp;S 3yr fixed'!F45)*'Product Data'!$P$23)</f>
        <v>0</v>
      </c>
      <c r="J45" s="1927">
        <f t="shared" si="5"/>
        <v>0</v>
      </c>
      <c r="K45" s="1928">
        <v>1.04E-2</v>
      </c>
      <c r="L45" s="1931">
        <f>($K$9*36)/((($J$8-'KB_C&amp;S 3yr fixed'!$K45)/12)*(36-'KB_C&amp;S 3yr fixed'!J45)*'Product Data'!$P$23)</f>
        <v>0</v>
      </c>
    </row>
    <row r="46" spans="2:12" x14ac:dyDescent="0.25">
      <c r="B46" s="1927">
        <f t="shared" si="3"/>
        <v>0</v>
      </c>
      <c r="C46" s="1928">
        <v>1.03E-2</v>
      </c>
      <c r="D46" s="1931">
        <f>($C$9*36)/((($B$8-C46)/12)*(36-B46)*'Product Data'!$P$23)</f>
        <v>0</v>
      </c>
      <c r="F46" s="1927">
        <f t="shared" si="4"/>
        <v>0</v>
      </c>
      <c r="G46" s="1928">
        <v>1.03E-2</v>
      </c>
      <c r="H46" s="1931">
        <f>($G$9*36)/((($F$8-'KB_C&amp;S 3yr fixed'!$G46)/12)*(36-'KB_C&amp;S 3yr fixed'!F46)*'Product Data'!$P$23)</f>
        <v>0</v>
      </c>
      <c r="J46" s="1927">
        <f t="shared" si="5"/>
        <v>0</v>
      </c>
      <c r="K46" s="1928">
        <v>1.03E-2</v>
      </c>
      <c r="L46" s="1931">
        <f>($K$9*36)/((($J$8-'KB_C&amp;S 3yr fixed'!$K46)/12)*(36-'KB_C&amp;S 3yr fixed'!J46)*'Product Data'!$P$23)</f>
        <v>0</v>
      </c>
    </row>
    <row r="47" spans="2:12" x14ac:dyDescent="0.25">
      <c r="B47" s="1927">
        <f t="shared" si="3"/>
        <v>0</v>
      </c>
      <c r="C47" s="1928">
        <v>1.0200000000000001E-2</v>
      </c>
      <c r="D47" s="1931">
        <f>($C$9*36)/((($B$8-C47)/12)*(36-B47)*'Product Data'!$P$23)</f>
        <v>0</v>
      </c>
      <c r="F47" s="1927">
        <f t="shared" si="4"/>
        <v>0</v>
      </c>
      <c r="G47" s="1928">
        <v>1.0200000000000001E-2</v>
      </c>
      <c r="H47" s="1931">
        <f>($G$9*36)/((($F$8-'KB_C&amp;S 3yr fixed'!$G47)/12)*(36-'KB_C&amp;S 3yr fixed'!F47)*'Product Data'!$P$23)</f>
        <v>0</v>
      </c>
      <c r="J47" s="1927">
        <f t="shared" si="5"/>
        <v>0</v>
      </c>
      <c r="K47" s="1928">
        <v>1.0200000000000001E-2</v>
      </c>
      <c r="L47" s="1931">
        <f>($K$9*36)/((($J$8-'KB_C&amp;S 3yr fixed'!$K47)/12)*(36-'KB_C&amp;S 3yr fixed'!J47)*'Product Data'!$P$23)</f>
        <v>0</v>
      </c>
    </row>
    <row r="48" spans="2:12" x14ac:dyDescent="0.25">
      <c r="B48" s="1927">
        <f t="shared" si="3"/>
        <v>0</v>
      </c>
      <c r="C48" s="1928">
        <v>1.01E-2</v>
      </c>
      <c r="D48" s="1931">
        <f>($C$9*36)/((($B$8-C48)/12)*(36-B48)*'Product Data'!$P$23)</f>
        <v>0</v>
      </c>
      <c r="F48" s="1927">
        <f t="shared" si="4"/>
        <v>0</v>
      </c>
      <c r="G48" s="1928">
        <v>1.01E-2</v>
      </c>
      <c r="H48" s="1931">
        <f>($G$9*36)/((($F$8-'KB_C&amp;S 3yr fixed'!$G48)/12)*(36-'KB_C&amp;S 3yr fixed'!F48)*'Product Data'!$P$23)</f>
        <v>0</v>
      </c>
      <c r="J48" s="1927">
        <f t="shared" si="5"/>
        <v>0</v>
      </c>
      <c r="K48" s="1928">
        <v>1.01E-2</v>
      </c>
      <c r="L48" s="1931">
        <f>($K$9*36)/((($J$8-'KB_C&amp;S 3yr fixed'!$K48)/12)*(36-'KB_C&amp;S 3yr fixed'!J48)*'Product Data'!$P$23)</f>
        <v>0</v>
      </c>
    </row>
    <row r="49" spans="2:12" x14ac:dyDescent="0.25">
      <c r="B49" s="1927">
        <f t="shared" si="3"/>
        <v>0</v>
      </c>
      <c r="C49" s="1928">
        <v>9.9999999999999707E-3</v>
      </c>
      <c r="D49" s="1931">
        <f>($C$9*36)/((($B$8-C49)/12)*(36-B49)*'Product Data'!$P$23)</f>
        <v>0</v>
      </c>
      <c r="F49" s="1927">
        <f t="shared" si="4"/>
        <v>0</v>
      </c>
      <c r="G49" s="1928">
        <v>9.9999999999999707E-3</v>
      </c>
      <c r="H49" s="1931">
        <f>($G$9*36)/((($F$8-'KB_C&amp;S 3yr fixed'!$G49)/12)*(36-'KB_C&amp;S 3yr fixed'!F49)*'Product Data'!$P$23)</f>
        <v>0</v>
      </c>
      <c r="J49" s="1927">
        <f t="shared" si="5"/>
        <v>0</v>
      </c>
      <c r="K49" s="1928">
        <v>9.9999999999999707E-3</v>
      </c>
      <c r="L49" s="1931">
        <f>($K$9*36)/((($J$8-'KB_C&amp;S 3yr fixed'!$K49)/12)*(36-'KB_C&amp;S 3yr fixed'!J49)*'Product Data'!$P$23)</f>
        <v>0</v>
      </c>
    </row>
    <row r="50" spans="2:12" x14ac:dyDescent="0.25">
      <c r="B50" s="1927">
        <f t="shared" si="3"/>
        <v>0</v>
      </c>
      <c r="C50" s="1928">
        <v>9.8999999999999696E-3</v>
      </c>
      <c r="D50" s="1931">
        <f>($C$9*36)/((($B$8-C50)/12)*(36-B50)*'Product Data'!$P$23)</f>
        <v>0</v>
      </c>
      <c r="F50" s="1927">
        <f t="shared" si="4"/>
        <v>0</v>
      </c>
      <c r="G50" s="1928">
        <v>9.8999999999999696E-3</v>
      </c>
      <c r="H50" s="1931">
        <f>($G$9*36)/((($F$8-'KB_C&amp;S 3yr fixed'!$G50)/12)*(36-'KB_C&amp;S 3yr fixed'!F50)*'Product Data'!$P$23)</f>
        <v>0</v>
      </c>
      <c r="J50" s="1927">
        <f t="shared" si="5"/>
        <v>0</v>
      </c>
      <c r="K50" s="1928">
        <v>9.8999999999999696E-3</v>
      </c>
      <c r="L50" s="1931">
        <f>($K$9*36)/((($J$8-'KB_C&amp;S 3yr fixed'!$K50)/12)*(36-'KB_C&amp;S 3yr fixed'!J50)*'Product Data'!$P$23)</f>
        <v>0</v>
      </c>
    </row>
    <row r="51" spans="2:12" x14ac:dyDescent="0.25">
      <c r="B51" s="1927">
        <f t="shared" si="3"/>
        <v>0</v>
      </c>
      <c r="C51" s="1928">
        <v>9.7999999999999702E-3</v>
      </c>
      <c r="D51" s="1931">
        <f>($C$9*36)/((($B$8-C51)/12)*(36-B51)*'Product Data'!$P$23)</f>
        <v>0</v>
      </c>
      <c r="F51" s="1927">
        <f t="shared" si="4"/>
        <v>0</v>
      </c>
      <c r="G51" s="1928">
        <v>9.7999999999999702E-3</v>
      </c>
      <c r="H51" s="1931">
        <f>($G$9*36)/((($F$8-'KB_C&amp;S 3yr fixed'!$G51)/12)*(36-'KB_C&amp;S 3yr fixed'!F51)*'Product Data'!$P$23)</f>
        <v>0</v>
      </c>
      <c r="J51" s="1927">
        <f t="shared" si="5"/>
        <v>0</v>
      </c>
      <c r="K51" s="1928">
        <v>9.7999999999999702E-3</v>
      </c>
      <c r="L51" s="1931">
        <f>($K$9*36)/((($J$8-'KB_C&amp;S 3yr fixed'!$K51)/12)*(36-'KB_C&amp;S 3yr fixed'!J51)*'Product Data'!$P$23)</f>
        <v>0</v>
      </c>
    </row>
    <row r="52" spans="2:12" x14ac:dyDescent="0.25">
      <c r="B52" s="1927">
        <f t="shared" si="3"/>
        <v>0</v>
      </c>
      <c r="C52" s="1928">
        <v>9.6999999999999708E-3</v>
      </c>
      <c r="D52" s="1931">
        <f>($C$9*36)/((($B$8-C52)/12)*(36-B52)*'Product Data'!$P$23)</f>
        <v>0</v>
      </c>
      <c r="F52" s="1927">
        <f t="shared" si="4"/>
        <v>0</v>
      </c>
      <c r="G52" s="1928">
        <v>9.6999999999999708E-3</v>
      </c>
      <c r="H52" s="1931">
        <f>($G$9*36)/((($F$8-'KB_C&amp;S 3yr fixed'!$G52)/12)*(36-'KB_C&amp;S 3yr fixed'!F52)*'Product Data'!$P$23)</f>
        <v>0</v>
      </c>
      <c r="J52" s="1927">
        <f t="shared" si="5"/>
        <v>0</v>
      </c>
      <c r="K52" s="1928">
        <v>9.6999999999999708E-3</v>
      </c>
      <c r="L52" s="1931">
        <f>($K$9*36)/((($J$8-'KB_C&amp;S 3yr fixed'!$K52)/12)*(36-'KB_C&amp;S 3yr fixed'!J52)*'Product Data'!$P$23)</f>
        <v>0</v>
      </c>
    </row>
    <row r="53" spans="2:12" x14ac:dyDescent="0.25">
      <c r="B53" s="1927">
        <f t="shared" si="3"/>
        <v>0</v>
      </c>
      <c r="C53" s="1928">
        <v>9.5999999999999697E-3</v>
      </c>
      <c r="D53" s="1931">
        <f>($C$9*36)/((($B$8-C53)/12)*(36-B53)*'Product Data'!$P$23)</f>
        <v>0</v>
      </c>
      <c r="F53" s="1927">
        <f t="shared" si="4"/>
        <v>0</v>
      </c>
      <c r="G53" s="1928">
        <v>9.5999999999999697E-3</v>
      </c>
      <c r="H53" s="1931">
        <f>($G$9*36)/((($F$8-'KB_C&amp;S 3yr fixed'!$G53)/12)*(36-'KB_C&amp;S 3yr fixed'!F53)*'Product Data'!$P$23)</f>
        <v>0</v>
      </c>
      <c r="J53" s="1927">
        <f t="shared" si="5"/>
        <v>0</v>
      </c>
      <c r="K53" s="1928">
        <v>9.5999999999999697E-3</v>
      </c>
      <c r="L53" s="1931">
        <f>($K$9*36)/((($J$8-'KB_C&amp;S 3yr fixed'!$K53)/12)*(36-'KB_C&amp;S 3yr fixed'!J53)*'Product Data'!$P$23)</f>
        <v>0</v>
      </c>
    </row>
    <row r="54" spans="2:12" x14ac:dyDescent="0.25">
      <c r="B54" s="1927">
        <f t="shared" si="3"/>
        <v>0</v>
      </c>
      <c r="C54" s="1928">
        <v>9.4999999999999703E-3</v>
      </c>
      <c r="D54" s="1931">
        <f>($C$9*36)/((($B$8-C54)/12)*(36-B54)*'Product Data'!$P$23)</f>
        <v>0</v>
      </c>
      <c r="F54" s="1927">
        <f t="shared" si="4"/>
        <v>0</v>
      </c>
      <c r="G54" s="1928">
        <v>9.4999999999999703E-3</v>
      </c>
      <c r="H54" s="1931">
        <f>($G$9*36)/((($F$8-'KB_C&amp;S 3yr fixed'!$G54)/12)*(36-'KB_C&amp;S 3yr fixed'!F54)*'Product Data'!$P$23)</f>
        <v>0</v>
      </c>
      <c r="J54" s="1927">
        <f t="shared" si="5"/>
        <v>0</v>
      </c>
      <c r="K54" s="1928">
        <v>9.4999999999999703E-3</v>
      </c>
      <c r="L54" s="1931">
        <f>($K$9*36)/((($J$8-'KB_C&amp;S 3yr fixed'!$K54)/12)*(36-'KB_C&amp;S 3yr fixed'!J54)*'Product Data'!$P$23)</f>
        <v>0</v>
      </c>
    </row>
    <row r="55" spans="2:12" x14ac:dyDescent="0.25">
      <c r="B55" s="1927">
        <f t="shared" si="3"/>
        <v>0</v>
      </c>
      <c r="C55" s="1928">
        <v>9.3999999999999605E-3</v>
      </c>
      <c r="D55" s="1931">
        <f>($C$9*36)/((($B$8-C55)/12)*(36-B55)*'Product Data'!$P$23)</f>
        <v>0</v>
      </c>
      <c r="F55" s="1927">
        <f t="shared" si="4"/>
        <v>0</v>
      </c>
      <c r="G55" s="1928">
        <v>9.3999999999999605E-3</v>
      </c>
      <c r="H55" s="1931">
        <f>($G$9*36)/((($F$8-'KB_C&amp;S 3yr fixed'!$G55)/12)*(36-'KB_C&amp;S 3yr fixed'!F55)*'Product Data'!$P$23)</f>
        <v>0</v>
      </c>
      <c r="J55" s="1927">
        <f t="shared" si="5"/>
        <v>0</v>
      </c>
      <c r="K55" s="1928">
        <v>9.3999999999999605E-3</v>
      </c>
      <c r="L55" s="1931">
        <f>($K$9*36)/((($J$8-'KB_C&amp;S 3yr fixed'!$K55)/12)*(36-'KB_C&amp;S 3yr fixed'!J55)*'Product Data'!$P$23)</f>
        <v>0</v>
      </c>
    </row>
    <row r="56" spans="2:12" x14ac:dyDescent="0.25">
      <c r="B56" s="1927">
        <f t="shared" si="3"/>
        <v>0</v>
      </c>
      <c r="C56" s="1928">
        <v>9.2999999999999593E-3</v>
      </c>
      <c r="D56" s="1931">
        <f>($C$9*36)/((($B$8-C56)/12)*(36-B56)*'Product Data'!$P$23)</f>
        <v>0</v>
      </c>
      <c r="F56" s="1927">
        <f t="shared" si="4"/>
        <v>0</v>
      </c>
      <c r="G56" s="1928">
        <v>9.2999999999999593E-3</v>
      </c>
      <c r="H56" s="1931">
        <f>($G$9*36)/((($F$8-'KB_C&amp;S 3yr fixed'!$G56)/12)*(36-'KB_C&amp;S 3yr fixed'!F56)*'Product Data'!$P$23)</f>
        <v>0</v>
      </c>
      <c r="J56" s="1927">
        <f t="shared" si="5"/>
        <v>0</v>
      </c>
      <c r="K56" s="1928">
        <v>9.2999999999999593E-3</v>
      </c>
      <c r="L56" s="1931">
        <f>($K$9*36)/((($J$8-'KB_C&amp;S 3yr fixed'!$K56)/12)*(36-'KB_C&amp;S 3yr fixed'!J56)*'Product Data'!$P$23)</f>
        <v>0</v>
      </c>
    </row>
    <row r="57" spans="2:12" x14ac:dyDescent="0.25">
      <c r="B57" s="1927">
        <f t="shared" si="3"/>
        <v>0</v>
      </c>
      <c r="C57" s="1928">
        <v>9.1999999999999599E-3</v>
      </c>
      <c r="D57" s="1931">
        <f>($C$9*36)/((($B$8-C57)/12)*(36-B57)*'Product Data'!$P$23)</f>
        <v>0</v>
      </c>
      <c r="F57" s="1927">
        <f t="shared" si="4"/>
        <v>0</v>
      </c>
      <c r="G57" s="1928">
        <v>9.1999999999999599E-3</v>
      </c>
      <c r="H57" s="1931">
        <f>($G$9*36)/((($F$8-'KB_C&amp;S 3yr fixed'!$G57)/12)*(36-'KB_C&amp;S 3yr fixed'!F57)*'Product Data'!$P$23)</f>
        <v>0</v>
      </c>
      <c r="J57" s="1927">
        <f t="shared" si="5"/>
        <v>0</v>
      </c>
      <c r="K57" s="1928">
        <v>9.1999999999999599E-3</v>
      </c>
      <c r="L57" s="1931">
        <f>($K$9*36)/((($J$8-'KB_C&amp;S 3yr fixed'!$K57)/12)*(36-'KB_C&amp;S 3yr fixed'!J57)*'Product Data'!$P$23)</f>
        <v>0</v>
      </c>
    </row>
    <row r="58" spans="2:12" x14ac:dyDescent="0.25">
      <c r="B58" s="1927">
        <f t="shared" si="3"/>
        <v>0</v>
      </c>
      <c r="C58" s="1928">
        <v>9.0999999999999606E-3</v>
      </c>
      <c r="D58" s="1931">
        <f>($C$9*36)/((($B$8-C58)/12)*(36-B58)*'Product Data'!$P$23)</f>
        <v>0</v>
      </c>
      <c r="F58" s="1927">
        <f t="shared" si="4"/>
        <v>0</v>
      </c>
      <c r="G58" s="1928">
        <v>9.0999999999999606E-3</v>
      </c>
      <c r="H58" s="1931">
        <f>($G$9*36)/((($F$8-'KB_C&amp;S 3yr fixed'!$G58)/12)*(36-'KB_C&amp;S 3yr fixed'!F58)*'Product Data'!$P$23)</f>
        <v>0</v>
      </c>
      <c r="J58" s="1927">
        <f t="shared" si="5"/>
        <v>0</v>
      </c>
      <c r="K58" s="1928">
        <v>9.0999999999999606E-3</v>
      </c>
      <c r="L58" s="1931">
        <f>($K$9*36)/((($J$8-'KB_C&amp;S 3yr fixed'!$K58)/12)*(36-'KB_C&amp;S 3yr fixed'!J58)*'Product Data'!$P$23)</f>
        <v>0</v>
      </c>
    </row>
    <row r="59" spans="2:12" x14ac:dyDescent="0.25">
      <c r="B59" s="1927">
        <f t="shared" si="3"/>
        <v>0</v>
      </c>
      <c r="C59" s="1928">
        <v>8.9999999999999594E-3</v>
      </c>
      <c r="D59" s="1931">
        <f>($C$9*36)/((($B$8-C59)/12)*(36-B59)*'Product Data'!$P$23)</f>
        <v>0</v>
      </c>
      <c r="F59" s="1927">
        <f t="shared" si="4"/>
        <v>0</v>
      </c>
      <c r="G59" s="1928">
        <v>8.9999999999999594E-3</v>
      </c>
      <c r="H59" s="1931">
        <f>($G$9*36)/((($F$8-'KB_C&amp;S 3yr fixed'!$G59)/12)*(36-'KB_C&amp;S 3yr fixed'!F59)*'Product Data'!$P$23)</f>
        <v>0</v>
      </c>
      <c r="J59" s="1927">
        <f t="shared" si="5"/>
        <v>0</v>
      </c>
      <c r="K59" s="1928">
        <v>8.9999999999999594E-3</v>
      </c>
      <c r="L59" s="1931">
        <f>($K$9*36)/((($J$8-'KB_C&amp;S 3yr fixed'!$K59)/12)*(36-'KB_C&amp;S 3yr fixed'!J59)*'Product Data'!$P$23)</f>
        <v>0</v>
      </c>
    </row>
    <row r="60" spans="2:12" x14ac:dyDescent="0.25">
      <c r="B60" s="1927">
        <f t="shared" si="3"/>
        <v>0</v>
      </c>
      <c r="C60" s="1928">
        <v>8.89999999999996E-3</v>
      </c>
      <c r="D60" s="1931">
        <f>($C$9*36)/((($B$8-C60)/12)*(36-B60)*'Product Data'!$P$23)</f>
        <v>0</v>
      </c>
      <c r="F60" s="1927">
        <f t="shared" si="4"/>
        <v>0</v>
      </c>
      <c r="G60" s="1928">
        <v>8.89999999999996E-3</v>
      </c>
      <c r="H60" s="1931">
        <f>($G$9*36)/((($F$8-'KB_C&amp;S 3yr fixed'!$G60)/12)*(36-'KB_C&amp;S 3yr fixed'!F60)*'Product Data'!$P$23)</f>
        <v>0</v>
      </c>
      <c r="J60" s="1927">
        <f t="shared" si="5"/>
        <v>0</v>
      </c>
      <c r="K60" s="1928">
        <v>8.89999999999996E-3</v>
      </c>
      <c r="L60" s="1931">
        <f>($K$9*36)/((($J$8-'KB_C&amp;S 3yr fixed'!$K60)/12)*(36-'KB_C&amp;S 3yr fixed'!J60)*'Product Data'!$P$23)</f>
        <v>0</v>
      </c>
    </row>
    <row r="61" spans="2:12" x14ac:dyDescent="0.25">
      <c r="B61" s="1927">
        <f t="shared" si="3"/>
        <v>0</v>
      </c>
      <c r="C61" s="1928">
        <v>8.7999999999999606E-3</v>
      </c>
      <c r="D61" s="1931">
        <f>($C$9*36)/((($B$8-C61)/12)*(36-B61)*'Product Data'!$P$23)</f>
        <v>0</v>
      </c>
      <c r="F61" s="1927">
        <f t="shared" si="4"/>
        <v>0</v>
      </c>
      <c r="G61" s="1928">
        <v>8.7999999999999606E-3</v>
      </c>
      <c r="H61" s="1931">
        <f>($G$9*36)/((($F$8-'KB_C&amp;S 3yr fixed'!$G61)/12)*(36-'KB_C&amp;S 3yr fixed'!F61)*'Product Data'!$P$23)</f>
        <v>0</v>
      </c>
      <c r="J61" s="1927">
        <f t="shared" si="5"/>
        <v>0</v>
      </c>
      <c r="K61" s="1928">
        <v>8.7999999999999606E-3</v>
      </c>
      <c r="L61" s="1931">
        <f>($K$9*36)/((($J$8-'KB_C&amp;S 3yr fixed'!$K61)/12)*(36-'KB_C&amp;S 3yr fixed'!J61)*'Product Data'!$P$23)</f>
        <v>0</v>
      </c>
    </row>
    <row r="62" spans="2:12" x14ac:dyDescent="0.25">
      <c r="B62" s="1927">
        <f t="shared" si="3"/>
        <v>0</v>
      </c>
      <c r="C62" s="1928">
        <v>8.6999999999999595E-3</v>
      </c>
      <c r="D62" s="1931">
        <f>($C$9*36)/((($B$8-C62)/12)*(36-B62)*'Product Data'!$P$23)</f>
        <v>0</v>
      </c>
      <c r="F62" s="1927">
        <f t="shared" si="4"/>
        <v>0</v>
      </c>
      <c r="G62" s="1928">
        <v>8.6999999999999595E-3</v>
      </c>
      <c r="H62" s="1931">
        <f>($G$9*36)/((($F$8-'KB_C&amp;S 3yr fixed'!$G62)/12)*(36-'KB_C&amp;S 3yr fixed'!F62)*'Product Data'!$P$23)</f>
        <v>0</v>
      </c>
      <c r="J62" s="1927">
        <f t="shared" si="5"/>
        <v>0</v>
      </c>
      <c r="K62" s="1928">
        <v>8.6999999999999595E-3</v>
      </c>
      <c r="L62" s="1931">
        <f>($K$9*36)/((($J$8-'KB_C&amp;S 3yr fixed'!$K62)/12)*(36-'KB_C&amp;S 3yr fixed'!J62)*'Product Data'!$P$23)</f>
        <v>0</v>
      </c>
    </row>
    <row r="63" spans="2:12" x14ac:dyDescent="0.25">
      <c r="B63" s="1927">
        <f t="shared" si="3"/>
        <v>0</v>
      </c>
      <c r="C63" s="1928">
        <v>8.5999999999999601E-3</v>
      </c>
      <c r="D63" s="1931">
        <f>($C$9*36)/((($B$8-C63)/12)*(36-B63)*'Product Data'!$P$23)</f>
        <v>0</v>
      </c>
      <c r="F63" s="1927">
        <f t="shared" si="4"/>
        <v>0</v>
      </c>
      <c r="G63" s="1928">
        <v>8.5999999999999601E-3</v>
      </c>
      <c r="H63" s="1931">
        <f>($G$9*36)/((($F$8-'KB_C&amp;S 3yr fixed'!$G63)/12)*(36-'KB_C&amp;S 3yr fixed'!F63)*'Product Data'!$P$23)</f>
        <v>0</v>
      </c>
      <c r="J63" s="1927">
        <f t="shared" si="5"/>
        <v>0</v>
      </c>
      <c r="K63" s="1928">
        <v>8.5999999999999601E-3</v>
      </c>
      <c r="L63" s="1931">
        <f>($K$9*36)/((($J$8-'KB_C&amp;S 3yr fixed'!$K63)/12)*(36-'KB_C&amp;S 3yr fixed'!J63)*'Product Data'!$P$23)</f>
        <v>0</v>
      </c>
    </row>
    <row r="64" spans="2:12" x14ac:dyDescent="0.25">
      <c r="B64" s="1927">
        <f t="shared" si="3"/>
        <v>0</v>
      </c>
      <c r="C64" s="1928">
        <v>8.4999999999999503E-3</v>
      </c>
      <c r="D64" s="1931">
        <f>($C$9*36)/((($B$8-C64)/12)*(36-B64)*'Product Data'!$P$23)</f>
        <v>0</v>
      </c>
      <c r="F64" s="1927">
        <f t="shared" si="4"/>
        <v>0</v>
      </c>
      <c r="G64" s="1928">
        <v>8.4999999999999503E-3</v>
      </c>
      <c r="H64" s="1931">
        <f>($G$9*36)/((($F$8-'KB_C&amp;S 3yr fixed'!$G64)/12)*(36-'KB_C&amp;S 3yr fixed'!F64)*'Product Data'!$P$23)</f>
        <v>0</v>
      </c>
      <c r="J64" s="1927">
        <f t="shared" si="5"/>
        <v>0</v>
      </c>
      <c r="K64" s="1928">
        <v>8.4999999999999503E-3</v>
      </c>
      <c r="L64" s="1931">
        <f>($K$9*36)/((($J$8-'KB_C&amp;S 3yr fixed'!$K64)/12)*(36-'KB_C&amp;S 3yr fixed'!J64)*'Product Data'!$P$23)</f>
        <v>0</v>
      </c>
    </row>
    <row r="65" spans="2:12" x14ac:dyDescent="0.25">
      <c r="B65" s="1927">
        <f t="shared" si="3"/>
        <v>0</v>
      </c>
      <c r="C65" s="1928">
        <v>8.3999999999999492E-3</v>
      </c>
      <c r="D65" s="1931">
        <f>($C$9*36)/((($B$8-C65)/12)*(36-B65)*'Product Data'!$P$23)</f>
        <v>0</v>
      </c>
      <c r="F65" s="1927">
        <f t="shared" si="4"/>
        <v>0</v>
      </c>
      <c r="G65" s="1928">
        <v>8.3999999999999492E-3</v>
      </c>
      <c r="H65" s="1931">
        <f>($G$9*36)/((($F$8-'KB_C&amp;S 3yr fixed'!$G65)/12)*(36-'KB_C&amp;S 3yr fixed'!F65)*'Product Data'!$P$23)</f>
        <v>0</v>
      </c>
      <c r="J65" s="1927">
        <f t="shared" si="5"/>
        <v>0</v>
      </c>
      <c r="K65" s="1928">
        <v>8.3999999999999492E-3</v>
      </c>
      <c r="L65" s="1931">
        <f>($K$9*36)/((($J$8-'KB_C&amp;S 3yr fixed'!$K65)/12)*(36-'KB_C&amp;S 3yr fixed'!J65)*'Product Data'!$P$23)</f>
        <v>0</v>
      </c>
    </row>
    <row r="66" spans="2:12" x14ac:dyDescent="0.25">
      <c r="B66" s="1927">
        <f t="shared" si="3"/>
        <v>0</v>
      </c>
      <c r="C66" s="1928">
        <v>8.2999999999999498E-3</v>
      </c>
      <c r="D66" s="1931">
        <f>($C$9*36)/((($B$8-C66)/12)*(36-B66)*'Product Data'!$P$23)</f>
        <v>0</v>
      </c>
      <c r="F66" s="1927">
        <f t="shared" si="4"/>
        <v>0</v>
      </c>
      <c r="G66" s="1928">
        <v>8.2999999999999498E-3</v>
      </c>
      <c r="H66" s="1931">
        <f>($G$9*36)/((($F$8-'KB_C&amp;S 3yr fixed'!$G66)/12)*(36-'KB_C&amp;S 3yr fixed'!F66)*'Product Data'!$P$23)</f>
        <v>0</v>
      </c>
      <c r="J66" s="1927">
        <f t="shared" si="5"/>
        <v>0</v>
      </c>
      <c r="K66" s="1928">
        <v>8.2999999999999498E-3</v>
      </c>
      <c r="L66" s="1931">
        <f>($K$9*36)/((($J$8-'KB_C&amp;S 3yr fixed'!$K66)/12)*(36-'KB_C&amp;S 3yr fixed'!J66)*'Product Data'!$P$23)</f>
        <v>0</v>
      </c>
    </row>
    <row r="67" spans="2:12" x14ac:dyDescent="0.25">
      <c r="B67" s="1927">
        <f t="shared" si="3"/>
        <v>0</v>
      </c>
      <c r="C67" s="1928">
        <v>8.1999999999999504E-3</v>
      </c>
      <c r="D67" s="1931">
        <f>($C$9*36)/((($B$8-C67)/12)*(36-B67)*'Product Data'!$P$23)</f>
        <v>0</v>
      </c>
      <c r="F67" s="1927">
        <f t="shared" si="4"/>
        <v>0</v>
      </c>
      <c r="G67" s="1928">
        <v>8.1999999999999504E-3</v>
      </c>
      <c r="H67" s="1931">
        <f>($G$9*36)/((($F$8-'KB_C&amp;S 3yr fixed'!$G67)/12)*(36-'KB_C&amp;S 3yr fixed'!F67)*'Product Data'!$P$23)</f>
        <v>0</v>
      </c>
      <c r="J67" s="1927">
        <f t="shared" si="5"/>
        <v>0</v>
      </c>
      <c r="K67" s="1928">
        <v>8.1999999999999504E-3</v>
      </c>
      <c r="L67" s="1931">
        <f>($K$9*36)/((($J$8-'KB_C&amp;S 3yr fixed'!$K67)/12)*(36-'KB_C&amp;S 3yr fixed'!J67)*'Product Data'!$P$23)</f>
        <v>0</v>
      </c>
    </row>
    <row r="68" spans="2:12" x14ac:dyDescent="0.25">
      <c r="B68" s="1927">
        <f t="shared" si="3"/>
        <v>0</v>
      </c>
      <c r="C68" s="1928">
        <v>8.0999999999999493E-3</v>
      </c>
      <c r="D68" s="1931">
        <f>($C$9*36)/((($B$8-C68)/12)*(36-B68)*'Product Data'!$P$23)</f>
        <v>0</v>
      </c>
      <c r="F68" s="1927">
        <f t="shared" si="4"/>
        <v>0</v>
      </c>
      <c r="G68" s="1928">
        <v>8.0999999999999493E-3</v>
      </c>
      <c r="H68" s="1931">
        <f>($G$9*36)/((($F$8-'KB_C&amp;S 3yr fixed'!$G68)/12)*(36-'KB_C&amp;S 3yr fixed'!F68)*'Product Data'!$P$23)</f>
        <v>0</v>
      </c>
      <c r="J68" s="1927">
        <f t="shared" si="5"/>
        <v>0</v>
      </c>
      <c r="K68" s="1928">
        <v>8.0999999999999493E-3</v>
      </c>
      <c r="L68" s="1931">
        <f>($K$9*36)/((($J$8-'KB_C&amp;S 3yr fixed'!$K68)/12)*(36-'KB_C&amp;S 3yr fixed'!J68)*'Product Data'!$P$23)</f>
        <v>0</v>
      </c>
    </row>
    <row r="69" spans="2:12" x14ac:dyDescent="0.25">
      <c r="B69" s="1927">
        <f t="shared" si="3"/>
        <v>0</v>
      </c>
      <c r="C69" s="1928">
        <v>7.9999999999999499E-3</v>
      </c>
      <c r="D69" s="1931">
        <f>($C$9*36)/((($B$8-C69)/12)*(36-B69)*'Product Data'!$P$23)</f>
        <v>0</v>
      </c>
      <c r="F69" s="1927">
        <f t="shared" si="4"/>
        <v>0</v>
      </c>
      <c r="G69" s="1928">
        <v>7.9999999999999499E-3</v>
      </c>
      <c r="H69" s="1931">
        <f>($G$9*36)/((($F$8-'KB_C&amp;S 3yr fixed'!$G69)/12)*(36-'KB_C&amp;S 3yr fixed'!F69)*'Product Data'!$P$23)</f>
        <v>0</v>
      </c>
      <c r="J69" s="1927">
        <f t="shared" si="5"/>
        <v>0</v>
      </c>
      <c r="K69" s="1928">
        <v>7.9999999999999499E-3</v>
      </c>
      <c r="L69" s="1931">
        <f>($K$9*36)/((($J$8-'KB_C&amp;S 3yr fixed'!$K69)/12)*(36-'KB_C&amp;S 3yr fixed'!J69)*'Product Data'!$P$23)</f>
        <v>0</v>
      </c>
    </row>
    <row r="70" spans="2:12" x14ac:dyDescent="0.25">
      <c r="B70" s="1927">
        <f t="shared" si="3"/>
        <v>0</v>
      </c>
      <c r="C70" s="1928">
        <v>7.8999999999999505E-3</v>
      </c>
      <c r="D70" s="1931">
        <f>($C$9*36)/((($B$8-C70)/12)*(36-B70)*'Product Data'!$P$23)</f>
        <v>0</v>
      </c>
      <c r="F70" s="1927">
        <f t="shared" si="4"/>
        <v>0</v>
      </c>
      <c r="G70" s="1928">
        <v>7.8999999999999505E-3</v>
      </c>
      <c r="H70" s="1931">
        <f>($G$9*36)/((($F$8-'KB_C&amp;S 3yr fixed'!$G70)/12)*(36-'KB_C&amp;S 3yr fixed'!F70)*'Product Data'!$P$23)</f>
        <v>0</v>
      </c>
      <c r="J70" s="1927">
        <f t="shared" si="5"/>
        <v>0</v>
      </c>
      <c r="K70" s="1928">
        <v>7.8999999999999505E-3</v>
      </c>
      <c r="L70" s="1931">
        <f>($K$9*36)/((($J$8-'KB_C&amp;S 3yr fixed'!$K70)/12)*(36-'KB_C&amp;S 3yr fixed'!J70)*'Product Data'!$P$23)</f>
        <v>0</v>
      </c>
    </row>
    <row r="71" spans="2:12" x14ac:dyDescent="0.25">
      <c r="B71" s="1927">
        <f t="shared" si="3"/>
        <v>0</v>
      </c>
      <c r="C71" s="1928">
        <v>7.7999999999999502E-3</v>
      </c>
      <c r="D71" s="1931">
        <f>($C$9*36)/((($B$8-C71)/12)*(36-B71)*'Product Data'!$P$23)</f>
        <v>0</v>
      </c>
      <c r="F71" s="1927">
        <f t="shared" si="4"/>
        <v>0</v>
      </c>
      <c r="G71" s="1928">
        <v>7.7999999999999502E-3</v>
      </c>
      <c r="H71" s="1931">
        <f>($G$9*36)/((($F$8-'KB_C&amp;S 3yr fixed'!$G71)/12)*(36-'KB_C&amp;S 3yr fixed'!F71)*'Product Data'!$P$23)</f>
        <v>0</v>
      </c>
      <c r="J71" s="1927">
        <f t="shared" si="5"/>
        <v>0</v>
      </c>
      <c r="K71" s="1928">
        <v>7.7999999999999502E-3</v>
      </c>
      <c r="L71" s="1931">
        <f>($K$9*36)/((($J$8-'KB_C&amp;S 3yr fixed'!$K71)/12)*(36-'KB_C&amp;S 3yr fixed'!J71)*'Product Data'!$P$23)</f>
        <v>0</v>
      </c>
    </row>
    <row r="72" spans="2:12" x14ac:dyDescent="0.25">
      <c r="B72" s="1927">
        <f t="shared" si="3"/>
        <v>0</v>
      </c>
      <c r="C72" s="1928">
        <v>7.6999999999999499E-3</v>
      </c>
      <c r="D72" s="1931">
        <f>($C$9*36)/((($B$8-C72)/12)*(36-B72)*'Product Data'!$P$23)</f>
        <v>0</v>
      </c>
      <c r="F72" s="1927">
        <f t="shared" si="4"/>
        <v>0</v>
      </c>
      <c r="G72" s="1928">
        <v>7.6999999999999499E-3</v>
      </c>
      <c r="H72" s="1931">
        <f>($G$9*36)/((($F$8-'KB_C&amp;S 3yr fixed'!$G72)/12)*(36-'KB_C&amp;S 3yr fixed'!F72)*'Product Data'!$P$23)</f>
        <v>0</v>
      </c>
      <c r="J72" s="1927">
        <f t="shared" si="5"/>
        <v>0</v>
      </c>
      <c r="K72" s="1928">
        <v>7.6999999999999499E-3</v>
      </c>
      <c r="L72" s="1931">
        <f>($K$9*36)/((($J$8-'KB_C&amp;S 3yr fixed'!$K72)/12)*(36-'KB_C&amp;S 3yr fixed'!J72)*'Product Data'!$P$23)</f>
        <v>0</v>
      </c>
    </row>
    <row r="73" spans="2:12" x14ac:dyDescent="0.25">
      <c r="B73" s="1927">
        <f t="shared" si="3"/>
        <v>0</v>
      </c>
      <c r="C73" s="1928">
        <v>7.5999999999999401E-3</v>
      </c>
      <c r="D73" s="1931">
        <f>($C$9*36)/((($B$8-C73)/12)*(36-B73)*'Product Data'!$P$23)</f>
        <v>0</v>
      </c>
      <c r="F73" s="1927">
        <f t="shared" si="4"/>
        <v>0</v>
      </c>
      <c r="G73" s="1928">
        <v>7.5999999999999401E-3</v>
      </c>
      <c r="H73" s="1931">
        <f>($G$9*36)/((($F$8-'KB_C&amp;S 3yr fixed'!$G73)/12)*(36-'KB_C&amp;S 3yr fixed'!F73)*'Product Data'!$P$23)</f>
        <v>0</v>
      </c>
      <c r="J73" s="1927">
        <f t="shared" si="5"/>
        <v>0</v>
      </c>
      <c r="K73" s="1928">
        <v>7.5999999999999401E-3</v>
      </c>
      <c r="L73" s="1931">
        <f>($K$9*36)/((($J$8-'KB_C&amp;S 3yr fixed'!$K73)/12)*(36-'KB_C&amp;S 3yr fixed'!J73)*'Product Data'!$P$23)</f>
        <v>0</v>
      </c>
    </row>
    <row r="74" spans="2:12" x14ac:dyDescent="0.25">
      <c r="B74" s="1927">
        <f t="shared" si="3"/>
        <v>0</v>
      </c>
      <c r="C74" s="1928">
        <v>7.4999999999999399E-3</v>
      </c>
      <c r="D74" s="1931">
        <f>($C$9*36)/((($B$8-C74)/12)*(36-B74)*'Product Data'!$P$23)</f>
        <v>0</v>
      </c>
      <c r="F74" s="1927">
        <f t="shared" si="4"/>
        <v>0</v>
      </c>
      <c r="G74" s="1928">
        <v>7.4999999999999399E-3</v>
      </c>
      <c r="H74" s="1931">
        <f>($G$9*36)/((($F$8-'KB_C&amp;S 3yr fixed'!$G74)/12)*(36-'KB_C&amp;S 3yr fixed'!F74)*'Product Data'!$P$23)</f>
        <v>0</v>
      </c>
      <c r="J74" s="1927">
        <f t="shared" si="5"/>
        <v>0</v>
      </c>
      <c r="K74" s="1928">
        <v>7.4999999999999399E-3</v>
      </c>
      <c r="L74" s="1931">
        <f>($K$9*36)/((($J$8-'KB_C&amp;S 3yr fixed'!$K74)/12)*(36-'KB_C&amp;S 3yr fixed'!J74)*'Product Data'!$P$23)</f>
        <v>0</v>
      </c>
    </row>
    <row r="75" spans="2:12" x14ac:dyDescent="0.25">
      <c r="B75" s="1927">
        <f t="shared" si="3"/>
        <v>0</v>
      </c>
      <c r="C75" s="1928">
        <v>7.3999999999999396E-3</v>
      </c>
      <c r="D75" s="1931">
        <f>($C$9*36)/((($B$8-C75)/12)*(36-B75)*'Product Data'!$P$23)</f>
        <v>0</v>
      </c>
      <c r="F75" s="1927">
        <f t="shared" si="4"/>
        <v>0</v>
      </c>
      <c r="G75" s="1928">
        <v>7.3999999999999396E-3</v>
      </c>
      <c r="H75" s="1931">
        <f>($G$9*36)/((($F$8-'KB_C&amp;S 3yr fixed'!$G75)/12)*(36-'KB_C&amp;S 3yr fixed'!F75)*'Product Data'!$P$23)</f>
        <v>0</v>
      </c>
      <c r="J75" s="1927">
        <f t="shared" si="5"/>
        <v>0</v>
      </c>
      <c r="K75" s="1928">
        <v>7.3999999999999396E-3</v>
      </c>
      <c r="L75" s="1931">
        <f>($K$9*36)/((($J$8-'KB_C&amp;S 3yr fixed'!$K75)/12)*(36-'KB_C&amp;S 3yr fixed'!J75)*'Product Data'!$P$23)</f>
        <v>0</v>
      </c>
    </row>
    <row r="76" spans="2:12" x14ac:dyDescent="0.25">
      <c r="B76" s="1927">
        <f t="shared" si="3"/>
        <v>0</v>
      </c>
      <c r="C76" s="1928">
        <v>7.2999999999999402E-3</v>
      </c>
      <c r="D76" s="1931">
        <f>($C$9*36)/((($B$8-C76)/12)*(36-B76)*'Product Data'!$P$23)</f>
        <v>0</v>
      </c>
      <c r="F76" s="1927">
        <f t="shared" si="4"/>
        <v>0</v>
      </c>
      <c r="G76" s="1928">
        <v>7.2999999999999402E-3</v>
      </c>
      <c r="H76" s="1931">
        <f>($G$9*36)/((($F$8-'KB_C&amp;S 3yr fixed'!$G76)/12)*(36-'KB_C&amp;S 3yr fixed'!F76)*'Product Data'!$P$23)</f>
        <v>0</v>
      </c>
      <c r="J76" s="1927">
        <f t="shared" si="5"/>
        <v>0</v>
      </c>
      <c r="K76" s="1928">
        <v>7.2999999999999402E-3</v>
      </c>
      <c r="L76" s="1931">
        <f>($K$9*36)/((($J$8-'KB_C&amp;S 3yr fixed'!$K76)/12)*(36-'KB_C&amp;S 3yr fixed'!J76)*'Product Data'!$P$23)</f>
        <v>0</v>
      </c>
    </row>
    <row r="77" spans="2:12" x14ac:dyDescent="0.25">
      <c r="B77" s="1927">
        <f t="shared" si="3"/>
        <v>0</v>
      </c>
      <c r="C77" s="1928">
        <v>7.19999999999994E-3</v>
      </c>
      <c r="D77" s="1931">
        <f>($C$9*36)/((($B$8-C77)/12)*(36-B77)*'Product Data'!$P$23)</f>
        <v>0</v>
      </c>
      <c r="F77" s="1927">
        <f t="shared" si="4"/>
        <v>0</v>
      </c>
      <c r="G77" s="1928">
        <v>7.19999999999994E-3</v>
      </c>
      <c r="H77" s="1931">
        <f>($G$9*36)/((($F$8-'KB_C&amp;S 3yr fixed'!$G77)/12)*(36-'KB_C&amp;S 3yr fixed'!F77)*'Product Data'!$P$23)</f>
        <v>0</v>
      </c>
      <c r="J77" s="1927">
        <f t="shared" si="5"/>
        <v>0</v>
      </c>
      <c r="K77" s="1928">
        <v>7.19999999999994E-3</v>
      </c>
      <c r="L77" s="1931">
        <f>($K$9*36)/((($J$8-'KB_C&amp;S 3yr fixed'!$K77)/12)*(36-'KB_C&amp;S 3yr fixed'!J77)*'Product Data'!$P$23)</f>
        <v>0</v>
      </c>
    </row>
    <row r="78" spans="2:12" x14ac:dyDescent="0.25">
      <c r="B78" s="1927">
        <f t="shared" si="3"/>
        <v>0</v>
      </c>
      <c r="C78" s="1928">
        <v>7.0999999999999397E-3</v>
      </c>
      <c r="D78" s="1931">
        <f>($C$9*36)/((($B$8-C78)/12)*(36-B78)*'Product Data'!$P$23)</f>
        <v>0</v>
      </c>
      <c r="F78" s="1927">
        <f t="shared" si="4"/>
        <v>0</v>
      </c>
      <c r="G78" s="1928">
        <v>7.0999999999999397E-3</v>
      </c>
      <c r="H78" s="1931">
        <f>($G$9*36)/((($F$8-'KB_C&amp;S 3yr fixed'!$G78)/12)*(36-'KB_C&amp;S 3yr fixed'!F78)*'Product Data'!$P$23)</f>
        <v>0</v>
      </c>
      <c r="J78" s="1927">
        <f t="shared" si="5"/>
        <v>0</v>
      </c>
      <c r="K78" s="1928">
        <v>7.0999999999999397E-3</v>
      </c>
      <c r="L78" s="1931">
        <f>($K$9*36)/((($J$8-'KB_C&amp;S 3yr fixed'!$K78)/12)*(36-'KB_C&amp;S 3yr fixed'!J78)*'Product Data'!$P$23)</f>
        <v>0</v>
      </c>
    </row>
    <row r="79" spans="2:12" x14ac:dyDescent="0.25">
      <c r="B79" s="1927">
        <f t="shared" si="3"/>
        <v>0</v>
      </c>
      <c r="C79" s="1928">
        <v>6.9999999999999403E-3</v>
      </c>
      <c r="D79" s="1931">
        <f>($C$9*36)/((($B$8-C79)/12)*(36-B79)*'Product Data'!$P$23)</f>
        <v>0</v>
      </c>
      <c r="F79" s="1927">
        <f t="shared" si="4"/>
        <v>0</v>
      </c>
      <c r="G79" s="1928">
        <v>6.9999999999999403E-3</v>
      </c>
      <c r="H79" s="1931">
        <f>($G$9*36)/((($F$8-'KB_C&amp;S 3yr fixed'!$G79)/12)*(36-'KB_C&amp;S 3yr fixed'!F79)*'Product Data'!$P$23)</f>
        <v>0</v>
      </c>
      <c r="J79" s="1927">
        <f t="shared" si="5"/>
        <v>0</v>
      </c>
      <c r="K79" s="1928">
        <v>6.9999999999999403E-3</v>
      </c>
      <c r="L79" s="1931">
        <f>($K$9*36)/((($J$8-'KB_C&amp;S 3yr fixed'!$K79)/12)*(36-'KB_C&amp;S 3yr fixed'!J79)*'Product Data'!$P$23)</f>
        <v>0</v>
      </c>
    </row>
    <row r="80" spans="2:12" x14ac:dyDescent="0.25">
      <c r="B80" s="1927">
        <f t="shared" si="3"/>
        <v>0</v>
      </c>
      <c r="C80" s="1928">
        <v>6.89999999999994E-3</v>
      </c>
      <c r="D80" s="1931">
        <f>($C$9*36)/((($B$8-C80)/12)*(36-B80)*'Product Data'!$P$23)</f>
        <v>0</v>
      </c>
      <c r="F80" s="1927">
        <f t="shared" si="4"/>
        <v>0</v>
      </c>
      <c r="G80" s="1928">
        <v>6.89999999999994E-3</v>
      </c>
      <c r="H80" s="1931">
        <f>($G$9*36)/((($F$8-'KB_C&amp;S 3yr fixed'!$G80)/12)*(36-'KB_C&amp;S 3yr fixed'!F80)*'Product Data'!$P$23)</f>
        <v>0</v>
      </c>
      <c r="J80" s="1927">
        <f t="shared" si="5"/>
        <v>0</v>
      </c>
      <c r="K80" s="1928">
        <v>6.89999999999994E-3</v>
      </c>
      <c r="L80" s="1931">
        <f>($K$9*36)/((($J$8-'KB_C&amp;S 3yr fixed'!$K80)/12)*(36-'KB_C&amp;S 3yr fixed'!J80)*'Product Data'!$P$23)</f>
        <v>0</v>
      </c>
    </row>
    <row r="81" spans="2:12" x14ac:dyDescent="0.25">
      <c r="B81" s="1927">
        <f t="shared" si="3"/>
        <v>0</v>
      </c>
      <c r="C81" s="1928">
        <v>6.7999999999999398E-3</v>
      </c>
      <c r="D81" s="1931">
        <f>($C$9*36)/((($B$8-C81)/12)*(36-B81)*'Product Data'!$P$23)</f>
        <v>0</v>
      </c>
      <c r="F81" s="1927">
        <f t="shared" si="4"/>
        <v>0</v>
      </c>
      <c r="G81" s="1928">
        <v>6.7999999999999398E-3</v>
      </c>
      <c r="H81" s="1931">
        <f>($G$9*36)/((($F$8-'KB_C&amp;S 3yr fixed'!$G81)/12)*(36-'KB_C&amp;S 3yr fixed'!F81)*'Product Data'!$P$23)</f>
        <v>0</v>
      </c>
      <c r="J81" s="1927">
        <f t="shared" si="5"/>
        <v>0</v>
      </c>
      <c r="K81" s="1928">
        <v>6.7999999999999398E-3</v>
      </c>
      <c r="L81" s="1931">
        <f>($K$9*36)/((($J$8-'KB_C&amp;S 3yr fixed'!$K81)/12)*(36-'KB_C&amp;S 3yr fixed'!J81)*'Product Data'!$P$23)</f>
        <v>0</v>
      </c>
    </row>
    <row r="82" spans="2:12" x14ac:dyDescent="0.25">
      <c r="B82" s="1927">
        <f t="shared" si="3"/>
        <v>0</v>
      </c>
      <c r="C82" s="1928">
        <v>6.69999999999993E-3</v>
      </c>
      <c r="D82" s="1931">
        <f>($C$9*36)/((($B$8-C82)/12)*(36-B82)*'Product Data'!$P$23)</f>
        <v>0</v>
      </c>
      <c r="F82" s="1927">
        <f t="shared" si="4"/>
        <v>0</v>
      </c>
      <c r="G82" s="1928">
        <v>6.69999999999993E-3</v>
      </c>
      <c r="H82" s="1931">
        <f>($G$9*36)/((($F$8-'KB_C&amp;S 3yr fixed'!$G82)/12)*(36-'KB_C&amp;S 3yr fixed'!F82)*'Product Data'!$P$23)</f>
        <v>0</v>
      </c>
      <c r="J82" s="1927">
        <f t="shared" si="5"/>
        <v>0</v>
      </c>
      <c r="K82" s="1928">
        <v>6.69999999999993E-3</v>
      </c>
      <c r="L82" s="1931">
        <f>($K$9*36)/((($J$8-'KB_C&amp;S 3yr fixed'!$K82)/12)*(36-'KB_C&amp;S 3yr fixed'!J82)*'Product Data'!$P$23)</f>
        <v>0</v>
      </c>
    </row>
    <row r="83" spans="2:12" x14ac:dyDescent="0.25">
      <c r="B83" s="1927">
        <f t="shared" si="3"/>
        <v>0</v>
      </c>
      <c r="C83" s="1928">
        <v>6.5999999999999297E-3</v>
      </c>
      <c r="D83" s="1931">
        <f>($C$9*36)/((($B$8-C83)/12)*(36-B83)*'Product Data'!$P$23)</f>
        <v>0</v>
      </c>
      <c r="F83" s="1927">
        <f t="shared" si="4"/>
        <v>0</v>
      </c>
      <c r="G83" s="1928">
        <v>6.5999999999999297E-3</v>
      </c>
      <c r="H83" s="1931">
        <f>($G$9*36)/((($F$8-'KB_C&amp;S 3yr fixed'!$G83)/12)*(36-'KB_C&amp;S 3yr fixed'!F83)*'Product Data'!$P$23)</f>
        <v>0</v>
      </c>
      <c r="J83" s="1927">
        <f t="shared" si="5"/>
        <v>0</v>
      </c>
      <c r="K83" s="1928">
        <v>6.5999999999999297E-3</v>
      </c>
      <c r="L83" s="1931">
        <f>($K$9*36)/((($J$8-'KB_C&amp;S 3yr fixed'!$K83)/12)*(36-'KB_C&amp;S 3yr fixed'!J83)*'Product Data'!$P$23)</f>
        <v>0</v>
      </c>
    </row>
    <row r="84" spans="2:12" x14ac:dyDescent="0.25">
      <c r="B84" s="1927">
        <f t="shared" si="3"/>
        <v>0</v>
      </c>
      <c r="C84" s="1928">
        <v>6.4999999999999303E-3</v>
      </c>
      <c r="D84" s="1931">
        <f>($C$9*36)/((($B$8-C84)/12)*(36-B84)*'Product Data'!$P$23)</f>
        <v>0</v>
      </c>
      <c r="F84" s="1927">
        <f t="shared" si="4"/>
        <v>0</v>
      </c>
      <c r="G84" s="1928">
        <v>6.4999999999999303E-3</v>
      </c>
      <c r="H84" s="1931">
        <f>($G$9*36)/((($F$8-'KB_C&amp;S 3yr fixed'!$G84)/12)*(36-'KB_C&amp;S 3yr fixed'!F84)*'Product Data'!$P$23)</f>
        <v>0</v>
      </c>
      <c r="J84" s="1927">
        <f t="shared" si="5"/>
        <v>0</v>
      </c>
      <c r="K84" s="1928">
        <v>6.4999999999999303E-3</v>
      </c>
      <c r="L84" s="1931">
        <f>($K$9*36)/((($J$8-'KB_C&amp;S 3yr fixed'!$K84)/12)*(36-'KB_C&amp;S 3yr fixed'!J84)*'Product Data'!$P$23)</f>
        <v>0</v>
      </c>
    </row>
    <row r="85" spans="2:12" x14ac:dyDescent="0.25">
      <c r="B85" s="1927">
        <f t="shared" si="3"/>
        <v>0</v>
      </c>
      <c r="C85" s="1928">
        <v>6.3999999999999301E-3</v>
      </c>
      <c r="D85" s="1931">
        <f>($C$9*36)/((($B$8-C85)/12)*(36-B85)*'Product Data'!$P$23)</f>
        <v>0</v>
      </c>
      <c r="F85" s="1927">
        <f t="shared" si="4"/>
        <v>0</v>
      </c>
      <c r="G85" s="1928">
        <v>6.3999999999999301E-3</v>
      </c>
      <c r="H85" s="1931">
        <f>($G$9*36)/((($F$8-'KB_C&amp;S 3yr fixed'!$G85)/12)*(36-'KB_C&amp;S 3yr fixed'!F85)*'Product Data'!$P$23)</f>
        <v>0</v>
      </c>
      <c r="J85" s="1927">
        <f t="shared" si="5"/>
        <v>0</v>
      </c>
      <c r="K85" s="1928">
        <v>6.3999999999999301E-3</v>
      </c>
      <c r="L85" s="1931">
        <f>($K$9*36)/((($J$8-'KB_C&amp;S 3yr fixed'!$K85)/12)*(36-'KB_C&amp;S 3yr fixed'!J85)*'Product Data'!$P$23)</f>
        <v>0</v>
      </c>
    </row>
    <row r="86" spans="2:12" x14ac:dyDescent="0.25">
      <c r="B86" s="1927">
        <f t="shared" si="3"/>
        <v>0</v>
      </c>
      <c r="C86" s="1928">
        <v>6.2999999999999298E-3</v>
      </c>
      <c r="D86" s="1931">
        <f>($C$9*36)/((($B$8-C86)/12)*(36-B86)*'Product Data'!$P$23)</f>
        <v>0</v>
      </c>
      <c r="F86" s="1927">
        <f t="shared" si="4"/>
        <v>0</v>
      </c>
      <c r="G86" s="1928">
        <v>6.2999999999999298E-3</v>
      </c>
      <c r="H86" s="1931">
        <f>($G$9*36)/((($F$8-'KB_C&amp;S 3yr fixed'!$G86)/12)*(36-'KB_C&amp;S 3yr fixed'!F86)*'Product Data'!$P$23)</f>
        <v>0</v>
      </c>
      <c r="J86" s="1927">
        <f t="shared" si="5"/>
        <v>0</v>
      </c>
      <c r="K86" s="1928">
        <v>6.2999999999999298E-3</v>
      </c>
      <c r="L86" s="1931">
        <f>($K$9*36)/((($J$8-'KB_C&amp;S 3yr fixed'!$K86)/12)*(36-'KB_C&amp;S 3yr fixed'!J86)*'Product Data'!$P$23)</f>
        <v>0</v>
      </c>
    </row>
    <row r="87" spans="2:12" x14ac:dyDescent="0.25">
      <c r="B87" s="1927">
        <f t="shared" si="3"/>
        <v>0</v>
      </c>
      <c r="C87" s="1928">
        <v>6.1999999999999304E-3</v>
      </c>
      <c r="D87" s="1931">
        <f>($C$9*36)/((($B$8-C87)/12)*(36-B87)*'Product Data'!$P$23)</f>
        <v>0</v>
      </c>
      <c r="F87" s="1927">
        <f t="shared" si="4"/>
        <v>0</v>
      </c>
      <c r="G87" s="1928">
        <v>6.1999999999999304E-3</v>
      </c>
      <c r="H87" s="1931">
        <f>($G$9*36)/((($F$8-'KB_C&amp;S 3yr fixed'!$G87)/12)*(36-'KB_C&amp;S 3yr fixed'!F87)*'Product Data'!$P$23)</f>
        <v>0</v>
      </c>
      <c r="J87" s="1927">
        <f t="shared" si="5"/>
        <v>0</v>
      </c>
      <c r="K87" s="1928">
        <v>6.1999999999999304E-3</v>
      </c>
      <c r="L87" s="1931">
        <f>($K$9*36)/((($J$8-'KB_C&amp;S 3yr fixed'!$K87)/12)*(36-'KB_C&amp;S 3yr fixed'!J87)*'Product Data'!$P$23)</f>
        <v>0</v>
      </c>
    </row>
    <row r="88" spans="2:12" x14ac:dyDescent="0.25">
      <c r="B88" s="1927">
        <f t="shared" si="3"/>
        <v>0</v>
      </c>
      <c r="C88" s="1928">
        <v>6.0999999999999301E-3</v>
      </c>
      <c r="D88" s="1931">
        <f>($C$9*36)/((($B$8-C88)/12)*(36-B88)*'Product Data'!$P$23)</f>
        <v>0</v>
      </c>
      <c r="F88" s="1927">
        <f t="shared" si="4"/>
        <v>0</v>
      </c>
      <c r="G88" s="1928">
        <v>6.0999999999999301E-3</v>
      </c>
      <c r="H88" s="1931">
        <f>($G$9*36)/((($F$8-'KB_C&amp;S 3yr fixed'!$G88)/12)*(36-'KB_C&amp;S 3yr fixed'!F88)*'Product Data'!$P$23)</f>
        <v>0</v>
      </c>
      <c r="J88" s="1927">
        <f t="shared" si="5"/>
        <v>0</v>
      </c>
      <c r="K88" s="1928">
        <v>6.0999999999999301E-3</v>
      </c>
      <c r="L88" s="1931">
        <f>($K$9*36)/((($J$8-'KB_C&amp;S 3yr fixed'!$K88)/12)*(36-'KB_C&amp;S 3yr fixed'!J88)*'Product Data'!$P$23)</f>
        <v>0</v>
      </c>
    </row>
    <row r="89" spans="2:12" x14ac:dyDescent="0.25">
      <c r="B89" s="1927">
        <f t="shared" si="3"/>
        <v>0</v>
      </c>
      <c r="C89" s="1928">
        <v>5.9999999999999299E-3</v>
      </c>
      <c r="D89" s="1931">
        <f>($C$9*36)/((($B$8-C89)/12)*(36-B89)*'Product Data'!$P$23)</f>
        <v>0</v>
      </c>
      <c r="F89" s="1927">
        <f t="shared" si="4"/>
        <v>0</v>
      </c>
      <c r="G89" s="1928">
        <v>5.9999999999999299E-3</v>
      </c>
      <c r="H89" s="1931">
        <f>($G$9*36)/((($F$8-'KB_C&amp;S 3yr fixed'!$G89)/12)*(36-'KB_C&amp;S 3yr fixed'!F89)*'Product Data'!$P$23)</f>
        <v>0</v>
      </c>
      <c r="J89" s="1927">
        <f t="shared" si="5"/>
        <v>0</v>
      </c>
      <c r="K89" s="1928">
        <v>5.9999999999999299E-3</v>
      </c>
      <c r="L89" s="1931">
        <f>($K$9*36)/((($J$8-'KB_C&amp;S 3yr fixed'!$K89)/12)*(36-'KB_C&amp;S 3yr fixed'!J89)*'Product Data'!$P$23)</f>
        <v>0</v>
      </c>
    </row>
    <row r="90" spans="2:12" x14ac:dyDescent="0.25">
      <c r="B90" s="1927">
        <f t="shared" ref="B90:B149" si="6">B89</f>
        <v>0</v>
      </c>
      <c r="C90" s="1928">
        <v>5.8999999999999296E-3</v>
      </c>
      <c r="D90" s="1931">
        <f>($C$9*36)/((($B$8-C90)/12)*(36-B90)*'Product Data'!$P$23)</f>
        <v>0</v>
      </c>
      <c r="F90" s="1927">
        <f t="shared" ref="F90:F149" si="7">F89</f>
        <v>0</v>
      </c>
      <c r="G90" s="1928">
        <v>5.8999999999999296E-3</v>
      </c>
      <c r="H90" s="1931">
        <f>($G$9*36)/((($F$8-'KB_C&amp;S 3yr fixed'!$G90)/12)*(36-'KB_C&amp;S 3yr fixed'!F90)*'Product Data'!$P$23)</f>
        <v>0</v>
      </c>
      <c r="J90" s="1927">
        <f t="shared" ref="J90:J149" si="8">J89</f>
        <v>0</v>
      </c>
      <c r="K90" s="1928">
        <v>5.8999999999999296E-3</v>
      </c>
      <c r="L90" s="1931">
        <f>($K$9*36)/((($J$8-'KB_C&amp;S 3yr fixed'!$K90)/12)*(36-'KB_C&amp;S 3yr fixed'!J90)*'Product Data'!$P$23)</f>
        <v>0</v>
      </c>
    </row>
    <row r="91" spans="2:12" x14ac:dyDescent="0.25">
      <c r="B91" s="1927">
        <f t="shared" si="6"/>
        <v>0</v>
      </c>
      <c r="C91" s="1928">
        <v>5.7999999999999198E-3</v>
      </c>
      <c r="D91" s="1931">
        <f>($C$9*36)/((($B$8-C91)/12)*(36-B91)*'Product Data'!$P$23)</f>
        <v>0</v>
      </c>
      <c r="F91" s="1927">
        <f t="shared" si="7"/>
        <v>0</v>
      </c>
      <c r="G91" s="1928">
        <v>5.7999999999999198E-3</v>
      </c>
      <c r="H91" s="1931">
        <f>($G$9*36)/((($F$8-'KB_C&amp;S 3yr fixed'!$G91)/12)*(36-'KB_C&amp;S 3yr fixed'!F91)*'Product Data'!$P$23)</f>
        <v>0</v>
      </c>
      <c r="J91" s="1927">
        <f t="shared" si="8"/>
        <v>0</v>
      </c>
      <c r="K91" s="1928">
        <v>5.7999999999999198E-3</v>
      </c>
      <c r="L91" s="1931">
        <f>($K$9*36)/((($J$8-'KB_C&amp;S 3yr fixed'!$K91)/12)*(36-'KB_C&amp;S 3yr fixed'!J91)*'Product Data'!$P$23)</f>
        <v>0</v>
      </c>
    </row>
    <row r="92" spans="2:12" x14ac:dyDescent="0.25">
      <c r="B92" s="1927">
        <f t="shared" si="6"/>
        <v>0</v>
      </c>
      <c r="C92" s="1928">
        <v>5.6999999999999204E-3</v>
      </c>
      <c r="D92" s="1931">
        <f>($C$9*36)/((($B$8-C92)/12)*(36-B92)*'Product Data'!$P$23)</f>
        <v>0</v>
      </c>
      <c r="F92" s="1927">
        <f t="shared" si="7"/>
        <v>0</v>
      </c>
      <c r="G92" s="1928">
        <v>5.6999999999999204E-3</v>
      </c>
      <c r="H92" s="1931">
        <f>($G$9*36)/((($F$8-'KB_C&amp;S 3yr fixed'!$G92)/12)*(36-'KB_C&amp;S 3yr fixed'!F92)*'Product Data'!$P$23)</f>
        <v>0</v>
      </c>
      <c r="J92" s="1927">
        <f t="shared" si="8"/>
        <v>0</v>
      </c>
      <c r="K92" s="1928">
        <v>5.6999999999999204E-3</v>
      </c>
      <c r="L92" s="1931">
        <f>($K$9*36)/((($J$8-'KB_C&amp;S 3yr fixed'!$K92)/12)*(36-'KB_C&amp;S 3yr fixed'!J92)*'Product Data'!$P$23)</f>
        <v>0</v>
      </c>
    </row>
    <row r="93" spans="2:12" x14ac:dyDescent="0.25">
      <c r="B93" s="1927">
        <f t="shared" si="6"/>
        <v>0</v>
      </c>
      <c r="C93" s="1928">
        <v>5.5999999999999201E-3</v>
      </c>
      <c r="D93" s="1931">
        <f>($C$9*36)/((($B$8-C93)/12)*(36-B93)*'Product Data'!$P$23)</f>
        <v>0</v>
      </c>
      <c r="F93" s="1927">
        <f t="shared" si="7"/>
        <v>0</v>
      </c>
      <c r="G93" s="1928">
        <v>5.5999999999999201E-3</v>
      </c>
      <c r="H93" s="1931">
        <f>($G$9*36)/((($F$8-'KB_C&amp;S 3yr fixed'!$G93)/12)*(36-'KB_C&amp;S 3yr fixed'!F93)*'Product Data'!$P$23)</f>
        <v>0</v>
      </c>
      <c r="J93" s="1927">
        <f t="shared" si="8"/>
        <v>0</v>
      </c>
      <c r="K93" s="1928">
        <v>5.5999999999999201E-3</v>
      </c>
      <c r="L93" s="1931">
        <f>($K$9*36)/((($J$8-'KB_C&amp;S 3yr fixed'!$K93)/12)*(36-'KB_C&amp;S 3yr fixed'!J93)*'Product Data'!$P$23)</f>
        <v>0</v>
      </c>
    </row>
    <row r="94" spans="2:12" x14ac:dyDescent="0.25">
      <c r="B94" s="1927">
        <f t="shared" si="6"/>
        <v>0</v>
      </c>
      <c r="C94" s="1928">
        <v>5.4999999999999199E-3</v>
      </c>
      <c r="D94" s="1931">
        <f>($C$9*36)/((($B$8-C94)/12)*(36-B94)*'Product Data'!$P$23)</f>
        <v>0</v>
      </c>
      <c r="F94" s="1927">
        <f t="shared" si="7"/>
        <v>0</v>
      </c>
      <c r="G94" s="1928">
        <v>5.4999999999999199E-3</v>
      </c>
      <c r="H94" s="1931">
        <f>($G$9*36)/((($F$8-'KB_C&amp;S 3yr fixed'!$G94)/12)*(36-'KB_C&amp;S 3yr fixed'!F94)*'Product Data'!$P$23)</f>
        <v>0</v>
      </c>
      <c r="J94" s="1927">
        <f t="shared" si="8"/>
        <v>0</v>
      </c>
      <c r="K94" s="1928">
        <v>5.4999999999999199E-3</v>
      </c>
      <c r="L94" s="1931">
        <f>($K$9*36)/((($J$8-'KB_C&amp;S 3yr fixed'!$K94)/12)*(36-'KB_C&amp;S 3yr fixed'!J94)*'Product Data'!$P$23)</f>
        <v>0</v>
      </c>
    </row>
    <row r="95" spans="2:12" x14ac:dyDescent="0.25">
      <c r="B95" s="1927">
        <f t="shared" si="6"/>
        <v>0</v>
      </c>
      <c r="C95" s="1928">
        <v>5.3999999999999196E-3</v>
      </c>
      <c r="D95" s="1931">
        <f>($C$9*36)/((($B$8-C95)/12)*(36-B95)*'Product Data'!$P$23)</f>
        <v>0</v>
      </c>
      <c r="F95" s="1927">
        <f t="shared" si="7"/>
        <v>0</v>
      </c>
      <c r="G95" s="1928">
        <v>5.3999999999999196E-3</v>
      </c>
      <c r="H95" s="1931">
        <f>($G$9*36)/((($F$8-'KB_C&amp;S 3yr fixed'!$G95)/12)*(36-'KB_C&amp;S 3yr fixed'!F95)*'Product Data'!$P$23)</f>
        <v>0</v>
      </c>
      <c r="J95" s="1927">
        <f t="shared" si="8"/>
        <v>0</v>
      </c>
      <c r="K95" s="1928">
        <v>5.3999999999999196E-3</v>
      </c>
      <c r="L95" s="1931">
        <f>($K$9*36)/((($J$8-'KB_C&amp;S 3yr fixed'!$K95)/12)*(36-'KB_C&amp;S 3yr fixed'!J95)*'Product Data'!$P$23)</f>
        <v>0</v>
      </c>
    </row>
    <row r="96" spans="2:12" x14ac:dyDescent="0.25">
      <c r="B96" s="1927">
        <f t="shared" si="6"/>
        <v>0</v>
      </c>
      <c r="C96" s="1928">
        <v>5.2999999999999202E-3</v>
      </c>
      <c r="D96" s="1931">
        <f>($C$9*36)/((($B$8-C96)/12)*(36-B96)*'Product Data'!$P$23)</f>
        <v>0</v>
      </c>
      <c r="F96" s="1927">
        <f t="shared" si="7"/>
        <v>0</v>
      </c>
      <c r="G96" s="1928">
        <v>5.2999999999999202E-3</v>
      </c>
      <c r="H96" s="1931">
        <f>($G$9*36)/((($F$8-'KB_C&amp;S 3yr fixed'!$G96)/12)*(36-'KB_C&amp;S 3yr fixed'!F96)*'Product Data'!$P$23)</f>
        <v>0</v>
      </c>
      <c r="J96" s="1927">
        <f t="shared" si="8"/>
        <v>0</v>
      </c>
      <c r="K96" s="1928">
        <v>5.2999999999999202E-3</v>
      </c>
      <c r="L96" s="1931">
        <f>($K$9*36)/((($J$8-'KB_C&amp;S 3yr fixed'!$K96)/12)*(36-'KB_C&amp;S 3yr fixed'!J96)*'Product Data'!$P$23)</f>
        <v>0</v>
      </c>
    </row>
    <row r="97" spans="2:12" x14ac:dyDescent="0.25">
      <c r="B97" s="1927">
        <f t="shared" si="6"/>
        <v>0</v>
      </c>
      <c r="C97" s="1928">
        <v>5.19999999999992E-3</v>
      </c>
      <c r="D97" s="1931">
        <f>($C$9*36)/((($B$8-C97)/12)*(36-B97)*'Product Data'!$P$23)</f>
        <v>0</v>
      </c>
      <c r="F97" s="1927">
        <f t="shared" si="7"/>
        <v>0</v>
      </c>
      <c r="G97" s="1928">
        <v>5.19999999999992E-3</v>
      </c>
      <c r="H97" s="1931">
        <f>($G$9*36)/((($F$8-'KB_C&amp;S 3yr fixed'!$G97)/12)*(36-'KB_C&amp;S 3yr fixed'!F97)*'Product Data'!$P$23)</f>
        <v>0</v>
      </c>
      <c r="J97" s="1927">
        <f t="shared" si="8"/>
        <v>0</v>
      </c>
      <c r="K97" s="1928">
        <v>5.19999999999992E-3</v>
      </c>
      <c r="L97" s="1931">
        <f>($K$9*36)/((($J$8-'KB_C&amp;S 3yr fixed'!$K97)/12)*(36-'KB_C&amp;S 3yr fixed'!J97)*'Product Data'!$P$23)</f>
        <v>0</v>
      </c>
    </row>
    <row r="98" spans="2:12" x14ac:dyDescent="0.25">
      <c r="B98" s="1927">
        <f t="shared" si="6"/>
        <v>0</v>
      </c>
      <c r="C98" s="1928">
        <v>5.0999999999999197E-3</v>
      </c>
      <c r="D98" s="1931">
        <f>($C$9*36)/((($B$8-C98)/12)*(36-B98)*'Product Data'!$P$23)</f>
        <v>0</v>
      </c>
      <c r="F98" s="1927">
        <f t="shared" si="7"/>
        <v>0</v>
      </c>
      <c r="G98" s="1928">
        <v>5.0999999999999197E-3</v>
      </c>
      <c r="H98" s="1931">
        <f>($G$9*36)/((($F$8-'KB_C&amp;S 3yr fixed'!$G98)/12)*(36-'KB_C&amp;S 3yr fixed'!F98)*'Product Data'!$P$23)</f>
        <v>0</v>
      </c>
      <c r="J98" s="1927">
        <f t="shared" si="8"/>
        <v>0</v>
      </c>
      <c r="K98" s="1928">
        <v>5.0999999999999197E-3</v>
      </c>
      <c r="L98" s="1931">
        <f>($K$9*36)/((($J$8-'KB_C&amp;S 3yr fixed'!$K98)/12)*(36-'KB_C&amp;S 3yr fixed'!J98)*'Product Data'!$P$23)</f>
        <v>0</v>
      </c>
    </row>
    <row r="99" spans="2:12" x14ac:dyDescent="0.25">
      <c r="B99" s="1927">
        <f t="shared" si="6"/>
        <v>0</v>
      </c>
      <c r="C99" s="1928">
        <v>4.9999999999999203E-3</v>
      </c>
      <c r="D99" s="1931">
        <f>($C$9*36)/((($B$8-C99)/12)*(36-B99)*'Product Data'!$P$23)</f>
        <v>0</v>
      </c>
      <c r="F99" s="1927">
        <f t="shared" si="7"/>
        <v>0</v>
      </c>
      <c r="G99" s="1928">
        <v>4.9999999999999203E-3</v>
      </c>
      <c r="H99" s="1931">
        <f>($G$9*36)/((($F$8-'KB_C&amp;S 3yr fixed'!$G99)/12)*(36-'KB_C&amp;S 3yr fixed'!F99)*'Product Data'!$P$23)</f>
        <v>0</v>
      </c>
      <c r="J99" s="1927">
        <f t="shared" si="8"/>
        <v>0</v>
      </c>
      <c r="K99" s="1928">
        <v>4.9999999999999203E-3</v>
      </c>
      <c r="L99" s="1931">
        <f>($K$9*36)/((($J$8-'KB_C&amp;S 3yr fixed'!$K99)/12)*(36-'KB_C&amp;S 3yr fixed'!J99)*'Product Data'!$P$23)</f>
        <v>0</v>
      </c>
    </row>
    <row r="100" spans="2:12" x14ac:dyDescent="0.25">
      <c r="B100" s="1927">
        <f t="shared" si="6"/>
        <v>0</v>
      </c>
      <c r="C100" s="1928">
        <v>4.8999999999999096E-3</v>
      </c>
      <c r="D100" s="1931">
        <f>($C$9*36)/((($B$8-C100)/12)*(36-B100)*'Product Data'!$P$23)</f>
        <v>0</v>
      </c>
      <c r="F100" s="1927">
        <f t="shared" si="7"/>
        <v>0</v>
      </c>
      <c r="G100" s="1928">
        <v>4.8999999999999096E-3</v>
      </c>
      <c r="H100" s="1931">
        <f>($G$9*36)/((($F$8-'KB_C&amp;S 3yr fixed'!$G100)/12)*(36-'KB_C&amp;S 3yr fixed'!F100)*'Product Data'!$P$23)</f>
        <v>0</v>
      </c>
      <c r="J100" s="1927">
        <f t="shared" si="8"/>
        <v>0</v>
      </c>
      <c r="K100" s="1928">
        <v>4.8999999999999096E-3</v>
      </c>
      <c r="L100" s="1931">
        <f>($K$9*36)/((($J$8-'KB_C&amp;S 3yr fixed'!$K100)/12)*(36-'KB_C&amp;S 3yr fixed'!J100)*'Product Data'!$P$23)</f>
        <v>0</v>
      </c>
    </row>
    <row r="101" spans="2:12" x14ac:dyDescent="0.25">
      <c r="B101" s="1927">
        <f t="shared" si="6"/>
        <v>0</v>
      </c>
      <c r="C101" s="1928">
        <v>4.7999999999999102E-3</v>
      </c>
      <c r="D101" s="1931">
        <f>($C$9*36)/((($B$8-C101)/12)*(36-B101)*'Product Data'!$P$23)</f>
        <v>0</v>
      </c>
      <c r="F101" s="1927">
        <f t="shared" si="7"/>
        <v>0</v>
      </c>
      <c r="G101" s="1928">
        <v>4.7999999999999102E-3</v>
      </c>
      <c r="H101" s="1931">
        <f>($G$9*36)/((($F$8-'KB_C&amp;S 3yr fixed'!$G101)/12)*(36-'KB_C&amp;S 3yr fixed'!F101)*'Product Data'!$P$23)</f>
        <v>0</v>
      </c>
      <c r="J101" s="1927">
        <f t="shared" si="8"/>
        <v>0</v>
      </c>
      <c r="K101" s="1928">
        <v>4.7999999999999102E-3</v>
      </c>
      <c r="L101" s="1931">
        <f>($K$9*36)/((($J$8-'KB_C&amp;S 3yr fixed'!$K101)/12)*(36-'KB_C&amp;S 3yr fixed'!J101)*'Product Data'!$P$23)</f>
        <v>0</v>
      </c>
    </row>
    <row r="102" spans="2:12" x14ac:dyDescent="0.25">
      <c r="B102" s="1927">
        <f t="shared" si="6"/>
        <v>0</v>
      </c>
      <c r="C102" s="1928">
        <v>4.69999999999991E-3</v>
      </c>
      <c r="D102" s="1931">
        <f>($C$9*36)/((($B$8-C102)/12)*(36-B102)*'Product Data'!$P$23)</f>
        <v>0</v>
      </c>
      <c r="F102" s="1927">
        <f t="shared" si="7"/>
        <v>0</v>
      </c>
      <c r="G102" s="1928">
        <v>4.69999999999991E-3</v>
      </c>
      <c r="H102" s="1931">
        <f>($G$9*36)/((($F$8-'KB_C&amp;S 3yr fixed'!$G102)/12)*(36-'KB_C&amp;S 3yr fixed'!F102)*'Product Data'!$P$23)</f>
        <v>0</v>
      </c>
      <c r="J102" s="1927">
        <f t="shared" si="8"/>
        <v>0</v>
      </c>
      <c r="K102" s="1928">
        <v>4.69999999999991E-3</v>
      </c>
      <c r="L102" s="1931">
        <f>($K$9*36)/((($J$8-'KB_C&amp;S 3yr fixed'!$K102)/12)*(36-'KB_C&amp;S 3yr fixed'!J102)*'Product Data'!$P$23)</f>
        <v>0</v>
      </c>
    </row>
    <row r="103" spans="2:12" x14ac:dyDescent="0.25">
      <c r="B103" s="1927">
        <f t="shared" si="6"/>
        <v>0</v>
      </c>
      <c r="C103" s="1928">
        <v>4.5999999999999097E-3</v>
      </c>
      <c r="D103" s="1931">
        <f>($C$9*36)/((($B$8-C103)/12)*(36-B103)*'Product Data'!$P$23)</f>
        <v>0</v>
      </c>
      <c r="F103" s="1927">
        <f t="shared" si="7"/>
        <v>0</v>
      </c>
      <c r="G103" s="1928">
        <v>4.5999999999999097E-3</v>
      </c>
      <c r="H103" s="1931">
        <f>($G$9*36)/((($F$8-'KB_C&amp;S 3yr fixed'!$G103)/12)*(36-'KB_C&amp;S 3yr fixed'!F103)*'Product Data'!$P$23)</f>
        <v>0</v>
      </c>
      <c r="J103" s="1927">
        <f t="shared" si="8"/>
        <v>0</v>
      </c>
      <c r="K103" s="1928">
        <v>4.5999999999999097E-3</v>
      </c>
      <c r="L103" s="1931">
        <f>($K$9*36)/((($J$8-'KB_C&amp;S 3yr fixed'!$K103)/12)*(36-'KB_C&amp;S 3yr fixed'!J103)*'Product Data'!$P$23)</f>
        <v>0</v>
      </c>
    </row>
    <row r="104" spans="2:12" x14ac:dyDescent="0.25">
      <c r="B104" s="1927">
        <f t="shared" si="6"/>
        <v>0</v>
      </c>
      <c r="C104" s="1928">
        <v>4.4999999999999103E-3</v>
      </c>
      <c r="D104" s="1931">
        <f>($C$9*36)/((($B$8-C104)/12)*(36-B104)*'Product Data'!$P$23)</f>
        <v>0</v>
      </c>
      <c r="F104" s="1927">
        <f t="shared" si="7"/>
        <v>0</v>
      </c>
      <c r="G104" s="1928">
        <v>4.4999999999999103E-3</v>
      </c>
      <c r="H104" s="1931">
        <f>($G$9*36)/((($F$8-'KB_C&amp;S 3yr fixed'!$G104)/12)*(36-'KB_C&amp;S 3yr fixed'!F104)*'Product Data'!$P$23)</f>
        <v>0</v>
      </c>
      <c r="J104" s="1927">
        <f t="shared" si="8"/>
        <v>0</v>
      </c>
      <c r="K104" s="1928">
        <v>4.4999999999999103E-3</v>
      </c>
      <c r="L104" s="1931">
        <f>($K$9*36)/((($J$8-'KB_C&amp;S 3yr fixed'!$K104)/12)*(36-'KB_C&amp;S 3yr fixed'!J104)*'Product Data'!$P$23)</f>
        <v>0</v>
      </c>
    </row>
    <row r="105" spans="2:12" x14ac:dyDescent="0.25">
      <c r="B105" s="1927">
        <f t="shared" si="6"/>
        <v>0</v>
      </c>
      <c r="C105" s="1928">
        <v>4.3999999999999101E-3</v>
      </c>
      <c r="D105" s="1931">
        <f>($C$9*36)/((($B$8-C105)/12)*(36-B105)*'Product Data'!$P$23)</f>
        <v>0</v>
      </c>
      <c r="F105" s="1927">
        <f t="shared" si="7"/>
        <v>0</v>
      </c>
      <c r="G105" s="1928">
        <v>4.3999999999999101E-3</v>
      </c>
      <c r="H105" s="1931">
        <f>($G$9*36)/((($F$8-'KB_C&amp;S 3yr fixed'!$G105)/12)*(36-'KB_C&amp;S 3yr fixed'!F105)*'Product Data'!$P$23)</f>
        <v>0</v>
      </c>
      <c r="J105" s="1927">
        <f t="shared" si="8"/>
        <v>0</v>
      </c>
      <c r="K105" s="1928">
        <v>4.3999999999999101E-3</v>
      </c>
      <c r="L105" s="1931">
        <f>($K$9*36)/((($J$8-'KB_C&amp;S 3yr fixed'!$K105)/12)*(36-'KB_C&amp;S 3yr fixed'!J105)*'Product Data'!$P$23)</f>
        <v>0</v>
      </c>
    </row>
    <row r="106" spans="2:12" x14ac:dyDescent="0.25">
      <c r="B106" s="1927">
        <f t="shared" si="6"/>
        <v>0</v>
      </c>
      <c r="C106" s="1928">
        <v>4.2999999999999098E-3</v>
      </c>
      <c r="D106" s="1931">
        <f>($C$9*36)/((($B$8-C106)/12)*(36-B106)*'Product Data'!$P$23)</f>
        <v>0</v>
      </c>
      <c r="F106" s="1927">
        <f t="shared" si="7"/>
        <v>0</v>
      </c>
      <c r="G106" s="1928">
        <v>4.2999999999999098E-3</v>
      </c>
      <c r="H106" s="1931">
        <f>($G$9*36)/((($F$8-'KB_C&amp;S 3yr fixed'!$G106)/12)*(36-'KB_C&amp;S 3yr fixed'!F106)*'Product Data'!$P$23)</f>
        <v>0</v>
      </c>
      <c r="J106" s="1927">
        <f t="shared" si="8"/>
        <v>0</v>
      </c>
      <c r="K106" s="1928">
        <v>4.2999999999999098E-3</v>
      </c>
      <c r="L106" s="1931">
        <f>($K$9*36)/((($J$8-'KB_C&amp;S 3yr fixed'!$K106)/12)*(36-'KB_C&amp;S 3yr fixed'!J106)*'Product Data'!$P$23)</f>
        <v>0</v>
      </c>
    </row>
    <row r="107" spans="2:12" x14ac:dyDescent="0.25">
      <c r="B107" s="1927">
        <f t="shared" si="6"/>
        <v>0</v>
      </c>
      <c r="C107" s="1928">
        <v>4.1999999999999104E-3</v>
      </c>
      <c r="D107" s="1931">
        <f>($C$9*36)/((($B$8-C107)/12)*(36-B107)*'Product Data'!$P$23)</f>
        <v>0</v>
      </c>
      <c r="F107" s="1927">
        <f t="shared" si="7"/>
        <v>0</v>
      </c>
      <c r="G107" s="1928">
        <v>4.1999999999999104E-3</v>
      </c>
      <c r="H107" s="1931">
        <f>($G$9*36)/((($F$8-'KB_C&amp;S 3yr fixed'!$G107)/12)*(36-'KB_C&amp;S 3yr fixed'!F107)*'Product Data'!$P$23)</f>
        <v>0</v>
      </c>
      <c r="J107" s="1927">
        <f t="shared" si="8"/>
        <v>0</v>
      </c>
      <c r="K107" s="1928">
        <v>4.1999999999999104E-3</v>
      </c>
      <c r="L107" s="1931">
        <f>($K$9*36)/((($J$8-'KB_C&amp;S 3yr fixed'!$K107)/12)*(36-'KB_C&amp;S 3yr fixed'!J107)*'Product Data'!$P$23)</f>
        <v>0</v>
      </c>
    </row>
    <row r="108" spans="2:12" x14ac:dyDescent="0.25">
      <c r="B108" s="1927">
        <f t="shared" si="6"/>
        <v>0</v>
      </c>
      <c r="C108" s="1928">
        <v>4.0999999999999101E-3</v>
      </c>
      <c r="D108" s="1931">
        <f>($C$9*36)/((($B$8-C108)/12)*(36-B108)*'Product Data'!$P$23)</f>
        <v>0</v>
      </c>
      <c r="F108" s="1927">
        <f t="shared" si="7"/>
        <v>0</v>
      </c>
      <c r="G108" s="1928">
        <v>4.0999999999999101E-3</v>
      </c>
      <c r="H108" s="1931">
        <f>($G$9*36)/((($F$8-'KB_C&amp;S 3yr fixed'!$G108)/12)*(36-'KB_C&amp;S 3yr fixed'!F108)*'Product Data'!$P$23)</f>
        <v>0</v>
      </c>
      <c r="J108" s="1927">
        <f t="shared" si="8"/>
        <v>0</v>
      </c>
      <c r="K108" s="1928">
        <v>4.0999999999999101E-3</v>
      </c>
      <c r="L108" s="1931">
        <f>($K$9*36)/((($J$8-'KB_C&amp;S 3yr fixed'!$K108)/12)*(36-'KB_C&amp;S 3yr fixed'!J108)*'Product Data'!$P$23)</f>
        <v>0</v>
      </c>
    </row>
    <row r="109" spans="2:12" x14ac:dyDescent="0.25">
      <c r="B109" s="1927">
        <f t="shared" si="6"/>
        <v>0</v>
      </c>
      <c r="C109" s="1928">
        <v>3.9999999999999003E-3</v>
      </c>
      <c r="D109" s="1931">
        <f>($C$9*36)/((($B$8-C109)/12)*(36-B109)*'Product Data'!$P$23)</f>
        <v>0</v>
      </c>
      <c r="F109" s="1927">
        <f t="shared" si="7"/>
        <v>0</v>
      </c>
      <c r="G109" s="1928">
        <v>3.9999999999999003E-3</v>
      </c>
      <c r="H109" s="1931">
        <f>($G$9*36)/((($F$8-'KB_C&amp;S 3yr fixed'!$G109)/12)*(36-'KB_C&amp;S 3yr fixed'!F109)*'Product Data'!$P$23)</f>
        <v>0</v>
      </c>
      <c r="J109" s="1927">
        <f t="shared" si="8"/>
        <v>0</v>
      </c>
      <c r="K109" s="1928">
        <v>3.9999999999999003E-3</v>
      </c>
      <c r="L109" s="1931">
        <f>($K$9*36)/((($J$8-'KB_C&amp;S 3yr fixed'!$K109)/12)*(36-'KB_C&amp;S 3yr fixed'!J109)*'Product Data'!$P$23)</f>
        <v>0</v>
      </c>
    </row>
    <row r="110" spans="2:12" x14ac:dyDescent="0.25">
      <c r="B110" s="1927">
        <f t="shared" si="6"/>
        <v>0</v>
      </c>
      <c r="C110" s="1928">
        <v>3.8999999999999001E-3</v>
      </c>
      <c r="D110" s="1931">
        <f>($C$9*36)/((($B$8-C110)/12)*(36-B110)*'Product Data'!$P$23)</f>
        <v>0</v>
      </c>
      <c r="F110" s="1927">
        <f t="shared" si="7"/>
        <v>0</v>
      </c>
      <c r="G110" s="1928">
        <v>3.8999999999999001E-3</v>
      </c>
      <c r="H110" s="1931">
        <f>($G$9*36)/((($F$8-'KB_C&amp;S 3yr fixed'!$G110)/12)*(36-'KB_C&amp;S 3yr fixed'!F110)*'Product Data'!$P$23)</f>
        <v>0</v>
      </c>
      <c r="J110" s="1927">
        <f t="shared" si="8"/>
        <v>0</v>
      </c>
      <c r="K110" s="1928">
        <v>3.8999999999999001E-3</v>
      </c>
      <c r="L110" s="1931">
        <f>($K$9*36)/((($J$8-'KB_C&amp;S 3yr fixed'!$K110)/12)*(36-'KB_C&amp;S 3yr fixed'!J110)*'Product Data'!$P$23)</f>
        <v>0</v>
      </c>
    </row>
    <row r="111" spans="2:12" x14ac:dyDescent="0.25">
      <c r="B111" s="1927">
        <f t="shared" si="6"/>
        <v>0</v>
      </c>
      <c r="C111" s="1928">
        <v>3.7999999999998998E-3</v>
      </c>
      <c r="D111" s="1931">
        <f>($C$9*36)/((($B$8-C111)/12)*(36-B111)*'Product Data'!$P$23)</f>
        <v>0</v>
      </c>
      <c r="F111" s="1927">
        <f t="shared" si="7"/>
        <v>0</v>
      </c>
      <c r="G111" s="1928">
        <v>3.7999999999998998E-3</v>
      </c>
      <c r="H111" s="1931">
        <f>($G$9*36)/((($F$8-'KB_C&amp;S 3yr fixed'!$G111)/12)*(36-'KB_C&amp;S 3yr fixed'!F111)*'Product Data'!$P$23)</f>
        <v>0</v>
      </c>
      <c r="J111" s="1927">
        <f t="shared" si="8"/>
        <v>0</v>
      </c>
      <c r="K111" s="1928">
        <v>3.7999999999998998E-3</v>
      </c>
      <c r="L111" s="1931">
        <f>($K$9*36)/((($J$8-'KB_C&amp;S 3yr fixed'!$K111)/12)*(36-'KB_C&amp;S 3yr fixed'!J111)*'Product Data'!$P$23)</f>
        <v>0</v>
      </c>
    </row>
    <row r="112" spans="2:12" x14ac:dyDescent="0.25">
      <c r="B112" s="1927">
        <f t="shared" si="6"/>
        <v>0</v>
      </c>
      <c r="C112" s="1928">
        <v>3.6999999999999E-3</v>
      </c>
      <c r="D112" s="1931">
        <f>($C$9*36)/((($B$8-C112)/12)*(36-B112)*'Product Data'!$P$23)</f>
        <v>0</v>
      </c>
      <c r="F112" s="1927">
        <f t="shared" si="7"/>
        <v>0</v>
      </c>
      <c r="G112" s="1928">
        <v>3.6999999999999E-3</v>
      </c>
      <c r="H112" s="1931">
        <f>($G$9*36)/((($F$8-'KB_C&amp;S 3yr fixed'!$G112)/12)*(36-'KB_C&amp;S 3yr fixed'!F112)*'Product Data'!$P$23)</f>
        <v>0</v>
      </c>
      <c r="J112" s="1927">
        <f t="shared" si="8"/>
        <v>0</v>
      </c>
      <c r="K112" s="1928">
        <v>3.6999999999999E-3</v>
      </c>
      <c r="L112" s="1931">
        <f>($K$9*36)/((($J$8-'KB_C&amp;S 3yr fixed'!$K112)/12)*(36-'KB_C&amp;S 3yr fixed'!J112)*'Product Data'!$P$23)</f>
        <v>0</v>
      </c>
    </row>
    <row r="113" spans="2:12" x14ac:dyDescent="0.25">
      <c r="B113" s="1927">
        <f t="shared" si="6"/>
        <v>0</v>
      </c>
      <c r="C113" s="1928">
        <v>3.5999999999999002E-3</v>
      </c>
      <c r="D113" s="1931">
        <f>($C$9*36)/((($B$8-C113)/12)*(36-B113)*'Product Data'!$P$23)</f>
        <v>0</v>
      </c>
      <c r="F113" s="1927">
        <f t="shared" si="7"/>
        <v>0</v>
      </c>
      <c r="G113" s="1928">
        <v>3.5999999999999002E-3</v>
      </c>
      <c r="H113" s="1931">
        <f>($G$9*36)/((($F$8-'KB_C&amp;S 3yr fixed'!$G113)/12)*(36-'KB_C&amp;S 3yr fixed'!F113)*'Product Data'!$P$23)</f>
        <v>0</v>
      </c>
      <c r="J113" s="1927">
        <f t="shared" si="8"/>
        <v>0</v>
      </c>
      <c r="K113" s="1928">
        <v>3.5999999999999002E-3</v>
      </c>
      <c r="L113" s="1931">
        <f>($K$9*36)/((($J$8-'KB_C&amp;S 3yr fixed'!$K113)/12)*(36-'KB_C&amp;S 3yr fixed'!J113)*'Product Data'!$P$23)</f>
        <v>0</v>
      </c>
    </row>
    <row r="114" spans="2:12" x14ac:dyDescent="0.25">
      <c r="B114" s="1927">
        <f t="shared" si="6"/>
        <v>0</v>
      </c>
      <c r="C114" s="1928">
        <v>3.4999999999998999E-3</v>
      </c>
      <c r="D114" s="1931">
        <f>($C$9*36)/((($B$8-C114)/12)*(36-B114)*'Product Data'!$P$23)</f>
        <v>0</v>
      </c>
      <c r="F114" s="1927">
        <f t="shared" si="7"/>
        <v>0</v>
      </c>
      <c r="G114" s="1928">
        <v>3.4999999999998999E-3</v>
      </c>
      <c r="H114" s="1931">
        <f>($G$9*36)/((($F$8-'KB_C&amp;S 3yr fixed'!$G114)/12)*(36-'KB_C&amp;S 3yr fixed'!F114)*'Product Data'!$P$23)</f>
        <v>0</v>
      </c>
      <c r="J114" s="1927">
        <f t="shared" si="8"/>
        <v>0</v>
      </c>
      <c r="K114" s="1928">
        <v>3.4999999999998999E-3</v>
      </c>
      <c r="L114" s="1931">
        <f>($K$9*36)/((($J$8-'KB_C&amp;S 3yr fixed'!$K114)/12)*(36-'KB_C&amp;S 3yr fixed'!J114)*'Product Data'!$P$23)</f>
        <v>0</v>
      </c>
    </row>
    <row r="115" spans="2:12" x14ac:dyDescent="0.25">
      <c r="B115" s="1927">
        <f t="shared" si="6"/>
        <v>0</v>
      </c>
      <c r="C115" s="1928">
        <v>3.3999999999999001E-3</v>
      </c>
      <c r="D115" s="1931">
        <f>($C$9*36)/((($B$8-C115)/12)*(36-B115)*'Product Data'!$P$23)</f>
        <v>0</v>
      </c>
      <c r="F115" s="1927">
        <f t="shared" si="7"/>
        <v>0</v>
      </c>
      <c r="G115" s="1928">
        <v>3.3999999999999001E-3</v>
      </c>
      <c r="H115" s="1931">
        <f>($G$9*36)/((($F$8-'KB_C&amp;S 3yr fixed'!$G115)/12)*(36-'KB_C&amp;S 3yr fixed'!F115)*'Product Data'!$P$23)</f>
        <v>0</v>
      </c>
      <c r="J115" s="1927">
        <f t="shared" si="8"/>
        <v>0</v>
      </c>
      <c r="K115" s="1928">
        <v>3.3999999999999001E-3</v>
      </c>
      <c r="L115" s="1931">
        <f>($K$9*36)/((($J$8-'KB_C&amp;S 3yr fixed'!$K115)/12)*(36-'KB_C&amp;S 3yr fixed'!J115)*'Product Data'!$P$23)</f>
        <v>0</v>
      </c>
    </row>
    <row r="116" spans="2:12" x14ac:dyDescent="0.25">
      <c r="B116" s="1927">
        <f t="shared" si="6"/>
        <v>0</v>
      </c>
      <c r="C116" s="1928">
        <v>3.2999999999998998E-3</v>
      </c>
      <c r="D116" s="1931">
        <f>($C$9*36)/((($B$8-C116)/12)*(36-B116)*'Product Data'!$P$23)</f>
        <v>0</v>
      </c>
      <c r="F116" s="1927">
        <f t="shared" si="7"/>
        <v>0</v>
      </c>
      <c r="G116" s="1928">
        <v>3.2999999999998998E-3</v>
      </c>
      <c r="H116" s="1931">
        <f>($G$9*36)/((($F$8-'KB_C&amp;S 3yr fixed'!$G116)/12)*(36-'KB_C&amp;S 3yr fixed'!F116)*'Product Data'!$P$23)</f>
        <v>0</v>
      </c>
      <c r="J116" s="1927">
        <f t="shared" si="8"/>
        <v>0</v>
      </c>
      <c r="K116" s="1928">
        <v>3.2999999999998998E-3</v>
      </c>
      <c r="L116" s="1931">
        <f>($K$9*36)/((($J$8-'KB_C&amp;S 3yr fixed'!$K116)/12)*(36-'KB_C&amp;S 3yr fixed'!J116)*'Product Data'!$P$23)</f>
        <v>0</v>
      </c>
    </row>
    <row r="117" spans="2:12" x14ac:dyDescent="0.25">
      <c r="B117" s="1927">
        <f t="shared" si="6"/>
        <v>0</v>
      </c>
      <c r="C117" s="1928">
        <v>3.19999999999989E-3</v>
      </c>
      <c r="D117" s="1931">
        <f>($C$9*36)/((($B$8-C117)/12)*(36-B117)*'Product Data'!$P$23)</f>
        <v>0</v>
      </c>
      <c r="F117" s="1927">
        <f t="shared" si="7"/>
        <v>0</v>
      </c>
      <c r="G117" s="1928">
        <v>3.19999999999989E-3</v>
      </c>
      <c r="H117" s="1931">
        <f>($G$9*36)/((($F$8-'KB_C&amp;S 3yr fixed'!$G117)/12)*(36-'KB_C&amp;S 3yr fixed'!F117)*'Product Data'!$P$23)</f>
        <v>0</v>
      </c>
      <c r="J117" s="1927">
        <f t="shared" si="8"/>
        <v>0</v>
      </c>
      <c r="K117" s="1928">
        <v>3.19999999999989E-3</v>
      </c>
      <c r="L117" s="1931">
        <f>($K$9*36)/((($J$8-'KB_C&amp;S 3yr fixed'!$K117)/12)*(36-'KB_C&amp;S 3yr fixed'!J117)*'Product Data'!$P$23)</f>
        <v>0</v>
      </c>
    </row>
    <row r="118" spans="2:12" x14ac:dyDescent="0.25">
      <c r="B118" s="1927">
        <f t="shared" si="6"/>
        <v>0</v>
      </c>
      <c r="C118" s="1928">
        <v>3.0999999999998902E-3</v>
      </c>
      <c r="D118" s="1931">
        <f>($C$9*36)/((($B$8-C118)/12)*(36-B118)*'Product Data'!$P$23)</f>
        <v>0</v>
      </c>
      <c r="F118" s="1927">
        <f t="shared" si="7"/>
        <v>0</v>
      </c>
      <c r="G118" s="1928">
        <v>3.0999999999998902E-3</v>
      </c>
      <c r="H118" s="1931">
        <f>($G$9*36)/((($F$8-'KB_C&amp;S 3yr fixed'!$G118)/12)*(36-'KB_C&amp;S 3yr fixed'!F118)*'Product Data'!$P$23)</f>
        <v>0</v>
      </c>
      <c r="J118" s="1927">
        <f t="shared" si="8"/>
        <v>0</v>
      </c>
      <c r="K118" s="1928">
        <v>3.0999999999998902E-3</v>
      </c>
      <c r="L118" s="1931">
        <f>($K$9*36)/((($J$8-'KB_C&amp;S 3yr fixed'!$K118)/12)*(36-'KB_C&amp;S 3yr fixed'!J118)*'Product Data'!$P$23)</f>
        <v>0</v>
      </c>
    </row>
    <row r="119" spans="2:12" x14ac:dyDescent="0.25">
      <c r="B119" s="1927">
        <f t="shared" si="6"/>
        <v>0</v>
      </c>
      <c r="C119" s="1928">
        <v>2.9999999999998899E-3</v>
      </c>
      <c r="D119" s="1931">
        <f>($C$9*36)/((($B$8-C119)/12)*(36-B119)*'Product Data'!$P$23)</f>
        <v>0</v>
      </c>
      <c r="F119" s="1927">
        <f t="shared" si="7"/>
        <v>0</v>
      </c>
      <c r="G119" s="1928">
        <v>2.9999999999998899E-3</v>
      </c>
      <c r="H119" s="1931">
        <f>($G$9*36)/((($F$8-'KB_C&amp;S 3yr fixed'!$G119)/12)*(36-'KB_C&amp;S 3yr fixed'!F119)*'Product Data'!$P$23)</f>
        <v>0</v>
      </c>
      <c r="J119" s="1927">
        <f t="shared" si="8"/>
        <v>0</v>
      </c>
      <c r="K119" s="1928">
        <v>2.9999999999998899E-3</v>
      </c>
      <c r="L119" s="1931">
        <f>($K$9*36)/((($J$8-'KB_C&amp;S 3yr fixed'!$K119)/12)*(36-'KB_C&amp;S 3yr fixed'!J119)*'Product Data'!$P$23)</f>
        <v>0</v>
      </c>
    </row>
    <row r="120" spans="2:12" x14ac:dyDescent="0.25">
      <c r="B120" s="1927">
        <f t="shared" si="6"/>
        <v>0</v>
      </c>
      <c r="C120" s="1928">
        <v>2.8999999999998901E-3</v>
      </c>
      <c r="D120" s="1931">
        <f>($C$9*36)/((($B$8-C120)/12)*(36-B120)*'Product Data'!$P$23)</f>
        <v>0</v>
      </c>
      <c r="F120" s="1927">
        <f t="shared" si="7"/>
        <v>0</v>
      </c>
      <c r="G120" s="1928">
        <v>2.8999999999998901E-3</v>
      </c>
      <c r="H120" s="1931">
        <f>($G$9*36)/((($F$8-'KB_C&amp;S 3yr fixed'!$G120)/12)*(36-'KB_C&amp;S 3yr fixed'!F120)*'Product Data'!$P$23)</f>
        <v>0</v>
      </c>
      <c r="J120" s="1927">
        <f t="shared" si="8"/>
        <v>0</v>
      </c>
      <c r="K120" s="1928">
        <v>2.8999999999998901E-3</v>
      </c>
      <c r="L120" s="1931">
        <f>($K$9*36)/((($J$8-'KB_C&amp;S 3yr fixed'!$K120)/12)*(36-'KB_C&amp;S 3yr fixed'!J120)*'Product Data'!$P$23)</f>
        <v>0</v>
      </c>
    </row>
    <row r="121" spans="2:12" x14ac:dyDescent="0.25">
      <c r="B121" s="1927">
        <f t="shared" si="6"/>
        <v>0</v>
      </c>
      <c r="C121" s="1928">
        <v>2.7999999999998898E-3</v>
      </c>
      <c r="D121" s="1931">
        <f>($C$9*36)/((($B$8-C121)/12)*(36-B121)*'Product Data'!$P$23)</f>
        <v>0</v>
      </c>
      <c r="F121" s="1927">
        <f t="shared" si="7"/>
        <v>0</v>
      </c>
      <c r="G121" s="1928">
        <v>2.7999999999998898E-3</v>
      </c>
      <c r="H121" s="1931">
        <f>($G$9*36)/((($F$8-'KB_C&amp;S 3yr fixed'!$G121)/12)*(36-'KB_C&amp;S 3yr fixed'!F121)*'Product Data'!$P$23)</f>
        <v>0</v>
      </c>
      <c r="J121" s="1927">
        <f t="shared" si="8"/>
        <v>0</v>
      </c>
      <c r="K121" s="1928">
        <v>2.7999999999998898E-3</v>
      </c>
      <c r="L121" s="1931">
        <f>($K$9*36)/((($J$8-'KB_C&amp;S 3yr fixed'!$K121)/12)*(36-'KB_C&amp;S 3yr fixed'!J121)*'Product Data'!$P$23)</f>
        <v>0</v>
      </c>
    </row>
    <row r="122" spans="2:12" x14ac:dyDescent="0.25">
      <c r="B122" s="1927">
        <f t="shared" si="6"/>
        <v>0</v>
      </c>
      <c r="C122" s="1928">
        <v>2.69999999999989E-3</v>
      </c>
      <c r="D122" s="1931">
        <f>($C$9*36)/((($B$8-C122)/12)*(36-B122)*'Product Data'!$P$23)</f>
        <v>0</v>
      </c>
      <c r="F122" s="1927">
        <f t="shared" si="7"/>
        <v>0</v>
      </c>
      <c r="G122" s="1928">
        <v>2.69999999999989E-3</v>
      </c>
      <c r="H122" s="1931">
        <f>($G$9*36)/((($F$8-'KB_C&amp;S 3yr fixed'!$G122)/12)*(36-'KB_C&amp;S 3yr fixed'!F122)*'Product Data'!$P$23)</f>
        <v>0</v>
      </c>
      <c r="J122" s="1927">
        <f t="shared" si="8"/>
        <v>0</v>
      </c>
      <c r="K122" s="1928">
        <v>2.69999999999989E-3</v>
      </c>
      <c r="L122" s="1931">
        <f>($K$9*36)/((($J$8-'KB_C&amp;S 3yr fixed'!$K122)/12)*(36-'KB_C&amp;S 3yr fixed'!J122)*'Product Data'!$P$23)</f>
        <v>0</v>
      </c>
    </row>
    <row r="123" spans="2:12" x14ac:dyDescent="0.25">
      <c r="B123" s="1927">
        <f t="shared" si="6"/>
        <v>0</v>
      </c>
      <c r="C123" s="1928">
        <v>2.5999999999998902E-3</v>
      </c>
      <c r="D123" s="1931">
        <f>($C$9*36)/((($B$8-C123)/12)*(36-B123)*'Product Data'!$P$23)</f>
        <v>0</v>
      </c>
      <c r="F123" s="1927">
        <f t="shared" si="7"/>
        <v>0</v>
      </c>
      <c r="G123" s="1928">
        <v>2.5999999999998902E-3</v>
      </c>
      <c r="H123" s="1931">
        <f>($G$9*36)/((($F$8-'KB_C&amp;S 3yr fixed'!$G123)/12)*(36-'KB_C&amp;S 3yr fixed'!F123)*'Product Data'!$P$23)</f>
        <v>0</v>
      </c>
      <c r="J123" s="1927">
        <f t="shared" si="8"/>
        <v>0</v>
      </c>
      <c r="K123" s="1928">
        <v>2.5999999999998902E-3</v>
      </c>
      <c r="L123" s="1931">
        <f>($K$9*36)/((($J$8-'KB_C&amp;S 3yr fixed'!$K123)/12)*(36-'KB_C&amp;S 3yr fixed'!J123)*'Product Data'!$P$23)</f>
        <v>0</v>
      </c>
    </row>
    <row r="124" spans="2:12" x14ac:dyDescent="0.25">
      <c r="B124" s="1927">
        <f t="shared" si="6"/>
        <v>0</v>
      </c>
      <c r="C124" s="1928">
        <v>2.4999999999998999E-3</v>
      </c>
      <c r="D124" s="1931">
        <f>($C$9*36)/((($B$8-C124)/12)*(36-B124)*'Product Data'!$P$23)</f>
        <v>0</v>
      </c>
      <c r="F124" s="1927">
        <f t="shared" si="7"/>
        <v>0</v>
      </c>
      <c r="G124" s="1928">
        <v>2.4999999999998999E-3</v>
      </c>
      <c r="H124" s="1931">
        <f>($G$9*36)/((($F$8-'KB_C&amp;S 3yr fixed'!$G124)/12)*(36-'KB_C&amp;S 3yr fixed'!F124)*'Product Data'!$P$23)</f>
        <v>0</v>
      </c>
      <c r="J124" s="1927">
        <f t="shared" si="8"/>
        <v>0</v>
      </c>
      <c r="K124" s="1928">
        <v>2.4999999999998999E-3</v>
      </c>
      <c r="L124" s="1931">
        <f>($K$9*36)/((($J$8-'KB_C&amp;S 3yr fixed'!$K124)/12)*(36-'KB_C&amp;S 3yr fixed'!J124)*'Product Data'!$P$23)</f>
        <v>0</v>
      </c>
    </row>
    <row r="125" spans="2:12" x14ac:dyDescent="0.25">
      <c r="B125" s="1927">
        <f t="shared" si="6"/>
        <v>0</v>
      </c>
      <c r="C125" s="1928">
        <v>2.3999999999999E-3</v>
      </c>
      <c r="D125" s="1931">
        <f>($C$9*36)/((($B$8-C125)/12)*(36-B125)*'Product Data'!$P$23)</f>
        <v>0</v>
      </c>
      <c r="F125" s="1927">
        <f t="shared" si="7"/>
        <v>0</v>
      </c>
      <c r="G125" s="1928">
        <v>2.3999999999999E-3</v>
      </c>
      <c r="H125" s="1931">
        <f>($G$9*36)/((($F$8-'KB_C&amp;S 3yr fixed'!$G125)/12)*(36-'KB_C&amp;S 3yr fixed'!F125)*'Product Data'!$P$23)</f>
        <v>0</v>
      </c>
      <c r="J125" s="1927">
        <f t="shared" si="8"/>
        <v>0</v>
      </c>
      <c r="K125" s="1928">
        <v>2.3999999999999E-3</v>
      </c>
      <c r="L125" s="1931">
        <f>($K$9*36)/((($J$8-'KB_C&amp;S 3yr fixed'!$K125)/12)*(36-'KB_C&amp;S 3yr fixed'!J125)*'Product Data'!$P$23)</f>
        <v>0</v>
      </c>
    </row>
    <row r="126" spans="2:12" x14ac:dyDescent="0.25">
      <c r="B126" s="1927">
        <f t="shared" si="6"/>
        <v>0</v>
      </c>
      <c r="C126" s="1928">
        <v>2.2999999999999002E-3</v>
      </c>
      <c r="D126" s="1931">
        <f>($C$9*36)/((($B$8-C126)/12)*(36-B126)*'Product Data'!$P$23)</f>
        <v>0</v>
      </c>
      <c r="F126" s="1927">
        <f t="shared" si="7"/>
        <v>0</v>
      </c>
      <c r="G126" s="1928">
        <v>2.2999999999999002E-3</v>
      </c>
      <c r="H126" s="1931">
        <f>($G$9*36)/((($F$8-'KB_C&amp;S 3yr fixed'!$G126)/12)*(36-'KB_C&amp;S 3yr fixed'!F126)*'Product Data'!$P$23)</f>
        <v>0</v>
      </c>
      <c r="J126" s="1927">
        <f t="shared" si="8"/>
        <v>0</v>
      </c>
      <c r="K126" s="1928">
        <v>2.2999999999999002E-3</v>
      </c>
      <c r="L126" s="1931">
        <f>($K$9*36)/((($J$8-'KB_C&amp;S 3yr fixed'!$K126)/12)*(36-'KB_C&amp;S 3yr fixed'!J126)*'Product Data'!$P$23)</f>
        <v>0</v>
      </c>
    </row>
    <row r="127" spans="2:12" x14ac:dyDescent="0.25">
      <c r="B127" s="1927">
        <f t="shared" si="6"/>
        <v>0</v>
      </c>
      <c r="C127" s="1928">
        <v>2.1999999999999E-3</v>
      </c>
      <c r="D127" s="1931">
        <f>($C$9*36)/((($B$8-C127)/12)*(36-B127)*'Product Data'!$P$23)</f>
        <v>0</v>
      </c>
      <c r="F127" s="1927">
        <f t="shared" si="7"/>
        <v>0</v>
      </c>
      <c r="G127" s="1928">
        <v>2.1999999999999E-3</v>
      </c>
      <c r="H127" s="1931">
        <f>($G$9*36)/((($F$8-'KB_C&amp;S 3yr fixed'!$G127)/12)*(36-'KB_C&amp;S 3yr fixed'!F127)*'Product Data'!$P$23)</f>
        <v>0</v>
      </c>
      <c r="J127" s="1927">
        <f t="shared" si="8"/>
        <v>0</v>
      </c>
      <c r="K127" s="1928">
        <v>2.1999999999999E-3</v>
      </c>
      <c r="L127" s="1931">
        <f>($K$9*36)/((($J$8-'KB_C&amp;S 3yr fixed'!$K127)/12)*(36-'KB_C&amp;S 3yr fixed'!J127)*'Product Data'!$P$23)</f>
        <v>0</v>
      </c>
    </row>
    <row r="128" spans="2:12" x14ac:dyDescent="0.25">
      <c r="B128" s="1927">
        <f t="shared" si="6"/>
        <v>0</v>
      </c>
      <c r="C128" s="1928">
        <v>2.0999999999999001E-3</v>
      </c>
      <c r="D128" s="1931">
        <f>($C$9*36)/((($B$8-C128)/12)*(36-B128)*'Product Data'!$P$23)</f>
        <v>0</v>
      </c>
      <c r="F128" s="1927">
        <f t="shared" si="7"/>
        <v>0</v>
      </c>
      <c r="G128" s="1928">
        <v>2.0999999999999001E-3</v>
      </c>
      <c r="H128" s="1931">
        <f>($G$9*36)/((($F$8-'KB_C&amp;S 3yr fixed'!$G128)/12)*(36-'KB_C&amp;S 3yr fixed'!F128)*'Product Data'!$P$23)</f>
        <v>0</v>
      </c>
      <c r="J128" s="1927">
        <f t="shared" si="8"/>
        <v>0</v>
      </c>
      <c r="K128" s="1928">
        <v>2.0999999999999001E-3</v>
      </c>
      <c r="L128" s="1931">
        <f>($K$9*36)/((($J$8-'KB_C&amp;S 3yr fixed'!$K128)/12)*(36-'KB_C&amp;S 3yr fixed'!J128)*'Product Data'!$P$23)</f>
        <v>0</v>
      </c>
    </row>
    <row r="129" spans="2:12" x14ac:dyDescent="0.25">
      <c r="B129" s="1927">
        <f t="shared" si="6"/>
        <v>0</v>
      </c>
      <c r="C129" s="1928">
        <v>1.9999999999998999E-3</v>
      </c>
      <c r="D129" s="1931">
        <f>($C$9*36)/((($B$8-C129)/12)*(36-B129)*'Product Data'!$P$23)</f>
        <v>0</v>
      </c>
      <c r="F129" s="1927">
        <f t="shared" si="7"/>
        <v>0</v>
      </c>
      <c r="G129" s="1928">
        <v>1.9999999999998999E-3</v>
      </c>
      <c r="H129" s="1931">
        <f>($G$9*36)/((($F$8-'KB_C&amp;S 3yr fixed'!$G129)/12)*(36-'KB_C&amp;S 3yr fixed'!F129)*'Product Data'!$P$23)</f>
        <v>0</v>
      </c>
      <c r="J129" s="1927">
        <f t="shared" si="8"/>
        <v>0</v>
      </c>
      <c r="K129" s="1928">
        <v>1.9999999999998999E-3</v>
      </c>
      <c r="L129" s="1931">
        <f>($K$9*36)/((($J$8-'KB_C&amp;S 3yr fixed'!$K129)/12)*(36-'KB_C&amp;S 3yr fixed'!J129)*'Product Data'!$P$23)</f>
        <v>0</v>
      </c>
    </row>
    <row r="130" spans="2:12" x14ac:dyDescent="0.25">
      <c r="B130" s="1927">
        <f t="shared" si="6"/>
        <v>0</v>
      </c>
      <c r="C130" s="1928">
        <v>1.8999999999999E-3</v>
      </c>
      <c r="D130" s="1931">
        <f>($C$9*36)/((($B$8-C130)/12)*(36-B130)*'Product Data'!$P$23)</f>
        <v>0</v>
      </c>
      <c r="F130" s="1927">
        <f t="shared" si="7"/>
        <v>0</v>
      </c>
      <c r="G130" s="1928">
        <v>1.8999999999999E-3</v>
      </c>
      <c r="H130" s="1931">
        <f>($G$9*36)/((($F$8-'KB_C&amp;S 3yr fixed'!$G130)/12)*(36-'KB_C&amp;S 3yr fixed'!F130)*'Product Data'!$P$23)</f>
        <v>0</v>
      </c>
      <c r="J130" s="1927">
        <f t="shared" si="8"/>
        <v>0</v>
      </c>
      <c r="K130" s="1928">
        <v>1.8999999999999E-3</v>
      </c>
      <c r="L130" s="1931">
        <f>($K$9*36)/((($J$8-'KB_C&amp;S 3yr fixed'!$K130)/12)*(36-'KB_C&amp;S 3yr fixed'!J130)*'Product Data'!$P$23)</f>
        <v>0</v>
      </c>
    </row>
    <row r="131" spans="2:12" x14ac:dyDescent="0.25">
      <c r="B131" s="1927">
        <f t="shared" si="6"/>
        <v>0</v>
      </c>
      <c r="C131" s="1928">
        <v>1.7999999999999E-3</v>
      </c>
      <c r="D131" s="1931">
        <f>($C$9*36)/((($B$8-C131)/12)*(36-B131)*'Product Data'!$P$23)</f>
        <v>0</v>
      </c>
      <c r="F131" s="1927">
        <f t="shared" si="7"/>
        <v>0</v>
      </c>
      <c r="G131" s="1928">
        <v>1.7999999999999E-3</v>
      </c>
      <c r="H131" s="1931">
        <f>($G$9*36)/((($F$8-'KB_C&amp;S 3yr fixed'!$G131)/12)*(36-'KB_C&amp;S 3yr fixed'!F131)*'Product Data'!$P$23)</f>
        <v>0</v>
      </c>
      <c r="J131" s="1927">
        <f t="shared" si="8"/>
        <v>0</v>
      </c>
      <c r="K131" s="1928">
        <v>1.7999999999999E-3</v>
      </c>
      <c r="L131" s="1931">
        <f>($K$9*36)/((($J$8-'KB_C&amp;S 3yr fixed'!$K131)/12)*(36-'KB_C&amp;S 3yr fixed'!J131)*'Product Data'!$P$23)</f>
        <v>0</v>
      </c>
    </row>
    <row r="132" spans="2:12" x14ac:dyDescent="0.25">
      <c r="B132" s="1927">
        <f t="shared" si="6"/>
        <v>0</v>
      </c>
      <c r="C132" s="1928">
        <v>1.6999999999998999E-3</v>
      </c>
      <c r="D132" s="1931">
        <f>($C$9*36)/((($B$8-C132)/12)*(36-B132)*'Product Data'!$P$23)</f>
        <v>0</v>
      </c>
      <c r="F132" s="1927">
        <f t="shared" si="7"/>
        <v>0</v>
      </c>
      <c r="G132" s="1928">
        <v>1.6999999999998999E-3</v>
      </c>
      <c r="H132" s="1931">
        <f>($G$9*36)/((($F$8-'KB_C&amp;S 3yr fixed'!$G132)/12)*(36-'KB_C&amp;S 3yr fixed'!F132)*'Product Data'!$P$23)</f>
        <v>0</v>
      </c>
      <c r="J132" s="1927">
        <f t="shared" si="8"/>
        <v>0</v>
      </c>
      <c r="K132" s="1928">
        <v>1.6999999999998999E-3</v>
      </c>
      <c r="L132" s="1931">
        <f>($K$9*36)/((($J$8-'KB_C&amp;S 3yr fixed'!$K132)/12)*(36-'KB_C&amp;S 3yr fixed'!J132)*'Product Data'!$P$23)</f>
        <v>0</v>
      </c>
    </row>
    <row r="133" spans="2:12" x14ac:dyDescent="0.25">
      <c r="B133" s="1927">
        <f t="shared" si="6"/>
        <v>0</v>
      </c>
      <c r="C133" s="1928">
        <v>1.5999999999998999E-3</v>
      </c>
      <c r="D133" s="1931">
        <f>($C$9*36)/((($B$8-C133)/12)*(36-B133)*'Product Data'!$P$23)</f>
        <v>0</v>
      </c>
      <c r="F133" s="1927">
        <f t="shared" si="7"/>
        <v>0</v>
      </c>
      <c r="G133" s="1928">
        <v>1.5999999999998999E-3</v>
      </c>
      <c r="H133" s="1931">
        <f>($G$9*36)/((($F$8-'KB_C&amp;S 3yr fixed'!$G133)/12)*(36-'KB_C&amp;S 3yr fixed'!F133)*'Product Data'!$P$23)</f>
        <v>0</v>
      </c>
      <c r="J133" s="1927">
        <f t="shared" si="8"/>
        <v>0</v>
      </c>
      <c r="K133" s="1928">
        <v>1.5999999999998999E-3</v>
      </c>
      <c r="L133" s="1931">
        <f>($K$9*36)/((($J$8-'KB_C&amp;S 3yr fixed'!$K133)/12)*(36-'KB_C&amp;S 3yr fixed'!J133)*'Product Data'!$P$23)</f>
        <v>0</v>
      </c>
    </row>
    <row r="134" spans="2:12" x14ac:dyDescent="0.25">
      <c r="B134" s="1927">
        <f t="shared" si="6"/>
        <v>0</v>
      </c>
      <c r="C134" s="1928">
        <v>1.4999999999999001E-3</v>
      </c>
      <c r="D134" s="1931">
        <f>($C$9*36)/((($B$8-C134)/12)*(36-B134)*'Product Data'!$P$23)</f>
        <v>0</v>
      </c>
      <c r="F134" s="1927">
        <f t="shared" si="7"/>
        <v>0</v>
      </c>
      <c r="G134" s="1928">
        <v>1.4999999999999001E-3</v>
      </c>
      <c r="H134" s="1931">
        <f>($G$9*36)/((($F$8-'KB_C&amp;S 3yr fixed'!$G134)/12)*(36-'KB_C&amp;S 3yr fixed'!F134)*'Product Data'!$P$23)</f>
        <v>0</v>
      </c>
      <c r="J134" s="1927">
        <f t="shared" si="8"/>
        <v>0</v>
      </c>
      <c r="K134" s="1928">
        <v>1.4999999999999001E-3</v>
      </c>
      <c r="L134" s="1931">
        <f>($K$9*36)/((($J$8-'KB_C&amp;S 3yr fixed'!$K134)/12)*(36-'KB_C&amp;S 3yr fixed'!J134)*'Product Data'!$P$23)</f>
        <v>0</v>
      </c>
    </row>
    <row r="135" spans="2:12" x14ac:dyDescent="0.25">
      <c r="B135" s="1927">
        <f t="shared" si="6"/>
        <v>0</v>
      </c>
      <c r="C135" s="1928">
        <v>1.3999999999999E-3</v>
      </c>
      <c r="D135" s="1931">
        <f>($C$9*36)/((($B$8-C135)/12)*(36-B135)*'Product Data'!$P$23)</f>
        <v>0</v>
      </c>
      <c r="F135" s="1927">
        <f t="shared" si="7"/>
        <v>0</v>
      </c>
      <c r="G135" s="1928">
        <v>1.3999999999999E-3</v>
      </c>
      <c r="H135" s="1931">
        <f>($G$9*36)/((($F$8-'KB_C&amp;S 3yr fixed'!$G135)/12)*(36-'KB_C&amp;S 3yr fixed'!F135)*'Product Data'!$P$23)</f>
        <v>0</v>
      </c>
      <c r="J135" s="1927">
        <f t="shared" si="8"/>
        <v>0</v>
      </c>
      <c r="K135" s="1928">
        <v>1.3999999999999E-3</v>
      </c>
      <c r="L135" s="1931">
        <f>($K$9*36)/((($J$8-'KB_C&amp;S 3yr fixed'!$K135)/12)*(36-'KB_C&amp;S 3yr fixed'!J135)*'Product Data'!$P$23)</f>
        <v>0</v>
      </c>
    </row>
    <row r="136" spans="2:12" x14ac:dyDescent="0.25">
      <c r="B136" s="1927">
        <f t="shared" si="6"/>
        <v>0</v>
      </c>
      <c r="C136" s="1928">
        <v>1.2999999999999E-3</v>
      </c>
      <c r="D136" s="1931">
        <f>($C$9*36)/((($B$8-C136)/12)*(36-B136)*'Product Data'!$P$23)</f>
        <v>0</v>
      </c>
      <c r="F136" s="1927">
        <f t="shared" si="7"/>
        <v>0</v>
      </c>
      <c r="G136" s="1928">
        <v>1.2999999999999E-3</v>
      </c>
      <c r="H136" s="1931">
        <f>($G$9*36)/((($F$8-'KB_C&amp;S 3yr fixed'!$G136)/12)*(36-'KB_C&amp;S 3yr fixed'!F136)*'Product Data'!$P$23)</f>
        <v>0</v>
      </c>
      <c r="J136" s="1927">
        <f t="shared" si="8"/>
        <v>0</v>
      </c>
      <c r="K136" s="1928">
        <v>1.2999999999999E-3</v>
      </c>
      <c r="L136" s="1931">
        <f>($K$9*36)/((($J$8-'KB_C&amp;S 3yr fixed'!$K136)/12)*(36-'KB_C&amp;S 3yr fixed'!J136)*'Product Data'!$P$23)</f>
        <v>0</v>
      </c>
    </row>
    <row r="137" spans="2:12" x14ac:dyDescent="0.25">
      <c r="B137" s="1927">
        <f t="shared" si="6"/>
        <v>0</v>
      </c>
      <c r="C137" s="1928">
        <v>1.1999999999998999E-3</v>
      </c>
      <c r="D137" s="1931">
        <f>($C$9*36)/((($B$8-C137)/12)*(36-B137)*'Product Data'!$P$23)</f>
        <v>0</v>
      </c>
      <c r="F137" s="1927">
        <f t="shared" si="7"/>
        <v>0</v>
      </c>
      <c r="G137" s="1928">
        <v>1.1999999999998999E-3</v>
      </c>
      <c r="H137" s="1931">
        <f>($G$9*36)/((($F$8-'KB_C&amp;S 3yr fixed'!$G137)/12)*(36-'KB_C&amp;S 3yr fixed'!F137)*'Product Data'!$P$23)</f>
        <v>0</v>
      </c>
      <c r="J137" s="1927">
        <f t="shared" si="8"/>
        <v>0</v>
      </c>
      <c r="K137" s="1928">
        <v>1.1999999999998999E-3</v>
      </c>
      <c r="L137" s="1931">
        <f>($K$9*36)/((($J$8-'KB_C&amp;S 3yr fixed'!$K137)/12)*(36-'KB_C&amp;S 3yr fixed'!J137)*'Product Data'!$P$23)</f>
        <v>0</v>
      </c>
    </row>
    <row r="138" spans="2:12" x14ac:dyDescent="0.25">
      <c r="B138" s="1927">
        <f t="shared" si="6"/>
        <v>0</v>
      </c>
      <c r="C138" s="1928">
        <v>1.0999999999999001E-3</v>
      </c>
      <c r="D138" s="1931">
        <f>($C$9*36)/((($B$8-C138)/12)*(36-B138)*'Product Data'!$P$23)</f>
        <v>0</v>
      </c>
      <c r="F138" s="1927">
        <f t="shared" si="7"/>
        <v>0</v>
      </c>
      <c r="G138" s="1928">
        <v>1.0999999999999001E-3</v>
      </c>
      <c r="H138" s="1931">
        <f>($G$9*36)/((($F$8-'KB_C&amp;S 3yr fixed'!$G138)/12)*(36-'KB_C&amp;S 3yr fixed'!F138)*'Product Data'!$P$23)</f>
        <v>0</v>
      </c>
      <c r="J138" s="1927">
        <f t="shared" si="8"/>
        <v>0</v>
      </c>
      <c r="K138" s="1928">
        <v>1.0999999999999001E-3</v>
      </c>
      <c r="L138" s="1931">
        <f>($K$9*36)/((($J$8-'KB_C&amp;S 3yr fixed'!$K138)/12)*(36-'KB_C&amp;S 3yr fixed'!J138)*'Product Data'!$P$23)</f>
        <v>0</v>
      </c>
    </row>
    <row r="139" spans="2:12" x14ac:dyDescent="0.25">
      <c r="B139" s="1927">
        <f t="shared" si="6"/>
        <v>0</v>
      </c>
      <c r="C139" s="1928">
        <v>9.9999999999990006E-4</v>
      </c>
      <c r="D139" s="1931">
        <f>($C$9*36)/((($B$8-C139)/12)*(36-B139)*'Product Data'!$P$23)</f>
        <v>0</v>
      </c>
      <c r="F139" s="1927">
        <f t="shared" si="7"/>
        <v>0</v>
      </c>
      <c r="G139" s="1928">
        <v>9.9999999999990006E-4</v>
      </c>
      <c r="H139" s="1931">
        <f>($G$9*36)/((($F$8-'KB_C&amp;S 3yr fixed'!$G139)/12)*(36-'KB_C&amp;S 3yr fixed'!F139)*'Product Data'!$P$23)</f>
        <v>0</v>
      </c>
      <c r="J139" s="1927">
        <f t="shared" si="8"/>
        <v>0</v>
      </c>
      <c r="K139" s="1928">
        <v>9.9999999999990006E-4</v>
      </c>
      <c r="L139" s="1931">
        <f>($K$9*36)/((($J$8-'KB_C&amp;S 3yr fixed'!$K139)/12)*(36-'KB_C&amp;S 3yr fixed'!J139)*'Product Data'!$P$23)</f>
        <v>0</v>
      </c>
    </row>
    <row r="140" spans="2:12" x14ac:dyDescent="0.25">
      <c r="B140" s="1927">
        <f t="shared" si="6"/>
        <v>0</v>
      </c>
      <c r="C140" s="1928">
        <v>8.9999999999990099E-4</v>
      </c>
      <c r="D140" s="1931">
        <f>($C$9*36)/((($B$8-C140)/12)*(36-B140)*'Product Data'!$P$23)</f>
        <v>0</v>
      </c>
      <c r="F140" s="1927">
        <f t="shared" si="7"/>
        <v>0</v>
      </c>
      <c r="G140" s="1928">
        <v>8.9999999999990099E-4</v>
      </c>
      <c r="H140" s="1931">
        <f>($G$9*36)/((($F$8-'KB_C&amp;S 3yr fixed'!$G140)/12)*(36-'KB_C&amp;S 3yr fixed'!F140)*'Product Data'!$P$23)</f>
        <v>0</v>
      </c>
      <c r="J140" s="1927">
        <f t="shared" si="8"/>
        <v>0</v>
      </c>
      <c r="K140" s="1928">
        <v>8.9999999999990099E-4</v>
      </c>
      <c r="L140" s="1931">
        <f>($K$9*36)/((($J$8-'KB_C&amp;S 3yr fixed'!$K140)/12)*(36-'KB_C&amp;S 3yr fixed'!J140)*'Product Data'!$P$23)</f>
        <v>0</v>
      </c>
    </row>
    <row r="141" spans="2:12" x14ac:dyDescent="0.25">
      <c r="B141" s="1927">
        <f t="shared" si="6"/>
        <v>0</v>
      </c>
      <c r="C141" s="1928">
        <v>7.9999999999990105E-4</v>
      </c>
      <c r="D141" s="1931">
        <f>($C$9*36)/((($B$8-C141)/12)*(36-B141)*'Product Data'!$P$23)</f>
        <v>0</v>
      </c>
      <c r="F141" s="1927">
        <f t="shared" si="7"/>
        <v>0</v>
      </c>
      <c r="G141" s="1928">
        <v>7.9999999999990105E-4</v>
      </c>
      <c r="H141" s="1931">
        <f>($G$9*36)/((($F$8-'KB_C&amp;S 3yr fixed'!$G141)/12)*(36-'KB_C&amp;S 3yr fixed'!F141)*'Product Data'!$P$23)</f>
        <v>0</v>
      </c>
      <c r="J141" s="1927">
        <f t="shared" si="8"/>
        <v>0</v>
      </c>
      <c r="K141" s="1928">
        <v>7.9999999999990105E-4</v>
      </c>
      <c r="L141" s="1931">
        <f>($K$9*36)/((($J$8-'KB_C&amp;S 3yr fixed'!$K141)/12)*(36-'KB_C&amp;S 3yr fixed'!J141)*'Product Data'!$P$23)</f>
        <v>0</v>
      </c>
    </row>
    <row r="142" spans="2:12" x14ac:dyDescent="0.25">
      <c r="B142" s="1927">
        <f t="shared" si="6"/>
        <v>0</v>
      </c>
      <c r="C142" s="1928">
        <v>6.9999999999990003E-4</v>
      </c>
      <c r="D142" s="1931">
        <f>($C$9*36)/((($B$8-C142)/12)*(36-B142)*'Product Data'!$P$23)</f>
        <v>0</v>
      </c>
      <c r="F142" s="1927">
        <f t="shared" si="7"/>
        <v>0</v>
      </c>
      <c r="G142" s="1928">
        <v>6.9999999999990003E-4</v>
      </c>
      <c r="H142" s="1931">
        <f>($G$9*36)/((($F$8-'KB_C&amp;S 3yr fixed'!$G142)/12)*(36-'KB_C&amp;S 3yr fixed'!F142)*'Product Data'!$P$23)</f>
        <v>0</v>
      </c>
      <c r="J142" s="1927">
        <f t="shared" si="8"/>
        <v>0</v>
      </c>
      <c r="K142" s="1928">
        <v>6.9999999999990003E-4</v>
      </c>
      <c r="L142" s="1931">
        <f>($K$9*36)/((($J$8-'KB_C&amp;S 3yr fixed'!$K142)/12)*(36-'KB_C&amp;S 3yr fixed'!J142)*'Product Data'!$P$23)</f>
        <v>0</v>
      </c>
    </row>
    <row r="143" spans="2:12" x14ac:dyDescent="0.25">
      <c r="B143" s="1927">
        <f t="shared" si="6"/>
        <v>0</v>
      </c>
      <c r="C143" s="1928">
        <v>5.9999999999990096E-4</v>
      </c>
      <c r="D143" s="1931">
        <f>($C$9*36)/((($B$8-C143)/12)*(36-B143)*'Product Data'!$P$23)</f>
        <v>0</v>
      </c>
      <c r="F143" s="1927">
        <f t="shared" si="7"/>
        <v>0</v>
      </c>
      <c r="G143" s="1928">
        <v>5.9999999999990096E-4</v>
      </c>
      <c r="H143" s="1931">
        <f>($G$9*36)/((($F$8-'KB_C&amp;S 3yr fixed'!$G143)/12)*(36-'KB_C&amp;S 3yr fixed'!F143)*'Product Data'!$P$23)</f>
        <v>0</v>
      </c>
      <c r="J143" s="1927">
        <f t="shared" si="8"/>
        <v>0</v>
      </c>
      <c r="K143" s="1928">
        <v>5.9999999999990096E-4</v>
      </c>
      <c r="L143" s="1931">
        <f>($K$9*36)/((($J$8-'KB_C&amp;S 3yr fixed'!$K143)/12)*(36-'KB_C&amp;S 3yr fixed'!J143)*'Product Data'!$P$23)</f>
        <v>0</v>
      </c>
    </row>
    <row r="144" spans="2:12" x14ac:dyDescent="0.25">
      <c r="B144" s="1927">
        <f t="shared" si="6"/>
        <v>0</v>
      </c>
      <c r="C144" s="1928">
        <v>4.9999999999990005E-4</v>
      </c>
      <c r="D144" s="1931">
        <f>($C$9*36)/((($B$8-C144)/12)*(36-B144)*'Product Data'!$P$23)</f>
        <v>0</v>
      </c>
      <c r="F144" s="1927">
        <f t="shared" si="7"/>
        <v>0</v>
      </c>
      <c r="G144" s="1928">
        <v>4.9999999999990005E-4</v>
      </c>
      <c r="H144" s="1931">
        <f>($G$9*36)/((($F$8-'KB_C&amp;S 3yr fixed'!$G144)/12)*(36-'KB_C&amp;S 3yr fixed'!F144)*'Product Data'!$P$23)</f>
        <v>0</v>
      </c>
      <c r="J144" s="1927">
        <f t="shared" si="8"/>
        <v>0</v>
      </c>
      <c r="K144" s="1928">
        <v>4.9999999999990005E-4</v>
      </c>
      <c r="L144" s="1931">
        <f>($K$9*36)/((($J$8-'KB_C&amp;S 3yr fixed'!$K144)/12)*(36-'KB_C&amp;S 3yr fixed'!J144)*'Product Data'!$P$23)</f>
        <v>0</v>
      </c>
    </row>
    <row r="145" spans="2:12" x14ac:dyDescent="0.25">
      <c r="B145" s="1927">
        <f t="shared" si="6"/>
        <v>0</v>
      </c>
      <c r="C145" s="1928">
        <v>3.999999999999E-4</v>
      </c>
      <c r="D145" s="1931">
        <f>($C$9*36)/((($B$8-C145)/12)*(36-B145)*'Product Data'!$P$23)</f>
        <v>0</v>
      </c>
      <c r="F145" s="1927">
        <f t="shared" si="7"/>
        <v>0</v>
      </c>
      <c r="G145" s="1928">
        <v>3.999999999999E-4</v>
      </c>
      <c r="H145" s="1931">
        <f>($G$9*36)/((($F$8-'KB_C&amp;S 3yr fixed'!$G145)/12)*(36-'KB_C&amp;S 3yr fixed'!F145)*'Product Data'!$P$23)</f>
        <v>0</v>
      </c>
      <c r="J145" s="1927">
        <f t="shared" si="8"/>
        <v>0</v>
      </c>
      <c r="K145" s="1928">
        <v>3.999999999999E-4</v>
      </c>
      <c r="L145" s="1931">
        <f>($K$9*36)/((($J$8-'KB_C&amp;S 3yr fixed'!$K145)/12)*(36-'KB_C&amp;S 3yr fixed'!J145)*'Product Data'!$P$23)</f>
        <v>0</v>
      </c>
    </row>
    <row r="146" spans="2:12" x14ac:dyDescent="0.25">
      <c r="B146" s="1927">
        <f t="shared" si="6"/>
        <v>0</v>
      </c>
      <c r="C146" s="1928">
        <v>2.9999999999990099E-4</v>
      </c>
      <c r="D146" s="1931">
        <f>($C$9*36)/((($B$8-C146)/12)*(36-B146)*'Product Data'!$P$23)</f>
        <v>0</v>
      </c>
      <c r="F146" s="1927">
        <f t="shared" si="7"/>
        <v>0</v>
      </c>
      <c r="G146" s="1928">
        <v>2.9999999999990099E-4</v>
      </c>
      <c r="H146" s="1931">
        <f>($G$9*36)/((($F$8-'KB_C&amp;S 3yr fixed'!$G146)/12)*(36-'KB_C&amp;S 3yr fixed'!F146)*'Product Data'!$P$23)</f>
        <v>0</v>
      </c>
      <c r="J146" s="1927">
        <f t="shared" si="8"/>
        <v>0</v>
      </c>
      <c r="K146" s="1928">
        <v>2.9999999999990099E-4</v>
      </c>
      <c r="L146" s="1931">
        <f>($K$9*36)/((($J$8-'KB_C&amp;S 3yr fixed'!$K146)/12)*(36-'KB_C&amp;S 3yr fixed'!J146)*'Product Data'!$P$23)</f>
        <v>0</v>
      </c>
    </row>
    <row r="147" spans="2:12" x14ac:dyDescent="0.25">
      <c r="B147" s="1927">
        <f t="shared" si="6"/>
        <v>0</v>
      </c>
      <c r="C147" s="1928">
        <v>1.9999999999989999E-4</v>
      </c>
      <c r="D147" s="1931">
        <f>($C$9*36)/((($B$8-C147)/12)*(36-B147)*'Product Data'!$P$23)</f>
        <v>0</v>
      </c>
      <c r="F147" s="1927">
        <f t="shared" si="7"/>
        <v>0</v>
      </c>
      <c r="G147" s="1928">
        <v>1.9999999999989999E-4</v>
      </c>
      <c r="H147" s="1931">
        <f>($G$9*36)/((($F$8-'KB_C&amp;S 3yr fixed'!$G147)/12)*(36-'KB_C&amp;S 3yr fixed'!F147)*'Product Data'!$P$23)</f>
        <v>0</v>
      </c>
      <c r="J147" s="1927">
        <f t="shared" si="8"/>
        <v>0</v>
      </c>
      <c r="K147" s="1928">
        <v>1.9999999999989999E-4</v>
      </c>
      <c r="L147" s="1931">
        <f>($K$9*36)/((($J$8-'KB_C&amp;S 3yr fixed'!$K147)/12)*(36-'KB_C&amp;S 3yr fixed'!J147)*'Product Data'!$P$23)</f>
        <v>0</v>
      </c>
    </row>
    <row r="148" spans="2:12" x14ac:dyDescent="0.25">
      <c r="B148" s="1927">
        <f t="shared" si="6"/>
        <v>0</v>
      </c>
      <c r="C148" s="1928">
        <v>9.9999999999900502E-5</v>
      </c>
      <c r="D148" s="1931">
        <f>($C$9*36)/((($B$8-C148)/12)*(36-B148)*'Product Data'!$P$23)</f>
        <v>0</v>
      </c>
      <c r="F148" s="1927">
        <f t="shared" si="7"/>
        <v>0</v>
      </c>
      <c r="G148" s="1928">
        <v>9.9999999999900502E-5</v>
      </c>
      <c r="H148" s="1931">
        <f>($G$9*36)/((($F$8-'KB_C&amp;S 3yr fixed'!$G148)/12)*(36-'KB_C&amp;S 3yr fixed'!F148)*'Product Data'!$P$23)</f>
        <v>0</v>
      </c>
      <c r="J148" s="1927">
        <f t="shared" si="8"/>
        <v>0</v>
      </c>
      <c r="K148" s="1928">
        <v>9.9999999999900502E-5</v>
      </c>
      <c r="L148" s="1931">
        <f>($K$9*36)/((($J$8-'KB_C&amp;S 3yr fixed'!$K148)/12)*(36-'KB_C&amp;S 3yr fixed'!J148)*'Product Data'!$P$23)</f>
        <v>0</v>
      </c>
    </row>
    <row r="149" spans="2:12" x14ac:dyDescent="0.25">
      <c r="B149" s="1927">
        <f t="shared" si="6"/>
        <v>0</v>
      </c>
      <c r="C149" s="1928">
        <v>-9.8879238130678004E-17</v>
      </c>
      <c r="D149" s="1931">
        <f>($C$9*36)/((($B$8-C149)/12)*(36-B149)*'Product Data'!$P$23)</f>
        <v>0</v>
      </c>
      <c r="F149" s="1927">
        <f t="shared" si="7"/>
        <v>0</v>
      </c>
      <c r="G149" s="1928">
        <v>-9.8879238130678004E-17</v>
      </c>
      <c r="H149" s="1931">
        <f>($G$9*36)/((($F$8-'KB_C&amp;S 3yr fixed'!$G149)/12)*(36-'KB_C&amp;S 3yr fixed'!F149)*'Product Data'!$P$23)</f>
        <v>0</v>
      </c>
      <c r="J149" s="1927">
        <f t="shared" si="8"/>
        <v>0</v>
      </c>
      <c r="K149" s="1928">
        <v>-9.8879238130678004E-17</v>
      </c>
      <c r="L149" s="1931">
        <f>($K$9*36)/((($J$8-'KB_C&amp;S 3yr fixed'!$K149)/12)*(36-'KB_C&amp;S 3yr fixed'!J149)*'Product Data'!$P$23)</f>
        <v>0</v>
      </c>
    </row>
    <row r="150" spans="2:12" x14ac:dyDescent="0.25">
      <c r="B150" s="1927"/>
      <c r="C150" s="1928"/>
      <c r="D150" s="1931"/>
      <c r="F150" s="1927"/>
      <c r="G150" s="1928"/>
      <c r="H150" s="1931"/>
      <c r="J150" s="1927"/>
      <c r="K150" s="1928"/>
      <c r="L150" s="1931"/>
    </row>
    <row r="151" spans="2:12" x14ac:dyDescent="0.25">
      <c r="B151" s="1927"/>
      <c r="C151" s="1928"/>
      <c r="D151" s="1931"/>
      <c r="F151" s="1927"/>
      <c r="G151" s="1928"/>
      <c r="H151" s="1931"/>
      <c r="J151" s="1927"/>
      <c r="K151" s="1928"/>
      <c r="L151" s="1931"/>
    </row>
    <row r="152" spans="2:12" x14ac:dyDescent="0.25">
      <c r="B152" s="1927"/>
      <c r="C152" s="1928"/>
      <c r="D152" s="1931"/>
      <c r="F152" s="1927"/>
      <c r="G152" s="1928"/>
      <c r="H152" s="1931"/>
      <c r="J152" s="1927"/>
      <c r="K152" s="1928"/>
      <c r="L152" s="1931"/>
    </row>
    <row r="153" spans="2:12" x14ac:dyDescent="0.25">
      <c r="B153" s="1927"/>
      <c r="C153" s="1928"/>
      <c r="D153" s="1931"/>
      <c r="F153" s="1927"/>
      <c r="G153" s="1928"/>
      <c r="H153" s="1931"/>
      <c r="J153" s="1927"/>
      <c r="K153" s="1928"/>
      <c r="L153" s="1931"/>
    </row>
    <row r="154" spans="2:12" x14ac:dyDescent="0.25">
      <c r="B154" s="1927"/>
      <c r="C154" s="1928"/>
      <c r="D154" s="1931"/>
      <c r="F154" s="1927"/>
      <c r="G154" s="1928"/>
      <c r="H154" s="1931"/>
      <c r="J154" s="1927"/>
      <c r="K154" s="1928"/>
      <c r="L154" s="1931"/>
    </row>
    <row r="155" spans="2:12" x14ac:dyDescent="0.25">
      <c r="B155" s="1927"/>
      <c r="C155" s="1928"/>
      <c r="D155" s="1931"/>
      <c r="F155" s="1927"/>
      <c r="G155" s="1928"/>
      <c r="H155" s="1931"/>
      <c r="J155" s="1927"/>
      <c r="K155" s="1928"/>
      <c r="L155" s="1931"/>
    </row>
    <row r="156" spans="2:12" x14ac:dyDescent="0.25">
      <c r="B156" s="1927"/>
      <c r="C156" s="1928"/>
      <c r="D156" s="1931"/>
      <c r="F156" s="1927"/>
      <c r="G156" s="1928"/>
      <c r="H156" s="1931"/>
      <c r="J156" s="1927"/>
      <c r="K156" s="1928"/>
      <c r="L156" s="1931"/>
    </row>
    <row r="157" spans="2:12" x14ac:dyDescent="0.25">
      <c r="B157" s="1927"/>
      <c r="C157" s="1928"/>
      <c r="D157" s="1931"/>
      <c r="F157" s="1927"/>
      <c r="G157" s="1928"/>
      <c r="H157" s="1931"/>
      <c r="J157" s="1927"/>
      <c r="K157" s="1928"/>
      <c r="L157" s="1931"/>
    </row>
    <row r="158" spans="2:12" x14ac:dyDescent="0.25">
      <c r="B158" s="1927"/>
      <c r="C158" s="1928"/>
      <c r="D158" s="1931"/>
      <c r="F158" s="1927"/>
      <c r="G158" s="1928"/>
      <c r="H158" s="1931"/>
      <c r="J158" s="1927"/>
      <c r="K158" s="1928"/>
      <c r="L158" s="1931"/>
    </row>
    <row r="159" spans="2:12" x14ac:dyDescent="0.25">
      <c r="B159" s="1927"/>
      <c r="C159" s="1928"/>
      <c r="D159" s="1931"/>
      <c r="F159" s="1927"/>
      <c r="G159" s="1928"/>
      <c r="H159" s="1931"/>
      <c r="J159" s="1927"/>
      <c r="K159" s="1928"/>
      <c r="L159" s="1931"/>
    </row>
    <row r="160" spans="2:12" x14ac:dyDescent="0.25">
      <c r="B160" s="1927"/>
      <c r="C160" s="1928"/>
      <c r="D160" s="1931"/>
      <c r="F160" s="1927"/>
      <c r="G160" s="1928"/>
      <c r="H160" s="1931"/>
      <c r="J160" s="1927"/>
      <c r="K160" s="1928"/>
      <c r="L160" s="1931"/>
    </row>
    <row r="161" spans="2:12" x14ac:dyDescent="0.25">
      <c r="B161" s="1927"/>
      <c r="C161" s="1928"/>
      <c r="D161" s="1931"/>
      <c r="F161" s="1927"/>
      <c r="G161" s="1928"/>
      <c r="H161" s="1931"/>
      <c r="J161" s="1927"/>
      <c r="K161" s="1928"/>
      <c r="L161" s="1931"/>
    </row>
    <row r="162" spans="2:12" x14ac:dyDescent="0.25">
      <c r="B162" s="1927"/>
      <c r="C162" s="1928"/>
      <c r="D162" s="1931"/>
      <c r="F162" s="1927"/>
      <c r="G162" s="1928"/>
      <c r="H162" s="1931"/>
      <c r="J162" s="1927"/>
      <c r="K162" s="1928"/>
      <c r="L162" s="1931"/>
    </row>
    <row r="163" spans="2:12" x14ac:dyDescent="0.25">
      <c r="B163" s="1927"/>
      <c r="C163" s="1928"/>
      <c r="D163" s="1931"/>
      <c r="F163" s="1927"/>
      <c r="G163" s="1928"/>
      <c r="H163" s="1931"/>
      <c r="J163" s="1927"/>
      <c r="K163" s="1928"/>
      <c r="L163" s="1931"/>
    </row>
    <row r="164" spans="2:12" x14ac:dyDescent="0.25">
      <c r="B164" s="1927"/>
      <c r="C164" s="1928"/>
      <c r="D164" s="1931"/>
      <c r="F164" s="1927"/>
      <c r="G164" s="1928"/>
      <c r="H164" s="1931"/>
      <c r="J164" s="1927"/>
      <c r="K164" s="1928"/>
      <c r="L164" s="1931"/>
    </row>
    <row r="165" spans="2:12" x14ac:dyDescent="0.25">
      <c r="B165" s="1927"/>
      <c r="C165" s="1928"/>
      <c r="D165" s="1931"/>
      <c r="F165" s="1927"/>
      <c r="G165" s="1928"/>
      <c r="H165" s="1931"/>
      <c r="J165" s="1927"/>
      <c r="K165" s="1928"/>
      <c r="L165" s="1931"/>
    </row>
    <row r="166" spans="2:12" x14ac:dyDescent="0.25">
      <c r="B166" s="1927"/>
      <c r="C166" s="1928"/>
      <c r="D166" s="1931"/>
      <c r="F166" s="1927"/>
      <c r="G166" s="1928"/>
      <c r="H166" s="1931"/>
      <c r="J166" s="1927"/>
      <c r="K166" s="1928"/>
      <c r="L166" s="1931"/>
    </row>
    <row r="167" spans="2:12" x14ac:dyDescent="0.25">
      <c r="B167" s="1927"/>
      <c r="C167" s="1928"/>
      <c r="D167" s="1931"/>
      <c r="F167" s="1927"/>
      <c r="G167" s="1928"/>
      <c r="H167" s="1931"/>
      <c r="J167" s="1927"/>
      <c r="K167" s="1928"/>
      <c r="L167" s="1931"/>
    </row>
    <row r="168" spans="2:12" x14ac:dyDescent="0.25">
      <c r="B168" s="1927"/>
      <c r="C168" s="1928"/>
      <c r="D168" s="1931"/>
      <c r="F168" s="1927"/>
      <c r="G168" s="1928"/>
      <c r="H168" s="1931"/>
      <c r="J168" s="1927"/>
      <c r="K168" s="1928"/>
      <c r="L168" s="1931"/>
    </row>
    <row r="169" spans="2:12" x14ac:dyDescent="0.25">
      <c r="B169" s="1927"/>
      <c r="C169" s="1928"/>
      <c r="D169" s="1931"/>
      <c r="F169" s="1927"/>
      <c r="G169" s="1928"/>
      <c r="H169" s="1931"/>
      <c r="J169" s="1927"/>
      <c r="K169" s="1928"/>
      <c r="L169" s="1931"/>
    </row>
    <row r="170" spans="2:12" x14ac:dyDescent="0.25">
      <c r="B170" s="1927"/>
      <c r="C170" s="1928"/>
      <c r="D170" s="1931"/>
      <c r="F170" s="1927"/>
      <c r="G170" s="1928"/>
      <c r="H170" s="1931"/>
      <c r="J170" s="1927"/>
      <c r="K170" s="1928"/>
      <c r="L170" s="1931"/>
    </row>
    <row r="171" spans="2:12" x14ac:dyDescent="0.25">
      <c r="B171" s="1927"/>
      <c r="C171" s="1928"/>
      <c r="D171" s="1931"/>
      <c r="F171" s="1927"/>
      <c r="G171" s="1928"/>
      <c r="H171" s="1931"/>
      <c r="J171" s="1927"/>
      <c r="K171" s="1928"/>
      <c r="L171" s="1931"/>
    </row>
    <row r="172" spans="2:12" x14ac:dyDescent="0.25">
      <c r="B172" s="1927"/>
      <c r="C172" s="1928"/>
      <c r="D172" s="1931"/>
      <c r="F172" s="1927"/>
      <c r="G172" s="1928"/>
      <c r="H172" s="1931"/>
      <c r="J172" s="1927"/>
      <c r="K172" s="1928"/>
      <c r="L172" s="1931"/>
    </row>
    <row r="173" spans="2:12" x14ac:dyDescent="0.25">
      <c r="B173" s="1927"/>
      <c r="C173" s="1928"/>
      <c r="D173" s="1931"/>
      <c r="F173" s="1927"/>
      <c r="G173" s="1928"/>
      <c r="H173" s="1931"/>
      <c r="J173" s="1927"/>
      <c r="K173" s="1928"/>
      <c r="L173" s="1931"/>
    </row>
    <row r="174" spans="2:12" x14ac:dyDescent="0.25">
      <c r="B174" s="1927"/>
      <c r="C174" s="1928"/>
      <c r="D174" s="1931"/>
      <c r="F174" s="1927"/>
      <c r="G174" s="1928"/>
      <c r="H174" s="1931"/>
      <c r="J174" s="1927"/>
      <c r="K174" s="1928"/>
      <c r="L174" s="1931"/>
    </row>
    <row r="175" spans="2:12" x14ac:dyDescent="0.25">
      <c r="D175" s="2259"/>
      <c r="G175" s="2260"/>
      <c r="H175" s="2259"/>
      <c r="K175" s="2260"/>
      <c r="L175" s="2259"/>
    </row>
    <row r="176" spans="2:12" x14ac:dyDescent="0.25">
      <c r="D176" s="2259"/>
      <c r="G176" s="2260"/>
      <c r="H176" s="2259"/>
      <c r="K176" s="2260"/>
      <c r="L176" s="2259"/>
    </row>
    <row r="177" spans="4:12" x14ac:dyDescent="0.25">
      <c r="D177" s="2259"/>
      <c r="G177" s="2260"/>
      <c r="H177" s="2259"/>
      <c r="K177" s="2260"/>
      <c r="L177" s="2259"/>
    </row>
    <row r="178" spans="4:12" x14ac:dyDescent="0.25">
      <c r="D178" s="2259"/>
      <c r="G178" s="2260"/>
      <c r="H178" s="2259"/>
      <c r="K178" s="2260"/>
      <c r="L178" s="2259"/>
    </row>
    <row r="179" spans="4:12" x14ac:dyDescent="0.25">
      <c r="D179" s="2259"/>
      <c r="G179" s="2260"/>
      <c r="H179" s="2259"/>
      <c r="K179" s="2260"/>
      <c r="L179" s="2259"/>
    </row>
    <row r="180" spans="4:12" x14ac:dyDescent="0.25">
      <c r="D180" s="2259"/>
      <c r="G180" s="2260"/>
      <c r="H180" s="2259"/>
      <c r="K180" s="2260"/>
      <c r="L180" s="2259"/>
    </row>
    <row r="181" spans="4:12" x14ac:dyDescent="0.25">
      <c r="D181" s="2259"/>
      <c r="G181" s="2260"/>
      <c r="H181" s="2259"/>
      <c r="K181" s="2260"/>
      <c r="L181" s="2259"/>
    </row>
    <row r="182" spans="4:12" x14ac:dyDescent="0.25">
      <c r="D182" s="2259"/>
      <c r="G182" s="2260"/>
      <c r="H182" s="2259"/>
      <c r="K182" s="2260"/>
      <c r="L182" s="2259"/>
    </row>
    <row r="183" spans="4:12" x14ac:dyDescent="0.25">
      <c r="D183" s="2259"/>
      <c r="G183" s="2260"/>
      <c r="H183" s="2259"/>
      <c r="K183" s="2260"/>
      <c r="L183" s="2259"/>
    </row>
    <row r="184" spans="4:12" x14ac:dyDescent="0.25">
      <c r="D184" s="2259"/>
      <c r="G184" s="2260"/>
      <c r="H184" s="2259"/>
      <c r="K184" s="2260"/>
      <c r="L184" s="2259"/>
    </row>
    <row r="185" spans="4:12" x14ac:dyDescent="0.25">
      <c r="D185" s="2259"/>
      <c r="G185" s="2260"/>
      <c r="H185" s="2259"/>
      <c r="K185" s="2260"/>
      <c r="L185" s="2259"/>
    </row>
    <row r="186" spans="4:12" x14ac:dyDescent="0.25">
      <c r="D186" s="2259"/>
      <c r="G186" s="2260"/>
      <c r="H186" s="2259"/>
      <c r="K186" s="2260"/>
      <c r="L186" s="2259"/>
    </row>
    <row r="187" spans="4:12" x14ac:dyDescent="0.25">
      <c r="D187" s="2259"/>
      <c r="G187" s="2260"/>
      <c r="H187" s="2259"/>
      <c r="K187" s="2260"/>
      <c r="L187" s="2259"/>
    </row>
    <row r="188" spans="4:12" x14ac:dyDescent="0.25">
      <c r="D188" s="2259"/>
      <c r="G188" s="2260"/>
      <c r="H188" s="2259"/>
      <c r="K188" s="2260"/>
      <c r="L188" s="2259"/>
    </row>
    <row r="189" spans="4:12" x14ac:dyDescent="0.25">
      <c r="D189" s="2259"/>
      <c r="G189" s="2260"/>
      <c r="H189" s="2259"/>
      <c r="K189" s="2260"/>
      <c r="L189" s="2259"/>
    </row>
    <row r="190" spans="4:12" x14ac:dyDescent="0.25">
      <c r="D190" s="2259"/>
      <c r="G190" s="2260"/>
      <c r="H190" s="2259"/>
      <c r="K190" s="2260"/>
      <c r="L190" s="2259"/>
    </row>
    <row r="191" spans="4:12" x14ac:dyDescent="0.25">
      <c r="D191" s="2259"/>
      <c r="G191" s="2260"/>
      <c r="H191" s="2259"/>
      <c r="K191" s="2260"/>
      <c r="L191" s="2259"/>
    </row>
    <row r="192" spans="4:12" x14ac:dyDescent="0.25">
      <c r="D192" s="2259"/>
      <c r="G192" s="2260"/>
      <c r="H192" s="2259"/>
      <c r="K192" s="2260"/>
      <c r="L192" s="2259"/>
    </row>
    <row r="193" spans="4:12" x14ac:dyDescent="0.25">
      <c r="D193" s="2259"/>
      <c r="G193" s="2260"/>
      <c r="H193" s="2259"/>
      <c r="K193" s="2260"/>
      <c r="L193" s="2259"/>
    </row>
    <row r="194" spans="4:12" x14ac:dyDescent="0.25">
      <c r="D194" s="2259"/>
      <c r="G194" s="2260"/>
      <c r="H194" s="2259"/>
      <c r="K194" s="2260"/>
      <c r="L194" s="2259"/>
    </row>
    <row r="195" spans="4:12" x14ac:dyDescent="0.25">
      <c r="D195" s="2259"/>
      <c r="G195" s="2260"/>
      <c r="H195" s="2259"/>
      <c r="K195" s="2260"/>
      <c r="L195" s="2259"/>
    </row>
    <row r="196" spans="4:12" x14ac:dyDescent="0.25">
      <c r="D196" s="2259"/>
      <c r="G196" s="2260"/>
      <c r="H196" s="2259"/>
      <c r="K196" s="2260"/>
      <c r="L196" s="2259"/>
    </row>
    <row r="197" spans="4:12" x14ac:dyDescent="0.25">
      <c r="D197" s="2259"/>
      <c r="G197" s="2260"/>
      <c r="H197" s="2259"/>
      <c r="K197" s="2260"/>
      <c r="L197" s="2259"/>
    </row>
    <row r="198" spans="4:12" x14ac:dyDescent="0.25">
      <c r="D198" s="2259"/>
      <c r="G198" s="2260"/>
      <c r="H198" s="2259"/>
      <c r="K198" s="2260"/>
      <c r="L198" s="2259"/>
    </row>
    <row r="199" spans="4:12" x14ac:dyDescent="0.25">
      <c r="D199" s="2259"/>
      <c r="G199" s="2260"/>
      <c r="H199" s="2259"/>
      <c r="K199" s="2260"/>
      <c r="L199" s="2259"/>
    </row>
    <row r="200" spans="4:12" x14ac:dyDescent="0.25">
      <c r="D200" s="2259"/>
      <c r="G200" s="2260"/>
      <c r="H200" s="2259"/>
      <c r="K200" s="2260"/>
      <c r="L200" s="2259"/>
    </row>
    <row r="201" spans="4:12" x14ac:dyDescent="0.25">
      <c r="D201" s="2259"/>
      <c r="G201" s="2260"/>
      <c r="H201" s="2259"/>
      <c r="K201" s="2260"/>
      <c r="L201" s="2259"/>
    </row>
    <row r="202" spans="4:12" x14ac:dyDescent="0.25">
      <c r="D202" s="2259"/>
      <c r="G202" s="2260"/>
      <c r="H202" s="2259"/>
      <c r="K202" s="2260"/>
      <c r="L202" s="2259"/>
    </row>
    <row r="203" spans="4:12" x14ac:dyDescent="0.25">
      <c r="D203" s="2259"/>
      <c r="G203" s="2260"/>
      <c r="H203" s="2259"/>
      <c r="K203" s="2260"/>
      <c r="L203" s="2259"/>
    </row>
    <row r="204" spans="4:12" x14ac:dyDescent="0.25">
      <c r="D204" s="2259"/>
      <c r="G204" s="2260"/>
      <c r="H204" s="2259"/>
      <c r="K204" s="2260"/>
      <c r="L204" s="2259"/>
    </row>
    <row r="205" spans="4:12" x14ac:dyDescent="0.25">
      <c r="D205" s="2259"/>
      <c r="G205" s="2260"/>
      <c r="H205" s="2259"/>
      <c r="K205" s="2260"/>
      <c r="L205" s="2259"/>
    </row>
    <row r="206" spans="4:12" x14ac:dyDescent="0.25">
      <c r="D206" s="2259"/>
      <c r="G206" s="2260"/>
      <c r="H206" s="2259"/>
      <c r="K206" s="2260"/>
      <c r="L206" s="2259"/>
    </row>
    <row r="207" spans="4:12" x14ac:dyDescent="0.25">
      <c r="D207" s="2259"/>
      <c r="G207" s="2260"/>
      <c r="H207" s="2259"/>
      <c r="K207" s="2260"/>
      <c r="L207" s="2259"/>
    </row>
    <row r="208" spans="4:12" x14ac:dyDescent="0.25">
      <c r="D208" s="2259"/>
      <c r="G208" s="2260"/>
      <c r="H208" s="2259"/>
      <c r="K208" s="2260"/>
      <c r="L208" s="2259"/>
    </row>
    <row r="209" spans="4:12" x14ac:dyDescent="0.25">
      <c r="D209" s="2259"/>
      <c r="G209" s="2260"/>
      <c r="H209" s="2259"/>
      <c r="K209" s="2260"/>
      <c r="L209" s="2259"/>
    </row>
    <row r="210" spans="4:12" x14ac:dyDescent="0.25">
      <c r="D210" s="2259"/>
      <c r="G210" s="2260"/>
      <c r="H210" s="2259"/>
      <c r="K210" s="2260"/>
      <c r="L210" s="2259"/>
    </row>
    <row r="211" spans="4:12" x14ac:dyDescent="0.25">
      <c r="D211" s="2259"/>
      <c r="G211" s="2260"/>
      <c r="H211" s="2259"/>
      <c r="K211" s="2260"/>
      <c r="L211" s="2259"/>
    </row>
    <row r="212" spans="4:12" x14ac:dyDescent="0.25">
      <c r="D212" s="2259"/>
      <c r="G212" s="2260"/>
      <c r="H212" s="2259"/>
      <c r="K212" s="2260"/>
      <c r="L212" s="2259"/>
    </row>
    <row r="213" spans="4:12" x14ac:dyDescent="0.25">
      <c r="D213" s="2259"/>
      <c r="G213" s="2260"/>
      <c r="H213" s="2259"/>
      <c r="K213" s="2260"/>
      <c r="L213" s="2259"/>
    </row>
    <row r="214" spans="4:12" x14ac:dyDescent="0.25">
      <c r="D214" s="2259"/>
      <c r="G214" s="2260"/>
      <c r="H214" s="2259"/>
      <c r="K214" s="2260"/>
      <c r="L214" s="2259"/>
    </row>
    <row r="215" spans="4:12" x14ac:dyDescent="0.25">
      <c r="D215" s="2259"/>
      <c r="G215" s="2260"/>
      <c r="H215" s="2259"/>
      <c r="K215" s="2260"/>
      <c r="L215" s="2259"/>
    </row>
    <row r="216" spans="4:12" x14ac:dyDescent="0.25">
      <c r="D216" s="2259"/>
      <c r="G216" s="2260"/>
      <c r="H216" s="2259"/>
      <c r="K216" s="2260"/>
      <c r="L216" s="2259"/>
    </row>
    <row r="217" spans="4:12" x14ac:dyDescent="0.25">
      <c r="D217" s="2259"/>
      <c r="G217" s="2260"/>
      <c r="H217" s="2259"/>
      <c r="K217" s="2260"/>
      <c r="L217" s="2259"/>
    </row>
    <row r="218" spans="4:12" x14ac:dyDescent="0.25">
      <c r="D218" s="2259"/>
      <c r="G218" s="2260"/>
      <c r="H218" s="2259"/>
      <c r="K218" s="2260"/>
      <c r="L218" s="2259"/>
    </row>
    <row r="219" spans="4:12" x14ac:dyDescent="0.25">
      <c r="D219" s="2259"/>
      <c r="G219" s="2260"/>
      <c r="H219" s="2259"/>
      <c r="K219" s="2260"/>
      <c r="L219" s="2259"/>
    </row>
    <row r="220" spans="4:12" x14ac:dyDescent="0.25">
      <c r="D220" s="2259"/>
      <c r="G220" s="2260"/>
      <c r="H220" s="2259"/>
      <c r="K220" s="2260"/>
      <c r="L220" s="2259"/>
    </row>
    <row r="221" spans="4:12" x14ac:dyDescent="0.25">
      <c r="D221" s="2259"/>
      <c r="G221" s="2260"/>
      <c r="H221" s="2259"/>
      <c r="K221" s="2260"/>
      <c r="L221" s="2259"/>
    </row>
    <row r="222" spans="4:12" x14ac:dyDescent="0.25">
      <c r="D222" s="2259"/>
      <c r="G222" s="2260"/>
      <c r="H222" s="2259"/>
      <c r="K222" s="2260"/>
      <c r="L222" s="2259"/>
    </row>
    <row r="223" spans="4:12" x14ac:dyDescent="0.25">
      <c r="D223" s="2259"/>
      <c r="G223" s="2260"/>
      <c r="H223" s="2259"/>
      <c r="K223" s="2260"/>
      <c r="L223" s="2259"/>
    </row>
    <row r="224" spans="4:12" x14ac:dyDescent="0.25">
      <c r="D224" s="2259"/>
      <c r="G224" s="2260"/>
      <c r="H224" s="2259"/>
      <c r="K224" s="2260"/>
      <c r="L224" s="2259"/>
    </row>
  </sheetData>
  <mergeCells count="14">
    <mergeCell ref="N12:O12"/>
    <mergeCell ref="P12:Q12"/>
    <mergeCell ref="Q8:Q9"/>
    <mergeCell ref="N9:P9"/>
    <mergeCell ref="N10:O10"/>
    <mergeCell ref="P10:Q10"/>
    <mergeCell ref="N11:O11"/>
    <mergeCell ref="P11:Q11"/>
    <mergeCell ref="B2:D2"/>
    <mergeCell ref="F2:H2"/>
    <mergeCell ref="J2:L2"/>
    <mergeCell ref="B3:D4"/>
    <mergeCell ref="F3:H4"/>
    <mergeCell ref="J3:L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6DCE8-E0FB-4482-84E4-AD2DEC54B4BF}">
  <sheetPr codeName="Sheet9">
    <tabColor rgb="FFFF0000"/>
  </sheetPr>
  <dimension ref="A1:R224"/>
  <sheetViews>
    <sheetView zoomScale="84" zoomScaleNormal="84" workbookViewId="0">
      <selection activeCell="A8" sqref="A8"/>
    </sheetView>
  </sheetViews>
  <sheetFormatPr defaultRowHeight="15" x14ac:dyDescent="0.25"/>
  <cols>
    <col min="1" max="1" width="11.5703125" style="1" customWidth="1"/>
    <col min="2" max="2" width="23" style="1558" customWidth="1"/>
    <col min="3" max="4" width="17" style="1558" customWidth="1"/>
    <col min="5" max="5" width="4.28515625" style="1" customWidth="1"/>
    <col min="6" max="6" width="23" style="1558" customWidth="1"/>
    <col min="7" max="8" width="17" style="1558" customWidth="1"/>
    <col min="9" max="9" width="4.28515625" style="1" customWidth="1"/>
    <col min="10" max="10" width="23" style="1558" customWidth="1"/>
    <col min="11" max="12" width="17" style="1558" customWidth="1"/>
    <col min="13" max="13" width="2.85546875" style="1" customWidth="1"/>
    <col min="14" max="16" width="22.85546875" style="1" customWidth="1"/>
    <col min="17" max="17" width="28.85546875" style="1" customWidth="1"/>
    <col min="18" max="18" width="12.85546875" style="1" bestFit="1" customWidth="1"/>
    <col min="19" max="16384" width="9.140625" style="1"/>
  </cols>
  <sheetData>
    <row r="1" spans="1:18" ht="77.25" customHeight="1" thickBot="1" x14ac:dyDescent="0.3">
      <c r="G1" s="1943" t="s">
        <v>436</v>
      </c>
      <c r="J1" s="1942"/>
      <c r="K1" s="1942"/>
      <c r="L1" s="1941" t="s">
        <v>437</v>
      </c>
    </row>
    <row r="2" spans="1:18" ht="35.25" customHeight="1" thickBot="1" x14ac:dyDescent="0.3">
      <c r="B2" s="3521" t="s">
        <v>438</v>
      </c>
      <c r="C2" s="3522"/>
      <c r="D2" s="3523"/>
      <c r="F2" s="3524" t="s">
        <v>439</v>
      </c>
      <c r="G2" s="3525"/>
      <c r="H2" s="3526"/>
      <c r="J2" s="3527" t="s">
        <v>440</v>
      </c>
      <c r="K2" s="3528"/>
      <c r="L2" s="3529"/>
    </row>
    <row r="3" spans="1:18" ht="32.25" customHeight="1" x14ac:dyDescent="0.25">
      <c r="B3" s="3530" t="e">
        <f>IF(P10&gt;0,N15&amp;IF(P7&lt;P10,"
"&amp;N16,""),N14)</f>
        <v>#N/A</v>
      </c>
      <c r="C3" s="3531"/>
      <c r="D3" s="3532"/>
      <c r="F3" s="3530" t="e">
        <f>IF(P11&gt;0,N19&amp;IF(P7&lt;P11,"
"&amp;N20,""),N18)</f>
        <v>#N/A</v>
      </c>
      <c r="G3" s="3531"/>
      <c r="H3" s="3532"/>
      <c r="J3" s="3530" t="e">
        <f>IF(P12&gt;0,N23&amp;IF(P7&lt;P12,"
"&amp;N24,""),N22)</f>
        <v>#N/A</v>
      </c>
      <c r="K3" s="3531"/>
      <c r="L3" s="3532"/>
      <c r="N3" s="898" t="s">
        <v>441</v>
      </c>
    </row>
    <row r="4" spans="1:18" ht="32.25" customHeight="1" thickBot="1" x14ac:dyDescent="0.3">
      <c r="B4" s="3533"/>
      <c r="C4" s="3534"/>
      <c r="D4" s="3535"/>
      <c r="F4" s="3533"/>
      <c r="G4" s="3534"/>
      <c r="H4" s="3535"/>
      <c r="J4" s="3533"/>
      <c r="K4" s="3534"/>
      <c r="L4" s="3535"/>
      <c r="Q4" s="1926"/>
    </row>
    <row r="5" spans="1:18" ht="18.75" thickBot="1" x14ac:dyDescent="0.3">
      <c r="N5" s="1927" t="s">
        <v>442</v>
      </c>
      <c r="O5" s="1933">
        <v>0.2</v>
      </c>
      <c r="P5" s="1929">
        <f>'BTL Calculator'!V9*O7</f>
        <v>0</v>
      </c>
      <c r="Q5" s="1926">
        <f>P5-'BTL Calculator'!F80</f>
        <v>0</v>
      </c>
    </row>
    <row r="6" spans="1:18" ht="18.75" thickBot="1" x14ac:dyDescent="0.3">
      <c r="B6" s="1944" t="s">
        <v>443</v>
      </c>
      <c r="C6" s="1947" t="str">
        <f>IF(B24&gt;-1,B24&amp;"m Rolled","")</f>
        <v>0m Rolled</v>
      </c>
      <c r="D6" s="1945">
        <f>IF(C6="","",_xlfn.MINIFS(C24:C224,D24:D224,"&gt;="&amp;D8))</f>
        <v>0</v>
      </c>
      <c r="F6" s="1944" t="s">
        <v>443</v>
      </c>
      <c r="G6" s="1947" t="str">
        <f>IF(F24&gt;-1,F24&amp;"m Rolled","")</f>
        <v>0m Rolled</v>
      </c>
      <c r="H6" s="1945">
        <f>IF(G6="","",_xlfn.MINIFS(G24:G224,H24:H224,"&gt;="&amp;H8))</f>
        <v>0</v>
      </c>
      <c r="J6" s="1944" t="s">
        <v>443</v>
      </c>
      <c r="K6" s="1947" t="str">
        <f>IF(J24&gt;-1,J24&amp;"m Rolled","")</f>
        <v>0m Rolled</v>
      </c>
      <c r="L6" s="1945">
        <f>IF(K6="","",_xlfn.MINIFS(K24:K224,L24:L224,"&gt;="&amp;L8))</f>
        <v>0</v>
      </c>
      <c r="N6" s="1927" t="s">
        <v>442</v>
      </c>
      <c r="O6" s="1933">
        <v>0.2</v>
      </c>
      <c r="P6" s="1929">
        <f>'BTL Calculator'!V9*O7</f>
        <v>0</v>
      </c>
      <c r="Q6" s="1926">
        <f>P6-'BTL Calculator'!I80</f>
        <v>0</v>
      </c>
    </row>
    <row r="7" spans="1:18" ht="18" x14ac:dyDescent="0.25">
      <c r="C7" s="1"/>
      <c r="D7" s="1"/>
      <c r="G7" s="1"/>
      <c r="H7" s="1"/>
      <c r="K7" s="1"/>
      <c r="L7" s="1"/>
      <c r="N7" s="1927" t="s">
        <v>442</v>
      </c>
      <c r="O7" s="1933">
        <v>0.2</v>
      </c>
      <c r="P7" s="1929">
        <f>'BTL Calculator'!V9*O7</f>
        <v>0</v>
      </c>
      <c r="Q7" s="1926">
        <f>P7-'BTL Calculator'!L80</f>
        <v>0</v>
      </c>
    </row>
    <row r="8" spans="1:18" x14ac:dyDescent="0.25">
      <c r="A8" s="2338" t="str">
        <f>'BTL Calculator'!H29</f>
        <v>1) Standard</v>
      </c>
      <c r="B8" s="1928" t="e">
        <f>VLOOKUP(A8,N31:Q34,4,0)</f>
        <v>#N/A</v>
      </c>
      <c r="C8" s="1932">
        <v>0.02</v>
      </c>
      <c r="D8" s="1929">
        <f>Property_Value*75%</f>
        <v>0</v>
      </c>
      <c r="F8" s="1928" t="e">
        <f>VLOOKUP(A8,N31:P34,3,0)</f>
        <v>#N/A</v>
      </c>
      <c r="G8" s="1932">
        <v>0.02</v>
      </c>
      <c r="H8" s="1929">
        <f>Property_Value*75%</f>
        <v>0</v>
      </c>
      <c r="J8" s="1928" t="e">
        <f>VLOOKUP(A8,N31:O34,2,0)</f>
        <v>#N/A</v>
      </c>
      <c r="K8" s="1932">
        <v>0.02</v>
      </c>
      <c r="L8" s="1929">
        <f>Property_Value*75%</f>
        <v>0</v>
      </c>
      <c r="N8" s="1558"/>
      <c r="O8" s="1558"/>
      <c r="P8" s="1936"/>
      <c r="Q8" s="3540" t="s">
        <v>444</v>
      </c>
    </row>
    <row r="9" spans="1:18" ht="15.75" thickBot="1" x14ac:dyDescent="0.3">
      <c r="B9" s="1936" t="e">
        <f>D8-(D8*D6/12)*24-((B8-D6)/12*B24*D8)-(D8*0.06)</f>
        <v>#N/A</v>
      </c>
      <c r="C9" s="1929">
        <f>'KB_CRITERIA AND CALCULATION '!AO126/24</f>
        <v>0</v>
      </c>
      <c r="D9" s="1558">
        <f>'BTL Calculator'!$V$9</f>
        <v>0</v>
      </c>
      <c r="F9" s="1936" t="e">
        <f>H8-(H8*H6/12)*24-((F8-H6)/12*F24*H8)-(H8*0.04)</f>
        <v>#N/A</v>
      </c>
      <c r="G9" s="1929">
        <f>'KB_CRITERIA AND CALCULATION '!AO108/24</f>
        <v>0</v>
      </c>
      <c r="H9" s="1558">
        <f>'BTL Calculator'!$V$9</f>
        <v>0</v>
      </c>
      <c r="J9" s="1936" t="e">
        <f>L8-(L8*L6/12)*24-((J8-L6)/12*J24*L8)-(L8*0.02)</f>
        <v>#N/A</v>
      </c>
      <c r="K9" s="1929">
        <f>'KB_CRITERIA AND CALCULATION '!AO90/24</f>
        <v>0</v>
      </c>
      <c r="L9" s="1558">
        <f>'BTL Calculator'!$V$9</f>
        <v>0</v>
      </c>
      <c r="N9" s="3542"/>
      <c r="O9" s="3542"/>
      <c r="P9" s="3542"/>
      <c r="Q9" s="3541"/>
    </row>
    <row r="10" spans="1:18" ht="15.75" thickBot="1" x14ac:dyDescent="0.3">
      <c r="B10" s="1936"/>
      <c r="C10" s="1936"/>
      <c r="N10" s="3543" t="s">
        <v>445</v>
      </c>
      <c r="O10" s="3544"/>
      <c r="P10" s="1938" t="e">
        <f>((D8-C21)*(((($B$8-BBR+'Product Data'!$K$3-'KB V Model Suggestions Fixed 2'!$C$8)/12)*(24-'KB V Model Suggestions Fixed 2'!$B$21)*'Product Data'!$P$23)))/24</f>
        <v>#N/A</v>
      </c>
      <c r="Q10" s="1929" t="e">
        <f>(($C$9+Q5)*24)/((($B$8-BBR+'Product Data'!$K$3-'KB V Model Suggestions Fixed 2'!$C$8)/12)*(24-'KB V Model Suggestions Fixed 2'!$B$21)*'Product Data'!$P$23)</f>
        <v>#N/A</v>
      </c>
      <c r="R10" s="1934" t="e">
        <f>((D8-(($D$9*24)/((($B$8-BBR+'Product Data'!$K$3-'KB V Model Suggestions Fixed 2'!$C$8)/12)*(24-'KB V Model Suggestions Fixed 2'!$B$21)*'Product Data'!$P$23)))*(((($B$8-BBR+'Product Data'!$K$3-'KB V Model Suggestions Fixed 2'!$C$8)/12)*(24-'KB V Model Suggestions Fixed 2'!$B$21)*'Product Data'!$P$23)))/24</f>
        <v>#N/A</v>
      </c>
    </row>
    <row r="11" spans="1:18" ht="15.75" thickBot="1" x14ac:dyDescent="0.3">
      <c r="B11" s="1937" t="s">
        <v>446</v>
      </c>
      <c r="C11" s="1937" t="s">
        <v>293</v>
      </c>
      <c r="D11" s="1937" t="s">
        <v>447</v>
      </c>
      <c r="F11" s="1937" t="s">
        <v>446</v>
      </c>
      <c r="G11" s="1937" t="s">
        <v>293</v>
      </c>
      <c r="H11" s="1937" t="s">
        <v>447</v>
      </c>
      <c r="J11" s="1937" t="s">
        <v>446</v>
      </c>
      <c r="K11" s="1937" t="s">
        <v>293</v>
      </c>
      <c r="L11" s="1937" t="s">
        <v>447</v>
      </c>
      <c r="N11" s="3545" t="s">
        <v>448</v>
      </c>
      <c r="O11" s="3546"/>
      <c r="P11" s="1939" t="e">
        <f>((H8-G21)*(((($F$8-BBR+'Product Data'!$K$3-'KB V Model Suggestions Fixed 2'!$G$8)/12)*(24-'KB V Model Suggestions Fixed 2'!$F$21)*'Product Data'!$P$23)))/24</f>
        <v>#N/A</v>
      </c>
      <c r="Q11" s="1929" t="e">
        <f>(($G$9+Q6)*24)/((($F$8-BBR+'Product Data'!$K$3-'KB V Model Suggestions Fixed 2'!$G$8)/12)*(24-'KB V Model Suggestions Fixed 2'!F21)*'Product Data'!$P$23)</f>
        <v>#N/A</v>
      </c>
      <c r="R11" s="1934" t="e">
        <f>((H8-(($H$9*24)/((($F$8-BBR+'Product Data'!$K$3-'KB V Model Suggestions Fixed 2'!$G$8)/12)*(24-'KB V Model Suggestions Fixed 2'!F21)*'Product Data'!$P$23)))*(((($F$8-BBR+'Product Data'!$K$3-'KB V Model Suggestions Fixed 2'!$G$8)/12)*(24-'KB V Model Suggestions Fixed 2'!$F$21)*'Product Data'!$P$23)))/24</f>
        <v>#N/A</v>
      </c>
    </row>
    <row r="12" spans="1:18" ht="15.75" thickBot="1" x14ac:dyDescent="0.3">
      <c r="B12" s="1927">
        <v>0</v>
      </c>
      <c r="C12" s="1929" t="e">
        <f>($C$9*24)/((($B$8-BBR+'Product Data'!$K$3-'KB V Model Suggestions Fixed 2'!$C$8)/12)*(24-'KB V Model Suggestions Fixed 2'!B12)*'Product Data'!$P$23)</f>
        <v>#N/A</v>
      </c>
      <c r="D12" s="1930" t="e">
        <f t="shared" ref="D12:D21" si="0">$D$8/C12</f>
        <v>#N/A</v>
      </c>
      <c r="F12" s="1927">
        <v>0</v>
      </c>
      <c r="G12" s="1929" t="e">
        <f>($G$9*24)/((($F$8-BBR+'Product Data'!$K$3-'KB V Model Suggestions Fixed 2'!$G$8)/12)*(24-'KB V Model Suggestions Fixed 2'!F12)*'Product Data'!$P$23)</f>
        <v>#N/A</v>
      </c>
      <c r="H12" s="1930" t="e">
        <f t="shared" ref="H12:H21" si="1">$D$8/G12</f>
        <v>#N/A</v>
      </c>
      <c r="J12" s="1927">
        <v>0</v>
      </c>
      <c r="K12" s="1929" t="e">
        <f>($K$9*24)/((($J$8-BBR+'Product Data'!$K$2-'KB V Model Suggestions Fixed 2'!$K$8)/12)*(24-'KB V Model Suggestions Fixed 2'!J12)*'Product Data'!$P$18)</f>
        <v>#N/A</v>
      </c>
      <c r="L12" s="1930" t="e">
        <f t="shared" ref="L12:L21" si="2">$D$8/K12</f>
        <v>#N/A</v>
      </c>
      <c r="N12" s="3547" t="s">
        <v>449</v>
      </c>
      <c r="O12" s="3548"/>
      <c r="P12" s="1940" t="e">
        <f>((L8-K21)*(((($J$8-BBR+'Product Data'!$K$3-'KB V Model Suggestions Fixed 2'!$K$8)/12)*(24-'KB V Model Suggestions Fixed 2'!$J$21)*'Product Data'!$P$23)))/24</f>
        <v>#N/A</v>
      </c>
      <c r="Q12" s="1929" t="e">
        <f>(($K$9+Q7)*24)/((($J$8-BBR+'Product Data'!$K$3-'KB V Model Suggestions Fixed 2'!$K$8)/12)*(24-'KB V Model Suggestions Fixed 2'!J21)*'Product Data'!$P$23)</f>
        <v>#N/A</v>
      </c>
      <c r="R12" s="1934" t="e">
        <f>((L8-(($L$9*24)/((($J$8-BBR+'Product Data'!$K$2-'KB V Model Suggestions Fixed 2'!$K$8)/12)*(24-'KB V Model Suggestions Fixed 2'!J21)*'Product Data'!$P$23)))*(((($J$8-BBR+'Product Data'!$K$2-'KB V Model Suggestions Fixed 2'!$K$8)/12)*(24-'KB V Model Suggestions Fixed 2'!$J$21)*'Product Data'!$P$23)))/24</f>
        <v>#N/A</v>
      </c>
    </row>
    <row r="13" spans="1:18" x14ac:dyDescent="0.25">
      <c r="B13" s="1927">
        <v>1</v>
      </c>
      <c r="C13" s="1929" t="e">
        <f>($C$9*24)/((($B$8-BBR+'Product Data'!$K$3-'KB V Model Suggestions Fixed 2'!$C$8)/12)*(24-'KB V Model Suggestions Fixed 2'!B13)*'Product Data'!$P$23)</f>
        <v>#N/A</v>
      </c>
      <c r="D13" s="1930" t="e">
        <f t="shared" si="0"/>
        <v>#N/A</v>
      </c>
      <c r="F13" s="1927">
        <v>1</v>
      </c>
      <c r="G13" s="1929" t="e">
        <f>($G$9*24)/((($F$8-BBR+'Product Data'!$K$3-'KB V Model Suggestions Fixed 2'!$G$8)/12)*(24-'KB V Model Suggestions Fixed 2'!F13)*'Product Data'!$P$23)</f>
        <v>#N/A</v>
      </c>
      <c r="H13" s="1930" t="e">
        <f t="shared" si="1"/>
        <v>#N/A</v>
      </c>
      <c r="J13" s="1927">
        <v>1</v>
      </c>
      <c r="K13" s="1929" t="e">
        <f>($K$9*24)/((($J$8-BBR+'Product Data'!$K$2-'KB V Model Suggestions Fixed 2'!$K$8)/12)*(24-'KB V Model Suggestions Fixed 2'!J13)*'Product Data'!$P$18)</f>
        <v>#N/A</v>
      </c>
      <c r="L13" s="1930" t="e">
        <f t="shared" si="2"/>
        <v>#N/A</v>
      </c>
      <c r="P13" s="1935"/>
      <c r="R13" s="1952"/>
    </row>
    <row r="14" spans="1:18" x14ac:dyDescent="0.25">
      <c r="B14" s="1927">
        <v>2</v>
      </c>
      <c r="C14" s="1929" t="e">
        <f>($C$9*24)/((($B$8-BBR+'Product Data'!$K$3-'KB V Model Suggestions Fixed 2'!$C$8)/12)*(24-'KB V Model Suggestions Fixed 2'!B14)*'Product Data'!$P$23)</f>
        <v>#N/A</v>
      </c>
      <c r="D14" s="1930" t="e">
        <f t="shared" si="0"/>
        <v>#N/A</v>
      </c>
      <c r="F14" s="1927">
        <v>2</v>
      </c>
      <c r="G14" s="1929" t="e">
        <f>($G$9*24)/((($F$8-BBR+'Product Data'!$K$3-'KB V Model Suggestions Fixed 2'!$G$8)/12)*(24-'KB V Model Suggestions Fixed 2'!F14)*'Product Data'!$P$23)</f>
        <v>#N/A</v>
      </c>
      <c r="H14" s="1930" t="e">
        <f t="shared" si="1"/>
        <v>#N/A</v>
      </c>
      <c r="J14" s="1927">
        <v>2</v>
      </c>
      <c r="K14" s="1929" t="e">
        <f>($K$9*24)/((($J$8-BBR+'Product Data'!$K$2-'KB V Model Suggestions Fixed 2'!$K$8)/12)*(24-'KB V Model Suggestions Fixed 2'!J14)*'Product Data'!$P$18)</f>
        <v>#N/A</v>
      </c>
      <c r="L14" s="1930" t="e">
        <f t="shared" si="2"/>
        <v>#N/A</v>
      </c>
      <c r="N14" s="1" t="str">
        <f>"Max LTV possible with no Top Slice "&amp; C6 &amp; IF(B24&gt;-1,IF(D6&gt;-1," &amp; ","")&amp;TEXT(D6,"0.00%")&amp;" Deferred","")</f>
        <v>Max LTV possible with no Top Slice 0m Rolled &amp; 0.00% Deferred</v>
      </c>
      <c r="P14" s="1926"/>
    </row>
    <row r="15" spans="1:18" x14ac:dyDescent="0.25">
      <c r="B15" s="1927">
        <v>3</v>
      </c>
      <c r="C15" s="1929" t="e">
        <f>($C$9*24)/((($B$8-BBR+'Product Data'!$K$3-'KB V Model Suggestions Fixed 2'!$C$8)/12)*(24-'KB V Model Suggestions Fixed 2'!B15)*'Product Data'!$P$23)</f>
        <v>#N/A</v>
      </c>
      <c r="D15" s="1930" t="e">
        <f t="shared" si="0"/>
        <v>#N/A</v>
      </c>
      <c r="F15" s="1927">
        <v>3</v>
      </c>
      <c r="G15" s="1929" t="e">
        <f>($G$9*24)/((($F$8-BBR+'Product Data'!$K$3-'KB V Model Suggestions Fixed 2'!$G$8)/12)*(24-'KB V Model Suggestions Fixed 2'!F15)*'Product Data'!$P$23)</f>
        <v>#N/A</v>
      </c>
      <c r="H15" s="1930" t="e">
        <f t="shared" si="1"/>
        <v>#N/A</v>
      </c>
      <c r="J15" s="1927">
        <v>3</v>
      </c>
      <c r="K15" s="1929" t="e">
        <f>($K$9*24)/((($J$8-BBR+'Product Data'!$K$2-'KB V Model Suggestions Fixed 2'!$K$8)/12)*(24-'KB V Model Suggestions Fixed 2'!J15)*'Product Data'!$P$18)</f>
        <v>#N/A</v>
      </c>
      <c r="L15" s="1930" t="e">
        <f t="shared" si="2"/>
        <v>#N/A</v>
      </c>
      <c r="N15" s="1" t="e">
        <f>"For Max LTV Gross loan, need Top Slice of "&amp;TEXT(R10,"£0,00")&amp;"pcm (+ max Roll/Defer). "</f>
        <v>#N/A</v>
      </c>
    </row>
    <row r="16" spans="1:18" x14ac:dyDescent="0.25">
      <c r="B16" s="1927">
        <v>4</v>
      </c>
      <c r="C16" s="1929" t="e">
        <f>($C$9*24)/((($B$8-BBR+'Product Data'!$K$3-'KB V Model Suggestions Fixed 2'!$C$8)/12)*(24-'KB V Model Suggestions Fixed 2'!B16)*'Product Data'!$P$23)</f>
        <v>#N/A</v>
      </c>
      <c r="D16" s="1930" t="e">
        <f t="shared" si="0"/>
        <v>#N/A</v>
      </c>
      <c r="F16" s="1927">
        <v>4</v>
      </c>
      <c r="G16" s="1929" t="e">
        <f>($G$9*24)/((($F$8-BBR+'Product Data'!$K$3-'KB V Model Suggestions Fixed 2'!$G$8)/12)*(24-'KB V Model Suggestions Fixed 2'!F16)*'Product Data'!$P$23)</f>
        <v>#N/A</v>
      </c>
      <c r="H16" s="1930" t="e">
        <f t="shared" si="1"/>
        <v>#N/A</v>
      </c>
      <c r="J16" s="1927">
        <v>4</v>
      </c>
      <c r="K16" s="1929" t="e">
        <f>($K$9*24)/((($J$8-BBR+'Product Data'!$K$2-'KB V Model Suggestions Fixed 2'!$K$8)/12)*(24-'KB V Model Suggestions Fixed 2'!J16)*'Product Data'!$P$18)</f>
        <v>#N/A</v>
      </c>
      <c r="L16" s="1930" t="e">
        <f t="shared" si="2"/>
        <v>#N/A</v>
      </c>
      <c r="N16" s="1" t="e">
        <f>" However, Top slice capped @ "&amp;TEXT(P7,"£0,0")&amp;" pcm, giving Max Gross Loan of "&amp;TEXT(Q10,"£###,###")</f>
        <v>#N/A</v>
      </c>
    </row>
    <row r="17" spans="2:17" x14ac:dyDescent="0.25">
      <c r="B17" s="1927">
        <v>5</v>
      </c>
      <c r="C17" s="1929" t="e">
        <f>($C$9*24)/((($B$8-BBR+'Product Data'!$K$3-'KB V Model Suggestions Fixed 2'!$C$8)/12)*(24-'KB V Model Suggestions Fixed 2'!B17)*'Product Data'!$P$23)</f>
        <v>#N/A</v>
      </c>
      <c r="D17" s="1930" t="e">
        <f t="shared" si="0"/>
        <v>#N/A</v>
      </c>
      <c r="F17" s="1927">
        <v>5</v>
      </c>
      <c r="G17" s="1929" t="e">
        <f>($G$9*24)/((($F$8-BBR+'Product Data'!$K$3-'KB V Model Suggestions Fixed 2'!$G$8)/12)*(24-'KB V Model Suggestions Fixed 2'!F17)*'Product Data'!$P$23)</f>
        <v>#N/A</v>
      </c>
      <c r="H17" s="1930" t="e">
        <f t="shared" si="1"/>
        <v>#N/A</v>
      </c>
      <c r="J17" s="1927">
        <v>5</v>
      </c>
      <c r="K17" s="1929" t="e">
        <f>($K$9*24)/((($J$8-BBR+'Product Data'!$K$2-'KB V Model Suggestions Fixed 2'!$K$8)/12)*(24-'KB V Model Suggestions Fixed 2'!J17)*'Product Data'!$P$18)</f>
        <v>#N/A</v>
      </c>
      <c r="L17" s="1930" t="e">
        <f t="shared" si="2"/>
        <v>#N/A</v>
      </c>
    </row>
    <row r="18" spans="2:17" x14ac:dyDescent="0.25">
      <c r="B18" s="1927">
        <v>6</v>
      </c>
      <c r="C18" s="1929" t="e">
        <f>($C$9*24)/((($B$8-BBR+'Product Data'!$K$3-'KB V Model Suggestions Fixed 2'!$C$8)/12)*(24-'KB V Model Suggestions Fixed 2'!B18)*'Product Data'!$P$23)</f>
        <v>#N/A</v>
      </c>
      <c r="D18" s="1930" t="e">
        <f t="shared" si="0"/>
        <v>#N/A</v>
      </c>
      <c r="F18" s="1927">
        <v>6</v>
      </c>
      <c r="G18" s="1929" t="e">
        <f>($G$9*24)/((($F$8-BBR+'Product Data'!$K$3-'KB V Model Suggestions Fixed 2'!$G$8)/12)*(24-'KB V Model Suggestions Fixed 2'!F18)*'Product Data'!$P$23)</f>
        <v>#N/A</v>
      </c>
      <c r="H18" s="1930" t="e">
        <f t="shared" si="1"/>
        <v>#N/A</v>
      </c>
      <c r="J18" s="1927">
        <v>6</v>
      </c>
      <c r="K18" s="1929" t="e">
        <f>($K$9*24)/((($J$8-BBR+'Product Data'!$K$2-'KB V Model Suggestions Fixed 2'!$K$8)/12)*(24-'KB V Model Suggestions Fixed 2'!J18)*'Product Data'!$P$18)</f>
        <v>#N/A</v>
      </c>
      <c r="L18" s="1930" t="e">
        <f t="shared" si="2"/>
        <v>#N/A</v>
      </c>
      <c r="N18" s="1" t="str">
        <f>"Max LTV possible with no Top Slice "&amp; G6 &amp; IF(F24&gt;-1,IF(H6&gt;-1," &amp; ","")&amp;TEXT(H6,"0.00%")&amp;" Deferred","")</f>
        <v>Max LTV possible with no Top Slice 0m Rolled &amp; 0.00% Deferred</v>
      </c>
    </row>
    <row r="19" spans="2:17" x14ac:dyDescent="0.25">
      <c r="B19" s="1927">
        <v>7</v>
      </c>
      <c r="C19" s="1929" t="e">
        <f>($C$9*24)/((($B$8-BBR+'Product Data'!$K$3-'KB V Model Suggestions Fixed 2'!$C$8)/12)*(24-'KB V Model Suggestions Fixed 2'!B19)*'Product Data'!$P$23)</f>
        <v>#N/A</v>
      </c>
      <c r="D19" s="1930" t="e">
        <f t="shared" si="0"/>
        <v>#N/A</v>
      </c>
      <c r="F19" s="1927">
        <v>7</v>
      </c>
      <c r="G19" s="1929" t="e">
        <f>($G$9*24)/((($F$8-BBR+'Product Data'!$K$3-'KB V Model Suggestions Fixed 2'!$G$8)/12)*(24-'KB V Model Suggestions Fixed 2'!F19)*'Product Data'!$P$23)</f>
        <v>#N/A</v>
      </c>
      <c r="H19" s="1930" t="e">
        <f t="shared" si="1"/>
        <v>#N/A</v>
      </c>
      <c r="J19" s="1927">
        <v>7</v>
      </c>
      <c r="K19" s="1929" t="e">
        <f>($K$9*24)/((($J$8-BBR+'Product Data'!$K$2-'KB V Model Suggestions Fixed 2'!$K$8)/12)*(24-'KB V Model Suggestions Fixed 2'!J19)*'Product Data'!$P$18)</f>
        <v>#N/A</v>
      </c>
      <c r="L19" s="1930" t="e">
        <f t="shared" si="2"/>
        <v>#N/A</v>
      </c>
      <c r="N19" s="1" t="e">
        <f>"For Max LTV Gross loan, need Top Slice of "&amp;TEXT(R11,"£0,00")&amp;"pcm (+ max Roll/Defer). "</f>
        <v>#N/A</v>
      </c>
    </row>
    <row r="20" spans="2:17" x14ac:dyDescent="0.25">
      <c r="B20" s="1927">
        <v>8</v>
      </c>
      <c r="C20" s="1929" t="e">
        <f>($C$9*24)/((($B$8-BBR+'Product Data'!$K$3-'KB V Model Suggestions Fixed 2'!$C$8)/12)*(24-'KB V Model Suggestions Fixed 2'!B20)*'Product Data'!$P$23)</f>
        <v>#N/A</v>
      </c>
      <c r="D20" s="1930" t="e">
        <f t="shared" si="0"/>
        <v>#N/A</v>
      </c>
      <c r="F20" s="1927">
        <v>8</v>
      </c>
      <c r="G20" s="1929" t="e">
        <f>($G$9*24)/((($F$8-BBR+'Product Data'!$K$3-'KB V Model Suggestions Fixed 2'!$G$8)/12)*(24-'KB V Model Suggestions Fixed 2'!F20)*'Product Data'!$P$23)</f>
        <v>#N/A</v>
      </c>
      <c r="H20" s="1930" t="e">
        <f t="shared" si="1"/>
        <v>#N/A</v>
      </c>
      <c r="J20" s="1927">
        <v>8</v>
      </c>
      <c r="K20" s="1929" t="e">
        <f>($K$9*24)/((($J$8-BBR+'Product Data'!$K$2-'KB V Model Suggestions Fixed 2'!$K$8)/12)*(24-'KB V Model Suggestions Fixed 2'!J20)*'Product Data'!$P$18)</f>
        <v>#N/A</v>
      </c>
      <c r="L20" s="1930" t="e">
        <f t="shared" si="2"/>
        <v>#N/A</v>
      </c>
      <c r="N20" s="1" t="e">
        <f>" However, Top slice capped @ "&amp;TEXT(P7,"£0,0")&amp;" pcm, giving Max Gross Loan of "&amp;TEXT(Q11,"£###,###")</f>
        <v>#N/A</v>
      </c>
    </row>
    <row r="21" spans="2:17" x14ac:dyDescent="0.25">
      <c r="B21" s="1927">
        <v>9</v>
      </c>
      <c r="C21" s="1929" t="e">
        <f>($C$9*24)/((($B$8-BBR+'Product Data'!$K$3-'KB V Model Suggestions Fixed 2'!$C$8)/12)*(24-'KB V Model Suggestions Fixed 2'!B21)*'Product Data'!$P$23)</f>
        <v>#N/A</v>
      </c>
      <c r="D21" s="1930" t="e">
        <f t="shared" si="0"/>
        <v>#N/A</v>
      </c>
      <c r="F21" s="1927">
        <v>9</v>
      </c>
      <c r="G21" s="1929" t="e">
        <f>($G$9*24)/((($F$8-BBR+'Product Data'!$K$3-'KB V Model Suggestions Fixed 2'!$G$8)/12)*(24-'KB V Model Suggestions Fixed 2'!F21)*'Product Data'!$P$23)</f>
        <v>#N/A</v>
      </c>
      <c r="H21" s="1930" t="e">
        <f t="shared" si="1"/>
        <v>#N/A</v>
      </c>
      <c r="J21" s="1927">
        <v>9</v>
      </c>
      <c r="K21" s="1929" t="e">
        <f>($K$9*24)/((($J$8-BBR+'Product Data'!$K$2-'KB V Model Suggestions Fixed 2'!$K$8)/12)*(24-'KB V Model Suggestions Fixed 2'!J21)*'Product Data'!$P$18)</f>
        <v>#N/A</v>
      </c>
      <c r="L21" s="1930" t="e">
        <f t="shared" si="2"/>
        <v>#N/A</v>
      </c>
    </row>
    <row r="22" spans="2:17" x14ac:dyDescent="0.25">
      <c r="N22" s="1" t="str">
        <f>"Max LTV possible with no Top Slice "&amp; K6 &amp; IF(J24&gt;-1,IF(L6&gt;-1," &amp; ","")&amp;TEXT(L6,"0.00%")&amp;" Deferred","")</f>
        <v>Max LTV possible with no Top Slice 0m Rolled &amp; 0.00% Deferred</v>
      </c>
    </row>
    <row r="23" spans="2:17" x14ac:dyDescent="0.25">
      <c r="B23" s="1937" t="s">
        <v>450</v>
      </c>
      <c r="C23" s="1937" t="s">
        <v>451</v>
      </c>
      <c r="D23" s="1937" t="s">
        <v>452</v>
      </c>
      <c r="F23" s="1937" t="s">
        <v>450</v>
      </c>
      <c r="G23" s="1937" t="s">
        <v>451</v>
      </c>
      <c r="H23" s="1937" t="s">
        <v>452</v>
      </c>
      <c r="J23" s="1937" t="s">
        <v>450</v>
      </c>
      <c r="K23" s="1937" t="s">
        <v>451</v>
      </c>
      <c r="L23" s="1937" t="s">
        <v>452</v>
      </c>
      <c r="N23" s="1" t="e">
        <f>"For Max LTV Gross loan, need Top Slice of "&amp;TEXT(R12,"£0,00")&amp;"pcm (+ max Roll/Defer). "</f>
        <v>#N/A</v>
      </c>
    </row>
    <row r="24" spans="2:17" x14ac:dyDescent="0.25">
      <c r="B24" s="1927">
        <f>_xlfn.MINIFS(B12:B21,D12:D21,"&lt;="&amp;100%)</f>
        <v>0</v>
      </c>
      <c r="C24" s="1928">
        <v>1.2500000000000001E-2</v>
      </c>
      <c r="D24" s="1931" t="e">
        <f>($C$9*24)/((($B$8-BBR+'Product Data'!$K$3-'KB V Model Suggestions Fixed 2'!$C24)/12)*(24-'KB V Model Suggestions Fixed 2'!B24)*'Product Data'!$P$23)</f>
        <v>#N/A</v>
      </c>
      <c r="F24" s="1927">
        <f>_xlfn.MINIFS(F12:F21,H12:H21,"&lt;="&amp;100%)</f>
        <v>0</v>
      </c>
      <c r="G24" s="1928">
        <v>1.2500000000000001E-2</v>
      </c>
      <c r="H24" s="1931" t="e">
        <f>($G$9*24)/((($F$8-BBR+'Product Data'!$K$3-'KB V Model Suggestions Fixed 2'!$G24)/12)*(24-'KB V Model Suggestions Fixed 2'!F24)*'Product Data'!$P$23)</f>
        <v>#N/A</v>
      </c>
      <c r="J24" s="1927">
        <f>_xlfn.MINIFS(J12:J21,L12:L21,"&lt;="&amp;100%)</f>
        <v>0</v>
      </c>
      <c r="K24" s="1928">
        <v>1.2500000000000001E-2</v>
      </c>
      <c r="L24" s="1931" t="e">
        <f>($K$9*24)/((($J$8-BBR+'Product Data'!$K$2-'KB V Model Suggestions Fixed 2'!$K24)/12)*(24-'KB V Model Suggestions Fixed 2'!J24)*'Product Data'!$P$18)</f>
        <v>#N/A</v>
      </c>
      <c r="N24" s="1" t="e">
        <f>" However, Top slice capped @ "&amp;TEXT(P7,"£0,0")&amp;" pcm, giving Max Gross Loan of "&amp;TEXT(Q12,"£###,###")</f>
        <v>#N/A</v>
      </c>
    </row>
    <row r="25" spans="2:17" x14ac:dyDescent="0.25">
      <c r="B25" s="1927">
        <f>B24</f>
        <v>0</v>
      </c>
      <c r="C25" s="1928">
        <v>1.24E-2</v>
      </c>
      <c r="D25" s="1931" t="e">
        <f>($C$9*24)/((($B$8-BBR+'Product Data'!$K$3-'KB V Model Suggestions Fixed 2'!$C25)/12)*(24-'KB V Model Suggestions Fixed 2'!B25)*'Product Data'!$P$23)</f>
        <v>#N/A</v>
      </c>
      <c r="F25" s="1927">
        <f>F24</f>
        <v>0</v>
      </c>
      <c r="G25" s="1928">
        <v>1.24E-2</v>
      </c>
      <c r="H25" s="1931" t="e">
        <f>($G$9*24)/((($F$8-BBR+'Product Data'!$K$3-'KB V Model Suggestions Fixed 2'!$G25)/12)*(24-'KB V Model Suggestions Fixed 2'!F25)*'Product Data'!$P$23)</f>
        <v>#N/A</v>
      </c>
      <c r="J25" s="1927">
        <f>J24</f>
        <v>0</v>
      </c>
      <c r="K25" s="1928">
        <v>1.24E-2</v>
      </c>
      <c r="L25" s="1931" t="e">
        <f>($K$9*24)/((($J$8-BBR+'Product Data'!$K$2-'KB V Model Suggestions Fixed 2'!$K25)/12)*(24-'KB V Model Suggestions Fixed 2'!J25)*'Product Data'!$P$18)</f>
        <v>#N/A</v>
      </c>
    </row>
    <row r="26" spans="2:17" x14ac:dyDescent="0.25">
      <c r="B26" s="1927">
        <f t="shared" ref="B26:B89" si="3">B25</f>
        <v>0</v>
      </c>
      <c r="C26" s="1928">
        <v>1.2300000000000101E-2</v>
      </c>
      <c r="D26" s="1931" t="e">
        <f>($C$9*24)/((($B$8-BBR+'Product Data'!$K$3-'KB V Model Suggestions Fixed 2'!$C26)/12)*(24-'KB V Model Suggestions Fixed 2'!B26)*'Product Data'!$P$23)</f>
        <v>#N/A</v>
      </c>
      <c r="F26" s="1927">
        <f t="shared" ref="F26:F89" si="4">F25</f>
        <v>0</v>
      </c>
      <c r="G26" s="1928">
        <v>1.2300000000000101E-2</v>
      </c>
      <c r="H26" s="1931" t="e">
        <f>($G$9*24)/((($F$8-BBR+'Product Data'!$K$3-'KB V Model Suggestions Fixed 2'!$G26)/12)*(24-'KB V Model Suggestions Fixed 2'!F26)*'Product Data'!$P$23)</f>
        <v>#N/A</v>
      </c>
      <c r="J26" s="1927">
        <f t="shared" ref="J26:J89" si="5">J25</f>
        <v>0</v>
      </c>
      <c r="K26" s="1928">
        <v>1.2300000000000101E-2</v>
      </c>
      <c r="L26" s="1931" t="e">
        <f>($K$9*24)/((($J$8-BBR+'Product Data'!$K$2-'KB V Model Suggestions Fixed 2'!$K26)/12)*(24-'KB V Model Suggestions Fixed 2'!J26)*'Product Data'!$P$18)</f>
        <v>#N/A</v>
      </c>
    </row>
    <row r="27" spans="2:17" x14ac:dyDescent="0.25">
      <c r="B27" s="1927">
        <f t="shared" si="3"/>
        <v>0</v>
      </c>
      <c r="C27" s="1928">
        <v>1.22000000000001E-2</v>
      </c>
      <c r="D27" s="1931" t="e">
        <f>($C$9*24)/((($B$8-BBR+'Product Data'!$K$3-'KB V Model Suggestions Fixed 2'!$C27)/12)*(24-'KB V Model Suggestions Fixed 2'!B27)*'Product Data'!$P$23)</f>
        <v>#N/A</v>
      </c>
      <c r="F27" s="1927">
        <f t="shared" si="4"/>
        <v>0</v>
      </c>
      <c r="G27" s="1928">
        <v>1.22000000000001E-2</v>
      </c>
      <c r="H27" s="1931" t="e">
        <f>($G$9*24)/((($F$8-BBR+'Product Data'!$K$3-'KB V Model Suggestions Fixed 2'!$G27)/12)*(24-'KB V Model Suggestions Fixed 2'!F27)*'Product Data'!$P$23)</f>
        <v>#N/A</v>
      </c>
      <c r="J27" s="1927">
        <f t="shared" si="5"/>
        <v>0</v>
      </c>
      <c r="K27" s="1928">
        <v>1.22000000000001E-2</v>
      </c>
      <c r="L27" s="1931" t="e">
        <f>($K$9*24)/((($J$8-BBR+'Product Data'!$K$2-'KB V Model Suggestions Fixed 2'!$K27)/12)*(24-'KB V Model Suggestions Fixed 2'!J27)*'Product Data'!$P$18)</f>
        <v>#N/A</v>
      </c>
    </row>
    <row r="28" spans="2:17" x14ac:dyDescent="0.25">
      <c r="B28" s="1927">
        <f t="shared" si="3"/>
        <v>0</v>
      </c>
      <c r="C28" s="1928">
        <v>1.21E-2</v>
      </c>
      <c r="D28" s="1931" t="e">
        <f>($C$9*24)/((($B$8-BBR+'Product Data'!$K$3-'KB V Model Suggestions Fixed 2'!$C28)/12)*(24-'KB V Model Suggestions Fixed 2'!B28)*'Product Data'!$P$23)</f>
        <v>#N/A</v>
      </c>
      <c r="F28" s="1927">
        <f t="shared" si="4"/>
        <v>0</v>
      </c>
      <c r="G28" s="1928">
        <v>1.21E-2</v>
      </c>
      <c r="H28" s="1931" t="e">
        <f>($G$9*24)/((($F$8-BBR+'Product Data'!$K$3-'KB V Model Suggestions Fixed 2'!$G28)/12)*(24-'KB V Model Suggestions Fixed 2'!F28)*'Product Data'!$P$23)</f>
        <v>#N/A</v>
      </c>
      <c r="J28" s="1927">
        <f t="shared" si="5"/>
        <v>0</v>
      </c>
      <c r="K28" s="1928">
        <v>1.21E-2</v>
      </c>
      <c r="L28" s="1931" t="e">
        <f>($K$9*24)/((($J$8-BBR+'Product Data'!$K$2-'KB V Model Suggestions Fixed 2'!$K28)/12)*(24-'KB V Model Suggestions Fixed 2'!J28)*'Product Data'!$P$18)</f>
        <v>#N/A</v>
      </c>
    </row>
    <row r="29" spans="2:17" x14ac:dyDescent="0.25">
      <c r="B29" s="1927">
        <f t="shared" si="3"/>
        <v>0</v>
      </c>
      <c r="C29" s="1928">
        <v>1.2000000000000101E-2</v>
      </c>
      <c r="D29" s="1931" t="e">
        <f>($C$9*24)/((($B$8-BBR+'Product Data'!$K$3-'KB V Model Suggestions Fixed 2'!$C29)/12)*(24-'KB V Model Suggestions Fixed 2'!B29)*'Product Data'!$P$23)</f>
        <v>#N/A</v>
      </c>
      <c r="F29" s="1927">
        <f t="shared" si="4"/>
        <v>0</v>
      </c>
      <c r="G29" s="1928">
        <v>1.2000000000000101E-2</v>
      </c>
      <c r="H29" s="1931" t="e">
        <f>($G$9*24)/((($F$8-BBR+'Product Data'!$K$3-'KB V Model Suggestions Fixed 2'!$G29)/12)*(24-'KB V Model Suggestions Fixed 2'!F29)*'Product Data'!$P$23)</f>
        <v>#N/A</v>
      </c>
      <c r="J29" s="1927">
        <f t="shared" si="5"/>
        <v>0</v>
      </c>
      <c r="K29" s="1928">
        <v>1.2000000000000101E-2</v>
      </c>
      <c r="L29" s="1931" t="e">
        <f>($K$9*24)/((($J$8-BBR+'Product Data'!$K$2-'KB V Model Suggestions Fixed 2'!$K29)/12)*(24-'KB V Model Suggestions Fixed 2'!J29)*'Product Data'!$P$18)</f>
        <v>#N/A</v>
      </c>
      <c r="N29" s="1927" t="s">
        <v>453</v>
      </c>
      <c r="O29" s="1927" t="s">
        <v>454</v>
      </c>
      <c r="P29" s="2335"/>
      <c r="Q29" s="2335"/>
    </row>
    <row r="30" spans="2:17" x14ac:dyDescent="0.25">
      <c r="B30" s="1927">
        <f t="shared" si="3"/>
        <v>0</v>
      </c>
      <c r="C30" s="1928">
        <v>1.19000000000001E-2</v>
      </c>
      <c r="D30" s="1931" t="e">
        <f>($C$9*24)/((($B$8-BBR+'Product Data'!$K$3-'KB V Model Suggestions Fixed 2'!$C30)/12)*(24-'KB V Model Suggestions Fixed 2'!B30)*'Product Data'!$P$23)</f>
        <v>#N/A</v>
      </c>
      <c r="F30" s="1927">
        <f t="shared" si="4"/>
        <v>0</v>
      </c>
      <c r="G30" s="1928">
        <v>1.19000000000001E-2</v>
      </c>
      <c r="H30" s="1931" t="e">
        <f>($G$9*24)/((($F$8-BBR+'Product Data'!$K$3-'KB V Model Suggestions Fixed 2'!$G30)/12)*(24-'KB V Model Suggestions Fixed 2'!F30)*'Product Data'!$P$23)</f>
        <v>#N/A</v>
      </c>
      <c r="J30" s="1927">
        <f t="shared" si="5"/>
        <v>0</v>
      </c>
      <c r="K30" s="1928">
        <v>1.19000000000001E-2</v>
      </c>
      <c r="L30" s="1931" t="e">
        <f>($K$9*24)/((($J$8-BBR+'Product Data'!$K$2-'KB V Model Suggestions Fixed 2'!$K30)/12)*(24-'KB V Model Suggestions Fixed 2'!J30)*'Product Data'!$P$18)</f>
        <v>#N/A</v>
      </c>
      <c r="N30" s="1927"/>
      <c r="O30" s="1932">
        <v>0.02</v>
      </c>
      <c r="P30" s="2336">
        <v>0.04</v>
      </c>
      <c r="Q30" s="2336">
        <v>0.06</v>
      </c>
    </row>
    <row r="31" spans="2:17" x14ac:dyDescent="0.25">
      <c r="B31" s="1927">
        <f t="shared" si="3"/>
        <v>0</v>
      </c>
      <c r="C31" s="1928">
        <v>1.18000000000001E-2</v>
      </c>
      <c r="D31" s="1931" t="e">
        <f>($C$9*24)/((($B$8-BBR+'Product Data'!$K$3-'KB V Model Suggestions Fixed 2'!$C31)/12)*(24-'KB V Model Suggestions Fixed 2'!B31)*'Product Data'!$P$23)</f>
        <v>#N/A</v>
      </c>
      <c r="F31" s="1927">
        <f t="shared" si="4"/>
        <v>0</v>
      </c>
      <c r="G31" s="1928">
        <v>1.18000000000001E-2</v>
      </c>
      <c r="H31" s="1931" t="e">
        <f>($G$9*24)/((($F$8-BBR+'Product Data'!$K$3-'KB V Model Suggestions Fixed 2'!$G31)/12)*(24-'KB V Model Suggestions Fixed 2'!F31)*'Product Data'!$P$23)</f>
        <v>#N/A</v>
      </c>
      <c r="J31" s="1927">
        <f t="shared" si="5"/>
        <v>0</v>
      </c>
      <c r="K31" s="1928">
        <v>1.18000000000001E-2</v>
      </c>
      <c r="L31" s="1931" t="e">
        <f>($K$9*24)/((($J$8-BBR+'Product Data'!$K$2-'KB V Model Suggestions Fixed 2'!$K31)/12)*(24-'KB V Model Suggestions Fixed 2'!J31)*'Product Data'!$P$18)</f>
        <v>#N/A</v>
      </c>
      <c r="N31" s="1927" t="s">
        <v>432</v>
      </c>
      <c r="O31" s="1928">
        <v>7.9899999999999999E-2</v>
      </c>
      <c r="P31" s="2337">
        <v>6.8900000000000003E-2</v>
      </c>
      <c r="Q31" s="2337">
        <v>5.8900000000000001E-2</v>
      </c>
    </row>
    <row r="32" spans="2:17" x14ac:dyDescent="0.25">
      <c r="B32" s="1927">
        <f t="shared" si="3"/>
        <v>0</v>
      </c>
      <c r="C32" s="1928">
        <v>1.1700000000000099E-2</v>
      </c>
      <c r="D32" s="1931" t="e">
        <f>($C$9*24)/((($B$8-BBR+'Product Data'!$K$3-'KB V Model Suggestions Fixed 2'!$C32)/12)*(24-'KB V Model Suggestions Fixed 2'!B32)*'Product Data'!$P$23)</f>
        <v>#N/A</v>
      </c>
      <c r="F32" s="1927">
        <f t="shared" si="4"/>
        <v>0</v>
      </c>
      <c r="G32" s="1928">
        <v>1.1700000000000099E-2</v>
      </c>
      <c r="H32" s="1931" t="e">
        <f>($G$9*24)/((($F$8-BBR+'Product Data'!$K$3-'KB V Model Suggestions Fixed 2'!$G32)/12)*(24-'KB V Model Suggestions Fixed 2'!F32)*'Product Data'!$P$23)</f>
        <v>#N/A</v>
      </c>
      <c r="J32" s="1927">
        <f t="shared" si="5"/>
        <v>0</v>
      </c>
      <c r="K32" s="1928">
        <v>1.1700000000000099E-2</v>
      </c>
      <c r="L32" s="1931" t="e">
        <f>($K$9*24)/((($J$8-BBR+'Product Data'!$K$2-'KB V Model Suggestions Fixed 2'!$K32)/12)*(24-'KB V Model Suggestions Fixed 2'!J32)*'Product Data'!$P$18)</f>
        <v>#N/A</v>
      </c>
      <c r="N32" s="1927" t="s">
        <v>433</v>
      </c>
      <c r="O32" s="1928">
        <v>8.7900000000000006E-2</v>
      </c>
      <c r="P32" s="2337">
        <v>7.6899999999999996E-2</v>
      </c>
      <c r="Q32" s="2337">
        <v>6.6500000000000004E-2</v>
      </c>
    </row>
    <row r="33" spans="2:17" x14ac:dyDescent="0.25">
      <c r="B33" s="1927">
        <f t="shared" si="3"/>
        <v>0</v>
      </c>
      <c r="C33" s="1928">
        <v>1.16000000000001E-2</v>
      </c>
      <c r="D33" s="1931" t="e">
        <f>($C$9*24)/((($B$8-BBR+'Product Data'!$K$3-'KB V Model Suggestions Fixed 2'!$C33)/12)*(24-'KB V Model Suggestions Fixed 2'!B33)*'Product Data'!$P$23)</f>
        <v>#N/A</v>
      </c>
      <c r="F33" s="1927">
        <f t="shared" si="4"/>
        <v>0</v>
      </c>
      <c r="G33" s="1928">
        <v>1.16000000000001E-2</v>
      </c>
      <c r="H33" s="1931" t="e">
        <f>($G$9*24)/((($F$8-BBR+'Product Data'!$K$3-'KB V Model Suggestions Fixed 2'!$G33)/12)*(24-'KB V Model Suggestions Fixed 2'!F33)*'Product Data'!$P$23)</f>
        <v>#N/A</v>
      </c>
      <c r="J33" s="1927">
        <f t="shared" si="5"/>
        <v>0</v>
      </c>
      <c r="K33" s="1928">
        <v>1.16000000000001E-2</v>
      </c>
      <c r="L33" s="1931" t="e">
        <f>($K$9*24)/((($J$8-BBR+'Product Data'!$K$2-'KB V Model Suggestions Fixed 2'!$K33)/12)*(24-'KB V Model Suggestions Fixed 2'!J33)*'Product Data'!$P$18)</f>
        <v>#N/A</v>
      </c>
      <c r="N33" s="1927" t="s">
        <v>434</v>
      </c>
      <c r="O33" s="1928">
        <v>9.2899999999999996E-2</v>
      </c>
      <c r="P33" s="2337">
        <v>8.1900000000000001E-2</v>
      </c>
      <c r="Q33" s="2337">
        <v>7.1499999999999994E-2</v>
      </c>
    </row>
    <row r="34" spans="2:17" x14ac:dyDescent="0.25">
      <c r="B34" s="1927">
        <f t="shared" si="3"/>
        <v>0</v>
      </c>
      <c r="C34" s="1928">
        <v>1.15000000000001E-2</v>
      </c>
      <c r="D34" s="1931" t="e">
        <f>($C$9*24)/((($B$8-BBR+'Product Data'!$K$3-'KB V Model Suggestions Fixed 2'!$C34)/12)*(24-'KB V Model Suggestions Fixed 2'!B34)*'Product Data'!$P$23)</f>
        <v>#N/A</v>
      </c>
      <c r="F34" s="1927">
        <f t="shared" si="4"/>
        <v>0</v>
      </c>
      <c r="G34" s="1928">
        <v>1.15000000000001E-2</v>
      </c>
      <c r="H34" s="1931" t="e">
        <f>($G$9*24)/((($F$8-BBR+'Product Data'!$K$3-'KB V Model Suggestions Fixed 2'!$G34)/12)*(24-'KB V Model Suggestions Fixed 2'!F34)*'Product Data'!$P$23)</f>
        <v>#N/A</v>
      </c>
      <c r="J34" s="1927">
        <f t="shared" si="5"/>
        <v>0</v>
      </c>
      <c r="K34" s="1928">
        <v>1.15000000000001E-2</v>
      </c>
      <c r="L34" s="1931" t="e">
        <f>($K$9*24)/((($J$8-BBR+'Product Data'!$K$2-'KB V Model Suggestions Fixed 2'!$K34)/12)*(24-'KB V Model Suggestions Fixed 2'!J34)*'Product Data'!$P$18)</f>
        <v>#N/A</v>
      </c>
      <c r="N34" s="1927" t="s">
        <v>435</v>
      </c>
      <c r="O34" s="1928">
        <v>9.7900000000000001E-2</v>
      </c>
      <c r="P34" s="2337">
        <v>8.5900000000000004E-2</v>
      </c>
      <c r="Q34" s="2337">
        <v>7.5499999999999998E-2</v>
      </c>
    </row>
    <row r="35" spans="2:17" x14ac:dyDescent="0.25">
      <c r="B35" s="1927">
        <f t="shared" si="3"/>
        <v>0</v>
      </c>
      <c r="C35" s="1928">
        <v>1.1400000000000099E-2</v>
      </c>
      <c r="D35" s="1931" t="e">
        <f>($C$9*24)/((($B$8-BBR+'Product Data'!$K$3-'KB V Model Suggestions Fixed 2'!$C35)/12)*(24-'KB V Model Suggestions Fixed 2'!B35)*'Product Data'!$P$23)</f>
        <v>#N/A</v>
      </c>
      <c r="F35" s="1927">
        <f t="shared" si="4"/>
        <v>0</v>
      </c>
      <c r="G35" s="1928">
        <v>1.1400000000000099E-2</v>
      </c>
      <c r="H35" s="1931" t="e">
        <f>($G$9*24)/((($F$8-BBR+'Product Data'!$K$3-'KB V Model Suggestions Fixed 2'!$G35)/12)*(24-'KB V Model Suggestions Fixed 2'!F35)*'Product Data'!$P$23)</f>
        <v>#N/A</v>
      </c>
      <c r="J35" s="1927">
        <f t="shared" si="5"/>
        <v>0</v>
      </c>
      <c r="K35" s="1928">
        <v>1.1400000000000099E-2</v>
      </c>
      <c r="L35" s="1931" t="e">
        <f>($K$9*24)/((($J$8-BBR+'Product Data'!$K$2-'KB V Model Suggestions Fixed 2'!$K35)/12)*(24-'KB V Model Suggestions Fixed 2'!J35)*'Product Data'!$P$18)</f>
        <v>#N/A</v>
      </c>
    </row>
    <row r="36" spans="2:17" x14ac:dyDescent="0.25">
      <c r="B36" s="1927">
        <f t="shared" si="3"/>
        <v>0</v>
      </c>
      <c r="C36" s="1928">
        <v>1.1299999999999999E-2</v>
      </c>
      <c r="D36" s="1931" t="e">
        <f>($C$9*24)/((($B$8-BBR+'Product Data'!$K$3-'KB V Model Suggestions Fixed 2'!$C36)/12)*(24-'KB V Model Suggestions Fixed 2'!B36)*'Product Data'!$P$23)</f>
        <v>#N/A</v>
      </c>
      <c r="F36" s="1927">
        <f t="shared" si="4"/>
        <v>0</v>
      </c>
      <c r="G36" s="1928">
        <v>1.1299999999999999E-2</v>
      </c>
      <c r="H36" s="1931" t="e">
        <f>($G$9*24)/((($F$8-BBR+'Product Data'!$K$3-'KB V Model Suggestions Fixed 2'!$G36)/12)*(24-'KB V Model Suggestions Fixed 2'!F36)*'Product Data'!$P$23)</f>
        <v>#N/A</v>
      </c>
      <c r="J36" s="1927">
        <f t="shared" si="5"/>
        <v>0</v>
      </c>
      <c r="K36" s="1928">
        <v>1.1299999999999999E-2</v>
      </c>
      <c r="L36" s="1931" t="e">
        <f>($K$9*24)/((($J$8-BBR+'Product Data'!$K$2-'KB V Model Suggestions Fixed 2'!$K36)/12)*(24-'KB V Model Suggestions Fixed 2'!J36)*'Product Data'!$P$18)</f>
        <v>#N/A</v>
      </c>
    </row>
    <row r="37" spans="2:17" x14ac:dyDescent="0.25">
      <c r="B37" s="1927">
        <f t="shared" si="3"/>
        <v>0</v>
      </c>
      <c r="C37" s="1928">
        <v>1.1200000000000101E-2</v>
      </c>
      <c r="D37" s="1931" t="e">
        <f>($C$9*24)/((($B$8-BBR+'Product Data'!$K$3-'KB V Model Suggestions Fixed 2'!$C37)/12)*(24-'KB V Model Suggestions Fixed 2'!B37)*'Product Data'!$P$23)</f>
        <v>#N/A</v>
      </c>
      <c r="F37" s="1927">
        <f t="shared" si="4"/>
        <v>0</v>
      </c>
      <c r="G37" s="1928">
        <v>1.1200000000000101E-2</v>
      </c>
      <c r="H37" s="1931" t="e">
        <f>($G$9*24)/((($F$8-BBR+'Product Data'!$K$3-'KB V Model Suggestions Fixed 2'!$G37)/12)*(24-'KB V Model Suggestions Fixed 2'!F37)*'Product Data'!$P$23)</f>
        <v>#N/A</v>
      </c>
      <c r="J37" s="1927">
        <f t="shared" si="5"/>
        <v>0</v>
      </c>
      <c r="K37" s="1928">
        <v>1.1200000000000101E-2</v>
      </c>
      <c r="L37" s="1931" t="e">
        <f>($K$9*24)/((($J$8-BBR+'Product Data'!$K$2-'KB V Model Suggestions Fixed 2'!$K37)/12)*(24-'KB V Model Suggestions Fixed 2'!J37)*'Product Data'!$P$18)</f>
        <v>#N/A</v>
      </c>
    </row>
    <row r="38" spans="2:17" x14ac:dyDescent="0.25">
      <c r="B38" s="1927">
        <f t="shared" si="3"/>
        <v>0</v>
      </c>
      <c r="C38" s="1928">
        <v>1.1100000000000099E-2</v>
      </c>
      <c r="D38" s="1931" t="e">
        <f>($C$9*24)/((($B$8-BBR+'Product Data'!$K$3-'KB V Model Suggestions Fixed 2'!$C38)/12)*(24-'KB V Model Suggestions Fixed 2'!B38)*'Product Data'!$P$23)</f>
        <v>#N/A</v>
      </c>
      <c r="F38" s="1927">
        <f t="shared" si="4"/>
        <v>0</v>
      </c>
      <c r="G38" s="1928">
        <v>1.1100000000000099E-2</v>
      </c>
      <c r="H38" s="1931" t="e">
        <f>($G$9*24)/((($F$8-BBR+'Product Data'!$K$3-'KB V Model Suggestions Fixed 2'!$G38)/12)*(24-'KB V Model Suggestions Fixed 2'!F38)*'Product Data'!$P$23)</f>
        <v>#N/A</v>
      </c>
      <c r="J38" s="1927">
        <f t="shared" si="5"/>
        <v>0</v>
      </c>
      <c r="K38" s="1928">
        <v>1.1100000000000099E-2</v>
      </c>
      <c r="L38" s="1931" t="e">
        <f>($K$9*24)/((($J$8-BBR+'Product Data'!$K$2-'KB V Model Suggestions Fixed 2'!$K38)/12)*(24-'KB V Model Suggestions Fixed 2'!J38)*'Product Data'!$P$18)</f>
        <v>#N/A</v>
      </c>
    </row>
    <row r="39" spans="2:17" x14ac:dyDescent="0.25">
      <c r="B39" s="1927">
        <f t="shared" si="3"/>
        <v>0</v>
      </c>
      <c r="C39" s="1928">
        <v>1.0999999999999999E-2</v>
      </c>
      <c r="D39" s="1931" t="e">
        <f>($C$9*24)/((($B$8-BBR+'Product Data'!$K$3-'KB V Model Suggestions Fixed 2'!$C39)/12)*(24-'KB V Model Suggestions Fixed 2'!B39)*'Product Data'!$P$23)</f>
        <v>#N/A</v>
      </c>
      <c r="F39" s="1927">
        <f t="shared" si="4"/>
        <v>0</v>
      </c>
      <c r="G39" s="1928">
        <v>1.0999999999999999E-2</v>
      </c>
      <c r="H39" s="1931" t="e">
        <f>($G$9*24)/((($F$8-BBR+'Product Data'!$K$3-'KB V Model Suggestions Fixed 2'!$G39)/12)*(24-'KB V Model Suggestions Fixed 2'!F39)*'Product Data'!$P$23)</f>
        <v>#N/A</v>
      </c>
      <c r="J39" s="1927">
        <f t="shared" si="5"/>
        <v>0</v>
      </c>
      <c r="K39" s="1928">
        <v>1.0999999999999999E-2</v>
      </c>
      <c r="L39" s="1931" t="e">
        <f>($K$9*24)/((($J$8-BBR+'Product Data'!$K$2-'KB V Model Suggestions Fixed 2'!$K39)/12)*(24-'KB V Model Suggestions Fixed 2'!J39)*'Product Data'!$P$18)</f>
        <v>#N/A</v>
      </c>
    </row>
    <row r="40" spans="2:17" x14ac:dyDescent="0.25">
      <c r="B40" s="1927">
        <f t="shared" si="3"/>
        <v>0</v>
      </c>
      <c r="C40" s="1928">
        <v>1.0900000000000101E-2</v>
      </c>
      <c r="D40" s="1931" t="e">
        <f>($C$9*24)/((($B$8-BBR+'Product Data'!$K$3-'KB V Model Suggestions Fixed 2'!$C40)/12)*(24-'KB V Model Suggestions Fixed 2'!B40)*'Product Data'!$P$23)</f>
        <v>#N/A</v>
      </c>
      <c r="F40" s="1927">
        <f t="shared" si="4"/>
        <v>0</v>
      </c>
      <c r="G40" s="1928">
        <v>1.0900000000000101E-2</v>
      </c>
      <c r="H40" s="1931" t="e">
        <f>($G$9*24)/((($F$8-BBR+'Product Data'!$K$3-'KB V Model Suggestions Fixed 2'!$G40)/12)*(24-'KB V Model Suggestions Fixed 2'!F40)*'Product Data'!$P$23)</f>
        <v>#N/A</v>
      </c>
      <c r="J40" s="1927">
        <f t="shared" si="5"/>
        <v>0</v>
      </c>
      <c r="K40" s="1928">
        <v>1.0900000000000101E-2</v>
      </c>
      <c r="L40" s="1931" t="e">
        <f>($K$9*24)/((($J$8-BBR+'Product Data'!$K$2-'KB V Model Suggestions Fixed 2'!$K40)/12)*(24-'KB V Model Suggestions Fixed 2'!J40)*'Product Data'!$P$18)</f>
        <v>#N/A</v>
      </c>
    </row>
    <row r="41" spans="2:17" x14ac:dyDescent="0.25">
      <c r="B41" s="1927">
        <f t="shared" si="3"/>
        <v>0</v>
      </c>
      <c r="C41" s="1928">
        <v>1.0800000000000099E-2</v>
      </c>
      <c r="D41" s="1931" t="e">
        <f>($C$9*24)/((($B$8-BBR+'Product Data'!$K$3-'KB V Model Suggestions Fixed 2'!$C41)/12)*(24-'KB V Model Suggestions Fixed 2'!B41)*'Product Data'!$P$23)</f>
        <v>#N/A</v>
      </c>
      <c r="F41" s="1927">
        <f t="shared" si="4"/>
        <v>0</v>
      </c>
      <c r="G41" s="1928">
        <v>1.0800000000000099E-2</v>
      </c>
      <c r="H41" s="1931" t="e">
        <f>($G$9*24)/((($F$8-BBR+'Product Data'!$K$3-'KB V Model Suggestions Fixed 2'!$G41)/12)*(24-'KB V Model Suggestions Fixed 2'!F41)*'Product Data'!$P$23)</f>
        <v>#N/A</v>
      </c>
      <c r="J41" s="1927">
        <f t="shared" si="5"/>
        <v>0</v>
      </c>
      <c r="K41" s="1928">
        <v>1.0800000000000099E-2</v>
      </c>
      <c r="L41" s="1931" t="e">
        <f>($K$9*24)/((($J$8-BBR+'Product Data'!$K$2-'KB V Model Suggestions Fixed 2'!$K41)/12)*(24-'KB V Model Suggestions Fixed 2'!J41)*'Product Data'!$P$18)</f>
        <v>#N/A</v>
      </c>
    </row>
    <row r="42" spans="2:17" x14ac:dyDescent="0.25">
      <c r="B42" s="1927">
        <f t="shared" si="3"/>
        <v>0</v>
      </c>
      <c r="C42" s="1928">
        <v>1.07000000000001E-2</v>
      </c>
      <c r="D42" s="1931" t="e">
        <f>($C$9*24)/((($B$8-BBR+'Product Data'!$K$3-'KB V Model Suggestions Fixed 2'!$C42)/12)*(24-'KB V Model Suggestions Fixed 2'!B42)*'Product Data'!$P$23)</f>
        <v>#N/A</v>
      </c>
      <c r="F42" s="1927">
        <f t="shared" si="4"/>
        <v>0</v>
      </c>
      <c r="G42" s="1928">
        <v>1.07000000000001E-2</v>
      </c>
      <c r="H42" s="1931" t="e">
        <f>($G$9*24)/((($F$8-BBR+'Product Data'!$K$3-'KB V Model Suggestions Fixed 2'!$G42)/12)*(24-'KB V Model Suggestions Fixed 2'!F42)*'Product Data'!$P$23)</f>
        <v>#N/A</v>
      </c>
      <c r="J42" s="1927">
        <f t="shared" si="5"/>
        <v>0</v>
      </c>
      <c r="K42" s="1928">
        <v>1.07000000000001E-2</v>
      </c>
      <c r="L42" s="1931" t="e">
        <f>($K$9*24)/((($J$8-BBR+'Product Data'!$K$2-'KB V Model Suggestions Fixed 2'!$K42)/12)*(24-'KB V Model Suggestions Fixed 2'!J42)*'Product Data'!$P$18)</f>
        <v>#N/A</v>
      </c>
    </row>
    <row r="43" spans="2:17" x14ac:dyDescent="0.25">
      <c r="B43" s="1927">
        <f t="shared" si="3"/>
        <v>0</v>
      </c>
      <c r="C43" s="1928">
        <v>1.0600000000000101E-2</v>
      </c>
      <c r="D43" s="1931" t="e">
        <f>($C$9*24)/((($B$8-BBR+'Product Data'!$K$3-'KB V Model Suggestions Fixed 2'!$C43)/12)*(24-'KB V Model Suggestions Fixed 2'!B43)*'Product Data'!$P$23)</f>
        <v>#N/A</v>
      </c>
      <c r="F43" s="1927">
        <f t="shared" si="4"/>
        <v>0</v>
      </c>
      <c r="G43" s="1928">
        <v>1.0600000000000101E-2</v>
      </c>
      <c r="H43" s="1931" t="e">
        <f>($G$9*24)/((($F$8-BBR+'Product Data'!$K$3-'KB V Model Suggestions Fixed 2'!$G43)/12)*(24-'KB V Model Suggestions Fixed 2'!F43)*'Product Data'!$P$23)</f>
        <v>#N/A</v>
      </c>
      <c r="J43" s="1927">
        <f t="shared" si="5"/>
        <v>0</v>
      </c>
      <c r="K43" s="1928">
        <v>1.0600000000000101E-2</v>
      </c>
      <c r="L43" s="1931" t="e">
        <f>($K$9*24)/((($J$8-BBR+'Product Data'!$K$2-'KB V Model Suggestions Fixed 2'!$K43)/12)*(24-'KB V Model Suggestions Fixed 2'!J43)*'Product Data'!$P$18)</f>
        <v>#N/A</v>
      </c>
    </row>
    <row r="44" spans="2:17" x14ac:dyDescent="0.25">
      <c r="B44" s="1927">
        <f t="shared" si="3"/>
        <v>0</v>
      </c>
      <c r="C44" s="1928">
        <v>1.05000000000001E-2</v>
      </c>
      <c r="D44" s="1931" t="e">
        <f>($C$9*24)/((($B$8-BBR+'Product Data'!$K$3-'KB V Model Suggestions Fixed 2'!$C44)/12)*(24-'KB V Model Suggestions Fixed 2'!B44)*'Product Data'!$P$23)</f>
        <v>#N/A</v>
      </c>
      <c r="F44" s="1927">
        <f t="shared" si="4"/>
        <v>0</v>
      </c>
      <c r="G44" s="1928">
        <v>1.05000000000001E-2</v>
      </c>
      <c r="H44" s="1931" t="e">
        <f>($G$9*24)/((($F$8-BBR+'Product Data'!$K$3-'KB V Model Suggestions Fixed 2'!$G44)/12)*(24-'KB V Model Suggestions Fixed 2'!F44)*'Product Data'!$P$23)</f>
        <v>#N/A</v>
      </c>
      <c r="J44" s="1927">
        <f t="shared" si="5"/>
        <v>0</v>
      </c>
      <c r="K44" s="1928">
        <v>1.05000000000001E-2</v>
      </c>
      <c r="L44" s="1931" t="e">
        <f>($K$9*24)/((($J$8-BBR+'Product Data'!$K$2-'KB V Model Suggestions Fixed 2'!$K44)/12)*(24-'KB V Model Suggestions Fixed 2'!J44)*'Product Data'!$P$18)</f>
        <v>#N/A</v>
      </c>
    </row>
    <row r="45" spans="2:17" x14ac:dyDescent="0.25">
      <c r="B45" s="1927">
        <f t="shared" si="3"/>
        <v>0</v>
      </c>
      <c r="C45" s="1928">
        <v>1.04000000000001E-2</v>
      </c>
      <c r="D45" s="1931" t="e">
        <f>($C$9*24)/((($B$8-BBR+'Product Data'!$K$3-'KB V Model Suggestions Fixed 2'!$C45)/12)*(24-'KB V Model Suggestions Fixed 2'!B45)*'Product Data'!$P$23)</f>
        <v>#N/A</v>
      </c>
      <c r="F45" s="1927">
        <f t="shared" si="4"/>
        <v>0</v>
      </c>
      <c r="G45" s="1928">
        <v>1.04000000000001E-2</v>
      </c>
      <c r="H45" s="1931" t="e">
        <f>($G$9*24)/((($F$8-BBR+'Product Data'!$K$3-'KB V Model Suggestions Fixed 2'!$G45)/12)*(24-'KB V Model Suggestions Fixed 2'!F45)*'Product Data'!$P$23)</f>
        <v>#N/A</v>
      </c>
      <c r="J45" s="1927">
        <f t="shared" si="5"/>
        <v>0</v>
      </c>
      <c r="K45" s="1928">
        <v>1.04000000000001E-2</v>
      </c>
      <c r="L45" s="1931" t="e">
        <f>($K$9*24)/((($J$8-BBR+'Product Data'!$K$2-'KB V Model Suggestions Fixed 2'!$K45)/12)*(24-'KB V Model Suggestions Fixed 2'!J45)*'Product Data'!$P$18)</f>
        <v>#N/A</v>
      </c>
    </row>
    <row r="46" spans="2:17" x14ac:dyDescent="0.25">
      <c r="B46" s="1927">
        <f t="shared" si="3"/>
        <v>0</v>
      </c>
      <c r="C46" s="1928">
        <v>1.0300000000000101E-2</v>
      </c>
      <c r="D46" s="1931" t="e">
        <f>($C$9*24)/((($B$8-BBR+'Product Data'!$K$3-'KB V Model Suggestions Fixed 2'!$C46)/12)*(24-'KB V Model Suggestions Fixed 2'!B46)*'Product Data'!$P$23)</f>
        <v>#N/A</v>
      </c>
      <c r="F46" s="1927">
        <f t="shared" si="4"/>
        <v>0</v>
      </c>
      <c r="G46" s="1928">
        <v>1.0300000000000101E-2</v>
      </c>
      <c r="H46" s="1931" t="e">
        <f>($G$9*24)/((($F$8-BBR+'Product Data'!$K$3-'KB V Model Suggestions Fixed 2'!$G46)/12)*(24-'KB V Model Suggestions Fixed 2'!F46)*'Product Data'!$P$23)</f>
        <v>#N/A</v>
      </c>
      <c r="J46" s="1927">
        <f t="shared" si="5"/>
        <v>0</v>
      </c>
      <c r="K46" s="1928">
        <v>1.0300000000000101E-2</v>
      </c>
      <c r="L46" s="1931" t="e">
        <f>($K$9*24)/((($J$8-BBR+'Product Data'!$K$2-'KB V Model Suggestions Fixed 2'!$K46)/12)*(24-'KB V Model Suggestions Fixed 2'!J46)*'Product Data'!$P$18)</f>
        <v>#N/A</v>
      </c>
    </row>
    <row r="47" spans="2:17" x14ac:dyDescent="0.25">
      <c r="B47" s="1927">
        <f t="shared" si="3"/>
        <v>0</v>
      </c>
      <c r="C47" s="1928">
        <v>1.02000000000001E-2</v>
      </c>
      <c r="D47" s="1931" t="e">
        <f>($C$9*24)/((($B$8-BBR+'Product Data'!$K$3-'KB V Model Suggestions Fixed 2'!$C47)/12)*(24-'KB V Model Suggestions Fixed 2'!B47)*'Product Data'!$P$23)</f>
        <v>#N/A</v>
      </c>
      <c r="F47" s="1927">
        <f t="shared" si="4"/>
        <v>0</v>
      </c>
      <c r="G47" s="1928">
        <v>1.02000000000001E-2</v>
      </c>
      <c r="H47" s="1931" t="e">
        <f>($G$9*24)/((($F$8-BBR+'Product Data'!$K$3-'KB V Model Suggestions Fixed 2'!$G47)/12)*(24-'KB V Model Suggestions Fixed 2'!F47)*'Product Data'!$P$23)</f>
        <v>#N/A</v>
      </c>
      <c r="J47" s="1927">
        <f t="shared" si="5"/>
        <v>0</v>
      </c>
      <c r="K47" s="1928">
        <v>1.02000000000001E-2</v>
      </c>
      <c r="L47" s="1931" t="e">
        <f>($K$9*24)/((($J$8-BBR+'Product Data'!$K$2-'KB V Model Suggestions Fixed 2'!$K47)/12)*(24-'KB V Model Suggestions Fixed 2'!J47)*'Product Data'!$P$18)</f>
        <v>#N/A</v>
      </c>
    </row>
    <row r="48" spans="2:17" x14ac:dyDescent="0.25">
      <c r="B48" s="1927">
        <f t="shared" si="3"/>
        <v>0</v>
      </c>
      <c r="C48" s="1928">
        <v>1.01000000000001E-2</v>
      </c>
      <c r="D48" s="1931" t="e">
        <f>($C$9*24)/((($B$8-BBR+'Product Data'!$K$3-'KB V Model Suggestions Fixed 2'!$C48)/12)*(24-'KB V Model Suggestions Fixed 2'!B48)*'Product Data'!$P$23)</f>
        <v>#N/A</v>
      </c>
      <c r="F48" s="1927">
        <f t="shared" si="4"/>
        <v>0</v>
      </c>
      <c r="G48" s="1928">
        <v>1.01000000000001E-2</v>
      </c>
      <c r="H48" s="1931" t="e">
        <f>($G$9*24)/((($F$8-BBR+'Product Data'!$K$3-'KB V Model Suggestions Fixed 2'!$G48)/12)*(24-'KB V Model Suggestions Fixed 2'!F48)*'Product Data'!$P$23)</f>
        <v>#N/A</v>
      </c>
      <c r="J48" s="1927">
        <f t="shared" si="5"/>
        <v>0</v>
      </c>
      <c r="K48" s="1928">
        <v>1.01000000000001E-2</v>
      </c>
      <c r="L48" s="1931" t="e">
        <f>($K$9*24)/((($J$8-BBR+'Product Data'!$K$2-'KB V Model Suggestions Fixed 2'!$K48)/12)*(24-'KB V Model Suggestions Fixed 2'!J48)*'Product Data'!$P$18)</f>
        <v>#N/A</v>
      </c>
    </row>
    <row r="49" spans="2:12" x14ac:dyDescent="0.25">
      <c r="B49" s="1927">
        <f t="shared" si="3"/>
        <v>0</v>
      </c>
      <c r="C49" s="1928">
        <v>1.0000000000000101E-2</v>
      </c>
      <c r="D49" s="1931" t="e">
        <f>($C$9*24)/((($B$8-BBR+'Product Data'!$K$3-'KB V Model Suggestions Fixed 2'!$C49)/12)*(24-'KB V Model Suggestions Fixed 2'!B49)*'Product Data'!$P$23)</f>
        <v>#N/A</v>
      </c>
      <c r="F49" s="1927">
        <f t="shared" si="4"/>
        <v>0</v>
      </c>
      <c r="G49" s="1928">
        <v>1.0000000000000101E-2</v>
      </c>
      <c r="H49" s="1931" t="e">
        <f>($G$9*24)/((($F$8-BBR+'Product Data'!$K$3-'KB V Model Suggestions Fixed 2'!$G49)/12)*(24-'KB V Model Suggestions Fixed 2'!F49)*'Product Data'!$P$23)</f>
        <v>#N/A</v>
      </c>
      <c r="J49" s="1927">
        <f t="shared" si="5"/>
        <v>0</v>
      </c>
      <c r="K49" s="1928">
        <v>1.0000000000000101E-2</v>
      </c>
      <c r="L49" s="1931" t="e">
        <f>($K$9*24)/((($J$8-BBR+'Product Data'!$K$2-'KB V Model Suggestions Fixed 2'!$K49)/12)*(24-'KB V Model Suggestions Fixed 2'!J49)*'Product Data'!$P$18)</f>
        <v>#N/A</v>
      </c>
    </row>
    <row r="50" spans="2:12" x14ac:dyDescent="0.25">
      <c r="B50" s="1927">
        <f t="shared" si="3"/>
        <v>0</v>
      </c>
      <c r="C50" s="1928">
        <v>9.9000000000000997E-3</v>
      </c>
      <c r="D50" s="1931" t="e">
        <f>($C$9*24)/((($B$8-BBR+'Product Data'!$K$3-'KB V Model Suggestions Fixed 2'!$C50)/12)*(24-'KB V Model Suggestions Fixed 2'!B50)*'Product Data'!$P$23)</f>
        <v>#N/A</v>
      </c>
      <c r="F50" s="1927">
        <f t="shared" si="4"/>
        <v>0</v>
      </c>
      <c r="G50" s="1928">
        <v>9.9000000000000997E-3</v>
      </c>
      <c r="H50" s="1931" t="e">
        <f>($G$9*24)/((($F$8-BBR+'Product Data'!$K$3-'KB V Model Suggestions Fixed 2'!$G50)/12)*(24-'KB V Model Suggestions Fixed 2'!F50)*'Product Data'!$P$23)</f>
        <v>#N/A</v>
      </c>
      <c r="J50" s="1927">
        <f t="shared" si="5"/>
        <v>0</v>
      </c>
      <c r="K50" s="1928">
        <v>9.9000000000000997E-3</v>
      </c>
      <c r="L50" s="1931" t="e">
        <f>($K$9*24)/((($J$8-BBR+'Product Data'!$K$2-'KB V Model Suggestions Fixed 2'!$K50)/12)*(24-'KB V Model Suggestions Fixed 2'!J50)*'Product Data'!$P$18)</f>
        <v>#N/A</v>
      </c>
    </row>
    <row r="51" spans="2:12" x14ac:dyDescent="0.25">
      <c r="B51" s="1927">
        <f t="shared" si="3"/>
        <v>0</v>
      </c>
      <c r="C51" s="1928">
        <v>9.8000000000001003E-3</v>
      </c>
      <c r="D51" s="1931" t="e">
        <f>($C$9*24)/((($B$8-BBR+'Product Data'!$K$3-'KB V Model Suggestions Fixed 2'!$C51)/12)*(24-'KB V Model Suggestions Fixed 2'!B51)*'Product Data'!$P$23)</f>
        <v>#N/A</v>
      </c>
      <c r="F51" s="1927">
        <f t="shared" si="4"/>
        <v>0</v>
      </c>
      <c r="G51" s="1928">
        <v>9.8000000000001003E-3</v>
      </c>
      <c r="H51" s="1931" t="e">
        <f>($G$9*24)/((($F$8-BBR+'Product Data'!$K$3-'KB V Model Suggestions Fixed 2'!$G51)/12)*(24-'KB V Model Suggestions Fixed 2'!F51)*'Product Data'!$P$23)</f>
        <v>#N/A</v>
      </c>
      <c r="J51" s="1927">
        <f t="shared" si="5"/>
        <v>0</v>
      </c>
      <c r="K51" s="1928">
        <v>9.8000000000001003E-3</v>
      </c>
      <c r="L51" s="1931" t="e">
        <f>($K$9*24)/((($J$8-BBR+'Product Data'!$K$2-'KB V Model Suggestions Fixed 2'!$K51)/12)*(24-'KB V Model Suggestions Fixed 2'!J51)*'Product Data'!$P$18)</f>
        <v>#N/A</v>
      </c>
    </row>
    <row r="52" spans="2:12" x14ac:dyDescent="0.25">
      <c r="B52" s="1927">
        <f t="shared" si="3"/>
        <v>0</v>
      </c>
      <c r="C52" s="1928">
        <v>9.7000000000000992E-3</v>
      </c>
      <c r="D52" s="1931" t="e">
        <f>($C$9*24)/((($B$8-BBR+'Product Data'!$K$3-'KB V Model Suggestions Fixed 2'!$C52)/12)*(24-'KB V Model Suggestions Fixed 2'!B52)*'Product Data'!$P$23)</f>
        <v>#N/A</v>
      </c>
      <c r="F52" s="1927">
        <f t="shared" si="4"/>
        <v>0</v>
      </c>
      <c r="G52" s="1928">
        <v>9.7000000000000992E-3</v>
      </c>
      <c r="H52" s="1931" t="e">
        <f>($G$9*24)/((($F$8-BBR+'Product Data'!$K$3-'KB V Model Suggestions Fixed 2'!$G52)/12)*(24-'KB V Model Suggestions Fixed 2'!F52)*'Product Data'!$P$23)</f>
        <v>#N/A</v>
      </c>
      <c r="J52" s="1927">
        <f t="shared" si="5"/>
        <v>0</v>
      </c>
      <c r="K52" s="1928">
        <v>9.7000000000000992E-3</v>
      </c>
      <c r="L52" s="1931" t="e">
        <f>($K$9*24)/((($J$8-BBR+'Product Data'!$K$2-'KB V Model Suggestions Fixed 2'!$K52)/12)*(24-'KB V Model Suggestions Fixed 2'!J52)*'Product Data'!$P$18)</f>
        <v>#N/A</v>
      </c>
    </row>
    <row r="53" spans="2:12" x14ac:dyDescent="0.25">
      <c r="B53" s="1927">
        <f t="shared" si="3"/>
        <v>0</v>
      </c>
      <c r="C53" s="1928">
        <v>9.6000000000000998E-3</v>
      </c>
      <c r="D53" s="1931" t="e">
        <f>($C$9*24)/((($B$8-BBR+'Product Data'!$K$3-'KB V Model Suggestions Fixed 2'!$C53)/12)*(24-'KB V Model Suggestions Fixed 2'!B53)*'Product Data'!$P$23)</f>
        <v>#N/A</v>
      </c>
      <c r="F53" s="1927">
        <f t="shared" si="4"/>
        <v>0</v>
      </c>
      <c r="G53" s="1928">
        <v>9.6000000000000998E-3</v>
      </c>
      <c r="H53" s="1931" t="e">
        <f>($G$9*24)/((($F$8-BBR+'Product Data'!$K$3-'KB V Model Suggestions Fixed 2'!$G53)/12)*(24-'KB V Model Suggestions Fixed 2'!F53)*'Product Data'!$P$23)</f>
        <v>#N/A</v>
      </c>
      <c r="J53" s="1927">
        <f t="shared" si="5"/>
        <v>0</v>
      </c>
      <c r="K53" s="1928">
        <v>9.6000000000000998E-3</v>
      </c>
      <c r="L53" s="1931" t="e">
        <f>($K$9*24)/((($J$8-BBR+'Product Data'!$K$2-'KB V Model Suggestions Fixed 2'!$K53)/12)*(24-'KB V Model Suggestions Fixed 2'!J53)*'Product Data'!$P$18)</f>
        <v>#N/A</v>
      </c>
    </row>
    <row r="54" spans="2:12" x14ac:dyDescent="0.25">
      <c r="B54" s="1927">
        <f t="shared" si="3"/>
        <v>0</v>
      </c>
      <c r="C54" s="1928">
        <v>9.5000000000001004E-3</v>
      </c>
      <c r="D54" s="1931" t="e">
        <f>($C$9*24)/((($B$8-BBR+'Product Data'!$K$3-'KB V Model Suggestions Fixed 2'!$C54)/12)*(24-'KB V Model Suggestions Fixed 2'!B54)*'Product Data'!$P$23)</f>
        <v>#N/A</v>
      </c>
      <c r="F54" s="1927">
        <f t="shared" si="4"/>
        <v>0</v>
      </c>
      <c r="G54" s="1928">
        <v>9.5000000000001004E-3</v>
      </c>
      <c r="H54" s="1931" t="e">
        <f>($G$9*24)/((($F$8-BBR+'Product Data'!$K$3-'KB V Model Suggestions Fixed 2'!$G54)/12)*(24-'KB V Model Suggestions Fixed 2'!F54)*'Product Data'!$P$23)</f>
        <v>#N/A</v>
      </c>
      <c r="J54" s="1927">
        <f t="shared" si="5"/>
        <v>0</v>
      </c>
      <c r="K54" s="1928">
        <v>9.5000000000001004E-3</v>
      </c>
      <c r="L54" s="1931" t="e">
        <f>($K$9*24)/((($J$8-BBR+'Product Data'!$K$2-'KB V Model Suggestions Fixed 2'!$K54)/12)*(24-'KB V Model Suggestions Fixed 2'!J54)*'Product Data'!$P$18)</f>
        <v>#N/A</v>
      </c>
    </row>
    <row r="55" spans="2:12" x14ac:dyDescent="0.25">
      <c r="B55" s="1927">
        <f t="shared" si="3"/>
        <v>0</v>
      </c>
      <c r="C55" s="1928">
        <v>9.4000000000000992E-3</v>
      </c>
      <c r="D55" s="1931" t="e">
        <f>($C$9*24)/((($B$8-BBR+'Product Data'!$K$3-'KB V Model Suggestions Fixed 2'!$C55)/12)*(24-'KB V Model Suggestions Fixed 2'!B55)*'Product Data'!$P$23)</f>
        <v>#N/A</v>
      </c>
      <c r="F55" s="1927">
        <f t="shared" si="4"/>
        <v>0</v>
      </c>
      <c r="G55" s="1928">
        <v>9.4000000000000992E-3</v>
      </c>
      <c r="H55" s="1931" t="e">
        <f>($G$9*24)/((($F$8-BBR+'Product Data'!$K$3-'KB V Model Suggestions Fixed 2'!$G55)/12)*(24-'KB V Model Suggestions Fixed 2'!F55)*'Product Data'!$P$23)</f>
        <v>#N/A</v>
      </c>
      <c r="J55" s="1927">
        <f t="shared" si="5"/>
        <v>0</v>
      </c>
      <c r="K55" s="1928">
        <v>9.4000000000000992E-3</v>
      </c>
      <c r="L55" s="1931" t="e">
        <f>($K$9*24)/((($J$8-BBR+'Product Data'!$K$2-'KB V Model Suggestions Fixed 2'!$K55)/12)*(24-'KB V Model Suggestions Fixed 2'!J55)*'Product Data'!$P$18)</f>
        <v>#N/A</v>
      </c>
    </row>
    <row r="56" spans="2:12" x14ac:dyDescent="0.25">
      <c r="B56" s="1927">
        <f t="shared" si="3"/>
        <v>0</v>
      </c>
      <c r="C56" s="1928">
        <v>9.3000000000000999E-3</v>
      </c>
      <c r="D56" s="1931" t="e">
        <f>($C$9*24)/((($B$8-BBR+'Product Data'!$K$3-'KB V Model Suggestions Fixed 2'!$C56)/12)*(24-'KB V Model Suggestions Fixed 2'!B56)*'Product Data'!$P$23)</f>
        <v>#N/A</v>
      </c>
      <c r="F56" s="1927">
        <f t="shared" si="4"/>
        <v>0</v>
      </c>
      <c r="G56" s="1928">
        <v>9.3000000000000999E-3</v>
      </c>
      <c r="H56" s="1931" t="e">
        <f>($G$9*24)/((($F$8-BBR+'Product Data'!$K$3-'KB V Model Suggestions Fixed 2'!$G56)/12)*(24-'KB V Model Suggestions Fixed 2'!F56)*'Product Data'!$P$23)</f>
        <v>#N/A</v>
      </c>
      <c r="J56" s="1927">
        <f t="shared" si="5"/>
        <v>0</v>
      </c>
      <c r="K56" s="1928">
        <v>9.3000000000000999E-3</v>
      </c>
      <c r="L56" s="1931" t="e">
        <f>($K$9*24)/((($J$8-BBR+'Product Data'!$K$2-'KB V Model Suggestions Fixed 2'!$K56)/12)*(24-'KB V Model Suggestions Fixed 2'!J56)*'Product Data'!$P$18)</f>
        <v>#N/A</v>
      </c>
    </row>
    <row r="57" spans="2:12" x14ac:dyDescent="0.25">
      <c r="B57" s="1927">
        <f t="shared" si="3"/>
        <v>0</v>
      </c>
      <c r="C57" s="1928">
        <v>9.2000000000001005E-3</v>
      </c>
      <c r="D57" s="1931" t="e">
        <f>($C$9*24)/((($B$8-BBR+'Product Data'!$K$3-'KB V Model Suggestions Fixed 2'!$C57)/12)*(24-'KB V Model Suggestions Fixed 2'!B57)*'Product Data'!$P$23)</f>
        <v>#N/A</v>
      </c>
      <c r="F57" s="1927">
        <f t="shared" si="4"/>
        <v>0</v>
      </c>
      <c r="G57" s="1928">
        <v>9.2000000000001005E-3</v>
      </c>
      <c r="H57" s="1931" t="e">
        <f>($G$9*24)/((($F$8-BBR+'Product Data'!$K$3-'KB V Model Suggestions Fixed 2'!$G57)/12)*(24-'KB V Model Suggestions Fixed 2'!F57)*'Product Data'!$P$23)</f>
        <v>#N/A</v>
      </c>
      <c r="J57" s="1927">
        <f t="shared" si="5"/>
        <v>0</v>
      </c>
      <c r="K57" s="1928">
        <v>9.2000000000001005E-3</v>
      </c>
      <c r="L57" s="1931" t="e">
        <f>($K$9*24)/((($J$8-BBR+'Product Data'!$K$2-'KB V Model Suggestions Fixed 2'!$K57)/12)*(24-'KB V Model Suggestions Fixed 2'!J57)*'Product Data'!$P$18)</f>
        <v>#N/A</v>
      </c>
    </row>
    <row r="58" spans="2:12" x14ac:dyDescent="0.25">
      <c r="B58" s="1927">
        <f t="shared" si="3"/>
        <v>0</v>
      </c>
      <c r="C58" s="1928">
        <v>9.1000000000000993E-3</v>
      </c>
      <c r="D58" s="1931" t="e">
        <f>($C$9*24)/((($B$8-BBR+'Product Data'!$K$3-'KB V Model Suggestions Fixed 2'!$C58)/12)*(24-'KB V Model Suggestions Fixed 2'!B58)*'Product Data'!$P$23)</f>
        <v>#N/A</v>
      </c>
      <c r="F58" s="1927">
        <f t="shared" si="4"/>
        <v>0</v>
      </c>
      <c r="G58" s="1928">
        <v>9.1000000000000993E-3</v>
      </c>
      <c r="H58" s="1931" t="e">
        <f>($G$9*24)/((($F$8-BBR+'Product Data'!$K$3-'KB V Model Suggestions Fixed 2'!$G58)/12)*(24-'KB V Model Suggestions Fixed 2'!F58)*'Product Data'!$P$23)</f>
        <v>#N/A</v>
      </c>
      <c r="J58" s="1927">
        <f t="shared" si="5"/>
        <v>0</v>
      </c>
      <c r="K58" s="1928">
        <v>9.1000000000000993E-3</v>
      </c>
      <c r="L58" s="1931" t="e">
        <f>($K$9*24)/((($J$8-BBR+'Product Data'!$K$2-'KB V Model Suggestions Fixed 2'!$K58)/12)*(24-'KB V Model Suggestions Fixed 2'!J58)*'Product Data'!$P$18)</f>
        <v>#N/A</v>
      </c>
    </row>
    <row r="59" spans="2:12" x14ac:dyDescent="0.25">
      <c r="B59" s="1927">
        <f t="shared" si="3"/>
        <v>0</v>
      </c>
      <c r="C59" s="1928">
        <v>9.0000000000000999E-3</v>
      </c>
      <c r="D59" s="1931" t="e">
        <f>($C$9*24)/((($B$8-BBR+'Product Data'!$K$3-'KB V Model Suggestions Fixed 2'!$C59)/12)*(24-'KB V Model Suggestions Fixed 2'!B59)*'Product Data'!$P$23)</f>
        <v>#N/A</v>
      </c>
      <c r="F59" s="1927">
        <f t="shared" si="4"/>
        <v>0</v>
      </c>
      <c r="G59" s="1928">
        <v>9.0000000000000999E-3</v>
      </c>
      <c r="H59" s="1931" t="e">
        <f>($G$9*24)/((($F$8-BBR+'Product Data'!$K$3-'KB V Model Suggestions Fixed 2'!$G59)/12)*(24-'KB V Model Suggestions Fixed 2'!F59)*'Product Data'!$P$23)</f>
        <v>#N/A</v>
      </c>
      <c r="J59" s="1927">
        <f t="shared" si="5"/>
        <v>0</v>
      </c>
      <c r="K59" s="1928">
        <v>9.0000000000000999E-3</v>
      </c>
      <c r="L59" s="1931" t="e">
        <f>($K$9*24)/((($J$8-BBR+'Product Data'!$K$2-'KB V Model Suggestions Fixed 2'!$K59)/12)*(24-'KB V Model Suggestions Fixed 2'!J59)*'Product Data'!$P$18)</f>
        <v>#N/A</v>
      </c>
    </row>
    <row r="60" spans="2:12" x14ac:dyDescent="0.25">
      <c r="B60" s="1927">
        <f t="shared" si="3"/>
        <v>0</v>
      </c>
      <c r="C60" s="1928">
        <v>8.9000000000001005E-3</v>
      </c>
      <c r="D60" s="1931" t="e">
        <f>($C$9*24)/((($B$8-BBR+'Product Data'!$K$3-'KB V Model Suggestions Fixed 2'!$C60)/12)*(24-'KB V Model Suggestions Fixed 2'!B60)*'Product Data'!$P$23)</f>
        <v>#N/A</v>
      </c>
      <c r="F60" s="1927">
        <f t="shared" si="4"/>
        <v>0</v>
      </c>
      <c r="G60" s="1928">
        <v>8.9000000000001005E-3</v>
      </c>
      <c r="H60" s="1931" t="e">
        <f>($G$9*24)/((($F$8-BBR+'Product Data'!$K$3-'KB V Model Suggestions Fixed 2'!$G60)/12)*(24-'KB V Model Suggestions Fixed 2'!F60)*'Product Data'!$P$23)</f>
        <v>#N/A</v>
      </c>
      <c r="J60" s="1927">
        <f t="shared" si="5"/>
        <v>0</v>
      </c>
      <c r="K60" s="1928">
        <v>8.9000000000001005E-3</v>
      </c>
      <c r="L60" s="1931" t="e">
        <f>($K$9*24)/((($J$8-BBR+'Product Data'!$K$2-'KB V Model Suggestions Fixed 2'!$K60)/12)*(24-'KB V Model Suggestions Fixed 2'!J60)*'Product Data'!$P$18)</f>
        <v>#N/A</v>
      </c>
    </row>
    <row r="61" spans="2:12" x14ac:dyDescent="0.25">
      <c r="B61" s="1927">
        <f t="shared" si="3"/>
        <v>0</v>
      </c>
      <c r="C61" s="1928">
        <v>8.8000000000000994E-3</v>
      </c>
      <c r="D61" s="1931" t="e">
        <f>($C$9*24)/((($B$8-BBR+'Product Data'!$K$3-'KB V Model Suggestions Fixed 2'!$C61)/12)*(24-'KB V Model Suggestions Fixed 2'!B61)*'Product Data'!$P$23)</f>
        <v>#N/A</v>
      </c>
      <c r="F61" s="1927">
        <f t="shared" si="4"/>
        <v>0</v>
      </c>
      <c r="G61" s="1928">
        <v>8.8000000000000994E-3</v>
      </c>
      <c r="H61" s="1931" t="e">
        <f>($G$9*24)/((($F$8-BBR+'Product Data'!$K$3-'KB V Model Suggestions Fixed 2'!$G61)/12)*(24-'KB V Model Suggestions Fixed 2'!F61)*'Product Data'!$P$23)</f>
        <v>#N/A</v>
      </c>
      <c r="J61" s="1927">
        <f t="shared" si="5"/>
        <v>0</v>
      </c>
      <c r="K61" s="1928">
        <v>8.8000000000000994E-3</v>
      </c>
      <c r="L61" s="1931" t="e">
        <f>($K$9*24)/((($J$8-BBR+'Product Data'!$K$2-'KB V Model Suggestions Fixed 2'!$K61)/12)*(24-'KB V Model Suggestions Fixed 2'!J61)*'Product Data'!$P$18)</f>
        <v>#N/A</v>
      </c>
    </row>
    <row r="62" spans="2:12" x14ac:dyDescent="0.25">
      <c r="B62" s="1927">
        <f t="shared" si="3"/>
        <v>0</v>
      </c>
      <c r="C62" s="1928">
        <v>8.7000000000001E-3</v>
      </c>
      <c r="D62" s="1931" t="e">
        <f>($C$9*24)/((($B$8-BBR+'Product Data'!$K$3-'KB V Model Suggestions Fixed 2'!$C62)/12)*(24-'KB V Model Suggestions Fixed 2'!B62)*'Product Data'!$P$23)</f>
        <v>#N/A</v>
      </c>
      <c r="F62" s="1927">
        <f t="shared" si="4"/>
        <v>0</v>
      </c>
      <c r="G62" s="1928">
        <v>8.7000000000001E-3</v>
      </c>
      <c r="H62" s="1931" t="e">
        <f>($G$9*24)/((($F$8-BBR+'Product Data'!$K$3-'KB V Model Suggestions Fixed 2'!$G62)/12)*(24-'KB V Model Suggestions Fixed 2'!F62)*'Product Data'!$P$23)</f>
        <v>#N/A</v>
      </c>
      <c r="J62" s="1927">
        <f t="shared" si="5"/>
        <v>0</v>
      </c>
      <c r="K62" s="1928">
        <v>8.7000000000001E-3</v>
      </c>
      <c r="L62" s="1931" t="e">
        <f>($K$9*24)/((($J$8-BBR+'Product Data'!$K$2-'KB V Model Suggestions Fixed 2'!$K62)/12)*(24-'KB V Model Suggestions Fixed 2'!J62)*'Product Data'!$P$18)</f>
        <v>#N/A</v>
      </c>
    </row>
    <row r="63" spans="2:12" x14ac:dyDescent="0.25">
      <c r="B63" s="1927">
        <f t="shared" si="3"/>
        <v>0</v>
      </c>
      <c r="C63" s="1928">
        <v>8.6000000000001006E-3</v>
      </c>
      <c r="D63" s="1931" t="e">
        <f>($C$9*24)/((($B$8-BBR+'Product Data'!$K$3-'KB V Model Suggestions Fixed 2'!$C63)/12)*(24-'KB V Model Suggestions Fixed 2'!B63)*'Product Data'!$P$23)</f>
        <v>#N/A</v>
      </c>
      <c r="F63" s="1927">
        <f t="shared" si="4"/>
        <v>0</v>
      </c>
      <c r="G63" s="1928">
        <v>8.6000000000001006E-3</v>
      </c>
      <c r="H63" s="1931" t="e">
        <f>($G$9*24)/((($F$8-BBR+'Product Data'!$K$3-'KB V Model Suggestions Fixed 2'!$G63)/12)*(24-'KB V Model Suggestions Fixed 2'!F63)*'Product Data'!$P$23)</f>
        <v>#N/A</v>
      </c>
      <c r="J63" s="1927">
        <f t="shared" si="5"/>
        <v>0</v>
      </c>
      <c r="K63" s="1928">
        <v>8.6000000000001006E-3</v>
      </c>
      <c r="L63" s="1931" t="e">
        <f>($K$9*24)/((($J$8-BBR+'Product Data'!$K$2-'KB V Model Suggestions Fixed 2'!$K63)/12)*(24-'KB V Model Suggestions Fixed 2'!J63)*'Product Data'!$P$18)</f>
        <v>#N/A</v>
      </c>
    </row>
    <row r="64" spans="2:12" x14ac:dyDescent="0.25">
      <c r="B64" s="1927">
        <f t="shared" si="3"/>
        <v>0</v>
      </c>
      <c r="C64" s="1928">
        <v>8.5000000000000995E-3</v>
      </c>
      <c r="D64" s="1931" t="e">
        <f>($C$9*24)/((($B$8-BBR+'Product Data'!$K$3-'KB V Model Suggestions Fixed 2'!$C64)/12)*(24-'KB V Model Suggestions Fixed 2'!B64)*'Product Data'!$P$23)</f>
        <v>#N/A</v>
      </c>
      <c r="F64" s="1927">
        <f t="shared" si="4"/>
        <v>0</v>
      </c>
      <c r="G64" s="1928">
        <v>8.5000000000000995E-3</v>
      </c>
      <c r="H64" s="1931" t="e">
        <f>($G$9*24)/((($F$8-BBR+'Product Data'!$K$3-'KB V Model Suggestions Fixed 2'!$G64)/12)*(24-'KB V Model Suggestions Fixed 2'!F64)*'Product Data'!$P$23)</f>
        <v>#N/A</v>
      </c>
      <c r="J64" s="1927">
        <f t="shared" si="5"/>
        <v>0</v>
      </c>
      <c r="K64" s="1928">
        <v>8.5000000000000995E-3</v>
      </c>
      <c r="L64" s="1931" t="e">
        <f>($K$9*24)/((($J$8-BBR+'Product Data'!$K$2-'KB V Model Suggestions Fixed 2'!$K64)/12)*(24-'KB V Model Suggestions Fixed 2'!J64)*'Product Data'!$P$18)</f>
        <v>#N/A</v>
      </c>
    </row>
    <row r="65" spans="2:12" x14ac:dyDescent="0.25">
      <c r="B65" s="1927">
        <f t="shared" si="3"/>
        <v>0</v>
      </c>
      <c r="C65" s="1928">
        <v>8.4000000000001001E-3</v>
      </c>
      <c r="D65" s="1931" t="e">
        <f>($C$9*24)/((($B$8-BBR+'Product Data'!$K$3-'KB V Model Suggestions Fixed 2'!$C65)/12)*(24-'KB V Model Suggestions Fixed 2'!B65)*'Product Data'!$P$23)</f>
        <v>#N/A</v>
      </c>
      <c r="F65" s="1927">
        <f t="shared" si="4"/>
        <v>0</v>
      </c>
      <c r="G65" s="1928">
        <v>8.4000000000001001E-3</v>
      </c>
      <c r="H65" s="1931" t="e">
        <f>($G$9*24)/((($F$8-BBR+'Product Data'!$K$3-'KB V Model Suggestions Fixed 2'!$G65)/12)*(24-'KB V Model Suggestions Fixed 2'!F65)*'Product Data'!$P$23)</f>
        <v>#N/A</v>
      </c>
      <c r="J65" s="1927">
        <f t="shared" si="5"/>
        <v>0</v>
      </c>
      <c r="K65" s="1928">
        <v>8.4000000000001001E-3</v>
      </c>
      <c r="L65" s="1931" t="e">
        <f>($K$9*24)/((($J$8-BBR+'Product Data'!$K$2-'KB V Model Suggestions Fixed 2'!$K65)/12)*(24-'KB V Model Suggestions Fixed 2'!J65)*'Product Data'!$P$18)</f>
        <v>#N/A</v>
      </c>
    </row>
    <row r="66" spans="2:12" x14ac:dyDescent="0.25">
      <c r="B66" s="1927">
        <f t="shared" si="3"/>
        <v>0</v>
      </c>
      <c r="C66" s="1928">
        <v>8.3000000000001007E-3</v>
      </c>
      <c r="D66" s="1931" t="e">
        <f>($C$9*24)/((($B$8-BBR+'Product Data'!$K$3-'KB V Model Suggestions Fixed 2'!$C66)/12)*(24-'KB V Model Suggestions Fixed 2'!B66)*'Product Data'!$P$23)</f>
        <v>#N/A</v>
      </c>
      <c r="F66" s="1927">
        <f t="shared" si="4"/>
        <v>0</v>
      </c>
      <c r="G66" s="1928">
        <v>8.3000000000001007E-3</v>
      </c>
      <c r="H66" s="1931" t="e">
        <f>($G$9*24)/((($F$8-BBR+'Product Data'!$K$3-'KB V Model Suggestions Fixed 2'!$G66)/12)*(24-'KB V Model Suggestions Fixed 2'!F66)*'Product Data'!$P$23)</f>
        <v>#N/A</v>
      </c>
      <c r="J66" s="1927">
        <f t="shared" si="5"/>
        <v>0</v>
      </c>
      <c r="K66" s="1928">
        <v>8.3000000000001007E-3</v>
      </c>
      <c r="L66" s="1931" t="e">
        <f>($K$9*24)/((($J$8-BBR+'Product Data'!$K$2-'KB V Model Suggestions Fixed 2'!$K66)/12)*(24-'KB V Model Suggestions Fixed 2'!J66)*'Product Data'!$P$18)</f>
        <v>#N/A</v>
      </c>
    </row>
    <row r="67" spans="2:12" x14ac:dyDescent="0.25">
      <c r="B67" s="1927">
        <f t="shared" si="3"/>
        <v>0</v>
      </c>
      <c r="C67" s="1928">
        <v>8.2000000000000996E-3</v>
      </c>
      <c r="D67" s="1931" t="e">
        <f>($C$9*24)/((($B$8-BBR+'Product Data'!$K$3-'KB V Model Suggestions Fixed 2'!$C67)/12)*(24-'KB V Model Suggestions Fixed 2'!B67)*'Product Data'!$P$23)</f>
        <v>#N/A</v>
      </c>
      <c r="F67" s="1927">
        <f t="shared" si="4"/>
        <v>0</v>
      </c>
      <c r="G67" s="1928">
        <v>8.2000000000000996E-3</v>
      </c>
      <c r="H67" s="1931" t="e">
        <f>($G$9*24)/((($F$8-BBR+'Product Data'!$K$3-'KB V Model Suggestions Fixed 2'!$G67)/12)*(24-'KB V Model Suggestions Fixed 2'!F67)*'Product Data'!$P$23)</f>
        <v>#N/A</v>
      </c>
      <c r="J67" s="1927">
        <f t="shared" si="5"/>
        <v>0</v>
      </c>
      <c r="K67" s="1928">
        <v>8.2000000000000996E-3</v>
      </c>
      <c r="L67" s="1931" t="e">
        <f>($K$9*24)/((($J$8-BBR+'Product Data'!$K$2-'KB V Model Suggestions Fixed 2'!$K67)/12)*(24-'KB V Model Suggestions Fixed 2'!J67)*'Product Data'!$P$18)</f>
        <v>#N/A</v>
      </c>
    </row>
    <row r="68" spans="2:12" x14ac:dyDescent="0.25">
      <c r="B68" s="1927">
        <f t="shared" si="3"/>
        <v>0</v>
      </c>
      <c r="C68" s="1928">
        <v>8.1000000000001002E-3</v>
      </c>
      <c r="D68" s="1931" t="e">
        <f>($C$9*24)/((($B$8-BBR+'Product Data'!$K$3-'KB V Model Suggestions Fixed 2'!$C68)/12)*(24-'KB V Model Suggestions Fixed 2'!B68)*'Product Data'!$P$23)</f>
        <v>#N/A</v>
      </c>
      <c r="F68" s="1927">
        <f t="shared" si="4"/>
        <v>0</v>
      </c>
      <c r="G68" s="1928">
        <v>8.1000000000001002E-3</v>
      </c>
      <c r="H68" s="1931" t="e">
        <f>($G$9*24)/((($F$8-BBR+'Product Data'!$K$3-'KB V Model Suggestions Fixed 2'!$G68)/12)*(24-'KB V Model Suggestions Fixed 2'!F68)*'Product Data'!$P$23)</f>
        <v>#N/A</v>
      </c>
      <c r="J68" s="1927">
        <f t="shared" si="5"/>
        <v>0</v>
      </c>
      <c r="K68" s="1928">
        <v>8.1000000000001002E-3</v>
      </c>
      <c r="L68" s="1931" t="e">
        <f>($K$9*24)/((($J$8-BBR+'Product Data'!$K$2-'KB V Model Suggestions Fixed 2'!$K68)/12)*(24-'KB V Model Suggestions Fixed 2'!J68)*'Product Data'!$P$18)</f>
        <v>#N/A</v>
      </c>
    </row>
    <row r="69" spans="2:12" x14ac:dyDescent="0.25">
      <c r="B69" s="1927">
        <f t="shared" si="3"/>
        <v>0</v>
      </c>
      <c r="C69" s="1928">
        <v>8.0000000000001008E-3</v>
      </c>
      <c r="D69" s="1931" t="e">
        <f>($C$9*24)/((($B$8-BBR+'Product Data'!$K$3-'KB V Model Suggestions Fixed 2'!$C69)/12)*(24-'KB V Model Suggestions Fixed 2'!B69)*'Product Data'!$P$23)</f>
        <v>#N/A</v>
      </c>
      <c r="F69" s="1927">
        <f t="shared" si="4"/>
        <v>0</v>
      </c>
      <c r="G69" s="1928">
        <v>8.0000000000001008E-3</v>
      </c>
      <c r="H69" s="1931" t="e">
        <f>($G$9*24)/((($F$8-BBR+'Product Data'!$K$3-'KB V Model Suggestions Fixed 2'!$G69)/12)*(24-'KB V Model Suggestions Fixed 2'!F69)*'Product Data'!$P$23)</f>
        <v>#N/A</v>
      </c>
      <c r="J69" s="1927">
        <f t="shared" si="5"/>
        <v>0</v>
      </c>
      <c r="K69" s="1928">
        <v>8.0000000000001008E-3</v>
      </c>
      <c r="L69" s="1931" t="e">
        <f>($K$9*24)/((($J$8-BBR+'Product Data'!$K$2-'KB V Model Suggestions Fixed 2'!$K69)/12)*(24-'KB V Model Suggestions Fixed 2'!J69)*'Product Data'!$P$18)</f>
        <v>#N/A</v>
      </c>
    </row>
    <row r="70" spans="2:12" x14ac:dyDescent="0.25">
      <c r="B70" s="1927">
        <f t="shared" si="3"/>
        <v>0</v>
      </c>
      <c r="C70" s="1928">
        <v>7.9000000000000997E-3</v>
      </c>
      <c r="D70" s="1931" t="e">
        <f>($C$9*24)/((($B$8-BBR+'Product Data'!$K$3-'KB V Model Suggestions Fixed 2'!$C70)/12)*(24-'KB V Model Suggestions Fixed 2'!B70)*'Product Data'!$P$23)</f>
        <v>#N/A</v>
      </c>
      <c r="F70" s="1927">
        <f t="shared" si="4"/>
        <v>0</v>
      </c>
      <c r="G70" s="1928">
        <v>7.9000000000000997E-3</v>
      </c>
      <c r="H70" s="1931" t="e">
        <f>($G$9*24)/((($F$8-BBR+'Product Data'!$K$3-'KB V Model Suggestions Fixed 2'!$G70)/12)*(24-'KB V Model Suggestions Fixed 2'!F70)*'Product Data'!$P$23)</f>
        <v>#N/A</v>
      </c>
      <c r="J70" s="1927">
        <f t="shared" si="5"/>
        <v>0</v>
      </c>
      <c r="K70" s="1928">
        <v>7.9000000000000997E-3</v>
      </c>
      <c r="L70" s="1931" t="e">
        <f>($K$9*24)/((($J$8-BBR+'Product Data'!$K$2-'KB V Model Suggestions Fixed 2'!$K70)/12)*(24-'KB V Model Suggestions Fixed 2'!J70)*'Product Data'!$P$18)</f>
        <v>#N/A</v>
      </c>
    </row>
    <row r="71" spans="2:12" x14ac:dyDescent="0.25">
      <c r="B71" s="1927">
        <f t="shared" si="3"/>
        <v>0</v>
      </c>
      <c r="C71" s="1928">
        <v>7.8000000000001003E-3</v>
      </c>
      <c r="D71" s="1931" t="e">
        <f>($C$9*24)/((($B$8-BBR+'Product Data'!$K$3-'KB V Model Suggestions Fixed 2'!$C71)/12)*(24-'KB V Model Suggestions Fixed 2'!B71)*'Product Data'!$P$23)</f>
        <v>#N/A</v>
      </c>
      <c r="F71" s="1927">
        <f t="shared" si="4"/>
        <v>0</v>
      </c>
      <c r="G71" s="1928">
        <v>7.8000000000001003E-3</v>
      </c>
      <c r="H71" s="1931" t="e">
        <f>($G$9*24)/((($F$8-BBR+'Product Data'!$K$3-'KB V Model Suggestions Fixed 2'!$G71)/12)*(24-'KB V Model Suggestions Fixed 2'!F71)*'Product Data'!$P$23)</f>
        <v>#N/A</v>
      </c>
      <c r="J71" s="1927">
        <f t="shared" si="5"/>
        <v>0</v>
      </c>
      <c r="K71" s="1928">
        <v>7.8000000000001003E-3</v>
      </c>
      <c r="L71" s="1931" t="e">
        <f>($K$9*24)/((($J$8-BBR+'Product Data'!$K$2-'KB V Model Suggestions Fixed 2'!$K71)/12)*(24-'KB V Model Suggestions Fixed 2'!J71)*'Product Data'!$P$18)</f>
        <v>#N/A</v>
      </c>
    </row>
    <row r="72" spans="2:12" x14ac:dyDescent="0.25">
      <c r="B72" s="1927">
        <f t="shared" si="3"/>
        <v>0</v>
      </c>
      <c r="C72" s="1928">
        <v>7.7000000000001E-3</v>
      </c>
      <c r="D72" s="1931" t="e">
        <f>($C$9*24)/((($B$8-BBR+'Product Data'!$K$3-'KB V Model Suggestions Fixed 2'!$C72)/12)*(24-'KB V Model Suggestions Fixed 2'!B72)*'Product Data'!$P$23)</f>
        <v>#N/A</v>
      </c>
      <c r="F72" s="1927">
        <f t="shared" si="4"/>
        <v>0</v>
      </c>
      <c r="G72" s="1928">
        <v>7.7000000000001E-3</v>
      </c>
      <c r="H72" s="1931" t="e">
        <f>($G$9*24)/((($F$8-BBR+'Product Data'!$K$3-'KB V Model Suggestions Fixed 2'!$G72)/12)*(24-'KB V Model Suggestions Fixed 2'!F72)*'Product Data'!$P$23)</f>
        <v>#N/A</v>
      </c>
      <c r="J72" s="1927">
        <f t="shared" si="5"/>
        <v>0</v>
      </c>
      <c r="K72" s="1928">
        <v>7.7000000000001E-3</v>
      </c>
      <c r="L72" s="1931" t="e">
        <f>($K$9*24)/((($J$8-BBR+'Product Data'!$K$2-'KB V Model Suggestions Fixed 2'!$K72)/12)*(24-'KB V Model Suggestions Fixed 2'!J72)*'Product Data'!$P$18)</f>
        <v>#N/A</v>
      </c>
    </row>
    <row r="73" spans="2:12" x14ac:dyDescent="0.25">
      <c r="B73" s="1927">
        <f t="shared" si="3"/>
        <v>0</v>
      </c>
      <c r="C73" s="1928">
        <v>7.6000000000000997E-3</v>
      </c>
      <c r="D73" s="1931" t="e">
        <f>($C$9*24)/((($B$8-BBR+'Product Data'!$K$3-'KB V Model Suggestions Fixed 2'!$C73)/12)*(24-'KB V Model Suggestions Fixed 2'!B73)*'Product Data'!$P$23)</f>
        <v>#N/A</v>
      </c>
      <c r="F73" s="1927">
        <f t="shared" si="4"/>
        <v>0</v>
      </c>
      <c r="G73" s="1928">
        <v>7.6000000000000997E-3</v>
      </c>
      <c r="H73" s="1931" t="e">
        <f>($G$9*24)/((($F$8-BBR+'Product Data'!$K$3-'KB V Model Suggestions Fixed 2'!$G73)/12)*(24-'KB V Model Suggestions Fixed 2'!F73)*'Product Data'!$P$23)</f>
        <v>#N/A</v>
      </c>
      <c r="J73" s="1927">
        <f t="shared" si="5"/>
        <v>0</v>
      </c>
      <c r="K73" s="1928">
        <v>7.6000000000000997E-3</v>
      </c>
      <c r="L73" s="1931" t="e">
        <f>($K$9*24)/((($J$8-BBR+'Product Data'!$K$2-'KB V Model Suggestions Fixed 2'!$K73)/12)*(24-'KB V Model Suggestions Fixed 2'!J73)*'Product Data'!$P$18)</f>
        <v>#N/A</v>
      </c>
    </row>
    <row r="74" spans="2:12" x14ac:dyDescent="0.25">
      <c r="B74" s="1927">
        <f t="shared" si="3"/>
        <v>0</v>
      </c>
      <c r="C74" s="1928">
        <v>7.5000000000001003E-3</v>
      </c>
      <c r="D74" s="1931" t="e">
        <f>($C$9*24)/((($B$8-BBR+'Product Data'!$K$3-'KB V Model Suggestions Fixed 2'!$C74)/12)*(24-'KB V Model Suggestions Fixed 2'!B74)*'Product Data'!$P$23)</f>
        <v>#N/A</v>
      </c>
      <c r="F74" s="1927">
        <f t="shared" si="4"/>
        <v>0</v>
      </c>
      <c r="G74" s="1928">
        <v>7.5000000000001003E-3</v>
      </c>
      <c r="H74" s="1931" t="e">
        <f>($G$9*24)/((($F$8-BBR+'Product Data'!$K$3-'KB V Model Suggestions Fixed 2'!$G74)/12)*(24-'KB V Model Suggestions Fixed 2'!F74)*'Product Data'!$P$23)</f>
        <v>#N/A</v>
      </c>
      <c r="J74" s="1927">
        <f t="shared" si="5"/>
        <v>0</v>
      </c>
      <c r="K74" s="1928">
        <v>7.5000000000001003E-3</v>
      </c>
      <c r="L74" s="1931" t="e">
        <f>($K$9*24)/((($J$8-BBR+'Product Data'!$K$2-'KB V Model Suggestions Fixed 2'!$K74)/12)*(24-'KB V Model Suggestions Fixed 2'!J74)*'Product Data'!$P$18)</f>
        <v>#N/A</v>
      </c>
    </row>
    <row r="75" spans="2:12" x14ac:dyDescent="0.25">
      <c r="B75" s="1927">
        <f t="shared" si="3"/>
        <v>0</v>
      </c>
      <c r="C75" s="1928">
        <v>7.4000000000001001E-3</v>
      </c>
      <c r="D75" s="1931" t="e">
        <f>($C$9*24)/((($B$8-BBR+'Product Data'!$K$3-'KB V Model Suggestions Fixed 2'!$C75)/12)*(24-'KB V Model Suggestions Fixed 2'!B75)*'Product Data'!$P$23)</f>
        <v>#N/A</v>
      </c>
      <c r="F75" s="1927">
        <f t="shared" si="4"/>
        <v>0</v>
      </c>
      <c r="G75" s="1928">
        <v>7.4000000000001001E-3</v>
      </c>
      <c r="H75" s="1931" t="e">
        <f>($G$9*24)/((($F$8-BBR+'Product Data'!$K$3-'KB V Model Suggestions Fixed 2'!$G75)/12)*(24-'KB V Model Suggestions Fixed 2'!F75)*'Product Data'!$P$23)</f>
        <v>#N/A</v>
      </c>
      <c r="J75" s="1927">
        <f t="shared" si="5"/>
        <v>0</v>
      </c>
      <c r="K75" s="1928">
        <v>7.4000000000001001E-3</v>
      </c>
      <c r="L75" s="1931" t="e">
        <f>($K$9*24)/((($J$8-BBR+'Product Data'!$K$2-'KB V Model Suggestions Fixed 2'!$K75)/12)*(24-'KB V Model Suggestions Fixed 2'!J75)*'Product Data'!$P$18)</f>
        <v>#N/A</v>
      </c>
    </row>
    <row r="76" spans="2:12" x14ac:dyDescent="0.25">
      <c r="B76" s="1927">
        <f t="shared" si="3"/>
        <v>0</v>
      </c>
      <c r="C76" s="1928">
        <v>7.3000000000000998E-3</v>
      </c>
      <c r="D76" s="1931" t="e">
        <f>($C$9*24)/((($B$8-BBR+'Product Data'!$K$3-'KB V Model Suggestions Fixed 2'!$C76)/12)*(24-'KB V Model Suggestions Fixed 2'!B76)*'Product Data'!$P$23)</f>
        <v>#N/A</v>
      </c>
      <c r="F76" s="1927">
        <f t="shared" si="4"/>
        <v>0</v>
      </c>
      <c r="G76" s="1928">
        <v>7.3000000000000998E-3</v>
      </c>
      <c r="H76" s="1931" t="e">
        <f>($G$9*24)/((($F$8-BBR+'Product Data'!$K$3-'KB V Model Suggestions Fixed 2'!$G76)/12)*(24-'KB V Model Suggestions Fixed 2'!F76)*'Product Data'!$P$23)</f>
        <v>#N/A</v>
      </c>
      <c r="J76" s="1927">
        <f t="shared" si="5"/>
        <v>0</v>
      </c>
      <c r="K76" s="1928">
        <v>7.3000000000000998E-3</v>
      </c>
      <c r="L76" s="1931" t="e">
        <f>($K$9*24)/((($J$8-BBR+'Product Data'!$K$2-'KB V Model Suggestions Fixed 2'!$K76)/12)*(24-'KB V Model Suggestions Fixed 2'!J76)*'Product Data'!$P$18)</f>
        <v>#N/A</v>
      </c>
    </row>
    <row r="77" spans="2:12" x14ac:dyDescent="0.25">
      <c r="B77" s="1927">
        <f t="shared" si="3"/>
        <v>0</v>
      </c>
      <c r="C77" s="1928">
        <v>7.2000000000001004E-3</v>
      </c>
      <c r="D77" s="1931" t="e">
        <f>($C$9*24)/((($B$8-BBR+'Product Data'!$K$3-'KB V Model Suggestions Fixed 2'!$C77)/12)*(24-'KB V Model Suggestions Fixed 2'!B77)*'Product Data'!$P$23)</f>
        <v>#N/A</v>
      </c>
      <c r="F77" s="1927">
        <f t="shared" si="4"/>
        <v>0</v>
      </c>
      <c r="G77" s="1928">
        <v>7.2000000000001004E-3</v>
      </c>
      <c r="H77" s="1931" t="e">
        <f>($G$9*24)/((($F$8-BBR+'Product Data'!$K$3-'KB V Model Suggestions Fixed 2'!$G77)/12)*(24-'KB V Model Suggestions Fixed 2'!F77)*'Product Data'!$P$23)</f>
        <v>#N/A</v>
      </c>
      <c r="J77" s="1927">
        <f t="shared" si="5"/>
        <v>0</v>
      </c>
      <c r="K77" s="1928">
        <v>7.2000000000001004E-3</v>
      </c>
      <c r="L77" s="1931" t="e">
        <f>($K$9*24)/((($J$8-BBR+'Product Data'!$K$2-'KB V Model Suggestions Fixed 2'!$K77)/12)*(24-'KB V Model Suggestions Fixed 2'!J77)*'Product Data'!$P$18)</f>
        <v>#N/A</v>
      </c>
    </row>
    <row r="78" spans="2:12" x14ac:dyDescent="0.25">
      <c r="B78" s="1927">
        <f t="shared" si="3"/>
        <v>0</v>
      </c>
      <c r="C78" s="1928">
        <v>7.1000000000001002E-3</v>
      </c>
      <c r="D78" s="1931" t="e">
        <f>($C$9*24)/((($B$8-BBR+'Product Data'!$K$3-'KB V Model Suggestions Fixed 2'!$C78)/12)*(24-'KB V Model Suggestions Fixed 2'!B78)*'Product Data'!$P$23)</f>
        <v>#N/A</v>
      </c>
      <c r="F78" s="1927">
        <f t="shared" si="4"/>
        <v>0</v>
      </c>
      <c r="G78" s="1928">
        <v>7.1000000000001002E-3</v>
      </c>
      <c r="H78" s="1931" t="e">
        <f>($G$9*24)/((($F$8-BBR+'Product Data'!$K$3-'KB V Model Suggestions Fixed 2'!$G78)/12)*(24-'KB V Model Suggestions Fixed 2'!F78)*'Product Data'!$P$23)</f>
        <v>#N/A</v>
      </c>
      <c r="J78" s="1927">
        <f t="shared" si="5"/>
        <v>0</v>
      </c>
      <c r="K78" s="1928">
        <v>7.1000000000001002E-3</v>
      </c>
      <c r="L78" s="1931" t="e">
        <f>($K$9*24)/((($J$8-BBR+'Product Data'!$K$2-'KB V Model Suggestions Fixed 2'!$K78)/12)*(24-'KB V Model Suggestions Fixed 2'!J78)*'Product Data'!$P$18)</f>
        <v>#N/A</v>
      </c>
    </row>
    <row r="79" spans="2:12" x14ac:dyDescent="0.25">
      <c r="B79" s="1927">
        <f t="shared" si="3"/>
        <v>0</v>
      </c>
      <c r="C79" s="1928">
        <v>7.0000000000000999E-3</v>
      </c>
      <c r="D79" s="1931" t="e">
        <f>($C$9*24)/((($B$8-BBR+'Product Data'!$K$3-'KB V Model Suggestions Fixed 2'!$C79)/12)*(24-'KB V Model Suggestions Fixed 2'!B79)*'Product Data'!$P$23)</f>
        <v>#N/A</v>
      </c>
      <c r="F79" s="1927">
        <f t="shared" si="4"/>
        <v>0</v>
      </c>
      <c r="G79" s="1928">
        <v>7.0000000000000999E-3</v>
      </c>
      <c r="H79" s="1931" t="e">
        <f>($G$9*24)/((($F$8-BBR+'Product Data'!$K$3-'KB V Model Suggestions Fixed 2'!$G79)/12)*(24-'KB V Model Suggestions Fixed 2'!F79)*'Product Data'!$P$23)</f>
        <v>#N/A</v>
      </c>
      <c r="J79" s="1927">
        <f t="shared" si="5"/>
        <v>0</v>
      </c>
      <c r="K79" s="1928">
        <v>7.0000000000000999E-3</v>
      </c>
      <c r="L79" s="1931" t="e">
        <f>($K$9*24)/((($J$8-BBR+'Product Data'!$K$2-'KB V Model Suggestions Fixed 2'!$K79)/12)*(24-'KB V Model Suggestions Fixed 2'!J79)*'Product Data'!$P$18)</f>
        <v>#N/A</v>
      </c>
    </row>
    <row r="80" spans="2:12" x14ac:dyDescent="0.25">
      <c r="B80" s="1927">
        <f t="shared" si="3"/>
        <v>0</v>
      </c>
      <c r="C80" s="1928">
        <v>6.9000000000000996E-3</v>
      </c>
      <c r="D80" s="1931" t="e">
        <f>($C$9*24)/((($B$8-BBR+'Product Data'!$K$3-'KB V Model Suggestions Fixed 2'!$C80)/12)*(24-'KB V Model Suggestions Fixed 2'!B80)*'Product Data'!$P$23)</f>
        <v>#N/A</v>
      </c>
      <c r="F80" s="1927">
        <f t="shared" si="4"/>
        <v>0</v>
      </c>
      <c r="G80" s="1928">
        <v>6.9000000000000996E-3</v>
      </c>
      <c r="H80" s="1931" t="e">
        <f>($G$9*24)/((($F$8-BBR+'Product Data'!$K$3-'KB V Model Suggestions Fixed 2'!$G80)/12)*(24-'KB V Model Suggestions Fixed 2'!F80)*'Product Data'!$P$23)</f>
        <v>#N/A</v>
      </c>
      <c r="J80" s="1927">
        <f t="shared" si="5"/>
        <v>0</v>
      </c>
      <c r="K80" s="1928">
        <v>6.9000000000000996E-3</v>
      </c>
      <c r="L80" s="1931" t="e">
        <f>($K$9*24)/((($J$8-BBR+'Product Data'!$K$2-'KB V Model Suggestions Fixed 2'!$K80)/12)*(24-'KB V Model Suggestions Fixed 2'!J80)*'Product Data'!$P$18)</f>
        <v>#N/A</v>
      </c>
    </row>
    <row r="81" spans="2:12" x14ac:dyDescent="0.25">
      <c r="B81" s="1927">
        <f t="shared" si="3"/>
        <v>0</v>
      </c>
      <c r="C81" s="1928">
        <v>6.8000000000001002E-3</v>
      </c>
      <c r="D81" s="1931" t="e">
        <f>($C$9*24)/((($B$8-BBR+'Product Data'!$K$3-'KB V Model Suggestions Fixed 2'!$C81)/12)*(24-'KB V Model Suggestions Fixed 2'!B81)*'Product Data'!$P$23)</f>
        <v>#N/A</v>
      </c>
      <c r="F81" s="1927">
        <f t="shared" si="4"/>
        <v>0</v>
      </c>
      <c r="G81" s="1928">
        <v>6.8000000000001002E-3</v>
      </c>
      <c r="H81" s="1931" t="e">
        <f>($G$9*24)/((($F$8-BBR+'Product Data'!$K$3-'KB V Model Suggestions Fixed 2'!$G81)/12)*(24-'KB V Model Suggestions Fixed 2'!F81)*'Product Data'!$P$23)</f>
        <v>#N/A</v>
      </c>
      <c r="J81" s="1927">
        <f t="shared" si="5"/>
        <v>0</v>
      </c>
      <c r="K81" s="1928">
        <v>6.8000000000001002E-3</v>
      </c>
      <c r="L81" s="1931" t="e">
        <f>($K$9*24)/((($J$8-BBR+'Product Data'!$K$2-'KB V Model Suggestions Fixed 2'!$K81)/12)*(24-'KB V Model Suggestions Fixed 2'!J81)*'Product Data'!$P$18)</f>
        <v>#N/A</v>
      </c>
    </row>
    <row r="82" spans="2:12" x14ac:dyDescent="0.25">
      <c r="B82" s="1927">
        <f t="shared" si="3"/>
        <v>0</v>
      </c>
      <c r="C82" s="1928">
        <v>6.7000000000001E-3</v>
      </c>
      <c r="D82" s="1931" t="e">
        <f>($C$9*24)/((($B$8-BBR+'Product Data'!$K$3-'KB V Model Suggestions Fixed 2'!$C82)/12)*(24-'KB V Model Suggestions Fixed 2'!B82)*'Product Data'!$P$23)</f>
        <v>#N/A</v>
      </c>
      <c r="F82" s="1927">
        <f t="shared" si="4"/>
        <v>0</v>
      </c>
      <c r="G82" s="1928">
        <v>6.7000000000001E-3</v>
      </c>
      <c r="H82" s="1931" t="e">
        <f>($G$9*24)/((($F$8-BBR+'Product Data'!$K$3-'KB V Model Suggestions Fixed 2'!$G82)/12)*(24-'KB V Model Suggestions Fixed 2'!F82)*'Product Data'!$P$23)</f>
        <v>#N/A</v>
      </c>
      <c r="J82" s="1927">
        <f t="shared" si="5"/>
        <v>0</v>
      </c>
      <c r="K82" s="1928">
        <v>6.7000000000001E-3</v>
      </c>
      <c r="L82" s="1931" t="e">
        <f>($K$9*24)/((($J$8-BBR+'Product Data'!$K$2-'KB V Model Suggestions Fixed 2'!$K82)/12)*(24-'KB V Model Suggestions Fixed 2'!J82)*'Product Data'!$P$18)</f>
        <v>#N/A</v>
      </c>
    </row>
    <row r="83" spans="2:12" x14ac:dyDescent="0.25">
      <c r="B83" s="1927">
        <f t="shared" si="3"/>
        <v>0</v>
      </c>
      <c r="C83" s="1928">
        <v>6.6000000000000997E-3</v>
      </c>
      <c r="D83" s="1931" t="e">
        <f>($C$9*24)/((($B$8-BBR+'Product Data'!$K$3-'KB V Model Suggestions Fixed 2'!$C83)/12)*(24-'KB V Model Suggestions Fixed 2'!B83)*'Product Data'!$P$23)</f>
        <v>#N/A</v>
      </c>
      <c r="F83" s="1927">
        <f t="shared" si="4"/>
        <v>0</v>
      </c>
      <c r="G83" s="1928">
        <v>6.6000000000000997E-3</v>
      </c>
      <c r="H83" s="1931" t="e">
        <f>($G$9*24)/((($F$8-BBR+'Product Data'!$K$3-'KB V Model Suggestions Fixed 2'!$G83)/12)*(24-'KB V Model Suggestions Fixed 2'!F83)*'Product Data'!$P$23)</f>
        <v>#N/A</v>
      </c>
      <c r="J83" s="1927">
        <f t="shared" si="5"/>
        <v>0</v>
      </c>
      <c r="K83" s="1928">
        <v>6.6000000000000997E-3</v>
      </c>
      <c r="L83" s="1931" t="e">
        <f>($K$9*24)/((($J$8-BBR+'Product Data'!$K$2-'KB V Model Suggestions Fixed 2'!$K83)/12)*(24-'KB V Model Suggestions Fixed 2'!J83)*'Product Data'!$P$18)</f>
        <v>#N/A</v>
      </c>
    </row>
    <row r="84" spans="2:12" x14ac:dyDescent="0.25">
      <c r="B84" s="1927">
        <f t="shared" si="3"/>
        <v>0</v>
      </c>
      <c r="C84" s="1928">
        <v>6.5000000000001003E-3</v>
      </c>
      <c r="D84" s="1931" t="e">
        <f>($C$9*24)/((($B$8-BBR+'Product Data'!$K$3-'KB V Model Suggestions Fixed 2'!$C84)/12)*(24-'KB V Model Suggestions Fixed 2'!B84)*'Product Data'!$P$23)</f>
        <v>#N/A</v>
      </c>
      <c r="F84" s="1927">
        <f t="shared" si="4"/>
        <v>0</v>
      </c>
      <c r="G84" s="1928">
        <v>6.5000000000001003E-3</v>
      </c>
      <c r="H84" s="1931" t="e">
        <f>($G$9*24)/((($F$8-BBR+'Product Data'!$K$3-'KB V Model Suggestions Fixed 2'!$G84)/12)*(24-'KB V Model Suggestions Fixed 2'!F84)*'Product Data'!$P$23)</f>
        <v>#N/A</v>
      </c>
      <c r="J84" s="1927">
        <f t="shared" si="5"/>
        <v>0</v>
      </c>
      <c r="K84" s="1928">
        <v>6.5000000000001003E-3</v>
      </c>
      <c r="L84" s="1931" t="e">
        <f>($K$9*24)/((($J$8-BBR+'Product Data'!$K$2-'KB V Model Suggestions Fixed 2'!$K84)/12)*(24-'KB V Model Suggestions Fixed 2'!J84)*'Product Data'!$P$18)</f>
        <v>#N/A</v>
      </c>
    </row>
    <row r="85" spans="2:12" x14ac:dyDescent="0.25">
      <c r="B85" s="1927">
        <f t="shared" si="3"/>
        <v>0</v>
      </c>
      <c r="C85" s="1928">
        <v>6.4000000000001001E-3</v>
      </c>
      <c r="D85" s="1931" t="e">
        <f>($C$9*24)/((($B$8-BBR+'Product Data'!$K$3-'KB V Model Suggestions Fixed 2'!$C85)/12)*(24-'KB V Model Suggestions Fixed 2'!B85)*'Product Data'!$P$23)</f>
        <v>#N/A</v>
      </c>
      <c r="F85" s="1927">
        <f t="shared" si="4"/>
        <v>0</v>
      </c>
      <c r="G85" s="1928">
        <v>6.4000000000001001E-3</v>
      </c>
      <c r="H85" s="1931" t="e">
        <f>($G$9*24)/((($F$8-BBR+'Product Data'!$K$3-'KB V Model Suggestions Fixed 2'!$G85)/12)*(24-'KB V Model Suggestions Fixed 2'!F85)*'Product Data'!$P$23)</f>
        <v>#N/A</v>
      </c>
      <c r="J85" s="1927">
        <f t="shared" si="5"/>
        <v>0</v>
      </c>
      <c r="K85" s="1928">
        <v>6.4000000000001001E-3</v>
      </c>
      <c r="L85" s="1931" t="e">
        <f>($K$9*24)/((($J$8-BBR+'Product Data'!$K$2-'KB V Model Suggestions Fixed 2'!$K85)/12)*(24-'KB V Model Suggestions Fixed 2'!J85)*'Product Data'!$P$18)</f>
        <v>#N/A</v>
      </c>
    </row>
    <row r="86" spans="2:12" x14ac:dyDescent="0.25">
      <c r="B86" s="1927">
        <f t="shared" si="3"/>
        <v>0</v>
      </c>
      <c r="C86" s="1928">
        <v>6.3000000000000998E-3</v>
      </c>
      <c r="D86" s="1931" t="e">
        <f>($C$9*24)/((($B$8-BBR+'Product Data'!$K$3-'KB V Model Suggestions Fixed 2'!$C86)/12)*(24-'KB V Model Suggestions Fixed 2'!B86)*'Product Data'!$P$23)</f>
        <v>#N/A</v>
      </c>
      <c r="F86" s="1927">
        <f t="shared" si="4"/>
        <v>0</v>
      </c>
      <c r="G86" s="1928">
        <v>6.3000000000000998E-3</v>
      </c>
      <c r="H86" s="1931" t="e">
        <f>($G$9*24)/((($F$8-BBR+'Product Data'!$K$3-'KB V Model Suggestions Fixed 2'!$G86)/12)*(24-'KB V Model Suggestions Fixed 2'!F86)*'Product Data'!$P$23)</f>
        <v>#N/A</v>
      </c>
      <c r="J86" s="1927">
        <f t="shared" si="5"/>
        <v>0</v>
      </c>
      <c r="K86" s="1928">
        <v>6.3000000000000998E-3</v>
      </c>
      <c r="L86" s="1931" t="e">
        <f>($K$9*24)/((($J$8-BBR+'Product Data'!$K$2-'KB V Model Suggestions Fixed 2'!$K86)/12)*(24-'KB V Model Suggestions Fixed 2'!J86)*'Product Data'!$P$18)</f>
        <v>#N/A</v>
      </c>
    </row>
    <row r="87" spans="2:12" x14ac:dyDescent="0.25">
      <c r="B87" s="1927">
        <f t="shared" si="3"/>
        <v>0</v>
      </c>
      <c r="C87" s="1928">
        <v>6.2000000000001004E-3</v>
      </c>
      <c r="D87" s="1931" t="e">
        <f>($C$9*24)/((($B$8-BBR+'Product Data'!$K$3-'KB V Model Suggestions Fixed 2'!$C87)/12)*(24-'KB V Model Suggestions Fixed 2'!B87)*'Product Data'!$P$23)</f>
        <v>#N/A</v>
      </c>
      <c r="F87" s="1927">
        <f t="shared" si="4"/>
        <v>0</v>
      </c>
      <c r="G87" s="1928">
        <v>6.2000000000001004E-3</v>
      </c>
      <c r="H87" s="1931" t="e">
        <f>($G$9*24)/((($F$8-BBR+'Product Data'!$K$3-'KB V Model Suggestions Fixed 2'!$G87)/12)*(24-'KB V Model Suggestions Fixed 2'!F87)*'Product Data'!$P$23)</f>
        <v>#N/A</v>
      </c>
      <c r="J87" s="1927">
        <f t="shared" si="5"/>
        <v>0</v>
      </c>
      <c r="K87" s="1928">
        <v>6.2000000000001004E-3</v>
      </c>
      <c r="L87" s="1931" t="e">
        <f>($K$9*24)/((($J$8-BBR+'Product Data'!$K$2-'KB V Model Suggestions Fixed 2'!$K87)/12)*(24-'KB V Model Suggestions Fixed 2'!J87)*'Product Data'!$P$18)</f>
        <v>#N/A</v>
      </c>
    </row>
    <row r="88" spans="2:12" x14ac:dyDescent="0.25">
      <c r="B88" s="1927">
        <f t="shared" si="3"/>
        <v>0</v>
      </c>
      <c r="C88" s="1928">
        <v>6.1000000000001001E-3</v>
      </c>
      <c r="D88" s="1931" t="e">
        <f>($C$9*24)/((($B$8-BBR+'Product Data'!$K$3-'KB V Model Suggestions Fixed 2'!$C88)/12)*(24-'KB V Model Suggestions Fixed 2'!B88)*'Product Data'!$P$23)</f>
        <v>#N/A</v>
      </c>
      <c r="F88" s="1927">
        <f t="shared" si="4"/>
        <v>0</v>
      </c>
      <c r="G88" s="1928">
        <v>6.1000000000001001E-3</v>
      </c>
      <c r="H88" s="1931" t="e">
        <f>($G$9*24)/((($F$8-BBR+'Product Data'!$K$3-'KB V Model Suggestions Fixed 2'!$G88)/12)*(24-'KB V Model Suggestions Fixed 2'!F88)*'Product Data'!$P$23)</f>
        <v>#N/A</v>
      </c>
      <c r="J88" s="1927">
        <f t="shared" si="5"/>
        <v>0</v>
      </c>
      <c r="K88" s="1928">
        <v>6.1000000000001001E-3</v>
      </c>
      <c r="L88" s="1931" t="e">
        <f>($K$9*24)/((($J$8-BBR+'Product Data'!$K$2-'KB V Model Suggestions Fixed 2'!$K88)/12)*(24-'KB V Model Suggestions Fixed 2'!J88)*'Product Data'!$P$18)</f>
        <v>#N/A</v>
      </c>
    </row>
    <row r="89" spans="2:12" x14ac:dyDescent="0.25">
      <c r="B89" s="1927">
        <f t="shared" si="3"/>
        <v>0</v>
      </c>
      <c r="C89" s="1928">
        <v>6.0000000000000999E-3</v>
      </c>
      <c r="D89" s="1931" t="e">
        <f>($C$9*24)/((($B$8-BBR+'Product Data'!$K$3-'KB V Model Suggestions Fixed 2'!$C89)/12)*(24-'KB V Model Suggestions Fixed 2'!B89)*'Product Data'!$P$23)</f>
        <v>#N/A</v>
      </c>
      <c r="F89" s="1927">
        <f t="shared" si="4"/>
        <v>0</v>
      </c>
      <c r="G89" s="1928">
        <v>6.0000000000000999E-3</v>
      </c>
      <c r="H89" s="1931" t="e">
        <f>($G$9*24)/((($F$8-BBR+'Product Data'!$K$3-'KB V Model Suggestions Fixed 2'!$G89)/12)*(24-'KB V Model Suggestions Fixed 2'!F89)*'Product Data'!$P$23)</f>
        <v>#N/A</v>
      </c>
      <c r="J89" s="1927">
        <f t="shared" si="5"/>
        <v>0</v>
      </c>
      <c r="K89" s="1928">
        <v>6.0000000000000999E-3</v>
      </c>
      <c r="L89" s="1931" t="e">
        <f>($K$9*24)/((($J$8-BBR+'Product Data'!$K$2-'KB V Model Suggestions Fixed 2'!$K89)/12)*(24-'KB V Model Suggestions Fixed 2'!J89)*'Product Data'!$P$18)</f>
        <v>#N/A</v>
      </c>
    </row>
    <row r="90" spans="2:12" x14ac:dyDescent="0.25">
      <c r="B90" s="1927">
        <f t="shared" ref="B90:B149" si="6">B89</f>
        <v>0</v>
      </c>
      <c r="C90" s="1928">
        <v>5.9000000000000996E-3</v>
      </c>
      <c r="D90" s="1931" t="e">
        <f>($C$9*24)/((($B$8-BBR+'Product Data'!$K$3-'KB V Model Suggestions Fixed 2'!$C90)/12)*(24-'KB V Model Suggestions Fixed 2'!B90)*'Product Data'!$P$23)</f>
        <v>#N/A</v>
      </c>
      <c r="F90" s="1927">
        <f t="shared" ref="F90:F149" si="7">F89</f>
        <v>0</v>
      </c>
      <c r="G90" s="1928">
        <v>5.9000000000000996E-3</v>
      </c>
      <c r="H90" s="1931" t="e">
        <f>($G$9*24)/((($F$8-BBR+'Product Data'!$K$3-'KB V Model Suggestions Fixed 2'!$G90)/12)*(24-'KB V Model Suggestions Fixed 2'!F90)*'Product Data'!$P$23)</f>
        <v>#N/A</v>
      </c>
      <c r="J90" s="1927">
        <f t="shared" ref="J90:J149" si="8">J89</f>
        <v>0</v>
      </c>
      <c r="K90" s="1928">
        <v>5.9000000000000996E-3</v>
      </c>
      <c r="L90" s="1931" t="e">
        <f>($K$9*24)/((($J$8-BBR+'Product Data'!$K$2-'KB V Model Suggestions Fixed 2'!$K90)/12)*(24-'KB V Model Suggestions Fixed 2'!J90)*'Product Data'!$P$18)</f>
        <v>#N/A</v>
      </c>
    </row>
    <row r="91" spans="2:12" x14ac:dyDescent="0.25">
      <c r="B91" s="1927">
        <f t="shared" si="6"/>
        <v>0</v>
      </c>
      <c r="C91" s="1928">
        <v>5.8000000000001002E-3</v>
      </c>
      <c r="D91" s="1931" t="e">
        <f>($C$9*24)/((($B$8-BBR+'Product Data'!$K$3-'KB V Model Suggestions Fixed 2'!$C91)/12)*(24-'KB V Model Suggestions Fixed 2'!B91)*'Product Data'!$P$23)</f>
        <v>#N/A</v>
      </c>
      <c r="F91" s="1927">
        <f t="shared" si="7"/>
        <v>0</v>
      </c>
      <c r="G91" s="1928">
        <v>5.8000000000001002E-3</v>
      </c>
      <c r="H91" s="1931" t="e">
        <f>($G$9*24)/((($F$8-BBR+'Product Data'!$K$3-'KB V Model Suggestions Fixed 2'!$G91)/12)*(24-'KB V Model Suggestions Fixed 2'!F91)*'Product Data'!$P$23)</f>
        <v>#N/A</v>
      </c>
      <c r="J91" s="1927">
        <f t="shared" si="8"/>
        <v>0</v>
      </c>
      <c r="K91" s="1928">
        <v>5.8000000000001002E-3</v>
      </c>
      <c r="L91" s="1931" t="e">
        <f>($K$9*24)/((($J$8-BBR+'Product Data'!$K$2-'KB V Model Suggestions Fixed 2'!$K91)/12)*(24-'KB V Model Suggestions Fixed 2'!J91)*'Product Data'!$P$18)</f>
        <v>#N/A</v>
      </c>
    </row>
    <row r="92" spans="2:12" x14ac:dyDescent="0.25">
      <c r="B92" s="1927">
        <f t="shared" si="6"/>
        <v>0</v>
      </c>
      <c r="C92" s="1928">
        <v>5.7000000000001E-3</v>
      </c>
      <c r="D92" s="1931" t="e">
        <f>($C$9*24)/((($B$8-BBR+'Product Data'!$K$3-'KB V Model Suggestions Fixed 2'!$C92)/12)*(24-'KB V Model Suggestions Fixed 2'!B92)*'Product Data'!$P$23)</f>
        <v>#N/A</v>
      </c>
      <c r="F92" s="1927">
        <f t="shared" si="7"/>
        <v>0</v>
      </c>
      <c r="G92" s="1928">
        <v>5.7000000000001E-3</v>
      </c>
      <c r="H92" s="1931" t="e">
        <f>($G$9*24)/((($F$8-BBR+'Product Data'!$K$3-'KB V Model Suggestions Fixed 2'!$G92)/12)*(24-'KB V Model Suggestions Fixed 2'!F92)*'Product Data'!$P$23)</f>
        <v>#N/A</v>
      </c>
      <c r="J92" s="1927">
        <f t="shared" si="8"/>
        <v>0</v>
      </c>
      <c r="K92" s="1928">
        <v>5.7000000000001E-3</v>
      </c>
      <c r="L92" s="1931" t="e">
        <f>($K$9*24)/((($J$8-BBR+'Product Data'!$K$2-'KB V Model Suggestions Fixed 2'!$K92)/12)*(24-'KB V Model Suggestions Fixed 2'!J92)*'Product Data'!$P$18)</f>
        <v>#N/A</v>
      </c>
    </row>
    <row r="93" spans="2:12" x14ac:dyDescent="0.25">
      <c r="B93" s="1927">
        <f t="shared" si="6"/>
        <v>0</v>
      </c>
      <c r="C93" s="1928">
        <v>5.6000000000000997E-3</v>
      </c>
      <c r="D93" s="1931" t="e">
        <f>($C$9*24)/((($B$8-BBR+'Product Data'!$K$3-'KB V Model Suggestions Fixed 2'!$C93)/12)*(24-'KB V Model Suggestions Fixed 2'!B93)*'Product Data'!$P$23)</f>
        <v>#N/A</v>
      </c>
      <c r="F93" s="1927">
        <f t="shared" si="7"/>
        <v>0</v>
      </c>
      <c r="G93" s="1928">
        <v>5.6000000000000997E-3</v>
      </c>
      <c r="H93" s="1931" t="e">
        <f>($G$9*24)/((($F$8-BBR+'Product Data'!$K$3-'KB V Model Suggestions Fixed 2'!$G93)/12)*(24-'KB V Model Suggestions Fixed 2'!F93)*'Product Data'!$P$23)</f>
        <v>#N/A</v>
      </c>
      <c r="J93" s="1927">
        <f t="shared" si="8"/>
        <v>0</v>
      </c>
      <c r="K93" s="1928">
        <v>5.6000000000000997E-3</v>
      </c>
      <c r="L93" s="1931" t="e">
        <f>($K$9*24)/((($J$8-BBR+'Product Data'!$K$2-'KB V Model Suggestions Fixed 2'!$K93)/12)*(24-'KB V Model Suggestions Fixed 2'!J93)*'Product Data'!$P$18)</f>
        <v>#N/A</v>
      </c>
    </row>
    <row r="94" spans="2:12" x14ac:dyDescent="0.25">
      <c r="B94" s="1927">
        <f t="shared" si="6"/>
        <v>0</v>
      </c>
      <c r="C94" s="1928">
        <v>5.5000000000001003E-3</v>
      </c>
      <c r="D94" s="1931" t="e">
        <f>($C$9*24)/((($B$8-BBR+'Product Data'!$K$3-'KB V Model Suggestions Fixed 2'!$C94)/12)*(24-'KB V Model Suggestions Fixed 2'!B94)*'Product Data'!$P$23)</f>
        <v>#N/A</v>
      </c>
      <c r="F94" s="1927">
        <f t="shared" si="7"/>
        <v>0</v>
      </c>
      <c r="G94" s="1928">
        <v>5.5000000000001003E-3</v>
      </c>
      <c r="H94" s="1931" t="e">
        <f>($G$9*24)/((($F$8-BBR+'Product Data'!$K$3-'KB V Model Suggestions Fixed 2'!$G94)/12)*(24-'KB V Model Suggestions Fixed 2'!F94)*'Product Data'!$P$23)</f>
        <v>#N/A</v>
      </c>
      <c r="J94" s="1927">
        <f t="shared" si="8"/>
        <v>0</v>
      </c>
      <c r="K94" s="1928">
        <v>5.5000000000001003E-3</v>
      </c>
      <c r="L94" s="1931" t="e">
        <f>($K$9*24)/((($J$8-BBR+'Product Data'!$K$2-'KB V Model Suggestions Fixed 2'!$K94)/12)*(24-'KB V Model Suggestions Fixed 2'!J94)*'Product Data'!$P$18)</f>
        <v>#N/A</v>
      </c>
    </row>
    <row r="95" spans="2:12" x14ac:dyDescent="0.25">
      <c r="B95" s="1927">
        <f t="shared" si="6"/>
        <v>0</v>
      </c>
      <c r="C95" s="1928">
        <v>5.4000000000001E-3</v>
      </c>
      <c r="D95" s="1931" t="e">
        <f>($C$9*24)/((($B$8-BBR+'Product Data'!$K$3-'KB V Model Suggestions Fixed 2'!$C95)/12)*(24-'KB V Model Suggestions Fixed 2'!B95)*'Product Data'!$P$23)</f>
        <v>#N/A</v>
      </c>
      <c r="F95" s="1927">
        <f t="shared" si="7"/>
        <v>0</v>
      </c>
      <c r="G95" s="1928">
        <v>5.4000000000001E-3</v>
      </c>
      <c r="H95" s="1931" t="e">
        <f>($G$9*24)/((($F$8-BBR+'Product Data'!$K$3-'KB V Model Suggestions Fixed 2'!$G95)/12)*(24-'KB V Model Suggestions Fixed 2'!F95)*'Product Data'!$P$23)</f>
        <v>#N/A</v>
      </c>
      <c r="J95" s="1927">
        <f t="shared" si="8"/>
        <v>0</v>
      </c>
      <c r="K95" s="1928">
        <v>5.4000000000001E-3</v>
      </c>
      <c r="L95" s="1931" t="e">
        <f>($K$9*24)/((($J$8-BBR+'Product Data'!$K$2-'KB V Model Suggestions Fixed 2'!$K95)/12)*(24-'KB V Model Suggestions Fixed 2'!J95)*'Product Data'!$P$18)</f>
        <v>#N/A</v>
      </c>
    </row>
    <row r="96" spans="2:12" x14ac:dyDescent="0.25">
      <c r="B96" s="1927">
        <f t="shared" si="6"/>
        <v>0</v>
      </c>
      <c r="C96" s="1928">
        <v>5.3000000000000998E-3</v>
      </c>
      <c r="D96" s="1931" t="e">
        <f>($C$9*24)/((($B$8-BBR+'Product Data'!$K$3-'KB V Model Suggestions Fixed 2'!$C96)/12)*(24-'KB V Model Suggestions Fixed 2'!B96)*'Product Data'!$P$23)</f>
        <v>#N/A</v>
      </c>
      <c r="F96" s="1927">
        <f t="shared" si="7"/>
        <v>0</v>
      </c>
      <c r="G96" s="1928">
        <v>5.3000000000000998E-3</v>
      </c>
      <c r="H96" s="1931" t="e">
        <f>($G$9*24)/((($F$8-BBR+'Product Data'!$K$3-'KB V Model Suggestions Fixed 2'!$G96)/12)*(24-'KB V Model Suggestions Fixed 2'!F96)*'Product Data'!$P$23)</f>
        <v>#N/A</v>
      </c>
      <c r="J96" s="1927">
        <f t="shared" si="8"/>
        <v>0</v>
      </c>
      <c r="K96" s="1928">
        <v>5.3000000000000998E-3</v>
      </c>
      <c r="L96" s="1931" t="e">
        <f>($K$9*24)/((($J$8-BBR+'Product Data'!$K$2-'KB V Model Suggestions Fixed 2'!$K96)/12)*(24-'KB V Model Suggestions Fixed 2'!J96)*'Product Data'!$P$18)</f>
        <v>#N/A</v>
      </c>
    </row>
    <row r="97" spans="2:12" x14ac:dyDescent="0.25">
      <c r="B97" s="1927">
        <f t="shared" si="6"/>
        <v>0</v>
      </c>
      <c r="C97" s="1928">
        <v>5.2000000000001004E-3</v>
      </c>
      <c r="D97" s="1931" t="e">
        <f>($C$9*24)/((($B$8-BBR+'Product Data'!$K$3-'KB V Model Suggestions Fixed 2'!$C97)/12)*(24-'KB V Model Suggestions Fixed 2'!B97)*'Product Data'!$P$23)</f>
        <v>#N/A</v>
      </c>
      <c r="F97" s="1927">
        <f t="shared" si="7"/>
        <v>0</v>
      </c>
      <c r="G97" s="1928">
        <v>5.2000000000001004E-3</v>
      </c>
      <c r="H97" s="1931" t="e">
        <f>($G$9*24)/((($F$8-BBR+'Product Data'!$K$3-'KB V Model Suggestions Fixed 2'!$G97)/12)*(24-'KB V Model Suggestions Fixed 2'!F97)*'Product Data'!$P$23)</f>
        <v>#N/A</v>
      </c>
      <c r="J97" s="1927">
        <f t="shared" si="8"/>
        <v>0</v>
      </c>
      <c r="K97" s="1928">
        <v>5.2000000000001004E-3</v>
      </c>
      <c r="L97" s="1931" t="e">
        <f>($K$9*24)/((($J$8-BBR+'Product Data'!$K$2-'KB V Model Suggestions Fixed 2'!$K97)/12)*(24-'KB V Model Suggestions Fixed 2'!J97)*'Product Data'!$P$18)</f>
        <v>#N/A</v>
      </c>
    </row>
    <row r="98" spans="2:12" x14ac:dyDescent="0.25">
      <c r="B98" s="1927">
        <f t="shared" si="6"/>
        <v>0</v>
      </c>
      <c r="C98" s="1928">
        <v>5.1000000000001001E-3</v>
      </c>
      <c r="D98" s="1931" t="e">
        <f>($C$9*24)/((($B$8-BBR+'Product Data'!$K$3-'KB V Model Suggestions Fixed 2'!$C98)/12)*(24-'KB V Model Suggestions Fixed 2'!B98)*'Product Data'!$P$23)</f>
        <v>#N/A</v>
      </c>
      <c r="F98" s="1927">
        <f t="shared" si="7"/>
        <v>0</v>
      </c>
      <c r="G98" s="1928">
        <v>5.1000000000001001E-3</v>
      </c>
      <c r="H98" s="1931" t="e">
        <f>($G$9*24)/((($F$8-BBR+'Product Data'!$K$3-'KB V Model Suggestions Fixed 2'!$G98)/12)*(24-'KB V Model Suggestions Fixed 2'!F98)*'Product Data'!$P$23)</f>
        <v>#N/A</v>
      </c>
      <c r="J98" s="1927">
        <f t="shared" si="8"/>
        <v>0</v>
      </c>
      <c r="K98" s="1928">
        <v>5.1000000000001001E-3</v>
      </c>
      <c r="L98" s="1931" t="e">
        <f>($K$9*24)/((($J$8-BBR+'Product Data'!$K$2-'KB V Model Suggestions Fixed 2'!$K98)/12)*(24-'KB V Model Suggestions Fixed 2'!J98)*'Product Data'!$P$18)</f>
        <v>#N/A</v>
      </c>
    </row>
    <row r="99" spans="2:12" x14ac:dyDescent="0.25">
      <c r="B99" s="1927">
        <f t="shared" si="6"/>
        <v>0</v>
      </c>
      <c r="C99" s="1928">
        <v>5.0000000000000999E-3</v>
      </c>
      <c r="D99" s="1931" t="e">
        <f>($C$9*24)/((($B$8-BBR+'Product Data'!$K$3-'KB V Model Suggestions Fixed 2'!$C99)/12)*(24-'KB V Model Suggestions Fixed 2'!B99)*'Product Data'!$P$23)</f>
        <v>#N/A</v>
      </c>
      <c r="F99" s="1927">
        <f t="shared" si="7"/>
        <v>0</v>
      </c>
      <c r="G99" s="1928">
        <v>5.0000000000000999E-3</v>
      </c>
      <c r="H99" s="1931" t="e">
        <f>($G$9*24)/((($F$8-BBR+'Product Data'!$K$3-'KB V Model Suggestions Fixed 2'!$G99)/12)*(24-'KB V Model Suggestions Fixed 2'!F99)*'Product Data'!$P$23)</f>
        <v>#N/A</v>
      </c>
      <c r="J99" s="1927">
        <f t="shared" si="8"/>
        <v>0</v>
      </c>
      <c r="K99" s="1928">
        <v>5.0000000000000999E-3</v>
      </c>
      <c r="L99" s="1931" t="e">
        <f>($K$9*24)/((($J$8-BBR+'Product Data'!$K$2-'KB V Model Suggestions Fixed 2'!$K99)/12)*(24-'KB V Model Suggestions Fixed 2'!J99)*'Product Data'!$P$18)</f>
        <v>#N/A</v>
      </c>
    </row>
    <row r="100" spans="2:12" x14ac:dyDescent="0.25">
      <c r="B100" s="1927">
        <f t="shared" si="6"/>
        <v>0</v>
      </c>
      <c r="C100" s="1928">
        <v>4.9000000000000996E-3</v>
      </c>
      <c r="D100" s="1931" t="e">
        <f>($C$9*24)/((($B$8-BBR+'Product Data'!$K$3-'KB V Model Suggestions Fixed 2'!$C100)/12)*(24-'KB V Model Suggestions Fixed 2'!B100)*'Product Data'!$P$23)</f>
        <v>#N/A</v>
      </c>
      <c r="F100" s="1927">
        <f t="shared" si="7"/>
        <v>0</v>
      </c>
      <c r="G100" s="1928">
        <v>4.9000000000000996E-3</v>
      </c>
      <c r="H100" s="1931" t="e">
        <f>($G$9*24)/((($F$8-BBR+'Product Data'!$K$3-'KB V Model Suggestions Fixed 2'!$G100)/12)*(24-'KB V Model Suggestions Fixed 2'!F100)*'Product Data'!$P$23)</f>
        <v>#N/A</v>
      </c>
      <c r="J100" s="1927">
        <f t="shared" si="8"/>
        <v>0</v>
      </c>
      <c r="K100" s="1928">
        <v>4.9000000000000996E-3</v>
      </c>
      <c r="L100" s="1931" t="e">
        <f>($K$9*24)/((($J$8-BBR+'Product Data'!$K$2-'KB V Model Suggestions Fixed 2'!$K100)/12)*(24-'KB V Model Suggestions Fixed 2'!J100)*'Product Data'!$P$18)</f>
        <v>#N/A</v>
      </c>
    </row>
    <row r="101" spans="2:12" x14ac:dyDescent="0.25">
      <c r="B101" s="1927">
        <f t="shared" si="6"/>
        <v>0</v>
      </c>
      <c r="C101" s="1928">
        <v>4.8000000000001002E-3</v>
      </c>
      <c r="D101" s="1931" t="e">
        <f>($C$9*24)/((($B$8-BBR+'Product Data'!$K$3-'KB V Model Suggestions Fixed 2'!$C101)/12)*(24-'KB V Model Suggestions Fixed 2'!B101)*'Product Data'!$P$23)</f>
        <v>#N/A</v>
      </c>
      <c r="F101" s="1927">
        <f t="shared" si="7"/>
        <v>0</v>
      </c>
      <c r="G101" s="1928">
        <v>4.8000000000001002E-3</v>
      </c>
      <c r="H101" s="1931" t="e">
        <f>($G$9*24)/((($F$8-BBR+'Product Data'!$K$3-'KB V Model Suggestions Fixed 2'!$G101)/12)*(24-'KB V Model Suggestions Fixed 2'!F101)*'Product Data'!$P$23)</f>
        <v>#N/A</v>
      </c>
      <c r="J101" s="1927">
        <f t="shared" si="8"/>
        <v>0</v>
      </c>
      <c r="K101" s="1928">
        <v>4.8000000000001002E-3</v>
      </c>
      <c r="L101" s="1931" t="e">
        <f>($K$9*24)/((($J$8-BBR+'Product Data'!$K$2-'KB V Model Suggestions Fixed 2'!$K101)/12)*(24-'KB V Model Suggestions Fixed 2'!J101)*'Product Data'!$P$18)</f>
        <v>#N/A</v>
      </c>
    </row>
    <row r="102" spans="2:12" x14ac:dyDescent="0.25">
      <c r="B102" s="1927">
        <f t="shared" si="6"/>
        <v>0</v>
      </c>
      <c r="C102" s="1928">
        <v>4.7000000000000999E-3</v>
      </c>
      <c r="D102" s="1931" t="e">
        <f>($C$9*24)/((($B$8-BBR+'Product Data'!$K$3-'KB V Model Suggestions Fixed 2'!$C102)/12)*(24-'KB V Model Suggestions Fixed 2'!B102)*'Product Data'!$P$23)</f>
        <v>#N/A</v>
      </c>
      <c r="F102" s="1927">
        <f t="shared" si="7"/>
        <v>0</v>
      </c>
      <c r="G102" s="1928">
        <v>4.7000000000000999E-3</v>
      </c>
      <c r="H102" s="1931" t="e">
        <f>($G$9*24)/((($F$8-BBR+'Product Data'!$K$3-'KB V Model Suggestions Fixed 2'!$G102)/12)*(24-'KB V Model Suggestions Fixed 2'!F102)*'Product Data'!$P$23)</f>
        <v>#N/A</v>
      </c>
      <c r="J102" s="1927">
        <f t="shared" si="8"/>
        <v>0</v>
      </c>
      <c r="K102" s="1928">
        <v>4.7000000000000999E-3</v>
      </c>
      <c r="L102" s="1931" t="e">
        <f>($K$9*24)/((($J$8-BBR+'Product Data'!$K$2-'KB V Model Suggestions Fixed 2'!$K102)/12)*(24-'KB V Model Suggestions Fixed 2'!J102)*'Product Data'!$P$18)</f>
        <v>#N/A</v>
      </c>
    </row>
    <row r="103" spans="2:12" x14ac:dyDescent="0.25">
      <c r="B103" s="1927">
        <f t="shared" si="6"/>
        <v>0</v>
      </c>
      <c r="C103" s="1928">
        <v>4.6000000000000997E-3</v>
      </c>
      <c r="D103" s="1931" t="e">
        <f>($C$9*24)/((($B$8-BBR+'Product Data'!$K$3-'KB V Model Suggestions Fixed 2'!$C103)/12)*(24-'KB V Model Suggestions Fixed 2'!B103)*'Product Data'!$P$23)</f>
        <v>#N/A</v>
      </c>
      <c r="F103" s="1927">
        <f t="shared" si="7"/>
        <v>0</v>
      </c>
      <c r="G103" s="1928">
        <v>4.6000000000000997E-3</v>
      </c>
      <c r="H103" s="1931" t="e">
        <f>($G$9*24)/((($F$8-BBR+'Product Data'!$K$3-'KB V Model Suggestions Fixed 2'!$G103)/12)*(24-'KB V Model Suggestions Fixed 2'!F103)*'Product Data'!$P$23)</f>
        <v>#N/A</v>
      </c>
      <c r="J103" s="1927">
        <f t="shared" si="8"/>
        <v>0</v>
      </c>
      <c r="K103" s="1928">
        <v>4.6000000000000997E-3</v>
      </c>
      <c r="L103" s="1931" t="e">
        <f>($K$9*24)/((($J$8-BBR+'Product Data'!$K$2-'KB V Model Suggestions Fixed 2'!$K103)/12)*(24-'KB V Model Suggestions Fixed 2'!J103)*'Product Data'!$P$18)</f>
        <v>#N/A</v>
      </c>
    </row>
    <row r="104" spans="2:12" x14ac:dyDescent="0.25">
      <c r="B104" s="1927">
        <f t="shared" si="6"/>
        <v>0</v>
      </c>
      <c r="C104" s="1928">
        <v>4.5000000000001003E-3</v>
      </c>
      <c r="D104" s="1931" t="e">
        <f>($C$9*24)/((($B$8-BBR+'Product Data'!$K$3-'KB V Model Suggestions Fixed 2'!$C104)/12)*(24-'KB V Model Suggestions Fixed 2'!B104)*'Product Data'!$P$23)</f>
        <v>#N/A</v>
      </c>
      <c r="F104" s="1927">
        <f t="shared" si="7"/>
        <v>0</v>
      </c>
      <c r="G104" s="1928">
        <v>4.5000000000001003E-3</v>
      </c>
      <c r="H104" s="1931" t="e">
        <f>($G$9*24)/((($F$8-BBR+'Product Data'!$K$3-'KB V Model Suggestions Fixed 2'!$G104)/12)*(24-'KB V Model Suggestions Fixed 2'!F104)*'Product Data'!$P$23)</f>
        <v>#N/A</v>
      </c>
      <c r="J104" s="1927">
        <f t="shared" si="8"/>
        <v>0</v>
      </c>
      <c r="K104" s="1928">
        <v>4.5000000000001003E-3</v>
      </c>
      <c r="L104" s="1931" t="e">
        <f>($K$9*24)/((($J$8-BBR+'Product Data'!$K$2-'KB V Model Suggestions Fixed 2'!$K104)/12)*(24-'KB V Model Suggestions Fixed 2'!J104)*'Product Data'!$P$18)</f>
        <v>#N/A</v>
      </c>
    </row>
    <row r="105" spans="2:12" x14ac:dyDescent="0.25">
      <c r="B105" s="1927">
        <f t="shared" si="6"/>
        <v>0</v>
      </c>
      <c r="C105" s="1928">
        <v>4.4000000000001E-3</v>
      </c>
      <c r="D105" s="1931" t="e">
        <f>($C$9*24)/((($B$8-BBR+'Product Data'!$K$3-'KB V Model Suggestions Fixed 2'!$C105)/12)*(24-'KB V Model Suggestions Fixed 2'!B105)*'Product Data'!$P$23)</f>
        <v>#N/A</v>
      </c>
      <c r="F105" s="1927">
        <f t="shared" si="7"/>
        <v>0</v>
      </c>
      <c r="G105" s="1928">
        <v>4.4000000000001E-3</v>
      </c>
      <c r="H105" s="1931" t="e">
        <f>($G$9*24)/((($F$8-BBR+'Product Data'!$K$3-'KB V Model Suggestions Fixed 2'!$G105)/12)*(24-'KB V Model Suggestions Fixed 2'!F105)*'Product Data'!$P$23)</f>
        <v>#N/A</v>
      </c>
      <c r="J105" s="1927">
        <f t="shared" si="8"/>
        <v>0</v>
      </c>
      <c r="K105" s="1928">
        <v>4.4000000000001E-3</v>
      </c>
      <c r="L105" s="1931" t="e">
        <f>($K$9*24)/((($J$8-BBR+'Product Data'!$K$2-'KB V Model Suggestions Fixed 2'!$K105)/12)*(24-'KB V Model Suggestions Fixed 2'!J105)*'Product Data'!$P$18)</f>
        <v>#N/A</v>
      </c>
    </row>
    <row r="106" spans="2:12" x14ac:dyDescent="0.25">
      <c r="B106" s="1927">
        <f t="shared" si="6"/>
        <v>0</v>
      </c>
      <c r="C106" s="1928">
        <v>4.3000000000000997E-3</v>
      </c>
      <c r="D106" s="1931" t="e">
        <f>($C$9*24)/((($B$8-BBR+'Product Data'!$K$3-'KB V Model Suggestions Fixed 2'!$C106)/12)*(24-'KB V Model Suggestions Fixed 2'!B106)*'Product Data'!$P$23)</f>
        <v>#N/A</v>
      </c>
      <c r="F106" s="1927">
        <f t="shared" si="7"/>
        <v>0</v>
      </c>
      <c r="G106" s="1928">
        <v>4.3000000000000997E-3</v>
      </c>
      <c r="H106" s="1931" t="e">
        <f>($G$9*24)/((($F$8-BBR+'Product Data'!$K$3-'KB V Model Suggestions Fixed 2'!$G106)/12)*(24-'KB V Model Suggestions Fixed 2'!F106)*'Product Data'!$P$23)</f>
        <v>#N/A</v>
      </c>
      <c r="J106" s="1927">
        <f t="shared" si="8"/>
        <v>0</v>
      </c>
      <c r="K106" s="1928">
        <v>4.3000000000000997E-3</v>
      </c>
      <c r="L106" s="1931" t="e">
        <f>($K$9*24)/((($J$8-BBR+'Product Data'!$K$2-'KB V Model Suggestions Fixed 2'!$K106)/12)*(24-'KB V Model Suggestions Fixed 2'!J106)*'Product Data'!$P$18)</f>
        <v>#N/A</v>
      </c>
    </row>
    <row r="107" spans="2:12" x14ac:dyDescent="0.25">
      <c r="B107" s="1927">
        <f t="shared" si="6"/>
        <v>0</v>
      </c>
      <c r="C107" s="1928">
        <v>4.2000000000001004E-3</v>
      </c>
      <c r="D107" s="1931" t="e">
        <f>($C$9*24)/((($B$8-BBR+'Product Data'!$K$3-'KB V Model Suggestions Fixed 2'!$C107)/12)*(24-'KB V Model Suggestions Fixed 2'!B107)*'Product Data'!$P$23)</f>
        <v>#N/A</v>
      </c>
      <c r="F107" s="1927">
        <f t="shared" si="7"/>
        <v>0</v>
      </c>
      <c r="G107" s="1928">
        <v>4.2000000000001004E-3</v>
      </c>
      <c r="H107" s="1931" t="e">
        <f>($G$9*24)/((($F$8-BBR+'Product Data'!$K$3-'KB V Model Suggestions Fixed 2'!$G107)/12)*(24-'KB V Model Suggestions Fixed 2'!F107)*'Product Data'!$P$23)</f>
        <v>#N/A</v>
      </c>
      <c r="J107" s="1927">
        <f t="shared" si="8"/>
        <v>0</v>
      </c>
      <c r="K107" s="1928">
        <v>4.2000000000001004E-3</v>
      </c>
      <c r="L107" s="1931" t="e">
        <f>($K$9*24)/((($J$8-BBR+'Product Data'!$K$2-'KB V Model Suggestions Fixed 2'!$K107)/12)*(24-'KB V Model Suggestions Fixed 2'!J107)*'Product Data'!$P$18)</f>
        <v>#N/A</v>
      </c>
    </row>
    <row r="108" spans="2:12" x14ac:dyDescent="0.25">
      <c r="B108" s="1927">
        <f t="shared" si="6"/>
        <v>0</v>
      </c>
      <c r="C108" s="1928">
        <v>4.1000000000001001E-3</v>
      </c>
      <c r="D108" s="1931" t="e">
        <f>($C$9*24)/((($B$8-BBR+'Product Data'!$K$3-'KB V Model Suggestions Fixed 2'!$C108)/12)*(24-'KB V Model Suggestions Fixed 2'!B108)*'Product Data'!$P$23)</f>
        <v>#N/A</v>
      </c>
      <c r="F108" s="1927">
        <f t="shared" si="7"/>
        <v>0</v>
      </c>
      <c r="G108" s="1928">
        <v>4.1000000000001001E-3</v>
      </c>
      <c r="H108" s="1931" t="e">
        <f>($G$9*24)/((($F$8-BBR+'Product Data'!$K$3-'KB V Model Suggestions Fixed 2'!$G108)/12)*(24-'KB V Model Suggestions Fixed 2'!F108)*'Product Data'!$P$23)</f>
        <v>#N/A</v>
      </c>
      <c r="J108" s="1927">
        <f t="shared" si="8"/>
        <v>0</v>
      </c>
      <c r="K108" s="1928">
        <v>4.1000000000001001E-3</v>
      </c>
      <c r="L108" s="1931" t="e">
        <f>($K$9*24)/((($J$8-BBR+'Product Data'!$K$2-'KB V Model Suggestions Fixed 2'!$K108)/12)*(24-'KB V Model Suggestions Fixed 2'!J108)*'Product Data'!$P$18)</f>
        <v>#N/A</v>
      </c>
    </row>
    <row r="109" spans="2:12" x14ac:dyDescent="0.25">
      <c r="B109" s="1927">
        <f t="shared" si="6"/>
        <v>0</v>
      </c>
      <c r="C109" s="1928">
        <v>4.0000000000000998E-3</v>
      </c>
      <c r="D109" s="1931" t="e">
        <f>($C$9*24)/((($B$8-BBR+'Product Data'!$K$3-'KB V Model Suggestions Fixed 2'!$C109)/12)*(24-'KB V Model Suggestions Fixed 2'!B109)*'Product Data'!$P$23)</f>
        <v>#N/A</v>
      </c>
      <c r="F109" s="1927">
        <f t="shared" si="7"/>
        <v>0</v>
      </c>
      <c r="G109" s="1928">
        <v>4.0000000000000998E-3</v>
      </c>
      <c r="H109" s="1931" t="e">
        <f>($G$9*24)/((($F$8-BBR+'Product Data'!$K$3-'KB V Model Suggestions Fixed 2'!$G109)/12)*(24-'KB V Model Suggestions Fixed 2'!F109)*'Product Data'!$P$23)</f>
        <v>#N/A</v>
      </c>
      <c r="J109" s="1927">
        <f t="shared" si="8"/>
        <v>0</v>
      </c>
      <c r="K109" s="1928">
        <v>4.0000000000000998E-3</v>
      </c>
      <c r="L109" s="1931" t="e">
        <f>($K$9*24)/((($J$8-BBR+'Product Data'!$K$2-'KB V Model Suggestions Fixed 2'!$K109)/12)*(24-'KB V Model Suggestions Fixed 2'!J109)*'Product Data'!$P$18)</f>
        <v>#N/A</v>
      </c>
    </row>
    <row r="110" spans="2:12" x14ac:dyDescent="0.25">
      <c r="B110" s="1927">
        <f t="shared" si="6"/>
        <v>0</v>
      </c>
      <c r="C110" s="1928">
        <v>3.9000000000001E-3</v>
      </c>
      <c r="D110" s="1931" t="e">
        <f>($C$9*24)/((($B$8-BBR+'Product Data'!$K$3-'KB V Model Suggestions Fixed 2'!$C110)/12)*(24-'KB V Model Suggestions Fixed 2'!B110)*'Product Data'!$P$23)</f>
        <v>#N/A</v>
      </c>
      <c r="F110" s="1927">
        <f t="shared" si="7"/>
        <v>0</v>
      </c>
      <c r="G110" s="1928">
        <v>3.9000000000001E-3</v>
      </c>
      <c r="H110" s="1931" t="e">
        <f>($G$9*24)/((($F$8-BBR+'Product Data'!$K$3-'KB V Model Suggestions Fixed 2'!$G110)/12)*(24-'KB V Model Suggestions Fixed 2'!F110)*'Product Data'!$P$23)</f>
        <v>#N/A</v>
      </c>
      <c r="J110" s="1927">
        <f t="shared" si="8"/>
        <v>0</v>
      </c>
      <c r="K110" s="1928">
        <v>3.9000000000001E-3</v>
      </c>
      <c r="L110" s="1931" t="e">
        <f>($K$9*24)/((($J$8-BBR+'Product Data'!$K$2-'KB V Model Suggestions Fixed 2'!$K110)/12)*(24-'KB V Model Suggestions Fixed 2'!J110)*'Product Data'!$P$18)</f>
        <v>#N/A</v>
      </c>
    </row>
    <row r="111" spans="2:12" x14ac:dyDescent="0.25">
      <c r="B111" s="1927">
        <f t="shared" si="6"/>
        <v>0</v>
      </c>
      <c r="C111" s="1928">
        <v>3.8000000000001002E-3</v>
      </c>
      <c r="D111" s="1931" t="e">
        <f>($C$9*24)/((($B$8-BBR+'Product Data'!$K$3-'KB V Model Suggestions Fixed 2'!$C111)/12)*(24-'KB V Model Suggestions Fixed 2'!B111)*'Product Data'!$P$23)</f>
        <v>#N/A</v>
      </c>
      <c r="F111" s="1927">
        <f t="shared" si="7"/>
        <v>0</v>
      </c>
      <c r="G111" s="1928">
        <v>3.8000000000001002E-3</v>
      </c>
      <c r="H111" s="1931" t="e">
        <f>($G$9*24)/((($F$8-BBR+'Product Data'!$K$3-'KB V Model Suggestions Fixed 2'!$G111)/12)*(24-'KB V Model Suggestions Fixed 2'!F111)*'Product Data'!$P$23)</f>
        <v>#N/A</v>
      </c>
      <c r="J111" s="1927">
        <f t="shared" si="8"/>
        <v>0</v>
      </c>
      <c r="K111" s="1928">
        <v>3.8000000000001002E-3</v>
      </c>
      <c r="L111" s="1931" t="e">
        <f>($K$9*24)/((($J$8-BBR+'Product Data'!$K$2-'KB V Model Suggestions Fixed 2'!$K111)/12)*(24-'KB V Model Suggestions Fixed 2'!J111)*'Product Data'!$P$18)</f>
        <v>#N/A</v>
      </c>
    </row>
    <row r="112" spans="2:12" x14ac:dyDescent="0.25">
      <c r="B112" s="1927">
        <f t="shared" si="6"/>
        <v>0</v>
      </c>
      <c r="C112" s="1928">
        <v>3.7000000000000999E-3</v>
      </c>
      <c r="D112" s="1931" t="e">
        <f>($C$9*24)/((($B$8-BBR+'Product Data'!$K$3-'KB V Model Suggestions Fixed 2'!$C112)/12)*(24-'KB V Model Suggestions Fixed 2'!B112)*'Product Data'!$P$23)</f>
        <v>#N/A</v>
      </c>
      <c r="F112" s="1927">
        <f t="shared" si="7"/>
        <v>0</v>
      </c>
      <c r="G112" s="1928">
        <v>3.7000000000000999E-3</v>
      </c>
      <c r="H112" s="1931" t="e">
        <f>($G$9*24)/((($F$8-BBR+'Product Data'!$K$3-'KB V Model Suggestions Fixed 2'!$G112)/12)*(24-'KB V Model Suggestions Fixed 2'!F112)*'Product Data'!$P$23)</f>
        <v>#N/A</v>
      </c>
      <c r="J112" s="1927">
        <f t="shared" si="8"/>
        <v>0</v>
      </c>
      <c r="K112" s="1928">
        <v>3.7000000000000999E-3</v>
      </c>
      <c r="L112" s="1931" t="e">
        <f>($K$9*24)/((($J$8-BBR+'Product Data'!$K$2-'KB V Model Suggestions Fixed 2'!$K112)/12)*(24-'KB V Model Suggestions Fixed 2'!J112)*'Product Data'!$P$18)</f>
        <v>#N/A</v>
      </c>
    </row>
    <row r="113" spans="2:12" x14ac:dyDescent="0.25">
      <c r="B113" s="1927">
        <f t="shared" si="6"/>
        <v>0</v>
      </c>
      <c r="C113" s="1928">
        <v>3.6000000000001001E-3</v>
      </c>
      <c r="D113" s="1931" t="e">
        <f>($C$9*24)/((($B$8-BBR+'Product Data'!$K$3-'KB V Model Suggestions Fixed 2'!$C113)/12)*(24-'KB V Model Suggestions Fixed 2'!B113)*'Product Data'!$P$23)</f>
        <v>#N/A</v>
      </c>
      <c r="F113" s="1927">
        <f t="shared" si="7"/>
        <v>0</v>
      </c>
      <c r="G113" s="1928">
        <v>3.6000000000001001E-3</v>
      </c>
      <c r="H113" s="1931" t="e">
        <f>($G$9*24)/((($F$8-BBR+'Product Data'!$K$3-'KB V Model Suggestions Fixed 2'!$G113)/12)*(24-'KB V Model Suggestions Fixed 2'!F113)*'Product Data'!$P$23)</f>
        <v>#N/A</v>
      </c>
      <c r="J113" s="1927">
        <f t="shared" si="8"/>
        <v>0</v>
      </c>
      <c r="K113" s="1928">
        <v>3.6000000000001001E-3</v>
      </c>
      <c r="L113" s="1931" t="e">
        <f>($K$9*24)/((($J$8-BBR+'Product Data'!$K$2-'KB V Model Suggestions Fixed 2'!$K113)/12)*(24-'KB V Model Suggestions Fixed 2'!J113)*'Product Data'!$P$18)</f>
        <v>#N/A</v>
      </c>
    </row>
    <row r="114" spans="2:12" x14ac:dyDescent="0.25">
      <c r="B114" s="1927">
        <f t="shared" si="6"/>
        <v>0</v>
      </c>
      <c r="C114" s="1928">
        <v>3.5000000000000998E-3</v>
      </c>
      <c r="D114" s="1931" t="e">
        <f>($C$9*24)/((($B$8-BBR+'Product Data'!$K$3-'KB V Model Suggestions Fixed 2'!$C114)/12)*(24-'KB V Model Suggestions Fixed 2'!B114)*'Product Data'!$P$23)</f>
        <v>#N/A</v>
      </c>
      <c r="F114" s="1927">
        <f t="shared" si="7"/>
        <v>0</v>
      </c>
      <c r="G114" s="1928">
        <v>3.5000000000000998E-3</v>
      </c>
      <c r="H114" s="1931" t="e">
        <f>($G$9*24)/((($F$8-BBR+'Product Data'!$K$3-'KB V Model Suggestions Fixed 2'!$G114)/12)*(24-'KB V Model Suggestions Fixed 2'!F114)*'Product Data'!$P$23)</f>
        <v>#N/A</v>
      </c>
      <c r="J114" s="1927">
        <f t="shared" si="8"/>
        <v>0</v>
      </c>
      <c r="K114" s="1928">
        <v>3.5000000000000998E-3</v>
      </c>
      <c r="L114" s="1931" t="e">
        <f>($K$9*24)/((($J$8-BBR+'Product Data'!$K$2-'KB V Model Suggestions Fixed 2'!$K114)/12)*(24-'KB V Model Suggestions Fixed 2'!J114)*'Product Data'!$P$18)</f>
        <v>#N/A</v>
      </c>
    </row>
    <row r="115" spans="2:12" x14ac:dyDescent="0.25">
      <c r="B115" s="1927">
        <f t="shared" si="6"/>
        <v>0</v>
      </c>
      <c r="C115" s="1928">
        <v>3.4000000000001E-3</v>
      </c>
      <c r="D115" s="1931" t="e">
        <f>($C$9*24)/((($B$8-BBR+'Product Data'!$K$3-'KB V Model Suggestions Fixed 2'!$C115)/12)*(24-'KB V Model Suggestions Fixed 2'!B115)*'Product Data'!$P$23)</f>
        <v>#N/A</v>
      </c>
      <c r="F115" s="1927">
        <f t="shared" si="7"/>
        <v>0</v>
      </c>
      <c r="G115" s="1928">
        <v>3.4000000000001E-3</v>
      </c>
      <c r="H115" s="1931" t="e">
        <f>($G$9*24)/((($F$8-BBR+'Product Data'!$K$3-'KB V Model Suggestions Fixed 2'!$G115)/12)*(24-'KB V Model Suggestions Fixed 2'!F115)*'Product Data'!$P$23)</f>
        <v>#N/A</v>
      </c>
      <c r="J115" s="1927">
        <f t="shared" si="8"/>
        <v>0</v>
      </c>
      <c r="K115" s="1928">
        <v>3.4000000000001E-3</v>
      </c>
      <c r="L115" s="1931" t="e">
        <f>($K$9*24)/((($J$8-BBR+'Product Data'!$K$2-'KB V Model Suggestions Fixed 2'!$K115)/12)*(24-'KB V Model Suggestions Fixed 2'!J115)*'Product Data'!$P$18)</f>
        <v>#N/A</v>
      </c>
    </row>
    <row r="116" spans="2:12" x14ac:dyDescent="0.25">
      <c r="B116" s="1927">
        <f t="shared" si="6"/>
        <v>0</v>
      </c>
      <c r="C116" s="1928">
        <v>3.3000000000001002E-3</v>
      </c>
      <c r="D116" s="1931" t="e">
        <f>($C$9*24)/((($B$8-BBR+'Product Data'!$K$3-'KB V Model Suggestions Fixed 2'!$C116)/12)*(24-'KB V Model Suggestions Fixed 2'!B116)*'Product Data'!$P$23)</f>
        <v>#N/A</v>
      </c>
      <c r="F116" s="1927">
        <f t="shared" si="7"/>
        <v>0</v>
      </c>
      <c r="G116" s="1928">
        <v>3.3000000000001002E-3</v>
      </c>
      <c r="H116" s="1931" t="e">
        <f>($G$9*24)/((($F$8-BBR+'Product Data'!$K$3-'KB V Model Suggestions Fixed 2'!$G116)/12)*(24-'KB V Model Suggestions Fixed 2'!F116)*'Product Data'!$P$23)</f>
        <v>#N/A</v>
      </c>
      <c r="J116" s="1927">
        <f t="shared" si="8"/>
        <v>0</v>
      </c>
      <c r="K116" s="1928">
        <v>3.3000000000001002E-3</v>
      </c>
      <c r="L116" s="1931" t="e">
        <f>($K$9*24)/((($J$8-BBR+'Product Data'!$K$2-'KB V Model Suggestions Fixed 2'!$K116)/12)*(24-'KB V Model Suggestions Fixed 2'!J116)*'Product Data'!$P$18)</f>
        <v>#N/A</v>
      </c>
    </row>
    <row r="117" spans="2:12" x14ac:dyDescent="0.25">
      <c r="B117" s="1927">
        <f t="shared" si="6"/>
        <v>0</v>
      </c>
      <c r="C117" s="1928">
        <v>3.2000000000000999E-3</v>
      </c>
      <c r="D117" s="1931" t="e">
        <f>($C$9*24)/((($B$8-BBR+'Product Data'!$K$3-'KB V Model Suggestions Fixed 2'!$C117)/12)*(24-'KB V Model Suggestions Fixed 2'!B117)*'Product Data'!$P$23)</f>
        <v>#N/A</v>
      </c>
      <c r="F117" s="1927">
        <f t="shared" si="7"/>
        <v>0</v>
      </c>
      <c r="G117" s="1928">
        <v>3.2000000000000999E-3</v>
      </c>
      <c r="H117" s="1931" t="e">
        <f>($G$9*24)/((($F$8-BBR+'Product Data'!$K$3-'KB V Model Suggestions Fixed 2'!$G117)/12)*(24-'KB V Model Suggestions Fixed 2'!F117)*'Product Data'!$P$23)</f>
        <v>#N/A</v>
      </c>
      <c r="J117" s="1927">
        <f t="shared" si="8"/>
        <v>0</v>
      </c>
      <c r="K117" s="1928">
        <v>3.2000000000000999E-3</v>
      </c>
      <c r="L117" s="1931" t="e">
        <f>($K$9*24)/((($J$8-BBR+'Product Data'!$K$2-'KB V Model Suggestions Fixed 2'!$K117)/12)*(24-'KB V Model Suggestions Fixed 2'!J117)*'Product Data'!$P$18)</f>
        <v>#N/A</v>
      </c>
    </row>
    <row r="118" spans="2:12" x14ac:dyDescent="0.25">
      <c r="B118" s="1927">
        <f t="shared" si="6"/>
        <v>0</v>
      </c>
      <c r="C118" s="1928">
        <v>3.1000000000001001E-3</v>
      </c>
      <c r="D118" s="1931" t="e">
        <f>($C$9*24)/((($B$8-BBR+'Product Data'!$K$3-'KB V Model Suggestions Fixed 2'!$C118)/12)*(24-'KB V Model Suggestions Fixed 2'!B118)*'Product Data'!$P$23)</f>
        <v>#N/A</v>
      </c>
      <c r="F118" s="1927">
        <f t="shared" si="7"/>
        <v>0</v>
      </c>
      <c r="G118" s="1928">
        <v>3.1000000000001001E-3</v>
      </c>
      <c r="H118" s="1931" t="e">
        <f>($G$9*24)/((($F$8-BBR+'Product Data'!$K$3-'KB V Model Suggestions Fixed 2'!$G118)/12)*(24-'KB V Model Suggestions Fixed 2'!F118)*'Product Data'!$P$23)</f>
        <v>#N/A</v>
      </c>
      <c r="J118" s="1927">
        <f t="shared" si="8"/>
        <v>0</v>
      </c>
      <c r="K118" s="1928">
        <v>3.1000000000001001E-3</v>
      </c>
      <c r="L118" s="1931" t="e">
        <f>($K$9*24)/((($J$8-BBR+'Product Data'!$K$2-'KB V Model Suggestions Fixed 2'!$K118)/12)*(24-'KB V Model Suggestions Fixed 2'!J118)*'Product Data'!$P$18)</f>
        <v>#N/A</v>
      </c>
    </row>
    <row r="119" spans="2:12" x14ac:dyDescent="0.25">
      <c r="B119" s="1927">
        <f t="shared" si="6"/>
        <v>0</v>
      </c>
      <c r="C119" s="1928">
        <v>3.0000000000000998E-3</v>
      </c>
      <c r="D119" s="1931" t="e">
        <f>($C$9*24)/((($B$8-BBR+'Product Data'!$K$3-'KB V Model Suggestions Fixed 2'!$C119)/12)*(24-'KB V Model Suggestions Fixed 2'!B119)*'Product Data'!$P$23)</f>
        <v>#N/A</v>
      </c>
      <c r="F119" s="1927">
        <f t="shared" si="7"/>
        <v>0</v>
      </c>
      <c r="G119" s="1928">
        <v>3.0000000000000998E-3</v>
      </c>
      <c r="H119" s="1931" t="e">
        <f>($G$9*24)/((($F$8-BBR+'Product Data'!$K$3-'KB V Model Suggestions Fixed 2'!$G119)/12)*(24-'KB V Model Suggestions Fixed 2'!F119)*'Product Data'!$P$23)</f>
        <v>#N/A</v>
      </c>
      <c r="J119" s="1927">
        <f t="shared" si="8"/>
        <v>0</v>
      </c>
      <c r="K119" s="1928">
        <v>3.0000000000000998E-3</v>
      </c>
      <c r="L119" s="1931" t="e">
        <f>($K$9*24)/((($J$8-BBR+'Product Data'!$K$2-'KB V Model Suggestions Fixed 2'!$K119)/12)*(24-'KB V Model Suggestions Fixed 2'!J119)*'Product Data'!$P$18)</f>
        <v>#N/A</v>
      </c>
    </row>
    <row r="120" spans="2:12" x14ac:dyDescent="0.25">
      <c r="B120" s="1927">
        <f t="shared" si="6"/>
        <v>0</v>
      </c>
      <c r="C120" s="1928">
        <v>2.9000000000001E-3</v>
      </c>
      <c r="D120" s="1931" t="e">
        <f>($C$9*24)/((($B$8-BBR+'Product Data'!$K$3-'KB V Model Suggestions Fixed 2'!$C120)/12)*(24-'KB V Model Suggestions Fixed 2'!B120)*'Product Data'!$P$23)</f>
        <v>#N/A</v>
      </c>
      <c r="F120" s="1927">
        <f t="shared" si="7"/>
        <v>0</v>
      </c>
      <c r="G120" s="1928">
        <v>2.9000000000001E-3</v>
      </c>
      <c r="H120" s="1931" t="e">
        <f>($G$9*24)/((($F$8-BBR+'Product Data'!$K$3-'KB V Model Suggestions Fixed 2'!$G120)/12)*(24-'KB V Model Suggestions Fixed 2'!F120)*'Product Data'!$P$23)</f>
        <v>#N/A</v>
      </c>
      <c r="J120" s="1927">
        <f t="shared" si="8"/>
        <v>0</v>
      </c>
      <c r="K120" s="1928">
        <v>2.9000000000001E-3</v>
      </c>
      <c r="L120" s="1931" t="e">
        <f>($K$9*24)/((($J$8-BBR+'Product Data'!$K$2-'KB V Model Suggestions Fixed 2'!$K120)/12)*(24-'KB V Model Suggestions Fixed 2'!J120)*'Product Data'!$P$18)</f>
        <v>#N/A</v>
      </c>
    </row>
    <row r="121" spans="2:12" x14ac:dyDescent="0.25">
      <c r="B121" s="1927">
        <f t="shared" si="6"/>
        <v>0</v>
      </c>
      <c r="C121" s="1928">
        <v>2.8000000000001002E-3</v>
      </c>
      <c r="D121" s="1931" t="e">
        <f>($C$9*24)/((($B$8-BBR+'Product Data'!$K$3-'KB V Model Suggestions Fixed 2'!$C121)/12)*(24-'KB V Model Suggestions Fixed 2'!B121)*'Product Data'!$P$23)</f>
        <v>#N/A</v>
      </c>
      <c r="F121" s="1927">
        <f t="shared" si="7"/>
        <v>0</v>
      </c>
      <c r="G121" s="1928">
        <v>2.8000000000001002E-3</v>
      </c>
      <c r="H121" s="1931" t="e">
        <f>($G$9*24)/((($F$8-BBR+'Product Data'!$K$3-'KB V Model Suggestions Fixed 2'!$G121)/12)*(24-'KB V Model Suggestions Fixed 2'!F121)*'Product Data'!$P$23)</f>
        <v>#N/A</v>
      </c>
      <c r="J121" s="1927">
        <f t="shared" si="8"/>
        <v>0</v>
      </c>
      <c r="K121" s="1928">
        <v>2.8000000000001002E-3</v>
      </c>
      <c r="L121" s="1931" t="e">
        <f>($K$9*24)/((($J$8-BBR+'Product Data'!$K$2-'KB V Model Suggestions Fixed 2'!$K121)/12)*(24-'KB V Model Suggestions Fixed 2'!J121)*'Product Data'!$P$18)</f>
        <v>#N/A</v>
      </c>
    </row>
    <row r="122" spans="2:12" x14ac:dyDescent="0.25">
      <c r="B122" s="1927">
        <f t="shared" si="6"/>
        <v>0</v>
      </c>
      <c r="C122" s="1928">
        <v>2.7000000000000999E-3</v>
      </c>
      <c r="D122" s="1931" t="e">
        <f>($C$9*24)/((($B$8-BBR+'Product Data'!$K$3-'KB V Model Suggestions Fixed 2'!$C122)/12)*(24-'KB V Model Suggestions Fixed 2'!B122)*'Product Data'!$P$23)</f>
        <v>#N/A</v>
      </c>
      <c r="F122" s="1927">
        <f t="shared" si="7"/>
        <v>0</v>
      </c>
      <c r="G122" s="1928">
        <v>2.7000000000000999E-3</v>
      </c>
      <c r="H122" s="1931" t="e">
        <f>($G$9*24)/((($F$8-BBR+'Product Data'!$K$3-'KB V Model Suggestions Fixed 2'!$G122)/12)*(24-'KB V Model Suggestions Fixed 2'!F122)*'Product Data'!$P$23)</f>
        <v>#N/A</v>
      </c>
      <c r="J122" s="1927">
        <f t="shared" si="8"/>
        <v>0</v>
      </c>
      <c r="K122" s="1928">
        <v>2.7000000000000999E-3</v>
      </c>
      <c r="L122" s="1931" t="e">
        <f>($K$9*24)/((($J$8-BBR+'Product Data'!$K$2-'KB V Model Suggestions Fixed 2'!$K122)/12)*(24-'KB V Model Suggestions Fixed 2'!J122)*'Product Data'!$P$18)</f>
        <v>#N/A</v>
      </c>
    </row>
    <row r="123" spans="2:12" x14ac:dyDescent="0.25">
      <c r="B123" s="1927">
        <f t="shared" si="6"/>
        <v>0</v>
      </c>
      <c r="C123" s="1928">
        <v>2.6000000000001001E-3</v>
      </c>
      <c r="D123" s="1931" t="e">
        <f>($C$9*24)/((($B$8-BBR+'Product Data'!$K$3-'KB V Model Suggestions Fixed 2'!$C123)/12)*(24-'KB V Model Suggestions Fixed 2'!B123)*'Product Data'!$P$23)</f>
        <v>#N/A</v>
      </c>
      <c r="F123" s="1927">
        <f t="shared" si="7"/>
        <v>0</v>
      </c>
      <c r="G123" s="1928">
        <v>2.6000000000001001E-3</v>
      </c>
      <c r="H123" s="1931" t="e">
        <f>($G$9*24)/((($F$8-BBR+'Product Data'!$K$3-'KB V Model Suggestions Fixed 2'!$G123)/12)*(24-'KB V Model Suggestions Fixed 2'!F123)*'Product Data'!$P$23)</f>
        <v>#N/A</v>
      </c>
      <c r="J123" s="1927">
        <f t="shared" si="8"/>
        <v>0</v>
      </c>
      <c r="K123" s="1928">
        <v>2.6000000000001001E-3</v>
      </c>
      <c r="L123" s="1931" t="e">
        <f>($K$9*24)/((($J$8-BBR+'Product Data'!$K$2-'KB V Model Suggestions Fixed 2'!$K123)/12)*(24-'KB V Model Suggestions Fixed 2'!J123)*'Product Data'!$P$18)</f>
        <v>#N/A</v>
      </c>
    </row>
    <row r="124" spans="2:12" x14ac:dyDescent="0.25">
      <c r="B124" s="1927">
        <f t="shared" si="6"/>
        <v>0</v>
      </c>
      <c r="C124" s="1928">
        <v>2.5000000000000998E-3</v>
      </c>
      <c r="D124" s="1931" t="e">
        <f>($C$9*24)/((($B$8-BBR+'Product Data'!$K$3-'KB V Model Suggestions Fixed 2'!$C124)/12)*(24-'KB V Model Suggestions Fixed 2'!B124)*'Product Data'!$P$23)</f>
        <v>#N/A</v>
      </c>
      <c r="F124" s="1927">
        <f t="shared" si="7"/>
        <v>0</v>
      </c>
      <c r="G124" s="1928">
        <v>2.5000000000000998E-3</v>
      </c>
      <c r="H124" s="1931" t="e">
        <f>($G$9*24)/((($F$8-BBR+'Product Data'!$K$3-'KB V Model Suggestions Fixed 2'!$G124)/12)*(24-'KB V Model Suggestions Fixed 2'!F124)*'Product Data'!$P$23)</f>
        <v>#N/A</v>
      </c>
      <c r="J124" s="1927">
        <f t="shared" si="8"/>
        <v>0</v>
      </c>
      <c r="K124" s="1928">
        <v>2.5000000000000998E-3</v>
      </c>
      <c r="L124" s="1931" t="e">
        <f>($K$9*24)/((($J$8-BBR+'Product Data'!$K$2-'KB V Model Suggestions Fixed 2'!$K124)/12)*(24-'KB V Model Suggestions Fixed 2'!J124)*'Product Data'!$P$18)</f>
        <v>#N/A</v>
      </c>
    </row>
    <row r="125" spans="2:12" x14ac:dyDescent="0.25">
      <c r="B125" s="1927">
        <f t="shared" si="6"/>
        <v>0</v>
      </c>
      <c r="C125" s="1928">
        <v>2.4000000000001E-3</v>
      </c>
      <c r="D125" s="1931" t="e">
        <f>($C$9*24)/((($B$8-BBR+'Product Data'!$K$3-'KB V Model Suggestions Fixed 2'!$C125)/12)*(24-'KB V Model Suggestions Fixed 2'!B125)*'Product Data'!$P$23)</f>
        <v>#N/A</v>
      </c>
      <c r="F125" s="1927">
        <f t="shared" si="7"/>
        <v>0</v>
      </c>
      <c r="G125" s="1928">
        <v>2.4000000000001E-3</v>
      </c>
      <c r="H125" s="1931" t="e">
        <f>($G$9*24)/((($F$8-BBR+'Product Data'!$K$3-'KB V Model Suggestions Fixed 2'!$G125)/12)*(24-'KB V Model Suggestions Fixed 2'!F125)*'Product Data'!$P$23)</f>
        <v>#N/A</v>
      </c>
      <c r="J125" s="1927">
        <f t="shared" si="8"/>
        <v>0</v>
      </c>
      <c r="K125" s="1928">
        <v>2.4000000000001E-3</v>
      </c>
      <c r="L125" s="1931" t="e">
        <f>($K$9*24)/((($J$8-BBR+'Product Data'!$K$2-'KB V Model Suggestions Fixed 2'!$K125)/12)*(24-'KB V Model Suggestions Fixed 2'!J125)*'Product Data'!$P$18)</f>
        <v>#N/A</v>
      </c>
    </row>
    <row r="126" spans="2:12" x14ac:dyDescent="0.25">
      <c r="B126" s="1927">
        <f t="shared" si="6"/>
        <v>0</v>
      </c>
      <c r="C126" s="1928">
        <v>2.3000000000001001E-3</v>
      </c>
      <c r="D126" s="1931" t="e">
        <f>($C$9*24)/((($B$8-BBR+'Product Data'!$K$3-'KB V Model Suggestions Fixed 2'!$C126)/12)*(24-'KB V Model Suggestions Fixed 2'!B126)*'Product Data'!$P$23)</f>
        <v>#N/A</v>
      </c>
      <c r="F126" s="1927">
        <f t="shared" si="7"/>
        <v>0</v>
      </c>
      <c r="G126" s="1928">
        <v>2.3000000000001001E-3</v>
      </c>
      <c r="H126" s="1931" t="e">
        <f>($G$9*24)/((($F$8-BBR+'Product Data'!$K$3-'KB V Model Suggestions Fixed 2'!$G126)/12)*(24-'KB V Model Suggestions Fixed 2'!F126)*'Product Data'!$P$23)</f>
        <v>#N/A</v>
      </c>
      <c r="J126" s="1927">
        <f t="shared" si="8"/>
        <v>0</v>
      </c>
      <c r="K126" s="1928">
        <v>2.3000000000001001E-3</v>
      </c>
      <c r="L126" s="1931" t="e">
        <f>($K$9*24)/((($J$8-BBR+'Product Data'!$K$2-'KB V Model Suggestions Fixed 2'!$K126)/12)*(24-'KB V Model Suggestions Fixed 2'!J126)*'Product Data'!$P$18)</f>
        <v>#N/A</v>
      </c>
    </row>
    <row r="127" spans="2:12" x14ac:dyDescent="0.25">
      <c r="B127" s="1927">
        <f t="shared" si="6"/>
        <v>0</v>
      </c>
      <c r="C127" s="1928">
        <v>2.2000000000000999E-3</v>
      </c>
      <c r="D127" s="1931" t="e">
        <f>($C$9*24)/((($B$8-BBR+'Product Data'!$K$3-'KB V Model Suggestions Fixed 2'!$C127)/12)*(24-'KB V Model Suggestions Fixed 2'!B127)*'Product Data'!$P$23)</f>
        <v>#N/A</v>
      </c>
      <c r="F127" s="1927">
        <f t="shared" si="7"/>
        <v>0</v>
      </c>
      <c r="G127" s="1928">
        <v>2.2000000000000999E-3</v>
      </c>
      <c r="H127" s="1931" t="e">
        <f>($G$9*24)/((($F$8-BBR+'Product Data'!$K$3-'KB V Model Suggestions Fixed 2'!$G127)/12)*(24-'KB V Model Suggestions Fixed 2'!F127)*'Product Data'!$P$23)</f>
        <v>#N/A</v>
      </c>
      <c r="J127" s="1927">
        <f t="shared" si="8"/>
        <v>0</v>
      </c>
      <c r="K127" s="1928">
        <v>2.2000000000000999E-3</v>
      </c>
      <c r="L127" s="1931" t="e">
        <f>($K$9*24)/((($J$8-BBR+'Product Data'!$K$2-'KB V Model Suggestions Fixed 2'!$K127)/12)*(24-'KB V Model Suggestions Fixed 2'!J127)*'Product Data'!$P$18)</f>
        <v>#N/A</v>
      </c>
    </row>
    <row r="128" spans="2:12" x14ac:dyDescent="0.25">
      <c r="B128" s="1927">
        <f t="shared" si="6"/>
        <v>0</v>
      </c>
      <c r="C128" s="1928">
        <v>2.1000000000001001E-3</v>
      </c>
      <c r="D128" s="1931" t="e">
        <f>($C$9*24)/((($B$8-BBR+'Product Data'!$K$3-'KB V Model Suggestions Fixed 2'!$C128)/12)*(24-'KB V Model Suggestions Fixed 2'!B128)*'Product Data'!$P$23)</f>
        <v>#N/A</v>
      </c>
      <c r="F128" s="1927">
        <f t="shared" si="7"/>
        <v>0</v>
      </c>
      <c r="G128" s="1928">
        <v>2.1000000000001001E-3</v>
      </c>
      <c r="H128" s="1931" t="e">
        <f>($G$9*24)/((($F$8-BBR+'Product Data'!$K$3-'KB V Model Suggestions Fixed 2'!$G128)/12)*(24-'KB V Model Suggestions Fixed 2'!F128)*'Product Data'!$P$23)</f>
        <v>#N/A</v>
      </c>
      <c r="J128" s="1927">
        <f t="shared" si="8"/>
        <v>0</v>
      </c>
      <c r="K128" s="1928">
        <v>2.1000000000001001E-3</v>
      </c>
      <c r="L128" s="1931" t="e">
        <f>($K$9*24)/((($J$8-BBR+'Product Data'!$K$2-'KB V Model Suggestions Fixed 2'!$K128)/12)*(24-'KB V Model Suggestions Fixed 2'!J128)*'Product Data'!$P$18)</f>
        <v>#N/A</v>
      </c>
    </row>
    <row r="129" spans="2:12" x14ac:dyDescent="0.25">
      <c r="B129" s="1927">
        <f t="shared" si="6"/>
        <v>0</v>
      </c>
      <c r="C129" s="1928">
        <v>2.0000000000000998E-3</v>
      </c>
      <c r="D129" s="1931" t="e">
        <f>($C$9*24)/((($B$8-BBR+'Product Data'!$K$3-'KB V Model Suggestions Fixed 2'!$C129)/12)*(24-'KB V Model Suggestions Fixed 2'!B129)*'Product Data'!$P$23)</f>
        <v>#N/A</v>
      </c>
      <c r="F129" s="1927">
        <f t="shared" si="7"/>
        <v>0</v>
      </c>
      <c r="G129" s="1928">
        <v>2.0000000000000998E-3</v>
      </c>
      <c r="H129" s="1931" t="e">
        <f>($G$9*24)/((($F$8-BBR+'Product Data'!$K$3-'KB V Model Suggestions Fixed 2'!$G129)/12)*(24-'KB V Model Suggestions Fixed 2'!F129)*'Product Data'!$P$23)</f>
        <v>#N/A</v>
      </c>
      <c r="J129" s="1927">
        <f t="shared" si="8"/>
        <v>0</v>
      </c>
      <c r="K129" s="1928">
        <v>2.0000000000000998E-3</v>
      </c>
      <c r="L129" s="1931" t="e">
        <f>($K$9*24)/((($J$8-BBR+'Product Data'!$K$2-'KB V Model Suggestions Fixed 2'!$K129)/12)*(24-'KB V Model Suggestions Fixed 2'!J129)*'Product Data'!$P$18)</f>
        <v>#N/A</v>
      </c>
    </row>
    <row r="130" spans="2:12" x14ac:dyDescent="0.25">
      <c r="B130" s="1927">
        <f t="shared" si="6"/>
        <v>0</v>
      </c>
      <c r="C130" s="1928">
        <v>1.9000000000001E-3</v>
      </c>
      <c r="D130" s="1931" t="e">
        <f>($C$9*24)/((($B$8-BBR+'Product Data'!$K$3-'KB V Model Suggestions Fixed 2'!$C130)/12)*(24-'KB V Model Suggestions Fixed 2'!B130)*'Product Data'!$P$23)</f>
        <v>#N/A</v>
      </c>
      <c r="F130" s="1927">
        <f t="shared" si="7"/>
        <v>0</v>
      </c>
      <c r="G130" s="1928">
        <v>1.9000000000001E-3</v>
      </c>
      <c r="H130" s="1931" t="e">
        <f>($G$9*24)/((($F$8-BBR+'Product Data'!$K$3-'KB V Model Suggestions Fixed 2'!$G130)/12)*(24-'KB V Model Suggestions Fixed 2'!F130)*'Product Data'!$P$23)</f>
        <v>#N/A</v>
      </c>
      <c r="J130" s="1927">
        <f t="shared" si="8"/>
        <v>0</v>
      </c>
      <c r="K130" s="1928">
        <v>1.9000000000001E-3</v>
      </c>
      <c r="L130" s="1931" t="e">
        <f>($K$9*24)/((($J$8-BBR+'Product Data'!$K$2-'KB V Model Suggestions Fixed 2'!$K130)/12)*(24-'KB V Model Suggestions Fixed 2'!J130)*'Product Data'!$P$18)</f>
        <v>#N/A</v>
      </c>
    </row>
    <row r="131" spans="2:12" x14ac:dyDescent="0.25">
      <c r="B131" s="1927">
        <f t="shared" si="6"/>
        <v>0</v>
      </c>
      <c r="C131" s="1928">
        <v>1.8000000000000999E-3</v>
      </c>
      <c r="D131" s="1931" t="e">
        <f>($C$9*24)/((($B$8-BBR+'Product Data'!$K$3-'KB V Model Suggestions Fixed 2'!$C131)/12)*(24-'KB V Model Suggestions Fixed 2'!B131)*'Product Data'!$P$23)</f>
        <v>#N/A</v>
      </c>
      <c r="F131" s="1927">
        <f t="shared" si="7"/>
        <v>0</v>
      </c>
      <c r="G131" s="1928">
        <v>1.8000000000000999E-3</v>
      </c>
      <c r="H131" s="1931" t="e">
        <f>($G$9*24)/((($F$8-BBR+'Product Data'!$K$3-'KB V Model Suggestions Fixed 2'!$G131)/12)*(24-'KB V Model Suggestions Fixed 2'!F131)*'Product Data'!$P$23)</f>
        <v>#N/A</v>
      </c>
      <c r="J131" s="1927">
        <f t="shared" si="8"/>
        <v>0</v>
      </c>
      <c r="K131" s="1928">
        <v>1.8000000000000999E-3</v>
      </c>
      <c r="L131" s="1931" t="e">
        <f>($K$9*24)/((($J$8-BBR+'Product Data'!$K$2-'KB V Model Suggestions Fixed 2'!$K131)/12)*(24-'KB V Model Suggestions Fixed 2'!J131)*'Product Data'!$P$18)</f>
        <v>#N/A</v>
      </c>
    </row>
    <row r="132" spans="2:12" x14ac:dyDescent="0.25">
      <c r="B132" s="1927">
        <f t="shared" si="6"/>
        <v>0</v>
      </c>
      <c r="C132" s="1928">
        <v>1.7000000000001001E-3</v>
      </c>
      <c r="D132" s="1931" t="e">
        <f>($C$9*24)/((($B$8-BBR+'Product Data'!$K$3-'KB V Model Suggestions Fixed 2'!$C132)/12)*(24-'KB V Model Suggestions Fixed 2'!B132)*'Product Data'!$P$23)</f>
        <v>#N/A</v>
      </c>
      <c r="F132" s="1927">
        <f t="shared" si="7"/>
        <v>0</v>
      </c>
      <c r="G132" s="1928">
        <v>1.7000000000001001E-3</v>
      </c>
      <c r="H132" s="1931" t="e">
        <f>($G$9*24)/((($F$8-BBR+'Product Data'!$K$3-'KB V Model Suggestions Fixed 2'!$G132)/12)*(24-'KB V Model Suggestions Fixed 2'!F132)*'Product Data'!$P$23)</f>
        <v>#N/A</v>
      </c>
      <c r="J132" s="1927">
        <f t="shared" si="8"/>
        <v>0</v>
      </c>
      <c r="K132" s="1928">
        <v>1.7000000000001001E-3</v>
      </c>
      <c r="L132" s="1931" t="e">
        <f>($K$9*24)/((($J$8-BBR+'Product Data'!$K$2-'KB V Model Suggestions Fixed 2'!$K132)/12)*(24-'KB V Model Suggestions Fixed 2'!J132)*'Product Data'!$P$18)</f>
        <v>#N/A</v>
      </c>
    </row>
    <row r="133" spans="2:12" x14ac:dyDescent="0.25">
      <c r="B133" s="1927">
        <f t="shared" si="6"/>
        <v>0</v>
      </c>
      <c r="C133" s="1928">
        <v>1.6000000000001E-3</v>
      </c>
      <c r="D133" s="1931" t="e">
        <f>($C$9*24)/((($B$8-BBR+'Product Data'!$K$3-'KB V Model Suggestions Fixed 2'!$C133)/12)*(24-'KB V Model Suggestions Fixed 2'!B133)*'Product Data'!$P$23)</f>
        <v>#N/A</v>
      </c>
      <c r="F133" s="1927">
        <f t="shared" si="7"/>
        <v>0</v>
      </c>
      <c r="G133" s="1928">
        <v>1.6000000000001E-3</v>
      </c>
      <c r="H133" s="1931" t="e">
        <f>($G$9*24)/((($F$8-BBR+'Product Data'!$K$3-'KB V Model Suggestions Fixed 2'!$G133)/12)*(24-'KB V Model Suggestions Fixed 2'!F133)*'Product Data'!$P$23)</f>
        <v>#N/A</v>
      </c>
      <c r="J133" s="1927">
        <f t="shared" si="8"/>
        <v>0</v>
      </c>
      <c r="K133" s="1928">
        <v>1.6000000000001E-3</v>
      </c>
      <c r="L133" s="1931" t="e">
        <f>($K$9*24)/((($J$8-BBR+'Product Data'!$K$2-'KB V Model Suggestions Fixed 2'!$K133)/12)*(24-'KB V Model Suggestions Fixed 2'!J133)*'Product Data'!$P$18)</f>
        <v>#N/A</v>
      </c>
    </row>
    <row r="134" spans="2:12" x14ac:dyDescent="0.25">
      <c r="B134" s="1927">
        <f t="shared" si="6"/>
        <v>0</v>
      </c>
      <c r="C134" s="1928">
        <v>1.5000000000001E-3</v>
      </c>
      <c r="D134" s="1931" t="e">
        <f>($C$9*24)/((($B$8-BBR+'Product Data'!$K$3-'KB V Model Suggestions Fixed 2'!$C134)/12)*(24-'KB V Model Suggestions Fixed 2'!B134)*'Product Data'!$P$23)</f>
        <v>#N/A</v>
      </c>
      <c r="F134" s="1927">
        <f t="shared" si="7"/>
        <v>0</v>
      </c>
      <c r="G134" s="1928">
        <v>1.5000000000001E-3</v>
      </c>
      <c r="H134" s="1931" t="e">
        <f>($G$9*24)/((($F$8-BBR+'Product Data'!$K$3-'KB V Model Suggestions Fixed 2'!$G134)/12)*(24-'KB V Model Suggestions Fixed 2'!F134)*'Product Data'!$P$23)</f>
        <v>#N/A</v>
      </c>
      <c r="J134" s="1927">
        <f t="shared" si="8"/>
        <v>0</v>
      </c>
      <c r="K134" s="1928">
        <v>1.5000000000001E-3</v>
      </c>
      <c r="L134" s="1931" t="e">
        <f>($K$9*24)/((($J$8-BBR+'Product Data'!$K$2-'KB V Model Suggestions Fixed 2'!$K134)/12)*(24-'KB V Model Suggestions Fixed 2'!J134)*'Product Data'!$P$18)</f>
        <v>#N/A</v>
      </c>
    </row>
    <row r="135" spans="2:12" x14ac:dyDescent="0.25">
      <c r="B135" s="1927">
        <f t="shared" si="6"/>
        <v>0</v>
      </c>
      <c r="C135" s="1928">
        <v>1.4000000000000999E-3</v>
      </c>
      <c r="D135" s="1931" t="e">
        <f>($C$9*24)/((($B$8-BBR+'Product Data'!$K$3-'KB V Model Suggestions Fixed 2'!$C135)/12)*(24-'KB V Model Suggestions Fixed 2'!B135)*'Product Data'!$P$23)</f>
        <v>#N/A</v>
      </c>
      <c r="F135" s="1927">
        <f t="shared" si="7"/>
        <v>0</v>
      </c>
      <c r="G135" s="1928">
        <v>1.4000000000000999E-3</v>
      </c>
      <c r="H135" s="1931" t="e">
        <f>($G$9*24)/((($F$8-BBR+'Product Data'!$K$3-'KB V Model Suggestions Fixed 2'!$G135)/12)*(24-'KB V Model Suggestions Fixed 2'!F135)*'Product Data'!$P$23)</f>
        <v>#N/A</v>
      </c>
      <c r="J135" s="1927">
        <f t="shared" si="8"/>
        <v>0</v>
      </c>
      <c r="K135" s="1928">
        <v>1.4000000000000999E-3</v>
      </c>
      <c r="L135" s="1931" t="e">
        <f>($K$9*24)/((($J$8-BBR+'Product Data'!$K$2-'KB V Model Suggestions Fixed 2'!$K135)/12)*(24-'KB V Model Suggestions Fixed 2'!J135)*'Product Data'!$P$18)</f>
        <v>#N/A</v>
      </c>
    </row>
    <row r="136" spans="2:12" x14ac:dyDescent="0.25">
      <c r="B136" s="1927">
        <f t="shared" si="6"/>
        <v>0</v>
      </c>
      <c r="C136" s="1928">
        <v>1.3000000000000999E-3</v>
      </c>
      <c r="D136" s="1931" t="e">
        <f>($C$9*24)/((($B$8-BBR+'Product Data'!$K$3-'KB V Model Suggestions Fixed 2'!$C136)/12)*(24-'KB V Model Suggestions Fixed 2'!B136)*'Product Data'!$P$23)</f>
        <v>#N/A</v>
      </c>
      <c r="F136" s="1927">
        <f t="shared" si="7"/>
        <v>0</v>
      </c>
      <c r="G136" s="1928">
        <v>1.3000000000000999E-3</v>
      </c>
      <c r="H136" s="1931" t="e">
        <f>($G$9*24)/((($F$8-BBR+'Product Data'!$K$3-'KB V Model Suggestions Fixed 2'!$G136)/12)*(24-'KB V Model Suggestions Fixed 2'!F136)*'Product Data'!$P$23)</f>
        <v>#N/A</v>
      </c>
      <c r="J136" s="1927">
        <f t="shared" si="8"/>
        <v>0</v>
      </c>
      <c r="K136" s="1928">
        <v>1.3000000000000999E-3</v>
      </c>
      <c r="L136" s="1931" t="e">
        <f>($K$9*24)/((($J$8-BBR+'Product Data'!$K$2-'KB V Model Suggestions Fixed 2'!$K136)/12)*(24-'KB V Model Suggestions Fixed 2'!J136)*'Product Data'!$P$18)</f>
        <v>#N/A</v>
      </c>
    </row>
    <row r="137" spans="2:12" x14ac:dyDescent="0.25">
      <c r="B137" s="1927">
        <f t="shared" si="6"/>
        <v>0</v>
      </c>
      <c r="C137" s="1928">
        <v>1.2000000000001001E-3</v>
      </c>
      <c r="D137" s="1931" t="e">
        <f>($C$9*24)/((($B$8-BBR+'Product Data'!$K$3-'KB V Model Suggestions Fixed 2'!$C137)/12)*(24-'KB V Model Suggestions Fixed 2'!B137)*'Product Data'!$P$23)</f>
        <v>#N/A</v>
      </c>
      <c r="F137" s="1927">
        <f t="shared" si="7"/>
        <v>0</v>
      </c>
      <c r="G137" s="1928">
        <v>1.2000000000001001E-3</v>
      </c>
      <c r="H137" s="1931" t="e">
        <f>($G$9*24)/((($F$8-BBR+'Product Data'!$K$3-'KB V Model Suggestions Fixed 2'!$G137)/12)*(24-'KB V Model Suggestions Fixed 2'!F137)*'Product Data'!$P$23)</f>
        <v>#N/A</v>
      </c>
      <c r="J137" s="1927">
        <f t="shared" si="8"/>
        <v>0</v>
      </c>
      <c r="K137" s="1928">
        <v>1.2000000000001001E-3</v>
      </c>
      <c r="L137" s="1931" t="e">
        <f>($K$9*24)/((($J$8-BBR+'Product Data'!$K$2-'KB V Model Suggestions Fixed 2'!$K137)/12)*(24-'KB V Model Suggestions Fixed 2'!J137)*'Product Data'!$P$18)</f>
        <v>#N/A</v>
      </c>
    </row>
    <row r="138" spans="2:12" x14ac:dyDescent="0.25">
      <c r="B138" s="1927">
        <f t="shared" si="6"/>
        <v>0</v>
      </c>
      <c r="C138" s="1928">
        <v>1.1000000000001E-3</v>
      </c>
      <c r="D138" s="1931" t="e">
        <f>($C$9*24)/((($B$8-BBR+'Product Data'!$K$3-'KB V Model Suggestions Fixed 2'!$C138)/12)*(24-'KB V Model Suggestions Fixed 2'!B138)*'Product Data'!$P$23)</f>
        <v>#N/A</v>
      </c>
      <c r="F138" s="1927">
        <f t="shared" si="7"/>
        <v>0</v>
      </c>
      <c r="G138" s="1928">
        <v>1.1000000000001E-3</v>
      </c>
      <c r="H138" s="1931" t="e">
        <f>($G$9*24)/((($F$8-BBR+'Product Data'!$K$3-'KB V Model Suggestions Fixed 2'!$G138)/12)*(24-'KB V Model Suggestions Fixed 2'!F138)*'Product Data'!$P$23)</f>
        <v>#N/A</v>
      </c>
      <c r="J138" s="1927">
        <f t="shared" si="8"/>
        <v>0</v>
      </c>
      <c r="K138" s="1928">
        <v>1.1000000000001E-3</v>
      </c>
      <c r="L138" s="1931" t="e">
        <f>($K$9*24)/((($J$8-BBR+'Product Data'!$K$2-'KB V Model Suggestions Fixed 2'!$K138)/12)*(24-'KB V Model Suggestions Fixed 2'!J138)*'Product Data'!$P$18)</f>
        <v>#N/A</v>
      </c>
    </row>
    <row r="139" spans="2:12" x14ac:dyDescent="0.25">
      <c r="B139" s="1927">
        <f t="shared" si="6"/>
        <v>0</v>
      </c>
      <c r="C139" s="1928">
        <v>1.0000000000001E-3</v>
      </c>
      <c r="D139" s="1931" t="e">
        <f>($C$9*24)/((($B$8-BBR+'Product Data'!$K$3-'KB V Model Suggestions Fixed 2'!$C139)/12)*(24-'KB V Model Suggestions Fixed 2'!B139)*'Product Data'!$P$23)</f>
        <v>#N/A</v>
      </c>
      <c r="F139" s="1927">
        <f t="shared" si="7"/>
        <v>0</v>
      </c>
      <c r="G139" s="1928">
        <v>1.0000000000001E-3</v>
      </c>
      <c r="H139" s="1931" t="e">
        <f>($G$9*24)/((($F$8-BBR+'Product Data'!$K$3-'KB V Model Suggestions Fixed 2'!$G139)/12)*(24-'KB V Model Suggestions Fixed 2'!F139)*'Product Data'!$P$23)</f>
        <v>#N/A</v>
      </c>
      <c r="J139" s="1927">
        <f t="shared" si="8"/>
        <v>0</v>
      </c>
      <c r="K139" s="1928">
        <v>1.0000000000001E-3</v>
      </c>
      <c r="L139" s="1931" t="e">
        <f>($K$9*24)/((($J$8-BBR+'Product Data'!$K$2-'KB V Model Suggestions Fixed 2'!$K139)/12)*(24-'KB V Model Suggestions Fixed 2'!J139)*'Product Data'!$P$18)</f>
        <v>#N/A</v>
      </c>
    </row>
    <row r="140" spans="2:12" x14ac:dyDescent="0.25">
      <c r="B140" s="1927">
        <f t="shared" si="6"/>
        <v>0</v>
      </c>
      <c r="C140" s="1928">
        <v>9.00000000000102E-4</v>
      </c>
      <c r="D140" s="1931" t="e">
        <f>($C$9*24)/((($B$8-BBR+'Product Data'!$K$3-'KB V Model Suggestions Fixed 2'!$C140)/12)*(24-'KB V Model Suggestions Fixed 2'!B140)*'Product Data'!$P$23)</f>
        <v>#N/A</v>
      </c>
      <c r="F140" s="1927">
        <f t="shared" si="7"/>
        <v>0</v>
      </c>
      <c r="G140" s="1928">
        <v>9.00000000000102E-4</v>
      </c>
      <c r="H140" s="1931" t="e">
        <f>($G$9*24)/((($F$8-BBR+'Product Data'!$K$3-'KB V Model Suggestions Fixed 2'!$G140)/12)*(24-'KB V Model Suggestions Fixed 2'!F140)*'Product Data'!$P$23)</f>
        <v>#N/A</v>
      </c>
      <c r="J140" s="1927">
        <f t="shared" si="8"/>
        <v>0</v>
      </c>
      <c r="K140" s="1928">
        <v>9.00000000000102E-4</v>
      </c>
      <c r="L140" s="1931" t="e">
        <f>($K$9*24)/((($J$8-BBR+'Product Data'!$K$2-'KB V Model Suggestions Fixed 2'!$K140)/12)*(24-'KB V Model Suggestions Fixed 2'!J140)*'Product Data'!$P$18)</f>
        <v>#N/A</v>
      </c>
    </row>
    <row r="141" spans="2:12" x14ac:dyDescent="0.25">
      <c r="B141" s="1927">
        <f t="shared" si="6"/>
        <v>0</v>
      </c>
      <c r="C141" s="1928">
        <v>8.0000000000009903E-4</v>
      </c>
      <c r="D141" s="1931" t="e">
        <f>($C$9*24)/((($B$8-BBR+'Product Data'!$K$3-'KB V Model Suggestions Fixed 2'!$C141)/12)*(24-'KB V Model Suggestions Fixed 2'!B141)*'Product Data'!$P$23)</f>
        <v>#N/A</v>
      </c>
      <c r="F141" s="1927">
        <f t="shared" si="7"/>
        <v>0</v>
      </c>
      <c r="G141" s="1928">
        <v>8.0000000000009903E-4</v>
      </c>
      <c r="H141" s="1931" t="e">
        <f>($G$9*24)/((($F$8-BBR+'Product Data'!$K$3-'KB V Model Suggestions Fixed 2'!$G141)/12)*(24-'KB V Model Suggestions Fixed 2'!F141)*'Product Data'!$P$23)</f>
        <v>#N/A</v>
      </c>
      <c r="J141" s="1927">
        <f t="shared" si="8"/>
        <v>0</v>
      </c>
      <c r="K141" s="1928">
        <v>8.0000000000009903E-4</v>
      </c>
      <c r="L141" s="1931" t="e">
        <f>($K$9*24)/((($J$8-BBR+'Product Data'!$K$2-'KB V Model Suggestions Fixed 2'!$K141)/12)*(24-'KB V Model Suggestions Fixed 2'!J141)*'Product Data'!$P$18)</f>
        <v>#N/A</v>
      </c>
    </row>
    <row r="142" spans="2:12" x14ac:dyDescent="0.25">
      <c r="B142" s="1927">
        <f t="shared" si="6"/>
        <v>0</v>
      </c>
      <c r="C142" s="1928">
        <v>7.0000000000009996E-4</v>
      </c>
      <c r="D142" s="1931" t="e">
        <f>($C$9*24)/((($B$8-BBR+'Product Data'!$K$3-'KB V Model Suggestions Fixed 2'!$C142)/12)*(24-'KB V Model Suggestions Fixed 2'!B142)*'Product Data'!$P$23)</f>
        <v>#N/A</v>
      </c>
      <c r="F142" s="1927">
        <f t="shared" si="7"/>
        <v>0</v>
      </c>
      <c r="G142" s="1928">
        <v>7.0000000000009996E-4</v>
      </c>
      <c r="H142" s="1931" t="e">
        <f>($G$9*24)/((($F$8-BBR+'Product Data'!$K$3-'KB V Model Suggestions Fixed 2'!$G142)/12)*(24-'KB V Model Suggestions Fixed 2'!F142)*'Product Data'!$P$23)</f>
        <v>#N/A</v>
      </c>
      <c r="J142" s="1927">
        <f t="shared" si="8"/>
        <v>0</v>
      </c>
      <c r="K142" s="1928">
        <v>7.0000000000009996E-4</v>
      </c>
      <c r="L142" s="1931" t="e">
        <f>($K$9*24)/((($J$8-BBR+'Product Data'!$K$2-'KB V Model Suggestions Fixed 2'!$K142)/12)*(24-'KB V Model Suggestions Fixed 2'!J142)*'Product Data'!$P$18)</f>
        <v>#N/A</v>
      </c>
    </row>
    <row r="143" spans="2:12" x14ac:dyDescent="0.25">
      <c r="B143" s="1927">
        <f t="shared" si="6"/>
        <v>0</v>
      </c>
      <c r="C143" s="1928">
        <v>6.0000000000010002E-4</v>
      </c>
      <c r="D143" s="1931" t="e">
        <f>($C$9*24)/((($B$8-BBR+'Product Data'!$K$3-'KB V Model Suggestions Fixed 2'!$C143)/12)*(24-'KB V Model Suggestions Fixed 2'!B143)*'Product Data'!$P$23)</f>
        <v>#N/A</v>
      </c>
      <c r="F143" s="1927">
        <f t="shared" si="7"/>
        <v>0</v>
      </c>
      <c r="G143" s="1928">
        <v>6.0000000000010002E-4</v>
      </c>
      <c r="H143" s="1931" t="e">
        <f>($G$9*24)/((($F$8-BBR+'Product Data'!$K$3-'KB V Model Suggestions Fixed 2'!$G143)/12)*(24-'KB V Model Suggestions Fixed 2'!F143)*'Product Data'!$P$23)</f>
        <v>#N/A</v>
      </c>
      <c r="J143" s="1927">
        <f t="shared" si="8"/>
        <v>0</v>
      </c>
      <c r="K143" s="1928">
        <v>6.0000000000010002E-4</v>
      </c>
      <c r="L143" s="1931" t="e">
        <f>($K$9*24)/((($J$8-BBR+'Product Data'!$K$2-'KB V Model Suggestions Fixed 2'!$K143)/12)*(24-'KB V Model Suggestions Fixed 2'!J143)*'Product Data'!$P$18)</f>
        <v>#N/A</v>
      </c>
    </row>
    <row r="144" spans="2:12" x14ac:dyDescent="0.25">
      <c r="B144" s="1927">
        <f t="shared" si="6"/>
        <v>0</v>
      </c>
      <c r="C144" s="1928">
        <v>5.0000000000010095E-4</v>
      </c>
      <c r="D144" s="1931" t="e">
        <f>($C$9*24)/((($B$8-BBR+'Product Data'!$K$3-'KB V Model Suggestions Fixed 2'!$C144)/12)*(24-'KB V Model Suggestions Fixed 2'!B144)*'Product Data'!$P$23)</f>
        <v>#N/A</v>
      </c>
      <c r="F144" s="1927">
        <f t="shared" si="7"/>
        <v>0</v>
      </c>
      <c r="G144" s="1928">
        <v>5.0000000000010095E-4</v>
      </c>
      <c r="H144" s="1931" t="e">
        <f>($G$9*24)/((($F$8-BBR+'Product Data'!$K$3-'KB V Model Suggestions Fixed 2'!$G144)/12)*(24-'KB V Model Suggestions Fixed 2'!F144)*'Product Data'!$P$23)</f>
        <v>#N/A</v>
      </c>
      <c r="J144" s="1927">
        <f t="shared" si="8"/>
        <v>0</v>
      </c>
      <c r="K144" s="1928">
        <v>5.0000000000010095E-4</v>
      </c>
      <c r="L144" s="1931" t="e">
        <f>($K$9*24)/((($J$8-BBR+'Product Data'!$K$2-'KB V Model Suggestions Fixed 2'!$K144)/12)*(24-'KB V Model Suggestions Fixed 2'!J144)*'Product Data'!$P$18)</f>
        <v>#N/A</v>
      </c>
    </row>
    <row r="145" spans="2:12" x14ac:dyDescent="0.25">
      <c r="B145" s="1927">
        <f t="shared" si="6"/>
        <v>0</v>
      </c>
      <c r="C145" s="1928">
        <v>4.0000000000010199E-4</v>
      </c>
      <c r="D145" s="1931" t="e">
        <f>($C$9*24)/((($B$8-BBR+'Product Data'!$K$3-'KB V Model Suggestions Fixed 2'!$C145)/12)*(24-'KB V Model Suggestions Fixed 2'!B145)*'Product Data'!$P$23)</f>
        <v>#N/A</v>
      </c>
      <c r="F145" s="1927">
        <f t="shared" si="7"/>
        <v>0</v>
      </c>
      <c r="G145" s="1928">
        <v>4.0000000000010199E-4</v>
      </c>
      <c r="H145" s="1931" t="e">
        <f>($G$9*24)/((($F$8-BBR+'Product Data'!$K$3-'KB V Model Suggestions Fixed 2'!$G145)/12)*(24-'KB V Model Suggestions Fixed 2'!F145)*'Product Data'!$P$23)</f>
        <v>#N/A</v>
      </c>
      <c r="J145" s="1927">
        <f t="shared" si="8"/>
        <v>0</v>
      </c>
      <c r="K145" s="1928">
        <v>4.0000000000010199E-4</v>
      </c>
      <c r="L145" s="1931" t="e">
        <f>($K$9*24)/((($J$8-BBR+'Product Data'!$K$2-'KB V Model Suggestions Fixed 2'!$K145)/12)*(24-'KB V Model Suggestions Fixed 2'!J145)*'Product Data'!$P$18)</f>
        <v>#N/A</v>
      </c>
    </row>
    <row r="146" spans="2:12" x14ac:dyDescent="0.25">
      <c r="B146" s="1927">
        <f t="shared" si="6"/>
        <v>0</v>
      </c>
      <c r="C146" s="1928">
        <v>3.0000000000009902E-4</v>
      </c>
      <c r="D146" s="1931" t="e">
        <f>($C$9*24)/((($B$8-BBR+'Product Data'!$K$3-'KB V Model Suggestions Fixed 2'!$C146)/12)*(24-'KB V Model Suggestions Fixed 2'!B146)*'Product Data'!$P$23)</f>
        <v>#N/A</v>
      </c>
      <c r="F146" s="1927">
        <f t="shared" si="7"/>
        <v>0</v>
      </c>
      <c r="G146" s="1928">
        <v>3.0000000000009902E-4</v>
      </c>
      <c r="H146" s="1931" t="e">
        <f>($G$9*24)/((($F$8-BBR+'Product Data'!$K$3-'KB V Model Suggestions Fixed 2'!$G146)/12)*(24-'KB V Model Suggestions Fixed 2'!F146)*'Product Data'!$P$23)</f>
        <v>#N/A</v>
      </c>
      <c r="J146" s="1927">
        <f t="shared" si="8"/>
        <v>0</v>
      </c>
      <c r="K146" s="1928">
        <v>3.0000000000009902E-4</v>
      </c>
      <c r="L146" s="1931" t="e">
        <f>($K$9*24)/((($J$8-BBR+'Product Data'!$K$2-'KB V Model Suggestions Fixed 2'!$K146)/12)*(24-'KB V Model Suggestions Fixed 2'!J146)*'Product Data'!$P$18)</f>
        <v>#N/A</v>
      </c>
    </row>
    <row r="147" spans="2:12" x14ac:dyDescent="0.25">
      <c r="B147" s="1927">
        <f t="shared" si="6"/>
        <v>0</v>
      </c>
      <c r="C147" s="1928">
        <v>2.00000000000099E-4</v>
      </c>
      <c r="D147" s="1931" t="e">
        <f>($C$9*24)/((($B$8-BBR+'Product Data'!$K$3-'KB V Model Suggestions Fixed 2'!$C147)/12)*(24-'KB V Model Suggestions Fixed 2'!B147)*'Product Data'!$P$23)</f>
        <v>#N/A</v>
      </c>
      <c r="F147" s="1927">
        <f t="shared" si="7"/>
        <v>0</v>
      </c>
      <c r="G147" s="1928">
        <v>2.00000000000099E-4</v>
      </c>
      <c r="H147" s="1931" t="e">
        <f>($G$9*24)/((($F$8-BBR+'Product Data'!$K$3-'KB V Model Suggestions Fixed 2'!$G147)/12)*(24-'KB V Model Suggestions Fixed 2'!F147)*'Product Data'!$P$23)</f>
        <v>#N/A</v>
      </c>
      <c r="J147" s="1927">
        <f t="shared" si="8"/>
        <v>0</v>
      </c>
      <c r="K147" s="1928">
        <v>2.00000000000099E-4</v>
      </c>
      <c r="L147" s="1931" t="e">
        <f>($K$9*24)/((($J$8-BBR+'Product Data'!$K$2-'KB V Model Suggestions Fixed 2'!$K147)/12)*(24-'KB V Model Suggestions Fixed 2'!J147)*'Product Data'!$P$18)</f>
        <v>#N/A</v>
      </c>
    </row>
    <row r="148" spans="2:12" x14ac:dyDescent="0.25">
      <c r="B148" s="1927">
        <f t="shared" si="6"/>
        <v>0</v>
      </c>
      <c r="C148" s="1928">
        <v>1.000000000001E-4</v>
      </c>
      <c r="D148" s="1931" t="e">
        <f>($C$9*24)/((($B$8-BBR+'Product Data'!$K$3-'KB V Model Suggestions Fixed 2'!$C148)/12)*(24-'KB V Model Suggestions Fixed 2'!B148)*'Product Data'!$P$23)</f>
        <v>#N/A</v>
      </c>
      <c r="F148" s="1927">
        <f t="shared" si="7"/>
        <v>0</v>
      </c>
      <c r="G148" s="1928">
        <v>1.000000000001E-4</v>
      </c>
      <c r="H148" s="1931" t="e">
        <f>($G$9*24)/((($F$8-BBR+'Product Data'!$K$3-'KB V Model Suggestions Fixed 2'!$G148)/12)*(24-'KB V Model Suggestions Fixed 2'!F148)*'Product Data'!$P$23)</f>
        <v>#N/A</v>
      </c>
      <c r="J148" s="1927">
        <f t="shared" si="8"/>
        <v>0</v>
      </c>
      <c r="K148" s="1928">
        <v>1.000000000001E-4</v>
      </c>
      <c r="L148" s="1931" t="e">
        <f>($K$9*24)/((($J$8-BBR+'Product Data'!$K$2-'KB V Model Suggestions Fixed 2'!$K148)/12)*(24-'KB V Model Suggestions Fixed 2'!J148)*'Product Data'!$P$18)</f>
        <v>#N/A</v>
      </c>
    </row>
    <row r="149" spans="2:12" x14ac:dyDescent="0.25">
      <c r="B149" s="1927">
        <f t="shared" si="6"/>
        <v>0</v>
      </c>
      <c r="C149" s="1928">
        <v>1.00613961606655E-16</v>
      </c>
      <c r="D149" s="1931" t="e">
        <f>($C$9*24)/((($B$8-BBR+'Product Data'!$K$3-'KB V Model Suggestions Fixed 2'!$C149)/12)*(24-'KB V Model Suggestions Fixed 2'!B149)*'Product Data'!$P$23)</f>
        <v>#N/A</v>
      </c>
      <c r="F149" s="1927">
        <f t="shared" si="7"/>
        <v>0</v>
      </c>
      <c r="G149" s="1928">
        <v>1.00613961606655E-16</v>
      </c>
      <c r="H149" s="1931" t="e">
        <f>($G$9*24)/((($F$8-BBR+'Product Data'!$K$3-'KB V Model Suggestions Fixed 2'!$G149)/12)*(24-'KB V Model Suggestions Fixed 2'!F149)*'Product Data'!$P$23)</f>
        <v>#N/A</v>
      </c>
      <c r="J149" s="1927">
        <f t="shared" si="8"/>
        <v>0</v>
      </c>
      <c r="K149" s="1928">
        <v>1.00613961606655E-16</v>
      </c>
      <c r="L149" s="1931" t="e">
        <f>($K$9*24)/((($J$8-BBR+'Product Data'!$K$2-'KB V Model Suggestions Fixed 2'!$K149)/12)*(24-'KB V Model Suggestions Fixed 2'!J149)*'Product Data'!$P$18)</f>
        <v>#N/A</v>
      </c>
    </row>
    <row r="150" spans="2:12" x14ac:dyDescent="0.25">
      <c r="B150" s="1927"/>
      <c r="C150" s="1928"/>
      <c r="D150" s="1931"/>
      <c r="F150" s="1927"/>
      <c r="G150" s="1928"/>
      <c r="H150" s="1931"/>
      <c r="J150" s="1927"/>
      <c r="K150" s="1928"/>
      <c r="L150" s="1931"/>
    </row>
    <row r="151" spans="2:12" x14ac:dyDescent="0.25">
      <c r="B151" s="1927"/>
      <c r="C151" s="1928"/>
      <c r="D151" s="1931"/>
      <c r="F151" s="1927"/>
      <c r="G151" s="1928"/>
      <c r="H151" s="1931"/>
      <c r="J151" s="1927"/>
      <c r="K151" s="1928"/>
      <c r="L151" s="1931"/>
    </row>
    <row r="152" spans="2:12" x14ac:dyDescent="0.25">
      <c r="B152" s="1927"/>
      <c r="C152" s="1928"/>
      <c r="D152" s="1931"/>
      <c r="F152" s="1927"/>
      <c r="G152" s="1928"/>
      <c r="H152" s="1931"/>
      <c r="J152" s="1927"/>
      <c r="K152" s="1928"/>
      <c r="L152" s="1931"/>
    </row>
    <row r="153" spans="2:12" x14ac:dyDescent="0.25">
      <c r="B153" s="1927"/>
      <c r="C153" s="1928"/>
      <c r="D153" s="1931"/>
      <c r="F153" s="1927"/>
      <c r="G153" s="1928"/>
      <c r="H153" s="1931"/>
      <c r="J153" s="1927"/>
      <c r="K153" s="1928"/>
      <c r="L153" s="1931"/>
    </row>
    <row r="154" spans="2:12" x14ac:dyDescent="0.25">
      <c r="B154" s="1927"/>
      <c r="C154" s="1928"/>
      <c r="D154" s="1931"/>
      <c r="F154" s="1927"/>
      <c r="G154" s="1928"/>
      <c r="H154" s="1931"/>
      <c r="J154" s="1927"/>
      <c r="K154" s="1928"/>
      <c r="L154" s="1931"/>
    </row>
    <row r="155" spans="2:12" x14ac:dyDescent="0.25">
      <c r="B155" s="1927"/>
      <c r="C155" s="1928"/>
      <c r="D155" s="1931"/>
      <c r="F155" s="1927"/>
      <c r="G155" s="1928"/>
      <c r="H155" s="1931"/>
      <c r="J155" s="1927"/>
      <c r="K155" s="1928"/>
      <c r="L155" s="1931"/>
    </row>
    <row r="156" spans="2:12" x14ac:dyDescent="0.25">
      <c r="B156" s="1927"/>
      <c r="C156" s="1928"/>
      <c r="D156" s="1931"/>
      <c r="F156" s="1927"/>
      <c r="G156" s="1928"/>
      <c r="H156" s="1931"/>
      <c r="J156" s="1927"/>
      <c r="K156" s="1928"/>
      <c r="L156" s="1931"/>
    </row>
    <row r="157" spans="2:12" x14ac:dyDescent="0.25">
      <c r="B157" s="1927"/>
      <c r="C157" s="1928"/>
      <c r="D157" s="1931"/>
      <c r="F157" s="1927"/>
      <c r="G157" s="1928"/>
      <c r="H157" s="1931"/>
      <c r="J157" s="1927"/>
      <c r="K157" s="1928"/>
      <c r="L157" s="1931"/>
    </row>
    <row r="158" spans="2:12" x14ac:dyDescent="0.25">
      <c r="B158" s="1927"/>
      <c r="C158" s="1928"/>
      <c r="D158" s="1931"/>
      <c r="F158" s="1927"/>
      <c r="G158" s="1928"/>
      <c r="H158" s="1931"/>
      <c r="J158" s="1927"/>
      <c r="K158" s="1928"/>
      <c r="L158" s="1931"/>
    </row>
    <row r="159" spans="2:12" x14ac:dyDescent="0.25">
      <c r="B159" s="1927"/>
      <c r="C159" s="1928"/>
      <c r="D159" s="1931"/>
      <c r="F159" s="1927"/>
      <c r="G159" s="1928"/>
      <c r="H159" s="1931"/>
      <c r="J159" s="1927"/>
      <c r="K159" s="1928"/>
      <c r="L159" s="1931"/>
    </row>
    <row r="160" spans="2:12" x14ac:dyDescent="0.25">
      <c r="B160" s="1927"/>
      <c r="C160" s="1928"/>
      <c r="D160" s="1931"/>
      <c r="F160" s="1927"/>
      <c r="G160" s="1928"/>
      <c r="H160" s="1931"/>
      <c r="J160" s="1927"/>
      <c r="K160" s="1928"/>
      <c r="L160" s="1931"/>
    </row>
    <row r="161" spans="2:12" x14ac:dyDescent="0.25">
      <c r="B161" s="1927"/>
      <c r="C161" s="1928"/>
      <c r="D161" s="1931"/>
      <c r="F161" s="1927"/>
      <c r="G161" s="1928"/>
      <c r="H161" s="1931"/>
      <c r="J161" s="1927"/>
      <c r="K161" s="1928"/>
      <c r="L161" s="1931"/>
    </row>
    <row r="162" spans="2:12" x14ac:dyDescent="0.25">
      <c r="B162" s="1927"/>
      <c r="C162" s="1928"/>
      <c r="D162" s="1931"/>
      <c r="F162" s="1927"/>
      <c r="G162" s="1928"/>
      <c r="H162" s="1931"/>
      <c r="J162" s="1927"/>
      <c r="K162" s="1928"/>
      <c r="L162" s="1931"/>
    </row>
    <row r="163" spans="2:12" x14ac:dyDescent="0.25">
      <c r="B163" s="1927"/>
      <c r="C163" s="1928"/>
      <c r="D163" s="1931"/>
      <c r="F163" s="1927"/>
      <c r="G163" s="1928"/>
      <c r="H163" s="1931"/>
      <c r="J163" s="1927"/>
      <c r="K163" s="1928"/>
      <c r="L163" s="1931"/>
    </row>
    <row r="164" spans="2:12" x14ac:dyDescent="0.25">
      <c r="B164" s="1927"/>
      <c r="C164" s="1928"/>
      <c r="D164" s="1931"/>
      <c r="F164" s="1927"/>
      <c r="G164" s="1928"/>
      <c r="H164" s="1931"/>
      <c r="J164" s="1927"/>
      <c r="K164" s="1928"/>
      <c r="L164" s="1931"/>
    </row>
    <row r="165" spans="2:12" x14ac:dyDescent="0.25">
      <c r="B165" s="1927"/>
      <c r="C165" s="1928"/>
      <c r="D165" s="1931"/>
      <c r="F165" s="1927"/>
      <c r="G165" s="1928"/>
      <c r="H165" s="1931"/>
      <c r="J165" s="1927"/>
      <c r="K165" s="1928"/>
      <c r="L165" s="1931"/>
    </row>
    <row r="166" spans="2:12" x14ac:dyDescent="0.25">
      <c r="B166" s="1927"/>
      <c r="C166" s="1928"/>
      <c r="D166" s="1931"/>
      <c r="F166" s="1927"/>
      <c r="G166" s="1928"/>
      <c r="H166" s="1931"/>
      <c r="J166" s="1927"/>
      <c r="K166" s="1928"/>
      <c r="L166" s="1931"/>
    </row>
    <row r="167" spans="2:12" x14ac:dyDescent="0.25">
      <c r="B167" s="1927"/>
      <c r="C167" s="1928"/>
      <c r="D167" s="1931"/>
      <c r="F167" s="1927"/>
      <c r="G167" s="1928"/>
      <c r="H167" s="1931"/>
      <c r="J167" s="1927"/>
      <c r="K167" s="1928"/>
      <c r="L167" s="1931"/>
    </row>
    <row r="168" spans="2:12" x14ac:dyDescent="0.25">
      <c r="B168" s="1927"/>
      <c r="C168" s="1928"/>
      <c r="D168" s="1931"/>
      <c r="F168" s="1927"/>
      <c r="G168" s="1928"/>
      <c r="H168" s="1931"/>
      <c r="J168" s="1927"/>
      <c r="K168" s="1928"/>
      <c r="L168" s="1931"/>
    </row>
    <row r="169" spans="2:12" x14ac:dyDescent="0.25">
      <c r="B169" s="1927"/>
      <c r="C169" s="1928"/>
      <c r="D169" s="1931"/>
      <c r="F169" s="1927"/>
      <c r="G169" s="1928"/>
      <c r="H169" s="1931"/>
      <c r="J169" s="1927"/>
      <c r="K169" s="1928"/>
      <c r="L169" s="1931"/>
    </row>
    <row r="170" spans="2:12" x14ac:dyDescent="0.25">
      <c r="B170" s="1927"/>
      <c r="C170" s="1928"/>
      <c r="D170" s="1931"/>
      <c r="F170" s="1927"/>
      <c r="G170" s="1928"/>
      <c r="H170" s="1931"/>
      <c r="J170" s="1927"/>
      <c r="K170" s="1928"/>
      <c r="L170" s="1931"/>
    </row>
    <row r="171" spans="2:12" x14ac:dyDescent="0.25">
      <c r="B171" s="1927"/>
      <c r="C171" s="1928"/>
      <c r="D171" s="1931"/>
      <c r="F171" s="1927"/>
      <c r="G171" s="1928"/>
      <c r="H171" s="1931"/>
      <c r="J171" s="1927"/>
      <c r="K171" s="1928"/>
      <c r="L171" s="1931"/>
    </row>
    <row r="172" spans="2:12" x14ac:dyDescent="0.25">
      <c r="B172" s="1927"/>
      <c r="C172" s="1928"/>
      <c r="D172" s="1931"/>
      <c r="F172" s="1927"/>
      <c r="G172" s="1928"/>
      <c r="H172" s="1931"/>
      <c r="J172" s="1927"/>
      <c r="K172" s="1928"/>
      <c r="L172" s="1931"/>
    </row>
    <row r="173" spans="2:12" x14ac:dyDescent="0.25">
      <c r="B173" s="1927"/>
      <c r="C173" s="1928"/>
      <c r="D173" s="1931"/>
      <c r="F173" s="1927"/>
      <c r="G173" s="1928"/>
      <c r="H173" s="1931"/>
      <c r="J173" s="1927"/>
      <c r="K173" s="1928"/>
      <c r="L173" s="1931"/>
    </row>
    <row r="174" spans="2:12" x14ac:dyDescent="0.25">
      <c r="B174" s="1927"/>
      <c r="C174" s="1928"/>
      <c r="D174" s="1931"/>
      <c r="F174" s="1927"/>
      <c r="G174" s="1928"/>
      <c r="H174" s="1931"/>
      <c r="J174" s="1927"/>
      <c r="K174" s="1928"/>
      <c r="L174" s="1931"/>
    </row>
    <row r="175" spans="2:12" x14ac:dyDescent="0.25">
      <c r="B175" s="1927"/>
      <c r="C175" s="1928"/>
      <c r="D175" s="1931"/>
      <c r="F175" s="1927"/>
      <c r="G175" s="1928"/>
      <c r="H175" s="1931"/>
      <c r="J175" s="1927"/>
      <c r="K175" s="1928"/>
      <c r="L175" s="1931"/>
    </row>
    <row r="176" spans="2:12" x14ac:dyDescent="0.25">
      <c r="B176" s="1927"/>
      <c r="C176" s="1928"/>
      <c r="D176" s="1931"/>
      <c r="F176" s="1927"/>
      <c r="G176" s="1928"/>
      <c r="H176" s="1931"/>
      <c r="J176" s="1927"/>
      <c r="K176" s="1928"/>
      <c r="L176" s="1931"/>
    </row>
    <row r="177" spans="2:12" x14ac:dyDescent="0.25">
      <c r="B177" s="1927"/>
      <c r="C177" s="1928"/>
      <c r="D177" s="1931"/>
      <c r="F177" s="1927"/>
      <c r="G177" s="1928"/>
      <c r="H177" s="1931"/>
      <c r="J177" s="1927"/>
      <c r="K177" s="1928"/>
      <c r="L177" s="1931"/>
    </row>
    <row r="178" spans="2:12" x14ac:dyDescent="0.25">
      <c r="B178" s="1927"/>
      <c r="C178" s="1928"/>
      <c r="D178" s="1931"/>
      <c r="F178" s="1927"/>
      <c r="G178" s="1928"/>
      <c r="H178" s="1931"/>
      <c r="J178" s="1927"/>
      <c r="K178" s="1928"/>
      <c r="L178" s="1931"/>
    </row>
    <row r="179" spans="2:12" x14ac:dyDescent="0.25">
      <c r="B179" s="1927"/>
      <c r="C179" s="1928"/>
      <c r="D179" s="1931"/>
      <c r="F179" s="1927"/>
      <c r="G179" s="1928"/>
      <c r="H179" s="1931"/>
      <c r="J179" s="1927"/>
      <c r="K179" s="1928"/>
      <c r="L179" s="1931"/>
    </row>
    <row r="180" spans="2:12" x14ac:dyDescent="0.25">
      <c r="B180" s="1927"/>
      <c r="C180" s="1928"/>
      <c r="D180" s="1931"/>
      <c r="F180" s="1927"/>
      <c r="G180" s="1928"/>
      <c r="H180" s="1931"/>
      <c r="J180" s="1927"/>
      <c r="K180" s="1928"/>
      <c r="L180" s="1931"/>
    </row>
    <row r="181" spans="2:12" x14ac:dyDescent="0.25">
      <c r="B181" s="1927"/>
      <c r="C181" s="1928"/>
      <c r="D181" s="1931"/>
      <c r="F181" s="1927"/>
      <c r="G181" s="1928"/>
      <c r="H181" s="1931"/>
      <c r="J181" s="1927"/>
      <c r="K181" s="1928"/>
      <c r="L181" s="1931"/>
    </row>
    <row r="182" spans="2:12" x14ac:dyDescent="0.25">
      <c r="B182" s="1927"/>
      <c r="C182" s="1928"/>
      <c r="D182" s="1931"/>
      <c r="F182" s="1927"/>
      <c r="G182" s="1928"/>
      <c r="H182" s="1931"/>
      <c r="J182" s="1927"/>
      <c r="K182" s="1928"/>
      <c r="L182" s="1931"/>
    </row>
    <row r="183" spans="2:12" x14ac:dyDescent="0.25">
      <c r="B183" s="1927"/>
      <c r="C183" s="1928"/>
      <c r="D183" s="1931"/>
      <c r="F183" s="1927"/>
      <c r="G183" s="1928"/>
      <c r="H183" s="1931"/>
      <c r="J183" s="1927"/>
      <c r="K183" s="1928"/>
      <c r="L183" s="1931"/>
    </row>
    <row r="184" spans="2:12" x14ac:dyDescent="0.25">
      <c r="B184" s="1927"/>
      <c r="C184" s="1928"/>
      <c r="D184" s="1931"/>
      <c r="F184" s="1927"/>
      <c r="G184" s="1928"/>
      <c r="H184" s="1931"/>
      <c r="J184" s="1927"/>
      <c r="K184" s="1928"/>
      <c r="L184" s="1931"/>
    </row>
    <row r="185" spans="2:12" x14ac:dyDescent="0.25">
      <c r="B185" s="1927"/>
      <c r="C185" s="1928"/>
      <c r="D185" s="1931"/>
      <c r="F185" s="1927"/>
      <c r="G185" s="1928"/>
      <c r="H185" s="1931"/>
      <c r="J185" s="1927"/>
      <c r="K185" s="1928"/>
      <c r="L185" s="1931"/>
    </row>
    <row r="186" spans="2:12" x14ac:dyDescent="0.25">
      <c r="B186" s="1927"/>
      <c r="C186" s="1928"/>
      <c r="D186" s="1931"/>
      <c r="F186" s="1927"/>
      <c r="G186" s="1928"/>
      <c r="H186" s="1931"/>
      <c r="J186" s="1927"/>
      <c r="K186" s="1928"/>
      <c r="L186" s="1931"/>
    </row>
    <row r="187" spans="2:12" x14ac:dyDescent="0.25">
      <c r="B187" s="1927"/>
      <c r="C187" s="1928"/>
      <c r="D187" s="1931"/>
      <c r="F187" s="1927"/>
      <c r="G187" s="1928"/>
      <c r="H187" s="1931"/>
      <c r="J187" s="1927"/>
      <c r="K187" s="1928"/>
      <c r="L187" s="1931"/>
    </row>
    <row r="188" spans="2:12" x14ac:dyDescent="0.25">
      <c r="B188" s="1927"/>
      <c r="C188" s="1928"/>
      <c r="D188" s="1931"/>
      <c r="F188" s="1927"/>
      <c r="G188" s="1928"/>
      <c r="H188" s="1931"/>
      <c r="J188" s="1927"/>
      <c r="K188" s="1928"/>
      <c r="L188" s="1931"/>
    </row>
    <row r="189" spans="2:12" x14ac:dyDescent="0.25">
      <c r="B189" s="1927"/>
      <c r="C189" s="1928"/>
      <c r="D189" s="1931"/>
      <c r="F189" s="1927"/>
      <c r="G189" s="1928"/>
      <c r="H189" s="1931"/>
      <c r="J189" s="1927"/>
      <c r="K189" s="1928"/>
      <c r="L189" s="1931"/>
    </row>
    <row r="190" spans="2:12" x14ac:dyDescent="0.25">
      <c r="B190" s="1927"/>
      <c r="C190" s="1928"/>
      <c r="D190" s="1931"/>
      <c r="F190" s="1927"/>
      <c r="G190" s="1928"/>
      <c r="H190" s="1931"/>
      <c r="J190" s="1927"/>
      <c r="K190" s="1928"/>
      <c r="L190" s="1931"/>
    </row>
    <row r="191" spans="2:12" x14ac:dyDescent="0.25">
      <c r="B191" s="1927"/>
      <c r="C191" s="1928"/>
      <c r="D191" s="1931"/>
      <c r="F191" s="1927"/>
      <c r="G191" s="1928"/>
      <c r="H191" s="1931"/>
      <c r="J191" s="1927"/>
      <c r="K191" s="1928"/>
      <c r="L191" s="1931"/>
    </row>
    <row r="192" spans="2:12" x14ac:dyDescent="0.25">
      <c r="B192" s="1927"/>
      <c r="C192" s="1928"/>
      <c r="D192" s="1931"/>
      <c r="F192" s="1927"/>
      <c r="G192" s="1928"/>
      <c r="H192" s="1931"/>
      <c r="J192" s="1927"/>
      <c r="K192" s="1928"/>
      <c r="L192" s="1931"/>
    </row>
    <row r="193" spans="2:12" x14ac:dyDescent="0.25">
      <c r="B193" s="1927"/>
      <c r="C193" s="1928"/>
      <c r="D193" s="1931"/>
      <c r="F193" s="1927"/>
      <c r="G193" s="1928"/>
      <c r="H193" s="1931"/>
      <c r="J193" s="1927"/>
      <c r="K193" s="1928"/>
      <c r="L193" s="1931"/>
    </row>
    <row r="194" spans="2:12" x14ac:dyDescent="0.25">
      <c r="B194" s="1927"/>
      <c r="C194" s="1928"/>
      <c r="D194" s="1931"/>
      <c r="F194" s="1927"/>
      <c r="G194" s="1928"/>
      <c r="H194" s="1931"/>
      <c r="J194" s="1927"/>
      <c r="K194" s="1928"/>
      <c r="L194" s="1931"/>
    </row>
    <row r="195" spans="2:12" x14ac:dyDescent="0.25">
      <c r="B195" s="1927"/>
      <c r="C195" s="1928"/>
      <c r="D195" s="1931"/>
      <c r="F195" s="1927"/>
      <c r="G195" s="1928"/>
      <c r="H195" s="1931"/>
      <c r="J195" s="1927"/>
      <c r="K195" s="1928"/>
      <c r="L195" s="1931"/>
    </row>
    <row r="196" spans="2:12" x14ac:dyDescent="0.25">
      <c r="B196" s="1927"/>
      <c r="C196" s="1928"/>
      <c r="D196" s="1931"/>
      <c r="F196" s="1927"/>
      <c r="G196" s="1928"/>
      <c r="H196" s="1931"/>
      <c r="J196" s="1927"/>
      <c r="K196" s="1928"/>
      <c r="L196" s="1931"/>
    </row>
    <row r="197" spans="2:12" x14ac:dyDescent="0.25">
      <c r="B197" s="1927"/>
      <c r="C197" s="1928"/>
      <c r="D197" s="1931"/>
      <c r="F197" s="1927"/>
      <c r="G197" s="1928"/>
      <c r="H197" s="1931"/>
      <c r="J197" s="1927"/>
      <c r="K197" s="1928"/>
      <c r="L197" s="1931"/>
    </row>
    <row r="198" spans="2:12" x14ac:dyDescent="0.25">
      <c r="B198" s="1927"/>
      <c r="C198" s="1928"/>
      <c r="D198" s="1931"/>
      <c r="F198" s="1927"/>
      <c r="G198" s="1928"/>
      <c r="H198" s="1931"/>
      <c r="J198" s="1927"/>
      <c r="K198" s="1928"/>
      <c r="L198" s="1931"/>
    </row>
    <row r="199" spans="2:12" x14ac:dyDescent="0.25">
      <c r="B199" s="1927"/>
      <c r="C199" s="1928"/>
      <c r="D199" s="1931"/>
      <c r="F199" s="1927"/>
      <c r="G199" s="1928"/>
      <c r="H199" s="1931"/>
      <c r="J199" s="1927"/>
      <c r="K199" s="1928"/>
      <c r="L199" s="1931"/>
    </row>
    <row r="200" spans="2:12" x14ac:dyDescent="0.25">
      <c r="B200" s="1927"/>
      <c r="C200" s="1928"/>
      <c r="D200" s="1931"/>
      <c r="F200" s="1927"/>
      <c r="G200" s="1928"/>
      <c r="H200" s="1931"/>
      <c r="J200" s="1927"/>
      <c r="K200" s="1928"/>
      <c r="L200" s="1931"/>
    </row>
    <row r="201" spans="2:12" x14ac:dyDescent="0.25">
      <c r="B201" s="1927"/>
      <c r="C201" s="1928"/>
      <c r="D201" s="1931"/>
      <c r="F201" s="1927"/>
      <c r="G201" s="1928"/>
      <c r="H201" s="1931"/>
      <c r="J201" s="1927"/>
      <c r="K201" s="1928"/>
      <c r="L201" s="1931"/>
    </row>
    <row r="202" spans="2:12" x14ac:dyDescent="0.25">
      <c r="B202" s="1927"/>
      <c r="C202" s="1928"/>
      <c r="D202" s="1931"/>
      <c r="F202" s="1927"/>
      <c r="G202" s="1928"/>
      <c r="H202" s="1931"/>
      <c r="J202" s="1927"/>
      <c r="K202" s="1928"/>
      <c r="L202" s="1931"/>
    </row>
    <row r="203" spans="2:12" x14ac:dyDescent="0.25">
      <c r="B203" s="1927"/>
      <c r="C203" s="1928"/>
      <c r="D203" s="1931"/>
      <c r="F203" s="1927"/>
      <c r="G203" s="1928"/>
      <c r="H203" s="1931"/>
      <c r="J203" s="1927"/>
      <c r="K203" s="1928"/>
      <c r="L203" s="1931"/>
    </row>
    <row r="204" spans="2:12" x14ac:dyDescent="0.25">
      <c r="B204" s="1927"/>
      <c r="C204" s="1928"/>
      <c r="D204" s="1931"/>
      <c r="F204" s="1927"/>
      <c r="G204" s="1928"/>
      <c r="H204" s="1931"/>
      <c r="J204" s="1927"/>
      <c r="K204" s="1928"/>
      <c r="L204" s="1931"/>
    </row>
    <row r="205" spans="2:12" x14ac:dyDescent="0.25">
      <c r="B205" s="1927"/>
      <c r="C205" s="1928"/>
      <c r="D205" s="1931"/>
      <c r="F205" s="1927"/>
      <c r="G205" s="1928"/>
      <c r="H205" s="1931"/>
      <c r="J205" s="1927"/>
      <c r="K205" s="1928"/>
      <c r="L205" s="1931"/>
    </row>
    <row r="206" spans="2:12" x14ac:dyDescent="0.25">
      <c r="B206" s="1927"/>
      <c r="C206" s="1928"/>
      <c r="D206" s="1931"/>
      <c r="F206" s="1927"/>
      <c r="G206" s="1928"/>
      <c r="H206" s="1931"/>
      <c r="J206" s="1927"/>
      <c r="K206" s="1928"/>
      <c r="L206" s="1931"/>
    </row>
    <row r="207" spans="2:12" x14ac:dyDescent="0.25">
      <c r="B207" s="1927"/>
      <c r="C207" s="1928"/>
      <c r="D207" s="1931"/>
      <c r="F207" s="1927"/>
      <c r="G207" s="1928"/>
      <c r="H207" s="1931"/>
      <c r="J207" s="1927"/>
      <c r="K207" s="1928"/>
      <c r="L207" s="1931"/>
    </row>
    <row r="208" spans="2:12" x14ac:dyDescent="0.25">
      <c r="B208" s="1927"/>
      <c r="C208" s="1928"/>
      <c r="D208" s="1931"/>
      <c r="F208" s="1927"/>
      <c r="G208" s="1928"/>
      <c r="H208" s="1931"/>
      <c r="J208" s="1927"/>
      <c r="K208" s="1928"/>
      <c r="L208" s="1931"/>
    </row>
    <row r="209" spans="2:12" x14ac:dyDescent="0.25">
      <c r="B209" s="1927"/>
      <c r="C209" s="1928"/>
      <c r="D209" s="1931"/>
      <c r="F209" s="1927"/>
      <c r="G209" s="1928"/>
      <c r="H209" s="1931"/>
      <c r="J209" s="1927"/>
      <c r="K209" s="1928"/>
      <c r="L209" s="1931"/>
    </row>
    <row r="210" spans="2:12" x14ac:dyDescent="0.25">
      <c r="B210" s="1927"/>
      <c r="C210" s="1928"/>
      <c r="D210" s="1931"/>
      <c r="F210" s="1927"/>
      <c r="G210" s="1928"/>
      <c r="H210" s="1931"/>
      <c r="J210" s="1927"/>
      <c r="K210" s="1928"/>
      <c r="L210" s="1931"/>
    </row>
    <row r="211" spans="2:12" x14ac:dyDescent="0.25">
      <c r="B211" s="1927"/>
      <c r="C211" s="1928"/>
      <c r="D211" s="1931"/>
      <c r="F211" s="1927"/>
      <c r="G211" s="1928"/>
      <c r="H211" s="1931"/>
      <c r="J211" s="1927"/>
      <c r="K211" s="1928"/>
      <c r="L211" s="1931"/>
    </row>
    <row r="212" spans="2:12" x14ac:dyDescent="0.25">
      <c r="B212" s="1927"/>
      <c r="C212" s="1928"/>
      <c r="D212" s="1931"/>
      <c r="F212" s="1927"/>
      <c r="G212" s="1928"/>
      <c r="H212" s="1931"/>
      <c r="J212" s="1927"/>
      <c r="K212" s="1928"/>
      <c r="L212" s="1931"/>
    </row>
    <row r="213" spans="2:12" x14ac:dyDescent="0.25">
      <c r="B213" s="1927"/>
      <c r="C213" s="1928"/>
      <c r="D213" s="1931"/>
      <c r="F213" s="1927"/>
      <c r="G213" s="1928"/>
      <c r="H213" s="1931"/>
      <c r="J213" s="1927"/>
      <c r="K213" s="1928"/>
      <c r="L213" s="1931"/>
    </row>
    <row r="214" spans="2:12" x14ac:dyDescent="0.25">
      <c r="B214" s="1927"/>
      <c r="C214" s="1928"/>
      <c r="D214" s="1931"/>
      <c r="F214" s="1927"/>
      <c r="G214" s="1928"/>
      <c r="H214" s="1931"/>
      <c r="J214" s="1927"/>
      <c r="K214" s="1928"/>
      <c r="L214" s="1931"/>
    </row>
    <row r="215" spans="2:12" x14ac:dyDescent="0.25">
      <c r="B215" s="1927"/>
      <c r="C215" s="1928"/>
      <c r="D215" s="1931"/>
      <c r="F215" s="1927"/>
      <c r="G215" s="1928"/>
      <c r="H215" s="1931"/>
      <c r="J215" s="1927"/>
      <c r="K215" s="1928"/>
      <c r="L215" s="1931"/>
    </row>
    <row r="216" spans="2:12" x14ac:dyDescent="0.25">
      <c r="B216" s="1927"/>
      <c r="C216" s="1928"/>
      <c r="D216" s="1931"/>
      <c r="F216" s="1927"/>
      <c r="G216" s="1928"/>
      <c r="H216" s="1931"/>
      <c r="J216" s="1927"/>
      <c r="K216" s="1928"/>
      <c r="L216" s="1931"/>
    </row>
    <row r="217" spans="2:12" x14ac:dyDescent="0.25">
      <c r="B217" s="1927"/>
      <c r="C217" s="1928"/>
      <c r="D217" s="1931"/>
      <c r="F217" s="1927"/>
      <c r="G217" s="1928"/>
      <c r="H217" s="1931"/>
      <c r="J217" s="1927"/>
      <c r="K217" s="1928"/>
      <c r="L217" s="1931"/>
    </row>
    <row r="218" spans="2:12" x14ac:dyDescent="0.25">
      <c r="B218" s="1927"/>
      <c r="C218" s="1928"/>
      <c r="D218" s="1931"/>
      <c r="F218" s="1927"/>
      <c r="G218" s="1928"/>
      <c r="H218" s="1931"/>
      <c r="J218" s="1927"/>
      <c r="K218" s="1928"/>
      <c r="L218" s="1931"/>
    </row>
    <row r="219" spans="2:12" x14ac:dyDescent="0.25">
      <c r="B219" s="1927"/>
      <c r="C219" s="1928"/>
      <c r="D219" s="1931"/>
      <c r="F219" s="1927"/>
      <c r="G219" s="1928"/>
      <c r="H219" s="1931"/>
      <c r="J219" s="1927"/>
      <c r="K219" s="1928"/>
      <c r="L219" s="1931"/>
    </row>
    <row r="220" spans="2:12" x14ac:dyDescent="0.25">
      <c r="B220" s="1927"/>
      <c r="C220" s="1928"/>
      <c r="D220" s="1931"/>
      <c r="F220" s="1927"/>
      <c r="G220" s="1928"/>
      <c r="H220" s="1931"/>
      <c r="J220" s="1927"/>
      <c r="K220" s="1928"/>
      <c r="L220" s="1931"/>
    </row>
    <row r="221" spans="2:12" x14ac:dyDescent="0.25">
      <c r="B221" s="1927"/>
      <c r="C221" s="1928"/>
      <c r="D221" s="1931"/>
      <c r="F221" s="1927"/>
      <c r="G221" s="1928"/>
      <c r="H221" s="1931"/>
      <c r="J221" s="1927"/>
      <c r="K221" s="1928"/>
      <c r="L221" s="1931"/>
    </row>
    <row r="222" spans="2:12" x14ac:dyDescent="0.25">
      <c r="B222" s="1927"/>
      <c r="C222" s="1928"/>
      <c r="D222" s="1931"/>
      <c r="F222" s="1927"/>
      <c r="G222" s="1928"/>
      <c r="H222" s="1931"/>
      <c r="J222" s="1927"/>
      <c r="K222" s="1928"/>
      <c r="L222" s="1931"/>
    </row>
    <row r="223" spans="2:12" x14ac:dyDescent="0.25">
      <c r="B223" s="1927"/>
      <c r="C223" s="1928"/>
      <c r="D223" s="1931"/>
      <c r="F223" s="1927"/>
      <c r="G223" s="1928"/>
      <c r="H223" s="1931"/>
      <c r="J223" s="1927"/>
      <c r="K223" s="1928"/>
      <c r="L223" s="1931"/>
    </row>
    <row r="224" spans="2:12" x14ac:dyDescent="0.25">
      <c r="B224" s="1927"/>
      <c r="C224" s="1928"/>
      <c r="D224" s="1931"/>
      <c r="F224" s="1927"/>
      <c r="G224" s="1928"/>
      <c r="H224" s="1931"/>
      <c r="J224" s="1927"/>
      <c r="K224" s="1928"/>
      <c r="L224" s="1931"/>
    </row>
  </sheetData>
  <mergeCells count="11">
    <mergeCell ref="Q8:Q9"/>
    <mergeCell ref="N9:P9"/>
    <mergeCell ref="N10:O10"/>
    <mergeCell ref="N11:O11"/>
    <mergeCell ref="N12:O12"/>
    <mergeCell ref="B2:D2"/>
    <mergeCell ref="F2:H2"/>
    <mergeCell ref="J2:L2"/>
    <mergeCell ref="B3:D4"/>
    <mergeCell ref="F3:H4"/>
    <mergeCell ref="J3:L4"/>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6810E-28E7-485B-A864-55869224D764}">
  <sheetPr codeName="Sheet16">
    <tabColor theme="0" tint="-0.499984740745262"/>
  </sheetPr>
  <dimension ref="B1:R224"/>
  <sheetViews>
    <sheetView topLeftCell="A22" zoomScale="80" zoomScaleNormal="80" workbookViewId="0">
      <selection activeCell="D46" sqref="D46"/>
    </sheetView>
  </sheetViews>
  <sheetFormatPr defaultRowHeight="15" x14ac:dyDescent="0.25"/>
  <cols>
    <col min="1" max="1" width="11.5703125" style="1" customWidth="1"/>
    <col min="2" max="2" width="23" style="1558" customWidth="1"/>
    <col min="3" max="4" width="17" style="1558" customWidth="1"/>
    <col min="5" max="5" width="4.28515625" style="1" customWidth="1"/>
    <col min="6" max="6" width="23" style="1558" customWidth="1"/>
    <col min="7" max="8" width="17" style="1558" customWidth="1"/>
    <col min="9" max="9" width="4.28515625" style="1" customWidth="1"/>
    <col min="10" max="10" width="23" style="1558" customWidth="1"/>
    <col min="11" max="12" width="17" style="1558" customWidth="1"/>
    <col min="13" max="13" width="2.85546875" style="1" customWidth="1"/>
    <col min="14" max="16" width="22.85546875" style="1" customWidth="1"/>
    <col min="17" max="17" width="28.85546875" style="1" customWidth="1"/>
    <col min="18" max="18" width="12.85546875" style="1" bestFit="1" customWidth="1"/>
    <col min="19" max="16384" width="9.140625" style="1"/>
  </cols>
  <sheetData>
    <row r="1" spans="2:18" ht="77.25" customHeight="1" thickBot="1" x14ac:dyDescent="0.3">
      <c r="G1" s="1943" t="s">
        <v>436</v>
      </c>
      <c r="J1" s="1942"/>
      <c r="K1" s="1942"/>
      <c r="L1" s="1941" t="s">
        <v>437</v>
      </c>
    </row>
    <row r="2" spans="2:18" ht="35.25" customHeight="1" thickBot="1" x14ac:dyDescent="0.3">
      <c r="B2" s="3521" t="s">
        <v>438</v>
      </c>
      <c r="C2" s="3522"/>
      <c r="D2" s="3523"/>
      <c r="F2" s="3524" t="s">
        <v>439</v>
      </c>
      <c r="G2" s="3525"/>
      <c r="H2" s="3526"/>
      <c r="J2" s="3527" t="s">
        <v>440</v>
      </c>
      <c r="K2" s="3528"/>
      <c r="L2" s="3529"/>
    </row>
    <row r="3" spans="2:18" ht="32.25" customHeight="1" x14ac:dyDescent="0.25">
      <c r="B3" s="3530" t="e">
        <f>IF(P10&gt;0,N15&amp;IF(P7&lt;P10,"
"&amp;N16,""),N14)</f>
        <v>#N/A</v>
      </c>
      <c r="C3" s="3531"/>
      <c r="D3" s="3532"/>
      <c r="F3" s="3530" t="e">
        <f>IF(P11&gt;0,N19&amp;IF(P7&lt;P11,"
"&amp;N20,""),N18)</f>
        <v>#N/A</v>
      </c>
      <c r="G3" s="3531"/>
      <c r="H3" s="3532"/>
      <c r="J3" s="3530" t="e">
        <f>IF(P12&gt;0,N23&amp;IF(P7&lt;P12,"
"&amp;N24,""),N22)</f>
        <v>#N/A</v>
      </c>
      <c r="K3" s="3531"/>
      <c r="L3" s="3532"/>
      <c r="N3" s="898" t="s">
        <v>441</v>
      </c>
    </row>
    <row r="4" spans="2:18" ht="32.25" customHeight="1" thickBot="1" x14ac:dyDescent="0.3">
      <c r="B4" s="3533"/>
      <c r="C4" s="3534"/>
      <c r="D4" s="3535"/>
      <c r="F4" s="3533"/>
      <c r="G4" s="3534"/>
      <c r="H4" s="3535"/>
      <c r="J4" s="3533"/>
      <c r="K4" s="3534"/>
      <c r="L4" s="3535"/>
      <c r="Q4" s="1926"/>
    </row>
    <row r="5" spans="2:18" ht="18.75" thickBot="1" x14ac:dyDescent="0.3">
      <c r="N5" s="1927" t="s">
        <v>442</v>
      </c>
      <c r="O5" s="1933">
        <v>0.2</v>
      </c>
      <c r="P5" s="1929">
        <f>'BTL Calculator'!V9*O7</f>
        <v>0</v>
      </c>
      <c r="Q5" s="1926">
        <f>P5-'BTL Calculator'!F80</f>
        <v>0</v>
      </c>
    </row>
    <row r="6" spans="2:18" ht="18.75" thickBot="1" x14ac:dyDescent="0.3">
      <c r="B6" s="1944" t="s">
        <v>443</v>
      </c>
      <c r="C6" s="1947" t="str">
        <f>IF(B24&gt;-1,B24&amp;"m Rolled","")</f>
        <v>0m Rolled</v>
      </c>
      <c r="D6" s="1945">
        <f>IF(C6="","",_xlfn.MINIFS(C24:C224,D24:D224,"&gt;="&amp;D8))</f>
        <v>0</v>
      </c>
      <c r="F6" s="1944" t="s">
        <v>443</v>
      </c>
      <c r="G6" s="1947" t="str">
        <f>IF(F24&gt;-1,F24&amp;"m Rolled","")</f>
        <v>0m Rolled</v>
      </c>
      <c r="H6" s="1945">
        <f>IF(G6="","",_xlfn.MINIFS(G24:G224,H24:H224,"&gt;="&amp;H8))</f>
        <v>0</v>
      </c>
      <c r="J6" s="1944" t="s">
        <v>443</v>
      </c>
      <c r="K6" s="1947" t="str">
        <f>IF(J24&gt;-1,J24&amp;"m Rolled","")</f>
        <v>0m Rolled</v>
      </c>
      <c r="L6" s="1945">
        <f>IF(K6="","",_xlfn.MINIFS(K24:K224,L24:L224,"&gt;="&amp;L8))</f>
        <v>0</v>
      </c>
      <c r="N6" s="1927" t="s">
        <v>442</v>
      </c>
      <c r="O6" s="1933">
        <v>0.2</v>
      </c>
      <c r="P6" s="1929">
        <f>'BTL Calculator'!V9*O7</f>
        <v>0</v>
      </c>
      <c r="Q6" s="1926">
        <f>P6-'BTL Calculator'!I80</f>
        <v>0</v>
      </c>
    </row>
    <row r="7" spans="2:18" ht="18" x14ac:dyDescent="0.25">
      <c r="C7" s="1"/>
      <c r="D7" s="1"/>
      <c r="G7" s="1"/>
      <c r="H7" s="1"/>
      <c r="K7" s="1"/>
      <c r="L7" s="1"/>
      <c r="N7" s="1927" t="s">
        <v>442</v>
      </c>
      <c r="O7" s="1933">
        <v>0.2</v>
      </c>
      <c r="P7" s="1929">
        <f>'BTL Calculator'!V9*O7</f>
        <v>0</v>
      </c>
      <c r="Q7" s="1926">
        <f>P7-'BTL Calculator'!L80</f>
        <v>0</v>
      </c>
    </row>
    <row r="8" spans="2:18" x14ac:dyDescent="0.25">
      <c r="B8" s="1928" t="e">
        <f>'BTL Calculator'!F86</f>
        <v>#N/A</v>
      </c>
      <c r="C8" s="1932">
        <v>0.02</v>
      </c>
      <c r="D8" s="1929">
        <f>Property_Value*75%</f>
        <v>0</v>
      </c>
      <c r="F8" s="1928" t="e">
        <f>'BTL Calculator'!I86</f>
        <v>#N/A</v>
      </c>
      <c r="G8" s="1932">
        <v>0.02</v>
      </c>
      <c r="H8" s="1929">
        <f>Property_Value*75%</f>
        <v>0</v>
      </c>
      <c r="J8" s="1928" t="e">
        <f>'BTL Calculator'!L86</f>
        <v>#N/A</v>
      </c>
      <c r="K8" s="1932">
        <v>0.02</v>
      </c>
      <c r="L8" s="1929">
        <f>Property_Value*75%</f>
        <v>0</v>
      </c>
      <c r="N8" s="1558"/>
      <c r="O8" s="1558"/>
      <c r="P8" s="1936"/>
      <c r="Q8" s="3540" t="s">
        <v>444</v>
      </c>
    </row>
    <row r="9" spans="2:18" ht="15.75" thickBot="1" x14ac:dyDescent="0.3">
      <c r="C9" s="1929">
        <f>'KB_CRITERIA AND CALCULATION '!AO126/24</f>
        <v>0</v>
      </c>
      <c r="D9" s="1558">
        <f>'BTL Calculator'!$V$9</f>
        <v>0</v>
      </c>
      <c r="G9" s="1929">
        <f>'KB_CRITERIA AND CALCULATION '!AO108/24</f>
        <v>0</v>
      </c>
      <c r="H9" s="1558">
        <f>'BTL Calculator'!$V$9</f>
        <v>0</v>
      </c>
      <c r="K9" s="1929">
        <f>'KB_CRITERIA AND CALCULATION '!AO90/24</f>
        <v>0</v>
      </c>
      <c r="L9" s="1558">
        <f>'BTL Calculator'!$V$9</f>
        <v>0</v>
      </c>
      <c r="N9" s="3542"/>
      <c r="O9" s="3542"/>
      <c r="P9" s="3542"/>
      <c r="Q9" s="3541"/>
    </row>
    <row r="10" spans="2:18" ht="15.75" thickBot="1" x14ac:dyDescent="0.3">
      <c r="N10" s="3543" t="s">
        <v>445</v>
      </c>
      <c r="O10" s="3544"/>
      <c r="P10" s="1938" t="e">
        <f>((D8-C21)*(((($B$8-BBR+'Product Data'!$K$3-'KB_BTL Opt Roll Defer Top Slice'!$C$8)/12)*(Term-'KB_BTL Opt Roll Defer Top Slice'!$B$21)*'Product Data'!$P$18)))/24</f>
        <v>#N/A</v>
      </c>
      <c r="Q10" s="1929" t="e">
        <f>(($C$9+Q5)*Term)/((($B$8-BBR+'Product Data'!$K$3-'KB_BTL Opt Roll Defer Top Slice'!$C$8)/12)*(Term-'KB_BTL Opt Roll Defer Top Slice'!$B$21)*'Product Data'!$P$18)</f>
        <v>#N/A</v>
      </c>
      <c r="R10" s="1934" t="e">
        <f>((D8-(($D$9*Term)/((($B$8-BBR+'Product Data'!$K$3-'KB_BTL Opt Roll Defer Top Slice'!$C$8)/12)*(Term-'KB_BTL Opt Roll Defer Top Slice'!$B$21)*'Product Data'!$P$18)))*(((($B$8-BBR+'Product Data'!$K$3-'KB_BTL Opt Roll Defer Top Slice'!$C$8)/12)*(Term-'KB_BTL Opt Roll Defer Top Slice'!$B$21)*'Product Data'!$P$18)))/24</f>
        <v>#N/A</v>
      </c>
    </row>
    <row r="11" spans="2:18" ht="15.75" thickBot="1" x14ac:dyDescent="0.3">
      <c r="B11" s="1937" t="s">
        <v>446</v>
      </c>
      <c r="C11" s="1937" t="s">
        <v>293</v>
      </c>
      <c r="D11" s="1937" t="s">
        <v>447</v>
      </c>
      <c r="F11" s="1937" t="s">
        <v>446</v>
      </c>
      <c r="G11" s="1937" t="s">
        <v>293</v>
      </c>
      <c r="H11" s="1937" t="s">
        <v>447</v>
      </c>
      <c r="J11" s="1937" t="s">
        <v>446</v>
      </c>
      <c r="K11" s="1937" t="s">
        <v>293</v>
      </c>
      <c r="L11" s="1937" t="s">
        <v>447</v>
      </c>
      <c r="N11" s="3545" t="s">
        <v>448</v>
      </c>
      <c r="O11" s="3546"/>
      <c r="P11" s="1939" t="e">
        <f>((H8-G21)*(((($F$8-BBR+'Product Data'!$K$3-'KB_BTL Opt Roll Defer Top Slice'!$G$8)/12)*(Term-'KB_BTL Opt Roll Defer Top Slice'!$F$21)*'Product Data'!$P$18)))/24</f>
        <v>#N/A</v>
      </c>
      <c r="Q11" s="1929" t="e">
        <f>(($G$9+Q6)*Term)/((($F$8-BBR+'Product Data'!$K$3-'KB_BTL Opt Roll Defer Top Slice'!$G$8)/12)*(Term-'KB_BTL Opt Roll Defer Top Slice'!F21)*'Product Data'!$P$18)</f>
        <v>#N/A</v>
      </c>
      <c r="R11" s="1934" t="e">
        <f>((H8-(($H$9*Term)/((($F$8-BBR+'Product Data'!$K$3-'KB_BTL Opt Roll Defer Top Slice'!$G$8)/12)*(Term-'KB_BTL Opt Roll Defer Top Slice'!F21)*'Product Data'!$P$18)))*(((($F$8-BBR+'Product Data'!$K$3-'KB_BTL Opt Roll Defer Top Slice'!$G$8)/12)*(Term-'KB_BTL Opt Roll Defer Top Slice'!$F$21)*'Product Data'!$P$18)))/24</f>
        <v>#N/A</v>
      </c>
    </row>
    <row r="12" spans="2:18" ht="15.75" thickBot="1" x14ac:dyDescent="0.3">
      <c r="B12" s="1927">
        <v>0</v>
      </c>
      <c r="C12" s="1929" t="e">
        <f>($C$9*Term)/((($B$8-BBR+'Product Data'!$K$3-'KB_BTL Opt Roll Defer Top Slice'!$C$8)/12)*(Term-'KB_BTL Opt Roll Defer Top Slice'!B12)*'Product Data'!$P$18)</f>
        <v>#N/A</v>
      </c>
      <c r="D12" s="1930" t="e">
        <f t="shared" ref="D12:D21" si="0">$D$8/C12</f>
        <v>#N/A</v>
      </c>
      <c r="F12" s="1927">
        <v>0</v>
      </c>
      <c r="G12" s="1929" t="e">
        <f>($G$9*Term)/((($F$8-BBR+'Product Data'!$K$3-'KB_BTL Opt Roll Defer Top Slice'!$G$8)/12)*(Term-'KB_BTL Opt Roll Defer Top Slice'!F12)*'Product Data'!$P$18)</f>
        <v>#N/A</v>
      </c>
      <c r="H12" s="1930" t="e">
        <f t="shared" ref="H12:H21" si="1">$D$8/G12</f>
        <v>#N/A</v>
      </c>
      <c r="J12" s="1927">
        <v>0</v>
      </c>
      <c r="K12" s="1929" t="e">
        <f>($K$9*Term)/((($J$8-BBR+'Product Data'!$K$2-'KB_BTL Opt Roll Defer Top Slice'!$K$8)/12)*(Term-'KB_BTL Opt Roll Defer Top Slice'!J12)*'Product Data'!$P$18)</f>
        <v>#N/A</v>
      </c>
      <c r="L12" s="1930" t="e">
        <f t="shared" ref="L12:L21" si="2">$D$8/K12</f>
        <v>#N/A</v>
      </c>
      <c r="N12" s="3547" t="s">
        <v>449</v>
      </c>
      <c r="O12" s="3548"/>
      <c r="P12" s="1940" t="e">
        <f>((L8-K21)*(((($J$8-BBR+'Product Data'!$K$3-'KB_BTL Opt Roll Defer Top Slice'!$K$8)/12)*(Term-'KB_BTL Opt Roll Defer Top Slice'!$J$21)*'Product Data'!$P$18)))/24</f>
        <v>#N/A</v>
      </c>
      <c r="Q12" s="1929" t="e">
        <f>(($K$9+Q7)*Term)/((($J$8-BBR+'Product Data'!$K$3-'KB_BTL Opt Roll Defer Top Slice'!$K$8)/12)*(Term-'KB_BTL Opt Roll Defer Top Slice'!J21)*'Product Data'!$P$18)</f>
        <v>#N/A</v>
      </c>
      <c r="R12" s="1934" t="e">
        <f>((L8-(($L$9*Term)/((($J$8-BBR+'Product Data'!$K$2-'KB_BTL Opt Roll Defer Top Slice'!$K$8)/12)*(Term-'KB_BTL Opt Roll Defer Top Slice'!J21)*'Product Data'!$P$18)))*(((($J$8-BBR+'Product Data'!$K$2-'KB_BTL Opt Roll Defer Top Slice'!$K$8)/12)*(Term-'KB_BTL Opt Roll Defer Top Slice'!$J$21)*'Product Data'!$P$18)))/24</f>
        <v>#N/A</v>
      </c>
    </row>
    <row r="13" spans="2:18" x14ac:dyDescent="0.25">
      <c r="B13" s="1927">
        <v>1</v>
      </c>
      <c r="C13" s="1929" t="e">
        <f>($C$9*Term)/((($B$8-BBR+'Product Data'!$K$3-'KB_BTL Opt Roll Defer Top Slice'!$C$8)/12)*(Term-'KB_BTL Opt Roll Defer Top Slice'!B13)*'Product Data'!$P$18)</f>
        <v>#N/A</v>
      </c>
      <c r="D13" s="1930" t="e">
        <f t="shared" si="0"/>
        <v>#N/A</v>
      </c>
      <c r="F13" s="1927">
        <v>1</v>
      </c>
      <c r="G13" s="1929" t="e">
        <f>($G$9*Term)/((($F$8-BBR+'Product Data'!$K$3-'KB_BTL Opt Roll Defer Top Slice'!$G$8)/12)*(Term-'KB_BTL Opt Roll Defer Top Slice'!F13)*'Product Data'!$P$18)</f>
        <v>#N/A</v>
      </c>
      <c r="H13" s="1930" t="e">
        <f t="shared" si="1"/>
        <v>#N/A</v>
      </c>
      <c r="J13" s="1927">
        <v>1</v>
      </c>
      <c r="K13" s="1929" t="e">
        <f>($K$9*Term)/((($J$8-BBR+'Product Data'!$K$2-'KB_BTL Opt Roll Defer Top Slice'!$K$8)/12)*(Term-'KB_BTL Opt Roll Defer Top Slice'!J13)*'Product Data'!$P$18)</f>
        <v>#N/A</v>
      </c>
      <c r="L13" s="1930" t="e">
        <f t="shared" si="2"/>
        <v>#N/A</v>
      </c>
      <c r="P13" s="1935"/>
      <c r="R13" s="1952"/>
    </row>
    <row r="14" spans="2:18" x14ac:dyDescent="0.25">
      <c r="B14" s="1927">
        <v>2</v>
      </c>
      <c r="C14" s="1929" t="e">
        <f>($C$9*Term)/((($B$8-BBR+'Product Data'!$K$3-'KB_BTL Opt Roll Defer Top Slice'!$C$8)/12)*(Term-'KB_BTL Opt Roll Defer Top Slice'!B14)*'Product Data'!$P$18)</f>
        <v>#N/A</v>
      </c>
      <c r="D14" s="1930" t="e">
        <f t="shared" si="0"/>
        <v>#N/A</v>
      </c>
      <c r="F14" s="1927">
        <v>2</v>
      </c>
      <c r="G14" s="1929" t="e">
        <f>($G$9*Term)/((($F$8-BBR+'Product Data'!$K$3-'KB_BTL Opt Roll Defer Top Slice'!$G$8)/12)*(Term-'KB_BTL Opt Roll Defer Top Slice'!F14)*'Product Data'!$P$18)</f>
        <v>#N/A</v>
      </c>
      <c r="H14" s="1930" t="e">
        <f t="shared" si="1"/>
        <v>#N/A</v>
      </c>
      <c r="J14" s="1927">
        <v>2</v>
      </c>
      <c r="K14" s="1929" t="e">
        <f>($K$9*Term)/((($J$8-BBR+'Product Data'!$K$2-'KB_BTL Opt Roll Defer Top Slice'!$K$8)/12)*(Term-'KB_BTL Opt Roll Defer Top Slice'!J14)*'Product Data'!$P$18)</f>
        <v>#N/A</v>
      </c>
      <c r="L14" s="1930" t="e">
        <f t="shared" si="2"/>
        <v>#N/A</v>
      </c>
      <c r="N14" s="1" t="str">
        <f>"Max LTV possible with no Top Slice "&amp; C6 &amp; IF(B24&gt;-1,IF(D6&gt;-1," &amp; ","")&amp;TEXT(D6,"0.00%")&amp;" Deferred","")</f>
        <v>Max LTV possible with no Top Slice 0m Rolled &amp; 0.00% Deferred</v>
      </c>
      <c r="P14" s="1926"/>
    </row>
    <row r="15" spans="2:18" x14ac:dyDescent="0.25">
      <c r="B15" s="1927">
        <v>3</v>
      </c>
      <c r="C15" s="1929" t="e">
        <f>($C$9*Term)/((($B$8-BBR+'Product Data'!$K$3-'KB_BTL Opt Roll Defer Top Slice'!$C$8)/12)*(Term-'KB_BTL Opt Roll Defer Top Slice'!B15)*'Product Data'!$P$18)</f>
        <v>#N/A</v>
      </c>
      <c r="D15" s="1930" t="e">
        <f t="shared" si="0"/>
        <v>#N/A</v>
      </c>
      <c r="F15" s="1927">
        <v>3</v>
      </c>
      <c r="G15" s="1929" t="e">
        <f>($G$9*Term)/((($F$8-BBR+'Product Data'!$K$3-'KB_BTL Opt Roll Defer Top Slice'!$G$8)/12)*(Term-'KB_BTL Opt Roll Defer Top Slice'!F15)*'Product Data'!$P$18)</f>
        <v>#N/A</v>
      </c>
      <c r="H15" s="1930" t="e">
        <f t="shared" si="1"/>
        <v>#N/A</v>
      </c>
      <c r="J15" s="1927">
        <v>3</v>
      </c>
      <c r="K15" s="1929" t="e">
        <f>($K$9*Term)/((($J$8-BBR+'Product Data'!$K$2-'KB_BTL Opt Roll Defer Top Slice'!$K$8)/12)*(Term-'KB_BTL Opt Roll Defer Top Slice'!J15)*'Product Data'!$P$18)</f>
        <v>#N/A</v>
      </c>
      <c r="L15" s="1930" t="e">
        <f t="shared" si="2"/>
        <v>#N/A</v>
      </c>
      <c r="N15" s="1" t="e">
        <f>"For Max LTV Gross loan, need Top Slice of "&amp;TEXT(R10,"£0,00")&amp;"pcm (+ max Roll/Defer). "</f>
        <v>#N/A</v>
      </c>
    </row>
    <row r="16" spans="2:18" x14ac:dyDescent="0.25">
      <c r="B16" s="1927">
        <v>4</v>
      </c>
      <c r="C16" s="1929" t="e">
        <f>($C$9*Term)/((($B$8-BBR+'Product Data'!$K$3-'KB_BTL Opt Roll Defer Top Slice'!$C$8)/12)*(Term-'KB_BTL Opt Roll Defer Top Slice'!B16)*'Product Data'!$P$18)</f>
        <v>#N/A</v>
      </c>
      <c r="D16" s="1930" t="e">
        <f t="shared" si="0"/>
        <v>#N/A</v>
      </c>
      <c r="F16" s="1927">
        <v>4</v>
      </c>
      <c r="G16" s="1929" t="e">
        <f>($G$9*Term)/((($F$8-BBR+'Product Data'!$K$3-'KB_BTL Opt Roll Defer Top Slice'!$G$8)/12)*(Term-'KB_BTL Opt Roll Defer Top Slice'!F16)*'Product Data'!$P$18)</f>
        <v>#N/A</v>
      </c>
      <c r="H16" s="1930" t="e">
        <f t="shared" si="1"/>
        <v>#N/A</v>
      </c>
      <c r="J16" s="1927">
        <v>4</v>
      </c>
      <c r="K16" s="1929" t="e">
        <f>($K$9*Term)/((($J$8-BBR+'Product Data'!$K$2-'KB_BTL Opt Roll Defer Top Slice'!$K$8)/12)*(Term-'KB_BTL Opt Roll Defer Top Slice'!J16)*'Product Data'!$P$18)</f>
        <v>#N/A</v>
      </c>
      <c r="L16" s="1930" t="e">
        <f t="shared" si="2"/>
        <v>#N/A</v>
      </c>
      <c r="N16" s="1" t="e">
        <f>" However, Top slice capped @ "&amp;TEXT(P7,"£0,0")&amp;" pcm, giving Max Gross Loan of "&amp;TEXT(Q10,"£###,###")</f>
        <v>#N/A</v>
      </c>
    </row>
    <row r="17" spans="2:17" x14ac:dyDescent="0.25">
      <c r="B17" s="1927">
        <v>5</v>
      </c>
      <c r="C17" s="1929" t="e">
        <f>($C$9*Term)/((($B$8-BBR+'Product Data'!$K$3-'KB_BTL Opt Roll Defer Top Slice'!$C$8)/12)*(Term-'KB_BTL Opt Roll Defer Top Slice'!B17)*'Product Data'!$P$18)</f>
        <v>#N/A</v>
      </c>
      <c r="D17" s="1930" t="e">
        <f t="shared" si="0"/>
        <v>#N/A</v>
      </c>
      <c r="F17" s="1927">
        <v>5</v>
      </c>
      <c r="G17" s="1929" t="e">
        <f>($G$9*Term)/((($F$8-BBR+'Product Data'!$K$3-'KB_BTL Opt Roll Defer Top Slice'!$G$8)/12)*(Term-'KB_BTL Opt Roll Defer Top Slice'!F17)*'Product Data'!$P$18)</f>
        <v>#N/A</v>
      </c>
      <c r="H17" s="1930" t="e">
        <f t="shared" si="1"/>
        <v>#N/A</v>
      </c>
      <c r="J17" s="1927">
        <v>5</v>
      </c>
      <c r="K17" s="1929" t="e">
        <f>($K$9*Term)/((($J$8-BBR+'Product Data'!$K$2-'KB_BTL Opt Roll Defer Top Slice'!$K$8)/12)*(Term-'KB_BTL Opt Roll Defer Top Slice'!J17)*'Product Data'!$P$18)</f>
        <v>#N/A</v>
      </c>
      <c r="L17" s="1930" t="e">
        <f t="shared" si="2"/>
        <v>#N/A</v>
      </c>
    </row>
    <row r="18" spans="2:17" x14ac:dyDescent="0.25">
      <c r="B18" s="1927">
        <v>6</v>
      </c>
      <c r="C18" s="1929" t="e">
        <f>($C$9*Term)/((($B$8-BBR+'Product Data'!$K$3-'KB_BTL Opt Roll Defer Top Slice'!$C$8)/12)*(Term-'KB_BTL Opt Roll Defer Top Slice'!B18)*'Product Data'!$P$18)</f>
        <v>#N/A</v>
      </c>
      <c r="D18" s="1930" t="e">
        <f t="shared" si="0"/>
        <v>#N/A</v>
      </c>
      <c r="F18" s="1927">
        <v>6</v>
      </c>
      <c r="G18" s="1929" t="e">
        <f>($G$9*Term)/((($F$8-BBR+'Product Data'!$K$3-'KB_BTL Opt Roll Defer Top Slice'!$G$8)/12)*(Term-'KB_BTL Opt Roll Defer Top Slice'!F18)*'Product Data'!$P$18)</f>
        <v>#N/A</v>
      </c>
      <c r="H18" s="1930" t="e">
        <f t="shared" si="1"/>
        <v>#N/A</v>
      </c>
      <c r="J18" s="1927">
        <v>6</v>
      </c>
      <c r="K18" s="1929" t="e">
        <f>($K$9*Term)/((($J$8-BBR+'Product Data'!$K$2-'KB_BTL Opt Roll Defer Top Slice'!$K$8)/12)*(Term-'KB_BTL Opt Roll Defer Top Slice'!J18)*'Product Data'!$P$18)</f>
        <v>#N/A</v>
      </c>
      <c r="L18" s="1930" t="e">
        <f t="shared" si="2"/>
        <v>#N/A</v>
      </c>
      <c r="N18" s="1" t="str">
        <f>"Max LTV possible with no Top Slice "&amp; G6 &amp; IF(F24&gt;-1,IF(H6&gt;-1," &amp; ","")&amp;TEXT(H6,"0.00%")&amp;" Deferred","")</f>
        <v>Max LTV possible with no Top Slice 0m Rolled &amp; 0.00% Deferred</v>
      </c>
    </row>
    <row r="19" spans="2:17" x14ac:dyDescent="0.25">
      <c r="B19" s="1927">
        <v>7</v>
      </c>
      <c r="C19" s="1929" t="e">
        <f>($C$9*Term)/((($B$8-BBR+'Product Data'!$K$3-'KB_BTL Opt Roll Defer Top Slice'!$C$8)/12)*(Term-'KB_BTL Opt Roll Defer Top Slice'!B19)*'Product Data'!$P$18)</f>
        <v>#N/A</v>
      </c>
      <c r="D19" s="1930" t="e">
        <f t="shared" si="0"/>
        <v>#N/A</v>
      </c>
      <c r="F19" s="1927">
        <v>7</v>
      </c>
      <c r="G19" s="1929" t="e">
        <f>($G$9*Term)/((($F$8-BBR+'Product Data'!$K$3-'KB_BTL Opt Roll Defer Top Slice'!$G$8)/12)*(Term-'KB_BTL Opt Roll Defer Top Slice'!F19)*'Product Data'!$P$18)</f>
        <v>#N/A</v>
      </c>
      <c r="H19" s="1930" t="e">
        <f t="shared" si="1"/>
        <v>#N/A</v>
      </c>
      <c r="J19" s="1927">
        <v>7</v>
      </c>
      <c r="K19" s="1929" t="e">
        <f>($K$9*Term)/((($J$8-BBR+'Product Data'!$K$2-'KB_BTL Opt Roll Defer Top Slice'!$K$8)/12)*(Term-'KB_BTL Opt Roll Defer Top Slice'!J19)*'Product Data'!$P$18)</f>
        <v>#N/A</v>
      </c>
      <c r="L19" s="1930" t="e">
        <f t="shared" si="2"/>
        <v>#N/A</v>
      </c>
      <c r="N19" s="1" t="e">
        <f>"For Max LTV Gross loan, need Top Slice of "&amp;TEXT(R11,"£0,00")&amp;"pcm (+ max Roll/Defer). "</f>
        <v>#N/A</v>
      </c>
    </row>
    <row r="20" spans="2:17" x14ac:dyDescent="0.25">
      <c r="B20" s="1927">
        <v>8</v>
      </c>
      <c r="C20" s="1929" t="e">
        <f>($C$9*Term)/((($B$8-BBR+'Product Data'!$K$3-'KB_BTL Opt Roll Defer Top Slice'!$C$8)/12)*(Term-'KB_BTL Opt Roll Defer Top Slice'!B20)*'Product Data'!$P$18)</f>
        <v>#N/A</v>
      </c>
      <c r="D20" s="1930" t="e">
        <f t="shared" si="0"/>
        <v>#N/A</v>
      </c>
      <c r="F20" s="1927">
        <v>8</v>
      </c>
      <c r="G20" s="1929" t="e">
        <f>($G$9*Term)/((($F$8-BBR+'Product Data'!$K$3-'KB_BTL Opt Roll Defer Top Slice'!$G$8)/12)*(Term-'KB_BTL Opt Roll Defer Top Slice'!F20)*'Product Data'!$P$18)</f>
        <v>#N/A</v>
      </c>
      <c r="H20" s="1930" t="e">
        <f t="shared" si="1"/>
        <v>#N/A</v>
      </c>
      <c r="J20" s="1927">
        <v>8</v>
      </c>
      <c r="K20" s="1929" t="e">
        <f>($K$9*Term)/((($J$8-BBR+'Product Data'!$K$2-'KB_BTL Opt Roll Defer Top Slice'!$K$8)/12)*(Term-'KB_BTL Opt Roll Defer Top Slice'!J20)*'Product Data'!$P$18)</f>
        <v>#N/A</v>
      </c>
      <c r="L20" s="1930" t="e">
        <f t="shared" si="2"/>
        <v>#N/A</v>
      </c>
      <c r="N20" s="1" t="e">
        <f>" However, Top slice capped @ "&amp;TEXT(P7,"£0,0")&amp;" pcm, giving Max Gross Loan of "&amp;TEXT(Q11,"£###,###")</f>
        <v>#N/A</v>
      </c>
    </row>
    <row r="21" spans="2:17" x14ac:dyDescent="0.25">
      <c r="B21" s="1927">
        <v>9</v>
      </c>
      <c r="C21" s="1929" t="e">
        <f>($C$9*Term)/((($B$8-BBR+'Product Data'!$K$3-'KB_BTL Opt Roll Defer Top Slice'!$C$8)/12)*(Term-'KB_BTL Opt Roll Defer Top Slice'!B21)*'Product Data'!$P$18)</f>
        <v>#N/A</v>
      </c>
      <c r="D21" s="1930" t="e">
        <f t="shared" si="0"/>
        <v>#N/A</v>
      </c>
      <c r="F21" s="1927">
        <v>9</v>
      </c>
      <c r="G21" s="1929" t="e">
        <f>($G$9*Term)/((($F$8-BBR+'Product Data'!$K$3-'KB_BTL Opt Roll Defer Top Slice'!$G$8)/12)*(Term-'KB_BTL Opt Roll Defer Top Slice'!F21)*'Product Data'!$P$18)</f>
        <v>#N/A</v>
      </c>
      <c r="H21" s="1930" t="e">
        <f t="shared" si="1"/>
        <v>#N/A</v>
      </c>
      <c r="J21" s="1927">
        <v>9</v>
      </c>
      <c r="K21" s="1929" t="e">
        <f>($K$9*Term)/((($J$8-BBR+'Product Data'!$K$2-'KB_BTL Opt Roll Defer Top Slice'!$K$8)/12)*(Term-'KB_BTL Opt Roll Defer Top Slice'!J21)*'Product Data'!$P$18)</f>
        <v>#N/A</v>
      </c>
      <c r="L21" s="1930" t="e">
        <f t="shared" si="2"/>
        <v>#N/A</v>
      </c>
    </row>
    <row r="22" spans="2:17" x14ac:dyDescent="0.25">
      <c r="N22" s="1" t="str">
        <f>"Max LTV possible with no Top Slice "&amp; K6 &amp; IF(J24&gt;-1,IF(L6&gt;-1," &amp; ","")&amp;TEXT(L6,"0.00%")&amp;" Deferred","")</f>
        <v>Max LTV possible with no Top Slice 0m Rolled &amp; 0.00% Deferred</v>
      </c>
    </row>
    <row r="23" spans="2:17" x14ac:dyDescent="0.25">
      <c r="B23" s="1937" t="s">
        <v>450</v>
      </c>
      <c r="C23" s="1937" t="s">
        <v>451</v>
      </c>
      <c r="D23" s="1937" t="s">
        <v>452</v>
      </c>
      <c r="F23" s="1937" t="s">
        <v>450</v>
      </c>
      <c r="G23" s="1937" t="s">
        <v>451</v>
      </c>
      <c r="H23" s="1937" t="s">
        <v>452</v>
      </c>
      <c r="J23" s="1937" t="s">
        <v>450</v>
      </c>
      <c r="K23" s="1937" t="s">
        <v>451</v>
      </c>
      <c r="L23" s="1937" t="s">
        <v>452</v>
      </c>
      <c r="N23" s="1" t="e">
        <f>"For Max LTV Gross loan, need Top Slice of "&amp;TEXT(R12,"£0,00")&amp;"pcm (+ max Roll/Defer). "</f>
        <v>#N/A</v>
      </c>
    </row>
    <row r="24" spans="2:17" x14ac:dyDescent="0.25">
      <c r="B24" s="1927">
        <f>_xlfn.MINIFS(B12:B21,D12:D21,"&lt;="&amp;100%)</f>
        <v>0</v>
      </c>
      <c r="C24" s="1928">
        <v>0.02</v>
      </c>
      <c r="D24" s="1931" t="e">
        <f>($C$9*Term)/((($B$8-BBR+'Product Data'!$K$3-'KB_BTL Opt Roll Defer Top Slice'!$C24)/12)*(Term-'KB_BTL Opt Roll Defer Top Slice'!B24)*'Product Data'!$P$18)</f>
        <v>#N/A</v>
      </c>
      <c r="F24" s="1927">
        <f>_xlfn.MINIFS(F12:F21,H12:H21,"&lt;="&amp;100%)</f>
        <v>0</v>
      </c>
      <c r="G24" s="1928">
        <v>0.02</v>
      </c>
      <c r="H24" s="1931" t="e">
        <f>($G$9*Term)/((($F$8-BBR+'Product Data'!$K$3-'KB_BTL Opt Roll Defer Top Slice'!$G24)/12)*(Term-'KB_BTL Opt Roll Defer Top Slice'!F24)*'Product Data'!$P$18)</f>
        <v>#N/A</v>
      </c>
      <c r="J24" s="1927">
        <f>_xlfn.MINIFS(J12:J21,L12:L21,"&lt;="&amp;100%)</f>
        <v>0</v>
      </c>
      <c r="K24" s="1928">
        <v>0.02</v>
      </c>
      <c r="L24" s="1931" t="e">
        <f>($K$9*Term)/((($J$8-BBR+'Product Data'!$K$2-'KB_BTL Opt Roll Defer Top Slice'!$K24)/12)*(Term-'KB_BTL Opt Roll Defer Top Slice'!J24)*'Product Data'!$P$18)</f>
        <v>#N/A</v>
      </c>
      <c r="N24" s="1" t="e">
        <f>" However, Top slice capped @ "&amp;TEXT(P7,"£0,0")&amp;" pcm, giving Max Gross Loan of "&amp;TEXT(Q12,"£###,###")</f>
        <v>#N/A</v>
      </c>
    </row>
    <row r="25" spans="2:17" x14ac:dyDescent="0.25">
      <c r="B25" s="1927">
        <f>B24</f>
        <v>0</v>
      </c>
      <c r="C25" s="1928">
        <v>1.9900000000000001E-2</v>
      </c>
      <c r="D25" s="1931" t="e">
        <f>($C$9*Term)/((($B$8-BBR+'Product Data'!$K$3-'KB_BTL Opt Roll Defer Top Slice'!$C25)/12)*(Term-'KB_BTL Opt Roll Defer Top Slice'!B25)*'Product Data'!$P$18)</f>
        <v>#N/A</v>
      </c>
      <c r="F25" s="1927">
        <f>F24</f>
        <v>0</v>
      </c>
      <c r="G25" s="1928">
        <v>1.9900000000000001E-2</v>
      </c>
      <c r="H25" s="1931" t="e">
        <f>($G$9*Term)/((($F$8-BBR+'Product Data'!$K$3-'KB_BTL Opt Roll Defer Top Slice'!$G25)/12)*(Term-'KB_BTL Opt Roll Defer Top Slice'!F25)*'Product Data'!$P$18)</f>
        <v>#N/A</v>
      </c>
      <c r="J25" s="1927">
        <f>J24</f>
        <v>0</v>
      </c>
      <c r="K25" s="1928">
        <v>1.9900000000000001E-2</v>
      </c>
      <c r="L25" s="1931" t="e">
        <f>($K$9*Term)/((($J$8-BBR+'Product Data'!$K$2-'KB_BTL Opt Roll Defer Top Slice'!$K25)/12)*(Term-'KB_BTL Opt Roll Defer Top Slice'!J25)*'Product Data'!$P$18)</f>
        <v>#N/A</v>
      </c>
    </row>
    <row r="26" spans="2:17" x14ac:dyDescent="0.25">
      <c r="B26" s="1927">
        <f t="shared" ref="B26:B73" si="3">B25</f>
        <v>0</v>
      </c>
      <c r="C26" s="1928">
        <v>1.9800000000000002E-2</v>
      </c>
      <c r="D26" s="1931" t="e">
        <f>($C$9*Term)/((($B$8-BBR+'Product Data'!$K$3-'KB_BTL Opt Roll Defer Top Slice'!$C26)/12)*(Term-'KB_BTL Opt Roll Defer Top Slice'!B26)*'Product Data'!$P$18)</f>
        <v>#N/A</v>
      </c>
      <c r="F26" s="1927">
        <f t="shared" ref="F26:F89" si="4">F25</f>
        <v>0</v>
      </c>
      <c r="G26" s="1928">
        <v>1.9800000000000002E-2</v>
      </c>
      <c r="H26" s="1931" t="e">
        <f>($G$9*Term)/((($F$8-BBR+'Product Data'!$K$3-'KB_BTL Opt Roll Defer Top Slice'!$G26)/12)*(Term-'KB_BTL Opt Roll Defer Top Slice'!F26)*'Product Data'!$P$18)</f>
        <v>#N/A</v>
      </c>
      <c r="J26" s="1927">
        <f t="shared" ref="J26:J89" si="5">J25</f>
        <v>0</v>
      </c>
      <c r="K26" s="1928">
        <v>1.9800000000000002E-2</v>
      </c>
      <c r="L26" s="1931" t="e">
        <f>($K$9*Term)/((($J$8-BBR+'Product Data'!$K$2-'KB_BTL Opt Roll Defer Top Slice'!$K26)/12)*(Term-'KB_BTL Opt Roll Defer Top Slice'!J26)*'Product Data'!$P$18)</f>
        <v>#N/A</v>
      </c>
    </row>
    <row r="27" spans="2:17" x14ac:dyDescent="0.25">
      <c r="B27" s="1927">
        <f t="shared" si="3"/>
        <v>0</v>
      </c>
      <c r="C27" s="1928">
        <v>1.9699999999999999E-2</v>
      </c>
      <c r="D27" s="1931" t="e">
        <f>($C$9*Term)/((($B$8-BBR+'Product Data'!$K$3-'KB_BTL Opt Roll Defer Top Slice'!$C27)/12)*(Term-'KB_BTL Opt Roll Defer Top Slice'!B27)*'Product Data'!$P$18)</f>
        <v>#N/A</v>
      </c>
      <c r="F27" s="1927">
        <f t="shared" si="4"/>
        <v>0</v>
      </c>
      <c r="G27" s="1928">
        <v>1.9699999999999999E-2</v>
      </c>
      <c r="H27" s="1931" t="e">
        <f>($G$9*Term)/((($F$8-BBR+'Product Data'!$K$3-'KB_BTL Opt Roll Defer Top Slice'!$G27)/12)*(Term-'KB_BTL Opt Roll Defer Top Slice'!F27)*'Product Data'!$P$18)</f>
        <v>#N/A</v>
      </c>
      <c r="J27" s="1927">
        <f t="shared" si="5"/>
        <v>0</v>
      </c>
      <c r="K27" s="1928">
        <v>1.9699999999999999E-2</v>
      </c>
      <c r="L27" s="1931" t="e">
        <f>($K$9*Term)/((($J$8-BBR+'Product Data'!$K$2-'KB_BTL Opt Roll Defer Top Slice'!$K27)/12)*(Term-'KB_BTL Opt Roll Defer Top Slice'!J27)*'Product Data'!$P$18)</f>
        <v>#N/A</v>
      </c>
    </row>
    <row r="28" spans="2:17" x14ac:dyDescent="0.25">
      <c r="B28" s="1927">
        <f t="shared" si="3"/>
        <v>0</v>
      </c>
      <c r="C28" s="1928">
        <v>1.9599999999999999E-2</v>
      </c>
      <c r="D28" s="1931" t="e">
        <f>($C$9*Term)/((($B$8-BBR+'Product Data'!$K$3-'KB_BTL Opt Roll Defer Top Slice'!$C28)/12)*(Term-'KB_BTL Opt Roll Defer Top Slice'!B28)*'Product Data'!$P$18)</f>
        <v>#N/A</v>
      </c>
      <c r="F28" s="1927">
        <f t="shared" si="4"/>
        <v>0</v>
      </c>
      <c r="G28" s="1928">
        <v>1.9599999999999999E-2</v>
      </c>
      <c r="H28" s="1931" t="e">
        <f>($G$9*Term)/((($F$8-BBR+'Product Data'!$K$3-'KB_BTL Opt Roll Defer Top Slice'!$G28)/12)*(Term-'KB_BTL Opt Roll Defer Top Slice'!F28)*'Product Data'!$P$18)</f>
        <v>#N/A</v>
      </c>
      <c r="J28" s="1927">
        <f t="shared" si="5"/>
        <v>0</v>
      </c>
      <c r="K28" s="1928">
        <v>1.9599999999999999E-2</v>
      </c>
      <c r="L28" s="1931" t="e">
        <f>($K$9*Term)/((($J$8-BBR+'Product Data'!$K$2-'KB_BTL Opt Roll Defer Top Slice'!$K28)/12)*(Term-'KB_BTL Opt Roll Defer Top Slice'!J28)*'Product Data'!$P$18)</f>
        <v>#N/A</v>
      </c>
    </row>
    <row r="29" spans="2:17" x14ac:dyDescent="0.25">
      <c r="B29" s="1927">
        <f t="shared" si="3"/>
        <v>0</v>
      </c>
      <c r="C29" s="1928">
        <v>1.95E-2</v>
      </c>
      <c r="D29" s="1931" t="e">
        <f>($C$9*Term)/((($B$8-BBR+'Product Data'!$K$3-'KB_BTL Opt Roll Defer Top Slice'!$C29)/12)*(Term-'KB_BTL Opt Roll Defer Top Slice'!B29)*'Product Data'!$P$18)</f>
        <v>#N/A</v>
      </c>
      <c r="F29" s="1927">
        <f t="shared" si="4"/>
        <v>0</v>
      </c>
      <c r="G29" s="1928">
        <v>1.95E-2</v>
      </c>
      <c r="H29" s="1931" t="e">
        <f>($G$9*Term)/((($F$8-BBR+'Product Data'!$K$3-'KB_BTL Opt Roll Defer Top Slice'!$G29)/12)*(Term-'KB_BTL Opt Roll Defer Top Slice'!F29)*'Product Data'!$P$18)</f>
        <v>#N/A</v>
      </c>
      <c r="J29" s="1927">
        <f t="shared" si="5"/>
        <v>0</v>
      </c>
      <c r="K29" s="1928">
        <v>1.95E-2</v>
      </c>
      <c r="L29" s="1931" t="e">
        <f>($K$9*Term)/((($J$8-BBR+'Product Data'!$K$2-'KB_BTL Opt Roll Defer Top Slice'!$K29)/12)*(Term-'KB_BTL Opt Roll Defer Top Slice'!J29)*'Product Data'!$P$18)</f>
        <v>#N/A</v>
      </c>
      <c r="N29" s="1927" t="s">
        <v>453</v>
      </c>
      <c r="O29" s="1927" t="s">
        <v>454</v>
      </c>
      <c r="P29" s="2335"/>
      <c r="Q29" s="2335"/>
    </row>
    <row r="30" spans="2:17" x14ac:dyDescent="0.25">
      <c r="B30" s="1927">
        <f t="shared" si="3"/>
        <v>0</v>
      </c>
      <c r="C30" s="1928">
        <v>1.9400000000000001E-2</v>
      </c>
      <c r="D30" s="1931" t="e">
        <f>($C$9*Term)/((($B$8-BBR+'Product Data'!$K$3-'KB_BTL Opt Roll Defer Top Slice'!$C30)/12)*(Term-'KB_BTL Opt Roll Defer Top Slice'!B30)*'Product Data'!$P$18)</f>
        <v>#N/A</v>
      </c>
      <c r="F30" s="1927">
        <f t="shared" si="4"/>
        <v>0</v>
      </c>
      <c r="G30" s="1928">
        <v>1.9400000000000001E-2</v>
      </c>
      <c r="H30" s="1931" t="e">
        <f>($G$9*Term)/((($F$8-BBR+'Product Data'!$K$3-'KB_BTL Opt Roll Defer Top Slice'!$G30)/12)*(Term-'KB_BTL Opt Roll Defer Top Slice'!F30)*'Product Data'!$P$18)</f>
        <v>#N/A</v>
      </c>
      <c r="J30" s="1927">
        <f t="shared" si="5"/>
        <v>0</v>
      </c>
      <c r="K30" s="1928">
        <v>1.9400000000000001E-2</v>
      </c>
      <c r="L30" s="1931" t="e">
        <f>($K$9*Term)/((($J$8-BBR+'Product Data'!$K$2-'KB_BTL Opt Roll Defer Top Slice'!$K30)/12)*(Term-'KB_BTL Opt Roll Defer Top Slice'!J30)*'Product Data'!$P$18)</f>
        <v>#N/A</v>
      </c>
      <c r="N30" s="1927"/>
      <c r="O30" s="1932">
        <v>0.02</v>
      </c>
      <c r="P30" s="2336">
        <v>0.04</v>
      </c>
      <c r="Q30" s="2336">
        <v>0.06</v>
      </c>
    </row>
    <row r="31" spans="2:17" x14ac:dyDescent="0.25">
      <c r="B31" s="1927">
        <f t="shared" si="3"/>
        <v>0</v>
      </c>
      <c r="C31" s="1928">
        <v>1.9300000000000001E-2</v>
      </c>
      <c r="D31" s="1931" t="e">
        <f>($C$9*Term)/((($B$8-BBR+'Product Data'!$K$3-'KB_BTL Opt Roll Defer Top Slice'!$C31)/12)*(Term-'KB_BTL Opt Roll Defer Top Slice'!B31)*'Product Data'!$P$18)</f>
        <v>#N/A</v>
      </c>
      <c r="F31" s="1927">
        <f t="shared" si="4"/>
        <v>0</v>
      </c>
      <c r="G31" s="1928">
        <v>1.9300000000000001E-2</v>
      </c>
      <c r="H31" s="1931" t="e">
        <f>($G$9*Term)/((($F$8-BBR+'Product Data'!$K$3-'KB_BTL Opt Roll Defer Top Slice'!$G31)/12)*(Term-'KB_BTL Opt Roll Defer Top Slice'!F31)*'Product Data'!$P$18)</f>
        <v>#N/A</v>
      </c>
      <c r="J31" s="1927">
        <f t="shared" si="5"/>
        <v>0</v>
      </c>
      <c r="K31" s="1928">
        <v>1.9300000000000001E-2</v>
      </c>
      <c r="L31" s="1931" t="e">
        <f>($K$9*Term)/((($J$8-BBR+'Product Data'!$K$2-'KB_BTL Opt Roll Defer Top Slice'!$K31)/12)*(Term-'KB_BTL Opt Roll Defer Top Slice'!J31)*'Product Data'!$P$18)</f>
        <v>#N/A</v>
      </c>
      <c r="N31" s="1927" t="s">
        <v>432</v>
      </c>
      <c r="O31" s="1928">
        <v>8.9899999999999994E-2</v>
      </c>
      <c r="P31" s="2337">
        <v>7.9399999999999998E-2</v>
      </c>
      <c r="Q31" s="2337">
        <v>6.9400000000000003E-2</v>
      </c>
    </row>
    <row r="32" spans="2:17" x14ac:dyDescent="0.25">
      <c r="B32" s="1927">
        <f t="shared" si="3"/>
        <v>0</v>
      </c>
      <c r="C32" s="1928">
        <v>1.9199999999999998E-2</v>
      </c>
      <c r="D32" s="1931" t="e">
        <f>($C$9*Term)/((($B$8-BBR+'Product Data'!$K$3-'KB_BTL Opt Roll Defer Top Slice'!$C32)/12)*(Term-'KB_BTL Opt Roll Defer Top Slice'!B32)*'Product Data'!$P$18)</f>
        <v>#N/A</v>
      </c>
      <c r="F32" s="1927">
        <f t="shared" si="4"/>
        <v>0</v>
      </c>
      <c r="G32" s="1928">
        <v>1.9199999999999998E-2</v>
      </c>
      <c r="H32" s="1931" t="e">
        <f>($G$9*Term)/((($F$8-BBR+'Product Data'!$K$3-'KB_BTL Opt Roll Defer Top Slice'!$G32)/12)*(Term-'KB_BTL Opt Roll Defer Top Slice'!F32)*'Product Data'!$P$18)</f>
        <v>#N/A</v>
      </c>
      <c r="J32" s="1927">
        <f t="shared" si="5"/>
        <v>0</v>
      </c>
      <c r="K32" s="1928">
        <v>1.9199999999999998E-2</v>
      </c>
      <c r="L32" s="1931" t="e">
        <f>($K$9*Term)/((($J$8-BBR+'Product Data'!$K$2-'KB_BTL Opt Roll Defer Top Slice'!$K32)/12)*(Term-'KB_BTL Opt Roll Defer Top Slice'!J32)*'Product Data'!$P$18)</f>
        <v>#N/A</v>
      </c>
      <c r="N32" s="1927" t="s">
        <v>433</v>
      </c>
      <c r="O32" s="1928">
        <v>9.8400000000000001E-2</v>
      </c>
      <c r="P32" s="2337">
        <v>8.7400000000000005E-2</v>
      </c>
      <c r="Q32" s="2337">
        <v>7.6999999999999999E-2</v>
      </c>
    </row>
    <row r="33" spans="2:17" x14ac:dyDescent="0.25">
      <c r="B33" s="1927">
        <f t="shared" si="3"/>
        <v>0</v>
      </c>
      <c r="C33" s="1928">
        <v>1.9099999999999999E-2</v>
      </c>
      <c r="D33" s="1931" t="e">
        <f>($C$9*Term)/((($B$8-BBR+'Product Data'!$K$3-'KB_BTL Opt Roll Defer Top Slice'!$C33)/12)*(Term-'KB_BTL Opt Roll Defer Top Slice'!B33)*'Product Data'!$P$18)</f>
        <v>#N/A</v>
      </c>
      <c r="F33" s="1927">
        <f t="shared" si="4"/>
        <v>0</v>
      </c>
      <c r="G33" s="1928">
        <v>1.9099999999999999E-2</v>
      </c>
      <c r="H33" s="1931" t="e">
        <f>($G$9*Term)/((($F$8-BBR+'Product Data'!$K$3-'KB_BTL Opt Roll Defer Top Slice'!$G33)/12)*(Term-'KB_BTL Opt Roll Defer Top Slice'!F33)*'Product Data'!$P$18)</f>
        <v>#N/A</v>
      </c>
      <c r="J33" s="1927">
        <f t="shared" si="5"/>
        <v>0</v>
      </c>
      <c r="K33" s="1928">
        <v>1.9099999999999999E-2</v>
      </c>
      <c r="L33" s="1931" t="e">
        <f>($K$9*Term)/((($J$8-BBR+'Product Data'!$K$2-'KB_BTL Opt Roll Defer Top Slice'!$K33)/12)*(Term-'KB_BTL Opt Roll Defer Top Slice'!J33)*'Product Data'!$P$18)</f>
        <v>#N/A</v>
      </c>
      <c r="N33" s="1927" t="s">
        <v>434</v>
      </c>
      <c r="O33" s="1928">
        <v>0.10340000000000001</v>
      </c>
      <c r="P33" s="2337">
        <v>9.2399999999999996E-2</v>
      </c>
      <c r="Q33" s="2337">
        <v>8.2000000000000003E-2</v>
      </c>
    </row>
    <row r="34" spans="2:17" x14ac:dyDescent="0.25">
      <c r="B34" s="1927">
        <f t="shared" si="3"/>
        <v>0</v>
      </c>
      <c r="C34" s="1928">
        <v>1.9E-2</v>
      </c>
      <c r="D34" s="1931" t="e">
        <f>($C$9*Term)/((($B$8-BBR+'Product Data'!$K$3-'KB_BTL Opt Roll Defer Top Slice'!$C34)/12)*(Term-'KB_BTL Opt Roll Defer Top Slice'!B34)*'Product Data'!$P$18)</f>
        <v>#N/A</v>
      </c>
      <c r="F34" s="1927">
        <f t="shared" si="4"/>
        <v>0</v>
      </c>
      <c r="G34" s="1928">
        <v>1.9E-2</v>
      </c>
      <c r="H34" s="1931" t="e">
        <f>($G$9*Term)/((($F$8-BBR+'Product Data'!$K$3-'KB_BTL Opt Roll Defer Top Slice'!$G34)/12)*(Term-'KB_BTL Opt Roll Defer Top Slice'!F34)*'Product Data'!$P$18)</f>
        <v>#N/A</v>
      </c>
      <c r="J34" s="1927">
        <f t="shared" si="5"/>
        <v>0</v>
      </c>
      <c r="K34" s="1928">
        <v>1.9E-2</v>
      </c>
      <c r="L34" s="1931" t="e">
        <f>($K$9*Term)/((($J$8-BBR+'Product Data'!$K$2-'KB_BTL Opt Roll Defer Top Slice'!$K34)/12)*(Term-'KB_BTL Opt Roll Defer Top Slice'!J34)*'Product Data'!$P$18)</f>
        <v>#N/A</v>
      </c>
      <c r="N34" s="1927" t="s">
        <v>435</v>
      </c>
      <c r="O34" s="1928">
        <v>0.1084</v>
      </c>
      <c r="P34" s="2337">
        <v>9.64E-2</v>
      </c>
      <c r="Q34" s="2337">
        <v>8.5999999999999993E-2</v>
      </c>
    </row>
    <row r="35" spans="2:17" x14ac:dyDescent="0.25">
      <c r="B35" s="1927">
        <f t="shared" si="3"/>
        <v>0</v>
      </c>
      <c r="C35" s="1928">
        <v>1.89E-2</v>
      </c>
      <c r="D35" s="1931" t="e">
        <f>($C$9*Term)/((($B$8-BBR+'Product Data'!$K$3-'KB_BTL Opt Roll Defer Top Slice'!$C35)/12)*(Term-'KB_BTL Opt Roll Defer Top Slice'!B35)*'Product Data'!$P$18)</f>
        <v>#N/A</v>
      </c>
      <c r="F35" s="1927">
        <f t="shared" si="4"/>
        <v>0</v>
      </c>
      <c r="G35" s="1928">
        <v>1.89E-2</v>
      </c>
      <c r="H35" s="1931" t="e">
        <f>($G$9*Term)/((($F$8-BBR+'Product Data'!$K$3-'KB_BTL Opt Roll Defer Top Slice'!$G35)/12)*(Term-'KB_BTL Opt Roll Defer Top Slice'!F35)*'Product Data'!$P$18)</f>
        <v>#N/A</v>
      </c>
      <c r="J35" s="1927">
        <f t="shared" si="5"/>
        <v>0</v>
      </c>
      <c r="K35" s="1928">
        <v>1.89E-2</v>
      </c>
      <c r="L35" s="1931" t="e">
        <f>($K$9*Term)/((($J$8-BBR+'Product Data'!$K$2-'KB_BTL Opt Roll Defer Top Slice'!$K35)/12)*(Term-'KB_BTL Opt Roll Defer Top Slice'!J35)*'Product Data'!$P$18)</f>
        <v>#N/A</v>
      </c>
    </row>
    <row r="36" spans="2:17" x14ac:dyDescent="0.25">
      <c r="B36" s="1927">
        <f t="shared" si="3"/>
        <v>0</v>
      </c>
      <c r="C36" s="1928">
        <v>1.8800000000000001E-2</v>
      </c>
      <c r="D36" s="1931" t="e">
        <f>($C$9*Term)/((($B$8-BBR+'Product Data'!$K$3-'KB_BTL Opt Roll Defer Top Slice'!$C36)/12)*(Term-'KB_BTL Opt Roll Defer Top Slice'!B36)*'Product Data'!$P$18)</f>
        <v>#N/A</v>
      </c>
      <c r="F36" s="1927">
        <f t="shared" si="4"/>
        <v>0</v>
      </c>
      <c r="G36" s="1928">
        <v>1.8800000000000001E-2</v>
      </c>
      <c r="H36" s="1931" t="e">
        <f>($G$9*Term)/((($F$8-BBR+'Product Data'!$K$3-'KB_BTL Opt Roll Defer Top Slice'!$G36)/12)*(Term-'KB_BTL Opt Roll Defer Top Slice'!F36)*'Product Data'!$P$18)</f>
        <v>#N/A</v>
      </c>
      <c r="J36" s="1927">
        <f t="shared" si="5"/>
        <v>0</v>
      </c>
      <c r="K36" s="1928">
        <v>1.8800000000000001E-2</v>
      </c>
      <c r="L36" s="1931" t="e">
        <f>($K$9*Term)/((($J$8-BBR+'Product Data'!$K$2-'KB_BTL Opt Roll Defer Top Slice'!$K36)/12)*(Term-'KB_BTL Opt Roll Defer Top Slice'!J36)*'Product Data'!$P$18)</f>
        <v>#N/A</v>
      </c>
    </row>
    <row r="37" spans="2:17" x14ac:dyDescent="0.25">
      <c r="B37" s="1927">
        <f t="shared" si="3"/>
        <v>0</v>
      </c>
      <c r="C37" s="1928">
        <v>1.8700000000000001E-2</v>
      </c>
      <c r="D37" s="1931" t="e">
        <f>($C$9*Term)/((($B$8-BBR+'Product Data'!$K$3-'KB_BTL Opt Roll Defer Top Slice'!$C37)/12)*(Term-'KB_BTL Opt Roll Defer Top Slice'!B37)*'Product Data'!$P$18)</f>
        <v>#N/A</v>
      </c>
      <c r="F37" s="1927">
        <f t="shared" si="4"/>
        <v>0</v>
      </c>
      <c r="G37" s="1928">
        <v>1.8700000000000001E-2</v>
      </c>
      <c r="H37" s="1931" t="e">
        <f>($G$9*Term)/((($F$8-BBR+'Product Data'!$K$3-'KB_BTL Opt Roll Defer Top Slice'!$G37)/12)*(Term-'KB_BTL Opt Roll Defer Top Slice'!F37)*'Product Data'!$P$18)</f>
        <v>#N/A</v>
      </c>
      <c r="J37" s="1927">
        <f t="shared" si="5"/>
        <v>0</v>
      </c>
      <c r="K37" s="1928">
        <v>1.8700000000000001E-2</v>
      </c>
      <c r="L37" s="1931" t="e">
        <f>($K$9*Term)/((($J$8-BBR+'Product Data'!$K$2-'KB_BTL Opt Roll Defer Top Slice'!$K37)/12)*(Term-'KB_BTL Opt Roll Defer Top Slice'!J37)*'Product Data'!$P$18)</f>
        <v>#N/A</v>
      </c>
    </row>
    <row r="38" spans="2:17" x14ac:dyDescent="0.25">
      <c r="B38" s="1927">
        <f t="shared" si="3"/>
        <v>0</v>
      </c>
      <c r="C38" s="1928">
        <v>1.8599999999999998E-2</v>
      </c>
      <c r="D38" s="1931" t="e">
        <f>($C$9*Term)/((($B$8-BBR+'Product Data'!$K$3-'KB_BTL Opt Roll Defer Top Slice'!$C38)/12)*(Term-'KB_BTL Opt Roll Defer Top Slice'!B38)*'Product Data'!$P$18)</f>
        <v>#N/A</v>
      </c>
      <c r="F38" s="1927">
        <f t="shared" si="4"/>
        <v>0</v>
      </c>
      <c r="G38" s="1928">
        <v>1.8599999999999998E-2</v>
      </c>
      <c r="H38" s="1931" t="e">
        <f>($G$9*Term)/((($F$8-BBR+'Product Data'!$K$3-'KB_BTL Opt Roll Defer Top Slice'!$G38)/12)*(Term-'KB_BTL Opt Roll Defer Top Slice'!F38)*'Product Data'!$P$18)</f>
        <v>#N/A</v>
      </c>
      <c r="J38" s="1927">
        <f t="shared" si="5"/>
        <v>0</v>
      </c>
      <c r="K38" s="1928">
        <v>1.8599999999999998E-2</v>
      </c>
      <c r="L38" s="1931" t="e">
        <f>($K$9*Term)/((($J$8-BBR+'Product Data'!$K$2-'KB_BTL Opt Roll Defer Top Slice'!$K38)/12)*(Term-'KB_BTL Opt Roll Defer Top Slice'!J38)*'Product Data'!$P$18)</f>
        <v>#N/A</v>
      </c>
    </row>
    <row r="39" spans="2:17" x14ac:dyDescent="0.25">
      <c r="B39" s="1927">
        <f t="shared" si="3"/>
        <v>0</v>
      </c>
      <c r="C39" s="1928">
        <v>1.8499999999999999E-2</v>
      </c>
      <c r="D39" s="1931" t="e">
        <f>($C$9*Term)/((($B$8-BBR+'Product Data'!$K$3-'KB_BTL Opt Roll Defer Top Slice'!$C39)/12)*(Term-'KB_BTL Opt Roll Defer Top Slice'!B39)*'Product Data'!$P$18)</f>
        <v>#N/A</v>
      </c>
      <c r="F39" s="1927">
        <f t="shared" si="4"/>
        <v>0</v>
      </c>
      <c r="G39" s="1928">
        <v>1.8499999999999999E-2</v>
      </c>
      <c r="H39" s="1931" t="e">
        <f>($G$9*Term)/((($F$8-BBR+'Product Data'!$K$3-'KB_BTL Opt Roll Defer Top Slice'!$G39)/12)*(Term-'KB_BTL Opt Roll Defer Top Slice'!F39)*'Product Data'!$P$18)</f>
        <v>#N/A</v>
      </c>
      <c r="J39" s="1927">
        <f t="shared" si="5"/>
        <v>0</v>
      </c>
      <c r="K39" s="1928">
        <v>1.8499999999999999E-2</v>
      </c>
      <c r="L39" s="1931" t="e">
        <f>($K$9*Term)/((($J$8-BBR+'Product Data'!$K$2-'KB_BTL Opt Roll Defer Top Slice'!$K39)/12)*(Term-'KB_BTL Opt Roll Defer Top Slice'!J39)*'Product Data'!$P$18)</f>
        <v>#N/A</v>
      </c>
    </row>
    <row r="40" spans="2:17" x14ac:dyDescent="0.25">
      <c r="B40" s="1927">
        <f t="shared" si="3"/>
        <v>0</v>
      </c>
      <c r="C40" s="1928">
        <v>1.84E-2</v>
      </c>
      <c r="D40" s="1931" t="e">
        <f>($C$9*Term)/((($B$8-BBR+'Product Data'!$K$3-'KB_BTL Opt Roll Defer Top Slice'!$C40)/12)*(Term-'KB_BTL Opt Roll Defer Top Slice'!B40)*'Product Data'!$P$18)</f>
        <v>#N/A</v>
      </c>
      <c r="F40" s="1927">
        <f t="shared" si="4"/>
        <v>0</v>
      </c>
      <c r="G40" s="1928">
        <v>1.84E-2</v>
      </c>
      <c r="H40" s="1931" t="e">
        <f>($G$9*Term)/((($F$8-BBR+'Product Data'!$K$3-'KB_BTL Opt Roll Defer Top Slice'!$G40)/12)*(Term-'KB_BTL Opt Roll Defer Top Slice'!F40)*'Product Data'!$P$18)</f>
        <v>#N/A</v>
      </c>
      <c r="J40" s="1927">
        <f t="shared" si="5"/>
        <v>0</v>
      </c>
      <c r="K40" s="1928">
        <v>1.84E-2</v>
      </c>
      <c r="L40" s="1931" t="e">
        <f>($K$9*Term)/((($J$8-BBR+'Product Data'!$K$2-'KB_BTL Opt Roll Defer Top Slice'!$K40)/12)*(Term-'KB_BTL Opt Roll Defer Top Slice'!J40)*'Product Data'!$P$18)</f>
        <v>#N/A</v>
      </c>
    </row>
    <row r="41" spans="2:17" x14ac:dyDescent="0.25">
      <c r="B41" s="1927">
        <f t="shared" si="3"/>
        <v>0</v>
      </c>
      <c r="C41" s="1928">
        <v>1.83E-2</v>
      </c>
      <c r="D41" s="1931" t="e">
        <f>($C$9*Term)/((($B$8-BBR+'Product Data'!$K$3-'KB_BTL Opt Roll Defer Top Slice'!$C41)/12)*(Term-'KB_BTL Opt Roll Defer Top Slice'!B41)*'Product Data'!$P$18)</f>
        <v>#N/A</v>
      </c>
      <c r="F41" s="1927">
        <f t="shared" si="4"/>
        <v>0</v>
      </c>
      <c r="G41" s="1928">
        <v>1.83E-2</v>
      </c>
      <c r="H41" s="1931" t="e">
        <f>($G$9*Term)/((($F$8-BBR+'Product Data'!$K$3-'KB_BTL Opt Roll Defer Top Slice'!$G41)/12)*(Term-'KB_BTL Opt Roll Defer Top Slice'!F41)*'Product Data'!$P$18)</f>
        <v>#N/A</v>
      </c>
      <c r="J41" s="1927">
        <f t="shared" si="5"/>
        <v>0</v>
      </c>
      <c r="K41" s="1928">
        <v>1.83E-2</v>
      </c>
      <c r="L41" s="1931" t="e">
        <f>($K$9*Term)/((($J$8-BBR+'Product Data'!$K$2-'KB_BTL Opt Roll Defer Top Slice'!$K41)/12)*(Term-'KB_BTL Opt Roll Defer Top Slice'!J41)*'Product Data'!$P$18)</f>
        <v>#N/A</v>
      </c>
    </row>
    <row r="42" spans="2:17" x14ac:dyDescent="0.25">
      <c r="B42" s="1927">
        <f t="shared" si="3"/>
        <v>0</v>
      </c>
      <c r="C42" s="1928">
        <v>1.8200000000000001E-2</v>
      </c>
      <c r="D42" s="1931" t="e">
        <f>($C$9*Term)/((($B$8-BBR+'Product Data'!$K$3-'KB_BTL Opt Roll Defer Top Slice'!$C42)/12)*(Term-'KB_BTL Opt Roll Defer Top Slice'!B42)*'Product Data'!$P$18)</f>
        <v>#N/A</v>
      </c>
      <c r="F42" s="1927">
        <f t="shared" si="4"/>
        <v>0</v>
      </c>
      <c r="G42" s="1928">
        <v>1.8200000000000001E-2</v>
      </c>
      <c r="H42" s="1931" t="e">
        <f>($G$9*Term)/((($F$8-BBR+'Product Data'!$K$3-'KB_BTL Opt Roll Defer Top Slice'!$G42)/12)*(Term-'KB_BTL Opt Roll Defer Top Slice'!F42)*'Product Data'!$P$18)</f>
        <v>#N/A</v>
      </c>
      <c r="J42" s="1927">
        <f t="shared" si="5"/>
        <v>0</v>
      </c>
      <c r="K42" s="1928">
        <v>1.8200000000000001E-2</v>
      </c>
      <c r="L42" s="1931" t="e">
        <f>($K$9*Term)/((($J$8-BBR+'Product Data'!$K$2-'KB_BTL Opt Roll Defer Top Slice'!$K42)/12)*(Term-'KB_BTL Opt Roll Defer Top Slice'!J42)*'Product Data'!$P$18)</f>
        <v>#N/A</v>
      </c>
    </row>
    <row r="43" spans="2:17" x14ac:dyDescent="0.25">
      <c r="B43" s="1927">
        <f t="shared" si="3"/>
        <v>0</v>
      </c>
      <c r="C43" s="1928">
        <v>1.8100000000000002E-2</v>
      </c>
      <c r="D43" s="1931" t="e">
        <f>($C$9*Term)/((($B$8-BBR+'Product Data'!$K$3-'KB_BTL Opt Roll Defer Top Slice'!$C43)/12)*(Term-'KB_BTL Opt Roll Defer Top Slice'!B43)*'Product Data'!$P$18)</f>
        <v>#N/A</v>
      </c>
      <c r="F43" s="1927">
        <f t="shared" si="4"/>
        <v>0</v>
      </c>
      <c r="G43" s="1928">
        <v>1.8100000000000002E-2</v>
      </c>
      <c r="H43" s="1931" t="e">
        <f>($G$9*Term)/((($F$8-BBR+'Product Data'!$K$3-'KB_BTL Opt Roll Defer Top Slice'!$G43)/12)*(Term-'KB_BTL Opt Roll Defer Top Slice'!F43)*'Product Data'!$P$18)</f>
        <v>#N/A</v>
      </c>
      <c r="J43" s="1927">
        <f t="shared" si="5"/>
        <v>0</v>
      </c>
      <c r="K43" s="1928">
        <v>1.8100000000000002E-2</v>
      </c>
      <c r="L43" s="1931" t="e">
        <f>($K$9*Term)/((($J$8-BBR+'Product Data'!$K$2-'KB_BTL Opt Roll Defer Top Slice'!$K43)/12)*(Term-'KB_BTL Opt Roll Defer Top Slice'!J43)*'Product Data'!$P$18)</f>
        <v>#N/A</v>
      </c>
    </row>
    <row r="44" spans="2:17" x14ac:dyDescent="0.25">
      <c r="B44" s="1927">
        <f t="shared" si="3"/>
        <v>0</v>
      </c>
      <c r="C44" s="1928">
        <v>1.7999999999999999E-2</v>
      </c>
      <c r="D44" s="1931" t="e">
        <f>($C$9*Term)/((($B$8-BBR+'Product Data'!$K$3-'KB_BTL Opt Roll Defer Top Slice'!$C44)/12)*(Term-'KB_BTL Opt Roll Defer Top Slice'!B44)*'Product Data'!$P$18)</f>
        <v>#N/A</v>
      </c>
      <c r="F44" s="1927">
        <f t="shared" si="4"/>
        <v>0</v>
      </c>
      <c r="G44" s="1928">
        <v>1.7999999999999999E-2</v>
      </c>
      <c r="H44" s="1931" t="e">
        <f>($G$9*Term)/((($F$8-BBR+'Product Data'!$K$3-'KB_BTL Opt Roll Defer Top Slice'!$G44)/12)*(Term-'KB_BTL Opt Roll Defer Top Slice'!F44)*'Product Data'!$P$18)</f>
        <v>#N/A</v>
      </c>
      <c r="J44" s="1927">
        <f t="shared" si="5"/>
        <v>0</v>
      </c>
      <c r="K44" s="1928">
        <v>1.7999999999999999E-2</v>
      </c>
      <c r="L44" s="1931" t="e">
        <f>($K$9*Term)/((($J$8-BBR+'Product Data'!$K$2-'KB_BTL Opt Roll Defer Top Slice'!$K44)/12)*(Term-'KB_BTL Opt Roll Defer Top Slice'!J44)*'Product Data'!$P$18)</f>
        <v>#N/A</v>
      </c>
    </row>
    <row r="45" spans="2:17" x14ac:dyDescent="0.25">
      <c r="B45" s="1927">
        <f t="shared" si="3"/>
        <v>0</v>
      </c>
      <c r="C45" s="1928">
        <v>1.7899999999999999E-2</v>
      </c>
      <c r="D45" s="1931" t="e">
        <f>($C$9*Term)/((($B$8-BBR+'Product Data'!$K$3-'KB_BTL Opt Roll Defer Top Slice'!$C45)/12)*(Term-'KB_BTL Opt Roll Defer Top Slice'!B45)*'Product Data'!$P$18)</f>
        <v>#N/A</v>
      </c>
      <c r="F45" s="1927">
        <f t="shared" si="4"/>
        <v>0</v>
      </c>
      <c r="G45" s="1928">
        <v>1.7899999999999999E-2</v>
      </c>
      <c r="H45" s="1931" t="e">
        <f>($G$9*Term)/((($F$8-BBR+'Product Data'!$K$3-'KB_BTL Opt Roll Defer Top Slice'!$G45)/12)*(Term-'KB_BTL Opt Roll Defer Top Slice'!F45)*'Product Data'!$P$18)</f>
        <v>#N/A</v>
      </c>
      <c r="J45" s="1927">
        <f t="shared" si="5"/>
        <v>0</v>
      </c>
      <c r="K45" s="1928">
        <v>1.7899999999999999E-2</v>
      </c>
      <c r="L45" s="1931" t="e">
        <f>($K$9*Term)/((($J$8-BBR+'Product Data'!$K$2-'KB_BTL Opt Roll Defer Top Slice'!$K45)/12)*(Term-'KB_BTL Opt Roll Defer Top Slice'!J45)*'Product Data'!$P$18)</f>
        <v>#N/A</v>
      </c>
    </row>
    <row r="46" spans="2:17" x14ac:dyDescent="0.25">
      <c r="B46" s="1927">
        <f t="shared" si="3"/>
        <v>0</v>
      </c>
      <c r="C46" s="1928">
        <v>1.78E-2</v>
      </c>
      <c r="D46" s="1931" t="e">
        <f>($C$9*Term)/((($B$8-BBR+'Product Data'!$K$3-'KB_BTL Opt Roll Defer Top Slice'!$C46)/12)*(Term-'KB_BTL Opt Roll Defer Top Slice'!B46)*'Product Data'!$P$18)</f>
        <v>#N/A</v>
      </c>
      <c r="F46" s="1927">
        <f t="shared" si="4"/>
        <v>0</v>
      </c>
      <c r="G46" s="1928">
        <v>1.78E-2</v>
      </c>
      <c r="H46" s="1931" t="e">
        <f>($G$9*Term)/((($F$8-BBR+'Product Data'!$K$3-'KB_BTL Opt Roll Defer Top Slice'!$G46)/12)*(Term-'KB_BTL Opt Roll Defer Top Slice'!F46)*'Product Data'!$P$18)</f>
        <v>#N/A</v>
      </c>
      <c r="J46" s="1927">
        <f t="shared" si="5"/>
        <v>0</v>
      </c>
      <c r="K46" s="1928">
        <v>1.78E-2</v>
      </c>
      <c r="L46" s="1931" t="e">
        <f>($K$9*Term)/((($J$8-BBR+'Product Data'!$K$2-'KB_BTL Opt Roll Defer Top Slice'!$K46)/12)*(Term-'KB_BTL Opt Roll Defer Top Slice'!J46)*'Product Data'!$P$18)</f>
        <v>#N/A</v>
      </c>
    </row>
    <row r="47" spans="2:17" x14ac:dyDescent="0.25">
      <c r="B47" s="1927">
        <f t="shared" si="3"/>
        <v>0</v>
      </c>
      <c r="C47" s="1928">
        <v>1.77E-2</v>
      </c>
      <c r="D47" s="1931" t="e">
        <f>($C$9*Term)/((($B$8-BBR+'Product Data'!$K$3-'KB_BTL Opt Roll Defer Top Slice'!$C47)/12)*(Term-'KB_BTL Opt Roll Defer Top Slice'!B47)*'Product Data'!$P$18)</f>
        <v>#N/A</v>
      </c>
      <c r="F47" s="1927">
        <f t="shared" si="4"/>
        <v>0</v>
      </c>
      <c r="G47" s="1928">
        <v>1.77E-2</v>
      </c>
      <c r="H47" s="1931" t="e">
        <f>($G$9*Term)/((($F$8-BBR+'Product Data'!$K$3-'KB_BTL Opt Roll Defer Top Slice'!$G47)/12)*(Term-'KB_BTL Opt Roll Defer Top Slice'!F47)*'Product Data'!$P$18)</f>
        <v>#N/A</v>
      </c>
      <c r="J47" s="1927">
        <f t="shared" si="5"/>
        <v>0</v>
      </c>
      <c r="K47" s="1928">
        <v>1.77E-2</v>
      </c>
      <c r="L47" s="1931" t="e">
        <f>($K$9*Term)/((($J$8-BBR+'Product Data'!$K$2-'KB_BTL Opt Roll Defer Top Slice'!$K47)/12)*(Term-'KB_BTL Opt Roll Defer Top Slice'!J47)*'Product Data'!$P$18)</f>
        <v>#N/A</v>
      </c>
    </row>
    <row r="48" spans="2:17" x14ac:dyDescent="0.25">
      <c r="B48" s="1927">
        <f t="shared" si="3"/>
        <v>0</v>
      </c>
      <c r="C48" s="1928">
        <v>1.7600000000000001E-2</v>
      </c>
      <c r="D48" s="1931" t="e">
        <f>($C$9*Term)/((($B$8-BBR+'Product Data'!$K$3-'KB_BTL Opt Roll Defer Top Slice'!$C48)/12)*(Term-'KB_BTL Opt Roll Defer Top Slice'!B48)*'Product Data'!$P$18)</f>
        <v>#N/A</v>
      </c>
      <c r="F48" s="1927">
        <f t="shared" si="4"/>
        <v>0</v>
      </c>
      <c r="G48" s="1928">
        <v>1.7600000000000001E-2</v>
      </c>
      <c r="H48" s="1931" t="e">
        <f>($G$9*Term)/((($F$8-BBR+'Product Data'!$K$3-'KB_BTL Opt Roll Defer Top Slice'!$G48)/12)*(Term-'KB_BTL Opt Roll Defer Top Slice'!F48)*'Product Data'!$P$18)</f>
        <v>#N/A</v>
      </c>
      <c r="J48" s="1927">
        <f t="shared" si="5"/>
        <v>0</v>
      </c>
      <c r="K48" s="1928">
        <v>1.7600000000000001E-2</v>
      </c>
      <c r="L48" s="1931" t="e">
        <f>($K$9*Term)/((($J$8-BBR+'Product Data'!$K$2-'KB_BTL Opt Roll Defer Top Slice'!$K48)/12)*(Term-'KB_BTL Opt Roll Defer Top Slice'!J48)*'Product Data'!$P$18)</f>
        <v>#N/A</v>
      </c>
    </row>
    <row r="49" spans="2:12" x14ac:dyDescent="0.25">
      <c r="B49" s="1927">
        <f t="shared" si="3"/>
        <v>0</v>
      </c>
      <c r="C49" s="1928">
        <v>1.7500000000000002E-2</v>
      </c>
      <c r="D49" s="1931" t="e">
        <f>($C$9*Term)/((($B$8-BBR+'Product Data'!$K$3-'KB_BTL Opt Roll Defer Top Slice'!$C49)/12)*(Term-'KB_BTL Opt Roll Defer Top Slice'!B49)*'Product Data'!$P$18)</f>
        <v>#N/A</v>
      </c>
      <c r="F49" s="1927">
        <f t="shared" si="4"/>
        <v>0</v>
      </c>
      <c r="G49" s="1928">
        <v>1.7500000000000002E-2</v>
      </c>
      <c r="H49" s="1931" t="e">
        <f>($G$9*Term)/((($F$8-BBR+'Product Data'!$K$3-'KB_BTL Opt Roll Defer Top Slice'!$G49)/12)*(Term-'KB_BTL Opt Roll Defer Top Slice'!F49)*'Product Data'!$P$18)</f>
        <v>#N/A</v>
      </c>
      <c r="J49" s="1927">
        <f t="shared" si="5"/>
        <v>0</v>
      </c>
      <c r="K49" s="1928">
        <v>1.7500000000000002E-2</v>
      </c>
      <c r="L49" s="1931" t="e">
        <f>($K$9*Term)/((($J$8-BBR+'Product Data'!$K$2-'KB_BTL Opt Roll Defer Top Slice'!$K49)/12)*(Term-'KB_BTL Opt Roll Defer Top Slice'!J49)*'Product Data'!$P$18)</f>
        <v>#N/A</v>
      </c>
    </row>
    <row r="50" spans="2:12" x14ac:dyDescent="0.25">
      <c r="B50" s="1927">
        <f t="shared" si="3"/>
        <v>0</v>
      </c>
      <c r="C50" s="1928">
        <v>1.7399999999999999E-2</v>
      </c>
      <c r="D50" s="1931" t="e">
        <f>($C$9*Term)/((($B$8-BBR+'Product Data'!$K$3-'KB_BTL Opt Roll Defer Top Slice'!$C50)/12)*(Term-'KB_BTL Opt Roll Defer Top Slice'!B50)*'Product Data'!$P$18)</f>
        <v>#N/A</v>
      </c>
      <c r="F50" s="1927">
        <f t="shared" si="4"/>
        <v>0</v>
      </c>
      <c r="G50" s="1928">
        <v>1.7399999999999999E-2</v>
      </c>
      <c r="H50" s="1931" t="e">
        <f>($G$9*Term)/((($F$8-BBR+'Product Data'!$K$3-'KB_BTL Opt Roll Defer Top Slice'!$G50)/12)*(Term-'KB_BTL Opt Roll Defer Top Slice'!F50)*'Product Data'!$P$18)</f>
        <v>#N/A</v>
      </c>
      <c r="J50" s="1927">
        <f t="shared" si="5"/>
        <v>0</v>
      </c>
      <c r="K50" s="1928">
        <v>1.7399999999999999E-2</v>
      </c>
      <c r="L50" s="1931" t="e">
        <f>($K$9*Term)/((($J$8-BBR+'Product Data'!$K$2-'KB_BTL Opt Roll Defer Top Slice'!$K50)/12)*(Term-'KB_BTL Opt Roll Defer Top Slice'!J50)*'Product Data'!$P$18)</f>
        <v>#N/A</v>
      </c>
    </row>
    <row r="51" spans="2:12" x14ac:dyDescent="0.25">
      <c r="B51" s="1927">
        <f t="shared" si="3"/>
        <v>0</v>
      </c>
      <c r="C51" s="1928">
        <v>1.7299999999999999E-2</v>
      </c>
      <c r="D51" s="1931" t="e">
        <f>($C$9*Term)/((($B$8-BBR+'Product Data'!$K$3-'KB_BTL Opt Roll Defer Top Slice'!$C51)/12)*(Term-'KB_BTL Opt Roll Defer Top Slice'!B51)*'Product Data'!$P$18)</f>
        <v>#N/A</v>
      </c>
      <c r="F51" s="1927">
        <f t="shared" si="4"/>
        <v>0</v>
      </c>
      <c r="G51" s="1928">
        <v>1.7299999999999999E-2</v>
      </c>
      <c r="H51" s="1931" t="e">
        <f>($G$9*Term)/((($F$8-BBR+'Product Data'!$K$3-'KB_BTL Opt Roll Defer Top Slice'!$G51)/12)*(Term-'KB_BTL Opt Roll Defer Top Slice'!F51)*'Product Data'!$P$18)</f>
        <v>#N/A</v>
      </c>
      <c r="J51" s="1927">
        <f t="shared" si="5"/>
        <v>0</v>
      </c>
      <c r="K51" s="1928">
        <v>1.7299999999999999E-2</v>
      </c>
      <c r="L51" s="1931" t="e">
        <f>($K$9*Term)/((($J$8-BBR+'Product Data'!$K$2-'KB_BTL Opt Roll Defer Top Slice'!$K51)/12)*(Term-'KB_BTL Opt Roll Defer Top Slice'!J51)*'Product Data'!$P$18)</f>
        <v>#N/A</v>
      </c>
    </row>
    <row r="52" spans="2:12" x14ac:dyDescent="0.25">
      <c r="B52" s="1927">
        <f t="shared" si="3"/>
        <v>0</v>
      </c>
      <c r="C52" s="1928">
        <v>1.72E-2</v>
      </c>
      <c r="D52" s="1931" t="e">
        <f>($C$9*Term)/((($B$8-BBR+'Product Data'!$K$3-'KB_BTL Opt Roll Defer Top Slice'!$C52)/12)*(Term-'KB_BTL Opt Roll Defer Top Slice'!B52)*'Product Data'!$P$18)</f>
        <v>#N/A</v>
      </c>
      <c r="F52" s="1927">
        <f t="shared" si="4"/>
        <v>0</v>
      </c>
      <c r="G52" s="1928">
        <v>1.72E-2</v>
      </c>
      <c r="H52" s="1931" t="e">
        <f>($G$9*Term)/((($F$8-BBR+'Product Data'!$K$3-'KB_BTL Opt Roll Defer Top Slice'!$G52)/12)*(Term-'KB_BTL Opt Roll Defer Top Slice'!F52)*'Product Data'!$P$18)</f>
        <v>#N/A</v>
      </c>
      <c r="J52" s="1927">
        <f t="shared" si="5"/>
        <v>0</v>
      </c>
      <c r="K52" s="1928">
        <v>1.72E-2</v>
      </c>
      <c r="L52" s="1931" t="e">
        <f>($K$9*Term)/((($J$8-BBR+'Product Data'!$K$2-'KB_BTL Opt Roll Defer Top Slice'!$K52)/12)*(Term-'KB_BTL Opt Roll Defer Top Slice'!J52)*'Product Data'!$P$18)</f>
        <v>#N/A</v>
      </c>
    </row>
    <row r="53" spans="2:12" x14ac:dyDescent="0.25">
      <c r="B53" s="1927">
        <f t="shared" si="3"/>
        <v>0</v>
      </c>
      <c r="C53" s="1928">
        <v>1.7100000000000001E-2</v>
      </c>
      <c r="D53" s="1931" t="e">
        <f>($C$9*Term)/((($B$8-BBR+'Product Data'!$K$3-'KB_BTL Opt Roll Defer Top Slice'!$C53)/12)*(Term-'KB_BTL Opt Roll Defer Top Slice'!B53)*'Product Data'!$P$18)</f>
        <v>#N/A</v>
      </c>
      <c r="F53" s="1927">
        <f t="shared" si="4"/>
        <v>0</v>
      </c>
      <c r="G53" s="1928">
        <v>1.7100000000000001E-2</v>
      </c>
      <c r="H53" s="1931" t="e">
        <f>($G$9*Term)/((($F$8-BBR+'Product Data'!$K$3-'KB_BTL Opt Roll Defer Top Slice'!$G53)/12)*(Term-'KB_BTL Opt Roll Defer Top Slice'!F53)*'Product Data'!$P$18)</f>
        <v>#N/A</v>
      </c>
      <c r="J53" s="1927">
        <f t="shared" si="5"/>
        <v>0</v>
      </c>
      <c r="K53" s="1928">
        <v>1.7100000000000001E-2</v>
      </c>
      <c r="L53" s="1931" t="e">
        <f>($K$9*Term)/((($J$8-BBR+'Product Data'!$K$2-'KB_BTL Opt Roll Defer Top Slice'!$K53)/12)*(Term-'KB_BTL Opt Roll Defer Top Slice'!J53)*'Product Data'!$P$18)</f>
        <v>#N/A</v>
      </c>
    </row>
    <row r="54" spans="2:12" x14ac:dyDescent="0.25">
      <c r="B54" s="1927">
        <f t="shared" si="3"/>
        <v>0</v>
      </c>
      <c r="C54" s="1928">
        <v>1.7000000000000001E-2</v>
      </c>
      <c r="D54" s="1931" t="e">
        <f>($C$9*Term)/((($B$8-BBR+'Product Data'!$K$3-'KB_BTL Opt Roll Defer Top Slice'!$C54)/12)*(Term-'KB_BTL Opt Roll Defer Top Slice'!B54)*'Product Data'!$P$18)</f>
        <v>#N/A</v>
      </c>
      <c r="F54" s="1927">
        <f t="shared" si="4"/>
        <v>0</v>
      </c>
      <c r="G54" s="1928">
        <v>1.7000000000000001E-2</v>
      </c>
      <c r="H54" s="1931" t="e">
        <f>($G$9*Term)/((($F$8-BBR+'Product Data'!$K$3-'KB_BTL Opt Roll Defer Top Slice'!$G54)/12)*(Term-'KB_BTL Opt Roll Defer Top Slice'!F54)*'Product Data'!$P$18)</f>
        <v>#N/A</v>
      </c>
      <c r="J54" s="1927">
        <f t="shared" si="5"/>
        <v>0</v>
      </c>
      <c r="K54" s="1928">
        <v>1.7000000000000001E-2</v>
      </c>
      <c r="L54" s="1931" t="e">
        <f>($K$9*Term)/((($J$8-BBR+'Product Data'!$K$2-'KB_BTL Opt Roll Defer Top Slice'!$K54)/12)*(Term-'KB_BTL Opt Roll Defer Top Slice'!J54)*'Product Data'!$P$18)</f>
        <v>#N/A</v>
      </c>
    </row>
    <row r="55" spans="2:12" x14ac:dyDescent="0.25">
      <c r="B55" s="1927">
        <f t="shared" si="3"/>
        <v>0</v>
      </c>
      <c r="C55" s="1928">
        <v>1.6899999999999998E-2</v>
      </c>
      <c r="D55" s="1931" t="e">
        <f>($C$9*Term)/((($B$8-BBR+'Product Data'!$K$3-'KB_BTL Opt Roll Defer Top Slice'!$C55)/12)*(Term-'KB_BTL Opt Roll Defer Top Slice'!B55)*'Product Data'!$P$18)</f>
        <v>#N/A</v>
      </c>
      <c r="F55" s="1927">
        <f t="shared" si="4"/>
        <v>0</v>
      </c>
      <c r="G55" s="1928">
        <v>1.6899999999999998E-2</v>
      </c>
      <c r="H55" s="1931" t="e">
        <f>($G$9*Term)/((($F$8-BBR+'Product Data'!$K$3-'KB_BTL Opt Roll Defer Top Slice'!$G55)/12)*(Term-'KB_BTL Opt Roll Defer Top Slice'!F55)*'Product Data'!$P$18)</f>
        <v>#N/A</v>
      </c>
      <c r="J55" s="1927">
        <f t="shared" si="5"/>
        <v>0</v>
      </c>
      <c r="K55" s="1928">
        <v>1.6899999999999998E-2</v>
      </c>
      <c r="L55" s="1931" t="e">
        <f>($K$9*Term)/((($J$8-BBR+'Product Data'!$K$2-'KB_BTL Opt Roll Defer Top Slice'!$K55)/12)*(Term-'KB_BTL Opt Roll Defer Top Slice'!J55)*'Product Data'!$P$18)</f>
        <v>#N/A</v>
      </c>
    </row>
    <row r="56" spans="2:12" x14ac:dyDescent="0.25">
      <c r="B56" s="1927">
        <f t="shared" si="3"/>
        <v>0</v>
      </c>
      <c r="C56" s="1928">
        <v>1.6799999999999999E-2</v>
      </c>
      <c r="D56" s="1931" t="e">
        <f>($C$9*Term)/((($B$8-BBR+'Product Data'!$K$3-'KB_BTL Opt Roll Defer Top Slice'!$C56)/12)*(Term-'KB_BTL Opt Roll Defer Top Slice'!B56)*'Product Data'!$P$18)</f>
        <v>#N/A</v>
      </c>
      <c r="F56" s="1927">
        <f t="shared" si="4"/>
        <v>0</v>
      </c>
      <c r="G56" s="1928">
        <v>1.6799999999999999E-2</v>
      </c>
      <c r="H56" s="1931" t="e">
        <f>($G$9*Term)/((($F$8-BBR+'Product Data'!$K$3-'KB_BTL Opt Roll Defer Top Slice'!$G56)/12)*(Term-'KB_BTL Opt Roll Defer Top Slice'!F56)*'Product Data'!$P$18)</f>
        <v>#N/A</v>
      </c>
      <c r="J56" s="1927">
        <f t="shared" si="5"/>
        <v>0</v>
      </c>
      <c r="K56" s="1928">
        <v>1.6799999999999999E-2</v>
      </c>
      <c r="L56" s="1931" t="e">
        <f>($K$9*Term)/((($J$8-BBR+'Product Data'!$K$2-'KB_BTL Opt Roll Defer Top Slice'!$K56)/12)*(Term-'KB_BTL Opt Roll Defer Top Slice'!J56)*'Product Data'!$P$18)</f>
        <v>#N/A</v>
      </c>
    </row>
    <row r="57" spans="2:12" x14ac:dyDescent="0.25">
      <c r="B57" s="1927">
        <f t="shared" si="3"/>
        <v>0</v>
      </c>
      <c r="C57" s="1928">
        <v>1.67E-2</v>
      </c>
      <c r="D57" s="1931" t="e">
        <f>($C$9*Term)/((($B$8-BBR+'Product Data'!$K$3-'KB_BTL Opt Roll Defer Top Slice'!$C57)/12)*(Term-'KB_BTL Opt Roll Defer Top Slice'!B57)*'Product Data'!$P$18)</f>
        <v>#N/A</v>
      </c>
      <c r="F57" s="1927">
        <f t="shared" si="4"/>
        <v>0</v>
      </c>
      <c r="G57" s="1928">
        <v>1.67E-2</v>
      </c>
      <c r="H57" s="1931" t="e">
        <f>($G$9*Term)/((($F$8-BBR+'Product Data'!$K$3-'KB_BTL Opt Roll Defer Top Slice'!$G57)/12)*(Term-'KB_BTL Opt Roll Defer Top Slice'!F57)*'Product Data'!$P$18)</f>
        <v>#N/A</v>
      </c>
      <c r="J57" s="1927">
        <f t="shared" si="5"/>
        <v>0</v>
      </c>
      <c r="K57" s="1928">
        <v>1.67E-2</v>
      </c>
      <c r="L57" s="1931" t="e">
        <f>($K$9*Term)/((($J$8-BBR+'Product Data'!$K$2-'KB_BTL Opt Roll Defer Top Slice'!$K57)/12)*(Term-'KB_BTL Opt Roll Defer Top Slice'!J57)*'Product Data'!$P$18)</f>
        <v>#N/A</v>
      </c>
    </row>
    <row r="58" spans="2:12" x14ac:dyDescent="0.25">
      <c r="B58" s="1927">
        <f t="shared" si="3"/>
        <v>0</v>
      </c>
      <c r="C58" s="1928">
        <v>1.66E-2</v>
      </c>
      <c r="D58" s="1931" t="e">
        <f>($C$9*Term)/((($B$8-BBR+'Product Data'!$K$3-'KB_BTL Opt Roll Defer Top Slice'!$C58)/12)*(Term-'KB_BTL Opt Roll Defer Top Slice'!B58)*'Product Data'!$P$18)</f>
        <v>#N/A</v>
      </c>
      <c r="F58" s="1927">
        <f t="shared" si="4"/>
        <v>0</v>
      </c>
      <c r="G58" s="1928">
        <v>1.66E-2</v>
      </c>
      <c r="H58" s="1931" t="e">
        <f>($G$9*Term)/((($F$8-BBR+'Product Data'!$K$3-'KB_BTL Opt Roll Defer Top Slice'!$G58)/12)*(Term-'KB_BTL Opt Roll Defer Top Slice'!F58)*'Product Data'!$P$18)</f>
        <v>#N/A</v>
      </c>
      <c r="J58" s="1927">
        <f t="shared" si="5"/>
        <v>0</v>
      </c>
      <c r="K58" s="1928">
        <v>1.66E-2</v>
      </c>
      <c r="L58" s="1931" t="e">
        <f>($K$9*Term)/((($J$8-BBR+'Product Data'!$K$2-'KB_BTL Opt Roll Defer Top Slice'!$K58)/12)*(Term-'KB_BTL Opt Roll Defer Top Slice'!J58)*'Product Data'!$P$18)</f>
        <v>#N/A</v>
      </c>
    </row>
    <row r="59" spans="2:12" x14ac:dyDescent="0.25">
      <c r="B59" s="1927">
        <f t="shared" si="3"/>
        <v>0</v>
      </c>
      <c r="C59" s="1928">
        <v>1.6500000000000001E-2</v>
      </c>
      <c r="D59" s="1931" t="e">
        <f>($C$9*Term)/((($B$8-BBR+'Product Data'!$K$3-'KB_BTL Opt Roll Defer Top Slice'!$C59)/12)*(Term-'KB_BTL Opt Roll Defer Top Slice'!B59)*'Product Data'!$P$18)</f>
        <v>#N/A</v>
      </c>
      <c r="F59" s="1927">
        <f t="shared" si="4"/>
        <v>0</v>
      </c>
      <c r="G59" s="1928">
        <v>1.6500000000000001E-2</v>
      </c>
      <c r="H59" s="1931" t="e">
        <f>($G$9*Term)/((($F$8-BBR+'Product Data'!$K$3-'KB_BTL Opt Roll Defer Top Slice'!$G59)/12)*(Term-'KB_BTL Opt Roll Defer Top Slice'!F59)*'Product Data'!$P$18)</f>
        <v>#N/A</v>
      </c>
      <c r="J59" s="1927">
        <f t="shared" si="5"/>
        <v>0</v>
      </c>
      <c r="K59" s="1928">
        <v>1.6500000000000001E-2</v>
      </c>
      <c r="L59" s="1931" t="e">
        <f>($K$9*Term)/((($J$8-BBR+'Product Data'!$K$2-'KB_BTL Opt Roll Defer Top Slice'!$K59)/12)*(Term-'KB_BTL Opt Roll Defer Top Slice'!J59)*'Product Data'!$P$18)</f>
        <v>#N/A</v>
      </c>
    </row>
    <row r="60" spans="2:12" x14ac:dyDescent="0.25">
      <c r="B60" s="1927">
        <f t="shared" si="3"/>
        <v>0</v>
      </c>
      <c r="C60" s="1928">
        <v>1.6400000000000001E-2</v>
      </c>
      <c r="D60" s="1931" t="e">
        <f>($C$9*Term)/((($B$8-BBR+'Product Data'!$K$3-'KB_BTL Opt Roll Defer Top Slice'!$C60)/12)*(Term-'KB_BTL Opt Roll Defer Top Slice'!B60)*'Product Data'!$P$18)</f>
        <v>#N/A</v>
      </c>
      <c r="F60" s="1927">
        <f t="shared" si="4"/>
        <v>0</v>
      </c>
      <c r="G60" s="1928">
        <v>1.6400000000000001E-2</v>
      </c>
      <c r="H60" s="1931" t="e">
        <f>($G$9*Term)/((($F$8-BBR+'Product Data'!$K$3-'KB_BTL Opt Roll Defer Top Slice'!$G60)/12)*(Term-'KB_BTL Opt Roll Defer Top Slice'!F60)*'Product Data'!$P$18)</f>
        <v>#N/A</v>
      </c>
      <c r="J60" s="1927">
        <f t="shared" si="5"/>
        <v>0</v>
      </c>
      <c r="K60" s="1928">
        <v>1.6400000000000001E-2</v>
      </c>
      <c r="L60" s="1931" t="e">
        <f>($K$9*Term)/((($J$8-BBR+'Product Data'!$K$2-'KB_BTL Opt Roll Defer Top Slice'!$K60)/12)*(Term-'KB_BTL Opt Roll Defer Top Slice'!J60)*'Product Data'!$P$18)</f>
        <v>#N/A</v>
      </c>
    </row>
    <row r="61" spans="2:12" x14ac:dyDescent="0.25">
      <c r="B61" s="1927">
        <f t="shared" si="3"/>
        <v>0</v>
      </c>
      <c r="C61" s="1928">
        <v>1.6299999999999999E-2</v>
      </c>
      <c r="D61" s="1931" t="e">
        <f>($C$9*Term)/((($B$8-BBR+'Product Data'!$K$3-'KB_BTL Opt Roll Defer Top Slice'!$C61)/12)*(Term-'KB_BTL Opt Roll Defer Top Slice'!B61)*'Product Data'!$P$18)</f>
        <v>#N/A</v>
      </c>
      <c r="F61" s="1927">
        <f t="shared" si="4"/>
        <v>0</v>
      </c>
      <c r="G61" s="1928">
        <v>1.6299999999999999E-2</v>
      </c>
      <c r="H61" s="1931" t="e">
        <f>($G$9*Term)/((($F$8-BBR+'Product Data'!$K$3-'KB_BTL Opt Roll Defer Top Slice'!$G61)/12)*(Term-'KB_BTL Opt Roll Defer Top Slice'!F61)*'Product Data'!$P$18)</f>
        <v>#N/A</v>
      </c>
      <c r="J61" s="1927">
        <f t="shared" si="5"/>
        <v>0</v>
      </c>
      <c r="K61" s="1928">
        <v>1.6299999999999999E-2</v>
      </c>
      <c r="L61" s="1931" t="e">
        <f>($K$9*Term)/((($J$8-BBR+'Product Data'!$K$2-'KB_BTL Opt Roll Defer Top Slice'!$K61)/12)*(Term-'KB_BTL Opt Roll Defer Top Slice'!J61)*'Product Data'!$P$18)</f>
        <v>#N/A</v>
      </c>
    </row>
    <row r="62" spans="2:12" x14ac:dyDescent="0.25">
      <c r="B62" s="1927">
        <f t="shared" si="3"/>
        <v>0</v>
      </c>
      <c r="C62" s="1928">
        <v>1.6199999999999999E-2</v>
      </c>
      <c r="D62" s="1931" t="e">
        <f>($C$9*Term)/((($B$8-BBR+'Product Data'!$K$3-'KB_BTL Opt Roll Defer Top Slice'!$C62)/12)*(Term-'KB_BTL Opt Roll Defer Top Slice'!B62)*'Product Data'!$P$18)</f>
        <v>#N/A</v>
      </c>
      <c r="F62" s="1927">
        <f t="shared" si="4"/>
        <v>0</v>
      </c>
      <c r="G62" s="1928">
        <v>1.6199999999999999E-2</v>
      </c>
      <c r="H62" s="1931" t="e">
        <f>($G$9*Term)/((($F$8-BBR+'Product Data'!$K$3-'KB_BTL Opt Roll Defer Top Slice'!$G62)/12)*(Term-'KB_BTL Opt Roll Defer Top Slice'!F62)*'Product Data'!$P$18)</f>
        <v>#N/A</v>
      </c>
      <c r="J62" s="1927">
        <f t="shared" si="5"/>
        <v>0</v>
      </c>
      <c r="K62" s="1928">
        <v>1.6199999999999999E-2</v>
      </c>
      <c r="L62" s="1931" t="e">
        <f>($K$9*Term)/((($J$8-BBR+'Product Data'!$K$2-'KB_BTL Opt Roll Defer Top Slice'!$K62)/12)*(Term-'KB_BTL Opt Roll Defer Top Slice'!J62)*'Product Data'!$P$18)</f>
        <v>#N/A</v>
      </c>
    </row>
    <row r="63" spans="2:12" x14ac:dyDescent="0.25">
      <c r="B63" s="1927">
        <f t="shared" si="3"/>
        <v>0</v>
      </c>
      <c r="C63" s="1928">
        <v>1.61E-2</v>
      </c>
      <c r="D63" s="1931" t="e">
        <f>($C$9*Term)/((($B$8-BBR+'Product Data'!$K$3-'KB_BTL Opt Roll Defer Top Slice'!$C63)/12)*(Term-'KB_BTL Opt Roll Defer Top Slice'!B63)*'Product Data'!$P$18)</f>
        <v>#N/A</v>
      </c>
      <c r="F63" s="1927">
        <f t="shared" si="4"/>
        <v>0</v>
      </c>
      <c r="G63" s="1928">
        <v>1.61E-2</v>
      </c>
      <c r="H63" s="1931" t="e">
        <f>($G$9*Term)/((($F$8-BBR+'Product Data'!$K$3-'KB_BTL Opt Roll Defer Top Slice'!$G63)/12)*(Term-'KB_BTL Opt Roll Defer Top Slice'!F63)*'Product Data'!$P$18)</f>
        <v>#N/A</v>
      </c>
      <c r="J63" s="1927">
        <f t="shared" si="5"/>
        <v>0</v>
      </c>
      <c r="K63" s="1928">
        <v>1.61E-2</v>
      </c>
      <c r="L63" s="1931" t="e">
        <f>($K$9*Term)/((($J$8-BBR+'Product Data'!$K$2-'KB_BTL Opt Roll Defer Top Slice'!$K63)/12)*(Term-'KB_BTL Opt Roll Defer Top Slice'!J63)*'Product Data'!$P$18)</f>
        <v>#N/A</v>
      </c>
    </row>
    <row r="64" spans="2:12" x14ac:dyDescent="0.25">
      <c r="B64" s="1927">
        <f t="shared" si="3"/>
        <v>0</v>
      </c>
      <c r="C64" s="1928">
        <v>1.6E-2</v>
      </c>
      <c r="D64" s="1931" t="e">
        <f>($C$9*Term)/((($B$8-BBR+'Product Data'!$K$3-'KB_BTL Opt Roll Defer Top Slice'!$C64)/12)*(Term-'KB_BTL Opt Roll Defer Top Slice'!B64)*'Product Data'!$P$18)</f>
        <v>#N/A</v>
      </c>
      <c r="F64" s="1927">
        <f t="shared" si="4"/>
        <v>0</v>
      </c>
      <c r="G64" s="1928">
        <v>1.6E-2</v>
      </c>
      <c r="H64" s="1931" t="e">
        <f>($G$9*Term)/((($F$8-BBR+'Product Data'!$K$3-'KB_BTL Opt Roll Defer Top Slice'!$G64)/12)*(Term-'KB_BTL Opt Roll Defer Top Slice'!F64)*'Product Data'!$P$18)</f>
        <v>#N/A</v>
      </c>
      <c r="J64" s="1927">
        <f t="shared" si="5"/>
        <v>0</v>
      </c>
      <c r="K64" s="1928">
        <v>1.6E-2</v>
      </c>
      <c r="L64" s="1931" t="e">
        <f>($K$9*Term)/((($J$8-BBR+'Product Data'!$K$2-'KB_BTL Opt Roll Defer Top Slice'!$K64)/12)*(Term-'KB_BTL Opt Roll Defer Top Slice'!J64)*'Product Data'!$P$18)</f>
        <v>#N/A</v>
      </c>
    </row>
    <row r="65" spans="2:12" x14ac:dyDescent="0.25">
      <c r="B65" s="1927">
        <f t="shared" si="3"/>
        <v>0</v>
      </c>
      <c r="C65" s="1928">
        <v>1.5900000000000001E-2</v>
      </c>
      <c r="D65" s="1931" t="e">
        <f>($C$9*Term)/((($B$8-BBR+'Product Data'!$K$3-'KB_BTL Opt Roll Defer Top Slice'!$C65)/12)*(Term-'KB_BTL Opt Roll Defer Top Slice'!B65)*'Product Data'!$P$18)</f>
        <v>#N/A</v>
      </c>
      <c r="F65" s="1927">
        <f t="shared" si="4"/>
        <v>0</v>
      </c>
      <c r="G65" s="1928">
        <v>1.5900000000000001E-2</v>
      </c>
      <c r="H65" s="1931" t="e">
        <f>($G$9*Term)/((($F$8-BBR+'Product Data'!$K$3-'KB_BTL Opt Roll Defer Top Slice'!$G65)/12)*(Term-'KB_BTL Opt Roll Defer Top Slice'!F65)*'Product Data'!$P$18)</f>
        <v>#N/A</v>
      </c>
      <c r="J65" s="1927">
        <f t="shared" si="5"/>
        <v>0</v>
      </c>
      <c r="K65" s="1928">
        <v>1.5900000000000001E-2</v>
      </c>
      <c r="L65" s="1931" t="e">
        <f>($K$9*Term)/((($J$8-BBR+'Product Data'!$K$2-'KB_BTL Opt Roll Defer Top Slice'!$K65)/12)*(Term-'KB_BTL Opt Roll Defer Top Slice'!J65)*'Product Data'!$P$18)</f>
        <v>#N/A</v>
      </c>
    </row>
    <row r="66" spans="2:12" x14ac:dyDescent="0.25">
      <c r="B66" s="1927">
        <f t="shared" si="3"/>
        <v>0</v>
      </c>
      <c r="C66" s="1928">
        <v>1.5800000000000002E-2</v>
      </c>
      <c r="D66" s="1931" t="e">
        <f>($C$9*Term)/((($B$8-BBR+'Product Data'!$K$3-'KB_BTL Opt Roll Defer Top Slice'!$C66)/12)*(Term-'KB_BTL Opt Roll Defer Top Slice'!B66)*'Product Data'!$P$18)</f>
        <v>#N/A</v>
      </c>
      <c r="F66" s="1927">
        <f t="shared" si="4"/>
        <v>0</v>
      </c>
      <c r="G66" s="1928">
        <v>1.5800000000000002E-2</v>
      </c>
      <c r="H66" s="1931" t="e">
        <f>($G$9*Term)/((($F$8-BBR+'Product Data'!$K$3-'KB_BTL Opt Roll Defer Top Slice'!$G66)/12)*(Term-'KB_BTL Opt Roll Defer Top Slice'!F66)*'Product Data'!$P$18)</f>
        <v>#N/A</v>
      </c>
      <c r="J66" s="1927">
        <f t="shared" si="5"/>
        <v>0</v>
      </c>
      <c r="K66" s="1928">
        <v>1.5800000000000002E-2</v>
      </c>
      <c r="L66" s="1931" t="e">
        <f>($K$9*Term)/((($J$8-BBR+'Product Data'!$K$2-'KB_BTL Opt Roll Defer Top Slice'!$K66)/12)*(Term-'KB_BTL Opt Roll Defer Top Slice'!J66)*'Product Data'!$P$18)</f>
        <v>#N/A</v>
      </c>
    </row>
    <row r="67" spans="2:12" x14ac:dyDescent="0.25">
      <c r="B67" s="1927">
        <f t="shared" si="3"/>
        <v>0</v>
      </c>
      <c r="C67" s="1928">
        <v>1.5699999999999999E-2</v>
      </c>
      <c r="D67" s="1931" t="e">
        <f>($C$9*Term)/((($B$8-BBR+'Product Data'!$K$3-'KB_BTL Opt Roll Defer Top Slice'!$C67)/12)*(Term-'KB_BTL Opt Roll Defer Top Slice'!B67)*'Product Data'!$P$18)</f>
        <v>#N/A</v>
      </c>
      <c r="F67" s="1927">
        <f t="shared" si="4"/>
        <v>0</v>
      </c>
      <c r="G67" s="1928">
        <v>1.5699999999999999E-2</v>
      </c>
      <c r="H67" s="1931" t="e">
        <f>($G$9*Term)/((($F$8-BBR+'Product Data'!$K$3-'KB_BTL Opt Roll Defer Top Slice'!$G67)/12)*(Term-'KB_BTL Opt Roll Defer Top Slice'!F67)*'Product Data'!$P$18)</f>
        <v>#N/A</v>
      </c>
      <c r="J67" s="1927">
        <f t="shared" si="5"/>
        <v>0</v>
      </c>
      <c r="K67" s="1928">
        <v>1.5699999999999999E-2</v>
      </c>
      <c r="L67" s="1931" t="e">
        <f>($K$9*Term)/((($J$8-BBR+'Product Data'!$K$2-'KB_BTL Opt Roll Defer Top Slice'!$K67)/12)*(Term-'KB_BTL Opt Roll Defer Top Slice'!J67)*'Product Data'!$P$18)</f>
        <v>#N/A</v>
      </c>
    </row>
    <row r="68" spans="2:12" x14ac:dyDescent="0.25">
      <c r="B68" s="1927">
        <f t="shared" si="3"/>
        <v>0</v>
      </c>
      <c r="C68" s="1928">
        <v>1.5599999999999999E-2</v>
      </c>
      <c r="D68" s="1931" t="e">
        <f>($C$9*Term)/((($B$8-BBR+'Product Data'!$K$3-'KB_BTL Opt Roll Defer Top Slice'!$C68)/12)*(Term-'KB_BTL Opt Roll Defer Top Slice'!B68)*'Product Data'!$P$18)</f>
        <v>#N/A</v>
      </c>
      <c r="F68" s="1927">
        <f t="shared" si="4"/>
        <v>0</v>
      </c>
      <c r="G68" s="1928">
        <v>1.5599999999999999E-2</v>
      </c>
      <c r="H68" s="1931" t="e">
        <f>($G$9*Term)/((($F$8-BBR+'Product Data'!$K$3-'KB_BTL Opt Roll Defer Top Slice'!$G68)/12)*(Term-'KB_BTL Opt Roll Defer Top Slice'!F68)*'Product Data'!$P$18)</f>
        <v>#N/A</v>
      </c>
      <c r="J68" s="1927">
        <f t="shared" si="5"/>
        <v>0</v>
      </c>
      <c r="K68" s="1928">
        <v>1.5599999999999999E-2</v>
      </c>
      <c r="L68" s="1931" t="e">
        <f>($K$9*Term)/((($J$8-BBR+'Product Data'!$K$2-'KB_BTL Opt Roll Defer Top Slice'!$K68)/12)*(Term-'KB_BTL Opt Roll Defer Top Slice'!J68)*'Product Data'!$P$18)</f>
        <v>#N/A</v>
      </c>
    </row>
    <row r="69" spans="2:12" x14ac:dyDescent="0.25">
      <c r="B69" s="1927">
        <f t="shared" si="3"/>
        <v>0</v>
      </c>
      <c r="C69" s="1928">
        <v>1.55E-2</v>
      </c>
      <c r="D69" s="1931" t="e">
        <f>($C$9*Term)/((($B$8-BBR+'Product Data'!$K$3-'KB_BTL Opt Roll Defer Top Slice'!$C69)/12)*(Term-'KB_BTL Opt Roll Defer Top Slice'!B69)*'Product Data'!$P$18)</f>
        <v>#N/A</v>
      </c>
      <c r="F69" s="1927">
        <f t="shared" si="4"/>
        <v>0</v>
      </c>
      <c r="G69" s="1928">
        <v>1.55E-2</v>
      </c>
      <c r="H69" s="1931" t="e">
        <f>($G$9*Term)/((($F$8-BBR+'Product Data'!$K$3-'KB_BTL Opt Roll Defer Top Slice'!$G69)/12)*(Term-'KB_BTL Opt Roll Defer Top Slice'!F69)*'Product Data'!$P$18)</f>
        <v>#N/A</v>
      </c>
      <c r="J69" s="1927">
        <f t="shared" si="5"/>
        <v>0</v>
      </c>
      <c r="K69" s="1928">
        <v>1.55E-2</v>
      </c>
      <c r="L69" s="1931" t="e">
        <f>($K$9*Term)/((($J$8-BBR+'Product Data'!$K$2-'KB_BTL Opt Roll Defer Top Slice'!$K69)/12)*(Term-'KB_BTL Opt Roll Defer Top Slice'!J69)*'Product Data'!$P$18)</f>
        <v>#N/A</v>
      </c>
    </row>
    <row r="70" spans="2:12" x14ac:dyDescent="0.25">
      <c r="B70" s="1927">
        <f t="shared" si="3"/>
        <v>0</v>
      </c>
      <c r="C70" s="1928">
        <v>1.54E-2</v>
      </c>
      <c r="D70" s="1931" t="e">
        <f>($C$9*Term)/((($B$8-BBR+'Product Data'!$K$3-'KB_BTL Opt Roll Defer Top Slice'!$C70)/12)*(Term-'KB_BTL Opt Roll Defer Top Slice'!B70)*'Product Data'!$P$18)</f>
        <v>#N/A</v>
      </c>
      <c r="F70" s="1927">
        <f t="shared" si="4"/>
        <v>0</v>
      </c>
      <c r="G70" s="1928">
        <v>1.54E-2</v>
      </c>
      <c r="H70" s="1931" t="e">
        <f>($G$9*Term)/((($F$8-BBR+'Product Data'!$K$3-'KB_BTL Opt Roll Defer Top Slice'!$G70)/12)*(Term-'KB_BTL Opt Roll Defer Top Slice'!F70)*'Product Data'!$P$18)</f>
        <v>#N/A</v>
      </c>
      <c r="J70" s="1927">
        <f t="shared" si="5"/>
        <v>0</v>
      </c>
      <c r="K70" s="1928">
        <v>1.54E-2</v>
      </c>
      <c r="L70" s="1931" t="e">
        <f>($K$9*Term)/((($J$8-BBR+'Product Data'!$K$2-'KB_BTL Opt Roll Defer Top Slice'!$K70)/12)*(Term-'KB_BTL Opt Roll Defer Top Slice'!J70)*'Product Data'!$P$18)</f>
        <v>#N/A</v>
      </c>
    </row>
    <row r="71" spans="2:12" x14ac:dyDescent="0.25">
      <c r="B71" s="1927">
        <f t="shared" si="3"/>
        <v>0</v>
      </c>
      <c r="C71" s="1928">
        <v>1.5299999999999999E-2</v>
      </c>
      <c r="D71" s="1931" t="e">
        <f>($C$9*Term)/((($B$8-BBR+'Product Data'!$K$3-'KB_BTL Opt Roll Defer Top Slice'!$C71)/12)*(Term-'KB_BTL Opt Roll Defer Top Slice'!B71)*'Product Data'!$P$18)</f>
        <v>#N/A</v>
      </c>
      <c r="F71" s="1927">
        <f t="shared" si="4"/>
        <v>0</v>
      </c>
      <c r="G71" s="1928">
        <v>1.5299999999999999E-2</v>
      </c>
      <c r="H71" s="1931" t="e">
        <f>($G$9*Term)/((($F$8-BBR+'Product Data'!$K$3-'KB_BTL Opt Roll Defer Top Slice'!$G71)/12)*(Term-'KB_BTL Opt Roll Defer Top Slice'!F71)*'Product Data'!$P$18)</f>
        <v>#N/A</v>
      </c>
      <c r="J71" s="1927">
        <f t="shared" si="5"/>
        <v>0</v>
      </c>
      <c r="K71" s="1928">
        <v>1.5299999999999999E-2</v>
      </c>
      <c r="L71" s="1931" t="e">
        <f>($K$9*Term)/((($J$8-BBR+'Product Data'!$K$2-'KB_BTL Opt Roll Defer Top Slice'!$K71)/12)*(Term-'KB_BTL Opt Roll Defer Top Slice'!J71)*'Product Data'!$P$18)</f>
        <v>#N/A</v>
      </c>
    </row>
    <row r="72" spans="2:12" x14ac:dyDescent="0.25">
      <c r="B72" s="1927">
        <f t="shared" si="3"/>
        <v>0</v>
      </c>
      <c r="C72" s="1928">
        <v>1.52E-2</v>
      </c>
      <c r="D72" s="1931" t="e">
        <f>($C$9*Term)/((($B$8-BBR+'Product Data'!$K$3-'KB_BTL Opt Roll Defer Top Slice'!$C72)/12)*(Term-'KB_BTL Opt Roll Defer Top Slice'!B72)*'Product Data'!$P$18)</f>
        <v>#N/A</v>
      </c>
      <c r="F72" s="1927">
        <f t="shared" si="4"/>
        <v>0</v>
      </c>
      <c r="G72" s="1928">
        <v>1.52E-2</v>
      </c>
      <c r="H72" s="1931" t="e">
        <f>($G$9*Term)/((($F$8-BBR+'Product Data'!$K$3-'KB_BTL Opt Roll Defer Top Slice'!$G72)/12)*(Term-'KB_BTL Opt Roll Defer Top Slice'!F72)*'Product Data'!$P$18)</f>
        <v>#N/A</v>
      </c>
      <c r="J72" s="1927">
        <f t="shared" si="5"/>
        <v>0</v>
      </c>
      <c r="K72" s="1928">
        <v>1.52E-2</v>
      </c>
      <c r="L72" s="1931" t="e">
        <f>($K$9*Term)/((($J$8-BBR+'Product Data'!$K$2-'KB_BTL Opt Roll Defer Top Slice'!$K72)/12)*(Term-'KB_BTL Opt Roll Defer Top Slice'!J72)*'Product Data'!$P$18)</f>
        <v>#N/A</v>
      </c>
    </row>
    <row r="73" spans="2:12" x14ac:dyDescent="0.25">
      <c r="B73" s="1927">
        <f t="shared" si="3"/>
        <v>0</v>
      </c>
      <c r="C73" s="1928">
        <v>1.5100000000000001E-2</v>
      </c>
      <c r="D73" s="1931" t="e">
        <f>($C$9*Term)/((($B$8-BBR+'Product Data'!$K$3-'KB_BTL Opt Roll Defer Top Slice'!$C73)/12)*(Term-'KB_BTL Opt Roll Defer Top Slice'!B73)*'Product Data'!$P$18)</f>
        <v>#N/A</v>
      </c>
      <c r="F73" s="1927">
        <f t="shared" si="4"/>
        <v>0</v>
      </c>
      <c r="G73" s="1928">
        <v>1.5100000000000001E-2</v>
      </c>
      <c r="H73" s="1931" t="e">
        <f>($G$9*Term)/((($F$8-BBR+'Product Data'!$K$3-'KB_BTL Opt Roll Defer Top Slice'!$G73)/12)*(Term-'KB_BTL Opt Roll Defer Top Slice'!F73)*'Product Data'!$P$18)</f>
        <v>#N/A</v>
      </c>
      <c r="J73" s="1927">
        <f t="shared" si="5"/>
        <v>0</v>
      </c>
      <c r="K73" s="1928">
        <v>1.5100000000000001E-2</v>
      </c>
      <c r="L73" s="1931" t="e">
        <f>($K$9*Term)/((($J$8-BBR+'Product Data'!$K$2-'KB_BTL Opt Roll Defer Top Slice'!$K73)/12)*(Term-'KB_BTL Opt Roll Defer Top Slice'!J73)*'Product Data'!$P$18)</f>
        <v>#N/A</v>
      </c>
    </row>
    <row r="74" spans="2:12" x14ac:dyDescent="0.25">
      <c r="B74" s="1927">
        <f t="shared" ref="B74:B105" si="6">B73</f>
        <v>0</v>
      </c>
      <c r="C74" s="1928">
        <v>1.4999999999999999E-2</v>
      </c>
      <c r="D74" s="1931" t="e">
        <f>($C$9*Term)/((($B$8-BBR+'Product Data'!$K$3-'KB_BTL Opt Roll Defer Top Slice'!$C74)/12)*(Term-'KB_BTL Opt Roll Defer Top Slice'!B74)*'Product Data'!$P$18)</f>
        <v>#N/A</v>
      </c>
      <c r="F74" s="1927">
        <f t="shared" si="4"/>
        <v>0</v>
      </c>
      <c r="G74" s="1928">
        <v>1.4999999999999999E-2</v>
      </c>
      <c r="H74" s="1931" t="e">
        <f>($G$9*Term)/((($F$8-BBR+'Product Data'!$K$3-'KB_BTL Opt Roll Defer Top Slice'!$G74)/12)*(Term-'KB_BTL Opt Roll Defer Top Slice'!F74)*'Product Data'!$P$18)</f>
        <v>#N/A</v>
      </c>
      <c r="J74" s="1927">
        <f t="shared" si="5"/>
        <v>0</v>
      </c>
      <c r="K74" s="1928">
        <v>1.4999999999999999E-2</v>
      </c>
      <c r="L74" s="1931" t="e">
        <f>($K$9*Term)/((($J$8-BBR+'Product Data'!$K$2-'KB_BTL Opt Roll Defer Top Slice'!$K74)/12)*(Term-'KB_BTL Opt Roll Defer Top Slice'!J74)*'Product Data'!$P$18)</f>
        <v>#N/A</v>
      </c>
    </row>
    <row r="75" spans="2:12" x14ac:dyDescent="0.25">
      <c r="B75" s="1927">
        <f t="shared" si="6"/>
        <v>0</v>
      </c>
      <c r="C75" s="1928">
        <v>1.49E-2</v>
      </c>
      <c r="D75" s="1931" t="e">
        <f>($C$9*Term)/((($B$8-BBR+'Product Data'!$K$3-'KB_BTL Opt Roll Defer Top Slice'!$C75)/12)*(Term-'KB_BTL Opt Roll Defer Top Slice'!B75)*'Product Data'!$P$18)</f>
        <v>#N/A</v>
      </c>
      <c r="F75" s="1927">
        <f t="shared" si="4"/>
        <v>0</v>
      </c>
      <c r="G75" s="1928">
        <v>1.49E-2</v>
      </c>
      <c r="H75" s="1931" t="e">
        <f>($G$9*Term)/((($F$8-BBR+'Product Data'!$K$3-'KB_BTL Opt Roll Defer Top Slice'!$G75)/12)*(Term-'KB_BTL Opt Roll Defer Top Slice'!F75)*'Product Data'!$P$18)</f>
        <v>#N/A</v>
      </c>
      <c r="J75" s="1927">
        <f t="shared" si="5"/>
        <v>0</v>
      </c>
      <c r="K75" s="1928">
        <v>1.49E-2</v>
      </c>
      <c r="L75" s="1931" t="e">
        <f>($K$9*Term)/((($J$8-BBR+'Product Data'!$K$2-'KB_BTL Opt Roll Defer Top Slice'!$K75)/12)*(Term-'KB_BTL Opt Roll Defer Top Slice'!J75)*'Product Data'!$P$18)</f>
        <v>#N/A</v>
      </c>
    </row>
    <row r="76" spans="2:12" x14ac:dyDescent="0.25">
      <c r="B76" s="1927">
        <f t="shared" si="6"/>
        <v>0</v>
      </c>
      <c r="C76" s="1928">
        <v>1.4800000000000001E-2</v>
      </c>
      <c r="D76" s="1931" t="e">
        <f>($C$9*Term)/((($B$8-BBR+'Product Data'!$K$3-'KB_BTL Opt Roll Defer Top Slice'!$C76)/12)*(Term-'KB_BTL Opt Roll Defer Top Slice'!B76)*'Product Data'!$P$18)</f>
        <v>#N/A</v>
      </c>
      <c r="F76" s="1927">
        <f t="shared" si="4"/>
        <v>0</v>
      </c>
      <c r="G76" s="1928">
        <v>1.4800000000000001E-2</v>
      </c>
      <c r="H76" s="1931" t="e">
        <f>($G$9*Term)/((($F$8-BBR+'Product Data'!$K$3-'KB_BTL Opt Roll Defer Top Slice'!$G76)/12)*(Term-'KB_BTL Opt Roll Defer Top Slice'!F76)*'Product Data'!$P$18)</f>
        <v>#N/A</v>
      </c>
      <c r="J76" s="1927">
        <f t="shared" si="5"/>
        <v>0</v>
      </c>
      <c r="K76" s="1928">
        <v>1.4800000000000001E-2</v>
      </c>
      <c r="L76" s="1931" t="e">
        <f>($K$9*Term)/((($J$8-BBR+'Product Data'!$K$2-'KB_BTL Opt Roll Defer Top Slice'!$K76)/12)*(Term-'KB_BTL Opt Roll Defer Top Slice'!J76)*'Product Data'!$P$18)</f>
        <v>#N/A</v>
      </c>
    </row>
    <row r="77" spans="2:12" x14ac:dyDescent="0.25">
      <c r="B77" s="1927">
        <f t="shared" si="6"/>
        <v>0</v>
      </c>
      <c r="C77" s="1928">
        <v>1.47E-2</v>
      </c>
      <c r="D77" s="1931" t="e">
        <f>($C$9*Term)/((($B$8-BBR+'Product Data'!$K$3-'KB_BTL Opt Roll Defer Top Slice'!$C77)/12)*(Term-'KB_BTL Opt Roll Defer Top Slice'!B77)*'Product Data'!$P$18)</f>
        <v>#N/A</v>
      </c>
      <c r="F77" s="1927">
        <f t="shared" si="4"/>
        <v>0</v>
      </c>
      <c r="G77" s="1928">
        <v>1.47E-2</v>
      </c>
      <c r="H77" s="1931" t="e">
        <f>($G$9*Term)/((($F$8-BBR+'Product Data'!$K$3-'KB_BTL Opt Roll Defer Top Slice'!$G77)/12)*(Term-'KB_BTL Opt Roll Defer Top Slice'!F77)*'Product Data'!$P$18)</f>
        <v>#N/A</v>
      </c>
      <c r="J77" s="1927">
        <f t="shared" si="5"/>
        <v>0</v>
      </c>
      <c r="K77" s="1928">
        <v>1.47E-2</v>
      </c>
      <c r="L77" s="1931" t="e">
        <f>($K$9*Term)/((($J$8-BBR+'Product Data'!$K$2-'KB_BTL Opt Roll Defer Top Slice'!$K77)/12)*(Term-'KB_BTL Opt Roll Defer Top Slice'!J77)*'Product Data'!$P$18)</f>
        <v>#N/A</v>
      </c>
    </row>
    <row r="78" spans="2:12" x14ac:dyDescent="0.25">
      <c r="B78" s="1927">
        <f t="shared" si="6"/>
        <v>0</v>
      </c>
      <c r="C78" s="1928">
        <v>1.46E-2</v>
      </c>
      <c r="D78" s="1931" t="e">
        <f>($C$9*Term)/((($B$8-BBR+'Product Data'!$K$3-'KB_BTL Opt Roll Defer Top Slice'!$C78)/12)*(Term-'KB_BTL Opt Roll Defer Top Slice'!B78)*'Product Data'!$P$18)</f>
        <v>#N/A</v>
      </c>
      <c r="F78" s="1927">
        <f t="shared" si="4"/>
        <v>0</v>
      </c>
      <c r="G78" s="1928">
        <v>1.46E-2</v>
      </c>
      <c r="H78" s="1931" t="e">
        <f>($G$9*Term)/((($F$8-BBR+'Product Data'!$K$3-'KB_BTL Opt Roll Defer Top Slice'!$G78)/12)*(Term-'KB_BTL Opt Roll Defer Top Slice'!F78)*'Product Data'!$P$18)</f>
        <v>#N/A</v>
      </c>
      <c r="J78" s="1927">
        <f t="shared" si="5"/>
        <v>0</v>
      </c>
      <c r="K78" s="1928">
        <v>1.46E-2</v>
      </c>
      <c r="L78" s="1931" t="e">
        <f>($K$9*Term)/((($J$8-BBR+'Product Data'!$K$2-'KB_BTL Opt Roll Defer Top Slice'!$K78)/12)*(Term-'KB_BTL Opt Roll Defer Top Slice'!J78)*'Product Data'!$P$18)</f>
        <v>#N/A</v>
      </c>
    </row>
    <row r="79" spans="2:12" x14ac:dyDescent="0.25">
      <c r="B79" s="1927">
        <f t="shared" si="6"/>
        <v>0</v>
      </c>
      <c r="C79" s="1928">
        <v>1.4500000000000001E-2</v>
      </c>
      <c r="D79" s="1931" t="e">
        <f>($C$9*Term)/((($B$8-BBR+'Product Data'!$K$3-'KB_BTL Opt Roll Defer Top Slice'!$C79)/12)*(Term-'KB_BTL Opt Roll Defer Top Slice'!B79)*'Product Data'!$P$18)</f>
        <v>#N/A</v>
      </c>
      <c r="F79" s="1927">
        <f t="shared" si="4"/>
        <v>0</v>
      </c>
      <c r="G79" s="1928">
        <v>1.4500000000000001E-2</v>
      </c>
      <c r="H79" s="1931" t="e">
        <f>($G$9*Term)/((($F$8-BBR+'Product Data'!$K$3-'KB_BTL Opt Roll Defer Top Slice'!$G79)/12)*(Term-'KB_BTL Opt Roll Defer Top Slice'!F79)*'Product Data'!$P$18)</f>
        <v>#N/A</v>
      </c>
      <c r="J79" s="1927">
        <f t="shared" si="5"/>
        <v>0</v>
      </c>
      <c r="K79" s="1928">
        <v>1.4500000000000001E-2</v>
      </c>
      <c r="L79" s="1931" t="e">
        <f>($K$9*Term)/((($J$8-BBR+'Product Data'!$K$2-'KB_BTL Opt Roll Defer Top Slice'!$K79)/12)*(Term-'KB_BTL Opt Roll Defer Top Slice'!J79)*'Product Data'!$P$18)</f>
        <v>#N/A</v>
      </c>
    </row>
    <row r="80" spans="2:12" x14ac:dyDescent="0.25">
      <c r="B80" s="1927">
        <f t="shared" si="6"/>
        <v>0</v>
      </c>
      <c r="C80" s="1928">
        <v>1.44E-2</v>
      </c>
      <c r="D80" s="1931" t="e">
        <f>($C$9*Term)/((($B$8-BBR+'Product Data'!$K$3-'KB_BTL Opt Roll Defer Top Slice'!$C80)/12)*(Term-'KB_BTL Opt Roll Defer Top Slice'!B80)*'Product Data'!$P$18)</f>
        <v>#N/A</v>
      </c>
      <c r="F80" s="1927">
        <f t="shared" si="4"/>
        <v>0</v>
      </c>
      <c r="G80" s="1928">
        <v>1.44E-2</v>
      </c>
      <c r="H80" s="1931" t="e">
        <f>($G$9*Term)/((($F$8-BBR+'Product Data'!$K$3-'KB_BTL Opt Roll Defer Top Slice'!$G80)/12)*(Term-'KB_BTL Opt Roll Defer Top Slice'!F80)*'Product Data'!$P$18)</f>
        <v>#N/A</v>
      </c>
      <c r="J80" s="1927">
        <f t="shared" si="5"/>
        <v>0</v>
      </c>
      <c r="K80" s="1928">
        <v>1.44E-2</v>
      </c>
      <c r="L80" s="1931" t="e">
        <f>($K$9*Term)/((($J$8-BBR+'Product Data'!$K$2-'KB_BTL Opt Roll Defer Top Slice'!$K80)/12)*(Term-'KB_BTL Opt Roll Defer Top Slice'!J80)*'Product Data'!$P$18)</f>
        <v>#N/A</v>
      </c>
    </row>
    <row r="81" spans="2:12" x14ac:dyDescent="0.25">
      <c r="B81" s="1927">
        <f t="shared" si="6"/>
        <v>0</v>
      </c>
      <c r="C81" s="1928">
        <v>1.43E-2</v>
      </c>
      <c r="D81" s="1931" t="e">
        <f>($C$9*Term)/((($B$8-BBR+'Product Data'!$K$3-'KB_BTL Opt Roll Defer Top Slice'!$C81)/12)*(Term-'KB_BTL Opt Roll Defer Top Slice'!B81)*'Product Data'!$P$18)</f>
        <v>#N/A</v>
      </c>
      <c r="F81" s="1927">
        <f t="shared" si="4"/>
        <v>0</v>
      </c>
      <c r="G81" s="1928">
        <v>1.43E-2</v>
      </c>
      <c r="H81" s="1931" t="e">
        <f>($G$9*Term)/((($F$8-BBR+'Product Data'!$K$3-'KB_BTL Opt Roll Defer Top Slice'!$G81)/12)*(Term-'KB_BTL Opt Roll Defer Top Slice'!F81)*'Product Data'!$P$18)</f>
        <v>#N/A</v>
      </c>
      <c r="J81" s="1927">
        <f t="shared" si="5"/>
        <v>0</v>
      </c>
      <c r="K81" s="1928">
        <v>1.43E-2</v>
      </c>
      <c r="L81" s="1931" t="e">
        <f>($K$9*Term)/((($J$8-BBR+'Product Data'!$K$2-'KB_BTL Opt Roll Defer Top Slice'!$K81)/12)*(Term-'KB_BTL Opt Roll Defer Top Slice'!J81)*'Product Data'!$P$18)</f>
        <v>#N/A</v>
      </c>
    </row>
    <row r="82" spans="2:12" x14ac:dyDescent="0.25">
      <c r="B82" s="1927">
        <f t="shared" si="6"/>
        <v>0</v>
      </c>
      <c r="C82" s="1928">
        <v>1.4200000000000001E-2</v>
      </c>
      <c r="D82" s="1931" t="e">
        <f>($C$9*Term)/((($B$8-BBR+'Product Data'!$K$3-'KB_BTL Opt Roll Defer Top Slice'!$C82)/12)*(Term-'KB_BTL Opt Roll Defer Top Slice'!B82)*'Product Data'!$P$18)</f>
        <v>#N/A</v>
      </c>
      <c r="F82" s="1927">
        <f t="shared" si="4"/>
        <v>0</v>
      </c>
      <c r="G82" s="1928">
        <v>1.4200000000000001E-2</v>
      </c>
      <c r="H82" s="1931" t="e">
        <f>($G$9*Term)/((($F$8-BBR+'Product Data'!$K$3-'KB_BTL Opt Roll Defer Top Slice'!$G82)/12)*(Term-'KB_BTL Opt Roll Defer Top Slice'!F82)*'Product Data'!$P$18)</f>
        <v>#N/A</v>
      </c>
      <c r="J82" s="1927">
        <f t="shared" si="5"/>
        <v>0</v>
      </c>
      <c r="K82" s="1928">
        <v>1.4200000000000001E-2</v>
      </c>
      <c r="L82" s="1931" t="e">
        <f>($K$9*Term)/((($J$8-BBR+'Product Data'!$K$2-'KB_BTL Opt Roll Defer Top Slice'!$K82)/12)*(Term-'KB_BTL Opt Roll Defer Top Slice'!J82)*'Product Data'!$P$18)</f>
        <v>#N/A</v>
      </c>
    </row>
    <row r="83" spans="2:12" x14ac:dyDescent="0.25">
      <c r="B83" s="1927">
        <f t="shared" si="6"/>
        <v>0</v>
      </c>
      <c r="C83" s="1928">
        <v>1.41E-2</v>
      </c>
      <c r="D83" s="1931" t="e">
        <f>($C$9*Term)/((($B$8-BBR+'Product Data'!$K$3-'KB_BTL Opt Roll Defer Top Slice'!$C83)/12)*(Term-'KB_BTL Opt Roll Defer Top Slice'!B83)*'Product Data'!$P$18)</f>
        <v>#N/A</v>
      </c>
      <c r="F83" s="1927">
        <f t="shared" si="4"/>
        <v>0</v>
      </c>
      <c r="G83" s="1928">
        <v>1.41E-2</v>
      </c>
      <c r="H83" s="1931" t="e">
        <f>($G$9*Term)/((($F$8-BBR+'Product Data'!$K$3-'KB_BTL Opt Roll Defer Top Slice'!$G83)/12)*(Term-'KB_BTL Opt Roll Defer Top Slice'!F83)*'Product Data'!$P$18)</f>
        <v>#N/A</v>
      </c>
      <c r="J83" s="1927">
        <f t="shared" si="5"/>
        <v>0</v>
      </c>
      <c r="K83" s="1928">
        <v>1.41E-2</v>
      </c>
      <c r="L83" s="1931" t="e">
        <f>($K$9*Term)/((($J$8-BBR+'Product Data'!$K$2-'KB_BTL Opt Roll Defer Top Slice'!$K83)/12)*(Term-'KB_BTL Opt Roll Defer Top Slice'!J83)*'Product Data'!$P$18)</f>
        <v>#N/A</v>
      </c>
    </row>
    <row r="84" spans="2:12" x14ac:dyDescent="0.25">
      <c r="B84" s="1927">
        <f t="shared" si="6"/>
        <v>0</v>
      </c>
      <c r="C84" s="1928">
        <v>1.4E-2</v>
      </c>
      <c r="D84" s="1931" t="e">
        <f>($C$9*Term)/((($B$8-BBR+'Product Data'!$K$3-'KB_BTL Opt Roll Defer Top Slice'!$C84)/12)*(Term-'KB_BTL Opt Roll Defer Top Slice'!B84)*'Product Data'!$P$18)</f>
        <v>#N/A</v>
      </c>
      <c r="F84" s="1927">
        <f t="shared" si="4"/>
        <v>0</v>
      </c>
      <c r="G84" s="1928">
        <v>1.4E-2</v>
      </c>
      <c r="H84" s="1931" t="e">
        <f>($G$9*Term)/((($F$8-BBR+'Product Data'!$K$3-'KB_BTL Opt Roll Defer Top Slice'!$G84)/12)*(Term-'KB_BTL Opt Roll Defer Top Slice'!F84)*'Product Data'!$P$18)</f>
        <v>#N/A</v>
      </c>
      <c r="J84" s="1927">
        <f t="shared" si="5"/>
        <v>0</v>
      </c>
      <c r="K84" s="1928">
        <v>1.4E-2</v>
      </c>
      <c r="L84" s="1931" t="e">
        <f>($K$9*Term)/((($J$8-BBR+'Product Data'!$K$2-'KB_BTL Opt Roll Defer Top Slice'!$K84)/12)*(Term-'KB_BTL Opt Roll Defer Top Slice'!J84)*'Product Data'!$P$18)</f>
        <v>#N/A</v>
      </c>
    </row>
    <row r="85" spans="2:12" x14ac:dyDescent="0.25">
      <c r="B85" s="1927">
        <f t="shared" si="6"/>
        <v>0</v>
      </c>
      <c r="C85" s="1928">
        <v>1.3899999999999999E-2</v>
      </c>
      <c r="D85" s="1931" t="e">
        <f>($C$9*Term)/((($B$8-BBR+'Product Data'!$K$3-'KB_BTL Opt Roll Defer Top Slice'!$C85)/12)*(Term-'KB_BTL Opt Roll Defer Top Slice'!B85)*'Product Data'!$P$18)</f>
        <v>#N/A</v>
      </c>
      <c r="F85" s="1927">
        <f t="shared" si="4"/>
        <v>0</v>
      </c>
      <c r="G85" s="1928">
        <v>1.3899999999999999E-2</v>
      </c>
      <c r="H85" s="1931" t="e">
        <f>($G$9*Term)/((($F$8-BBR+'Product Data'!$K$3-'KB_BTL Opt Roll Defer Top Slice'!$G85)/12)*(Term-'KB_BTL Opt Roll Defer Top Slice'!F85)*'Product Data'!$P$18)</f>
        <v>#N/A</v>
      </c>
      <c r="J85" s="1927">
        <f t="shared" si="5"/>
        <v>0</v>
      </c>
      <c r="K85" s="1928">
        <v>1.3899999999999999E-2</v>
      </c>
      <c r="L85" s="1931" t="e">
        <f>($K$9*Term)/((($J$8-BBR+'Product Data'!$K$2-'KB_BTL Opt Roll Defer Top Slice'!$K85)/12)*(Term-'KB_BTL Opt Roll Defer Top Slice'!J85)*'Product Data'!$P$18)</f>
        <v>#N/A</v>
      </c>
    </row>
    <row r="86" spans="2:12" x14ac:dyDescent="0.25">
      <c r="B86" s="1927">
        <f t="shared" si="6"/>
        <v>0</v>
      </c>
      <c r="C86" s="1928">
        <v>1.38E-2</v>
      </c>
      <c r="D86" s="1931" t="e">
        <f>($C$9*Term)/((($B$8-BBR+'Product Data'!$K$3-'KB_BTL Opt Roll Defer Top Slice'!$C86)/12)*(Term-'KB_BTL Opt Roll Defer Top Slice'!B86)*'Product Data'!$P$18)</f>
        <v>#N/A</v>
      </c>
      <c r="F86" s="1927">
        <f t="shared" si="4"/>
        <v>0</v>
      </c>
      <c r="G86" s="1928">
        <v>1.38E-2</v>
      </c>
      <c r="H86" s="1931" t="e">
        <f>($G$9*Term)/((($F$8-BBR+'Product Data'!$K$3-'KB_BTL Opt Roll Defer Top Slice'!$G86)/12)*(Term-'KB_BTL Opt Roll Defer Top Slice'!F86)*'Product Data'!$P$18)</f>
        <v>#N/A</v>
      </c>
      <c r="J86" s="1927">
        <f t="shared" si="5"/>
        <v>0</v>
      </c>
      <c r="K86" s="1928">
        <v>1.38E-2</v>
      </c>
      <c r="L86" s="1931" t="e">
        <f>($K$9*Term)/((($J$8-BBR+'Product Data'!$K$2-'KB_BTL Opt Roll Defer Top Slice'!$K86)/12)*(Term-'KB_BTL Opt Roll Defer Top Slice'!J86)*'Product Data'!$P$18)</f>
        <v>#N/A</v>
      </c>
    </row>
    <row r="87" spans="2:12" x14ac:dyDescent="0.25">
      <c r="B87" s="1927">
        <f t="shared" si="6"/>
        <v>0</v>
      </c>
      <c r="C87" s="1928">
        <v>1.37E-2</v>
      </c>
      <c r="D87" s="1931" t="e">
        <f>($C$9*Term)/((($B$8-BBR+'Product Data'!$K$3-'KB_BTL Opt Roll Defer Top Slice'!$C87)/12)*(Term-'KB_BTL Opt Roll Defer Top Slice'!B87)*'Product Data'!$P$18)</f>
        <v>#N/A</v>
      </c>
      <c r="F87" s="1927">
        <f t="shared" si="4"/>
        <v>0</v>
      </c>
      <c r="G87" s="1928">
        <v>1.37E-2</v>
      </c>
      <c r="H87" s="1931" t="e">
        <f>($G$9*Term)/((($F$8-BBR+'Product Data'!$K$3-'KB_BTL Opt Roll Defer Top Slice'!$G87)/12)*(Term-'KB_BTL Opt Roll Defer Top Slice'!F87)*'Product Data'!$P$18)</f>
        <v>#N/A</v>
      </c>
      <c r="J87" s="1927">
        <f t="shared" si="5"/>
        <v>0</v>
      </c>
      <c r="K87" s="1928">
        <v>1.37E-2</v>
      </c>
      <c r="L87" s="1931" t="e">
        <f>($K$9*Term)/((($J$8-BBR+'Product Data'!$K$2-'KB_BTL Opt Roll Defer Top Slice'!$K87)/12)*(Term-'KB_BTL Opt Roll Defer Top Slice'!J87)*'Product Data'!$P$18)</f>
        <v>#N/A</v>
      </c>
    </row>
    <row r="88" spans="2:12" x14ac:dyDescent="0.25">
      <c r="B88" s="1927">
        <f t="shared" si="6"/>
        <v>0</v>
      </c>
      <c r="C88" s="1928">
        <v>1.3599999999999999E-2</v>
      </c>
      <c r="D88" s="1931" t="e">
        <f>($C$9*Term)/((($B$8-BBR+'Product Data'!$K$3-'KB_BTL Opt Roll Defer Top Slice'!$C88)/12)*(Term-'KB_BTL Opt Roll Defer Top Slice'!B88)*'Product Data'!$P$18)</f>
        <v>#N/A</v>
      </c>
      <c r="F88" s="1927">
        <f t="shared" si="4"/>
        <v>0</v>
      </c>
      <c r="G88" s="1928">
        <v>1.3599999999999999E-2</v>
      </c>
      <c r="H88" s="1931" t="e">
        <f>($G$9*Term)/((($F$8-BBR+'Product Data'!$K$3-'KB_BTL Opt Roll Defer Top Slice'!$G88)/12)*(Term-'KB_BTL Opt Roll Defer Top Slice'!F88)*'Product Data'!$P$18)</f>
        <v>#N/A</v>
      </c>
      <c r="J88" s="1927">
        <f t="shared" si="5"/>
        <v>0</v>
      </c>
      <c r="K88" s="1928">
        <v>1.3599999999999999E-2</v>
      </c>
      <c r="L88" s="1931" t="e">
        <f>($K$9*Term)/((($J$8-BBR+'Product Data'!$K$2-'KB_BTL Opt Roll Defer Top Slice'!$K88)/12)*(Term-'KB_BTL Opt Roll Defer Top Slice'!J88)*'Product Data'!$P$18)</f>
        <v>#N/A</v>
      </c>
    </row>
    <row r="89" spans="2:12" x14ac:dyDescent="0.25">
      <c r="B89" s="1927">
        <f t="shared" si="6"/>
        <v>0</v>
      </c>
      <c r="C89" s="1928">
        <v>1.35E-2</v>
      </c>
      <c r="D89" s="1931" t="e">
        <f>($C$9*Term)/((($B$8-BBR+'Product Data'!$K$3-'KB_BTL Opt Roll Defer Top Slice'!$C89)/12)*(Term-'KB_BTL Opt Roll Defer Top Slice'!B89)*'Product Data'!$P$18)</f>
        <v>#N/A</v>
      </c>
      <c r="F89" s="1927">
        <f t="shared" si="4"/>
        <v>0</v>
      </c>
      <c r="G89" s="1928">
        <v>1.35E-2</v>
      </c>
      <c r="H89" s="1931" t="e">
        <f>($G$9*Term)/((($F$8-BBR+'Product Data'!$K$3-'KB_BTL Opt Roll Defer Top Slice'!$G89)/12)*(Term-'KB_BTL Opt Roll Defer Top Slice'!F89)*'Product Data'!$P$18)</f>
        <v>#N/A</v>
      </c>
      <c r="J89" s="1927">
        <f t="shared" si="5"/>
        <v>0</v>
      </c>
      <c r="K89" s="1928">
        <v>1.35E-2</v>
      </c>
      <c r="L89" s="1931" t="e">
        <f>($K$9*Term)/((($J$8-BBR+'Product Data'!$K$2-'KB_BTL Opt Roll Defer Top Slice'!$K89)/12)*(Term-'KB_BTL Opt Roll Defer Top Slice'!J89)*'Product Data'!$P$18)</f>
        <v>#N/A</v>
      </c>
    </row>
    <row r="90" spans="2:12" x14ac:dyDescent="0.25">
      <c r="B90" s="1927">
        <f t="shared" si="6"/>
        <v>0</v>
      </c>
      <c r="C90" s="1928">
        <v>1.34E-2</v>
      </c>
      <c r="D90" s="1931" t="e">
        <f>($C$9*Term)/((($B$8-BBR+'Product Data'!$K$3-'KB_BTL Opt Roll Defer Top Slice'!$C90)/12)*(Term-'KB_BTL Opt Roll Defer Top Slice'!B90)*'Product Data'!$P$18)</f>
        <v>#N/A</v>
      </c>
      <c r="F90" s="1927">
        <f t="shared" ref="F90:F153" si="7">F89</f>
        <v>0</v>
      </c>
      <c r="G90" s="1928">
        <v>1.34E-2</v>
      </c>
      <c r="H90" s="1931" t="e">
        <f>($G$9*Term)/((($F$8-BBR+'Product Data'!$K$3-'KB_BTL Opt Roll Defer Top Slice'!$G90)/12)*(Term-'KB_BTL Opt Roll Defer Top Slice'!F90)*'Product Data'!$P$18)</f>
        <v>#N/A</v>
      </c>
      <c r="J90" s="1927">
        <f t="shared" ref="J90:J153" si="8">J89</f>
        <v>0</v>
      </c>
      <c r="K90" s="1928">
        <v>1.34E-2</v>
      </c>
      <c r="L90" s="1931" t="e">
        <f>($K$9*Term)/((($J$8-BBR+'Product Data'!$K$2-'KB_BTL Opt Roll Defer Top Slice'!$K90)/12)*(Term-'KB_BTL Opt Roll Defer Top Slice'!J90)*'Product Data'!$P$18)</f>
        <v>#N/A</v>
      </c>
    </row>
    <row r="91" spans="2:12" x14ac:dyDescent="0.25">
      <c r="B91" s="1927">
        <f t="shared" si="6"/>
        <v>0</v>
      </c>
      <c r="C91" s="1928">
        <v>1.3299999999999999E-2</v>
      </c>
      <c r="D91" s="1931" t="e">
        <f>($C$9*Term)/((($B$8-BBR+'Product Data'!$K$3-'KB_BTL Opt Roll Defer Top Slice'!$C91)/12)*(Term-'KB_BTL Opt Roll Defer Top Slice'!B91)*'Product Data'!$P$18)</f>
        <v>#N/A</v>
      </c>
      <c r="F91" s="1927">
        <f t="shared" si="7"/>
        <v>0</v>
      </c>
      <c r="G91" s="1928">
        <v>1.3299999999999999E-2</v>
      </c>
      <c r="H91" s="1931" t="e">
        <f>($G$9*Term)/((($F$8-BBR+'Product Data'!$K$3-'KB_BTL Opt Roll Defer Top Slice'!$G91)/12)*(Term-'KB_BTL Opt Roll Defer Top Slice'!F91)*'Product Data'!$P$18)</f>
        <v>#N/A</v>
      </c>
      <c r="J91" s="1927">
        <f t="shared" si="8"/>
        <v>0</v>
      </c>
      <c r="K91" s="1928">
        <v>1.3299999999999999E-2</v>
      </c>
      <c r="L91" s="1931" t="e">
        <f>($K$9*Term)/((($J$8-BBR+'Product Data'!$K$2-'KB_BTL Opt Roll Defer Top Slice'!$K91)/12)*(Term-'KB_BTL Opt Roll Defer Top Slice'!J91)*'Product Data'!$P$18)</f>
        <v>#N/A</v>
      </c>
    </row>
    <row r="92" spans="2:12" x14ac:dyDescent="0.25">
      <c r="B92" s="1927">
        <f t="shared" si="6"/>
        <v>0</v>
      </c>
      <c r="C92" s="1928">
        <v>1.32E-2</v>
      </c>
      <c r="D92" s="1931" t="e">
        <f>($C$9*Term)/((($B$8-BBR+'Product Data'!$K$3-'KB_BTL Opt Roll Defer Top Slice'!$C92)/12)*(Term-'KB_BTL Opt Roll Defer Top Slice'!B92)*'Product Data'!$P$18)</f>
        <v>#N/A</v>
      </c>
      <c r="F92" s="1927">
        <f t="shared" si="7"/>
        <v>0</v>
      </c>
      <c r="G92" s="1928">
        <v>1.32E-2</v>
      </c>
      <c r="H92" s="1931" t="e">
        <f>($G$9*Term)/((($F$8-BBR+'Product Data'!$K$3-'KB_BTL Opt Roll Defer Top Slice'!$G92)/12)*(Term-'KB_BTL Opt Roll Defer Top Slice'!F92)*'Product Data'!$P$18)</f>
        <v>#N/A</v>
      </c>
      <c r="J92" s="1927">
        <f t="shared" si="8"/>
        <v>0</v>
      </c>
      <c r="K92" s="1928">
        <v>1.32E-2</v>
      </c>
      <c r="L92" s="1931" t="e">
        <f>($K$9*Term)/((($J$8-BBR+'Product Data'!$K$2-'KB_BTL Opt Roll Defer Top Slice'!$K92)/12)*(Term-'KB_BTL Opt Roll Defer Top Slice'!J92)*'Product Data'!$P$18)</f>
        <v>#N/A</v>
      </c>
    </row>
    <row r="93" spans="2:12" x14ac:dyDescent="0.25">
      <c r="B93" s="1927">
        <f t="shared" si="6"/>
        <v>0</v>
      </c>
      <c r="C93" s="1928">
        <v>1.3100000000000001E-2</v>
      </c>
      <c r="D93" s="1931" t="e">
        <f>($C$9*Term)/((($B$8-BBR+'Product Data'!$K$3-'KB_BTL Opt Roll Defer Top Slice'!$C93)/12)*(Term-'KB_BTL Opt Roll Defer Top Slice'!B93)*'Product Data'!$P$18)</f>
        <v>#N/A</v>
      </c>
      <c r="F93" s="1927">
        <f t="shared" si="7"/>
        <v>0</v>
      </c>
      <c r="G93" s="1928">
        <v>1.3100000000000001E-2</v>
      </c>
      <c r="H93" s="1931" t="e">
        <f>($G$9*Term)/((($F$8-BBR+'Product Data'!$K$3-'KB_BTL Opt Roll Defer Top Slice'!$G93)/12)*(Term-'KB_BTL Opt Roll Defer Top Slice'!F93)*'Product Data'!$P$18)</f>
        <v>#N/A</v>
      </c>
      <c r="J93" s="1927">
        <f t="shared" si="8"/>
        <v>0</v>
      </c>
      <c r="K93" s="1928">
        <v>1.3100000000000001E-2</v>
      </c>
      <c r="L93" s="1931" t="e">
        <f>($K$9*Term)/((($J$8-BBR+'Product Data'!$K$2-'KB_BTL Opt Roll Defer Top Slice'!$K93)/12)*(Term-'KB_BTL Opt Roll Defer Top Slice'!J93)*'Product Data'!$P$18)</f>
        <v>#N/A</v>
      </c>
    </row>
    <row r="94" spans="2:12" x14ac:dyDescent="0.25">
      <c r="B94" s="1927">
        <f t="shared" si="6"/>
        <v>0</v>
      </c>
      <c r="C94" s="1928">
        <v>1.2999999999999999E-2</v>
      </c>
      <c r="D94" s="1931" t="e">
        <f>($C$9*Term)/((($B$8-BBR+'Product Data'!$K$3-'KB_BTL Opt Roll Defer Top Slice'!$C94)/12)*(Term-'KB_BTL Opt Roll Defer Top Slice'!B94)*'Product Data'!$P$18)</f>
        <v>#N/A</v>
      </c>
      <c r="F94" s="1927">
        <f t="shared" si="7"/>
        <v>0</v>
      </c>
      <c r="G94" s="1928">
        <v>1.2999999999999999E-2</v>
      </c>
      <c r="H94" s="1931" t="e">
        <f>($G$9*Term)/((($F$8-BBR+'Product Data'!$K$3-'KB_BTL Opt Roll Defer Top Slice'!$G94)/12)*(Term-'KB_BTL Opt Roll Defer Top Slice'!F94)*'Product Data'!$P$18)</f>
        <v>#N/A</v>
      </c>
      <c r="J94" s="1927">
        <f t="shared" si="8"/>
        <v>0</v>
      </c>
      <c r="K94" s="1928">
        <v>1.2999999999999999E-2</v>
      </c>
      <c r="L94" s="1931" t="e">
        <f>($K$9*Term)/((($J$8-BBR+'Product Data'!$K$2-'KB_BTL Opt Roll Defer Top Slice'!$K94)/12)*(Term-'KB_BTL Opt Roll Defer Top Slice'!J94)*'Product Data'!$P$18)</f>
        <v>#N/A</v>
      </c>
    </row>
    <row r="95" spans="2:12" x14ac:dyDescent="0.25">
      <c r="B95" s="1927">
        <f t="shared" si="6"/>
        <v>0</v>
      </c>
      <c r="C95" s="1928">
        <v>1.29E-2</v>
      </c>
      <c r="D95" s="1931" t="e">
        <f>($C$9*Term)/((($B$8-BBR+'Product Data'!$K$3-'KB_BTL Opt Roll Defer Top Slice'!$C95)/12)*(Term-'KB_BTL Opt Roll Defer Top Slice'!B95)*'Product Data'!$P$18)</f>
        <v>#N/A</v>
      </c>
      <c r="F95" s="1927">
        <f t="shared" si="7"/>
        <v>0</v>
      </c>
      <c r="G95" s="1928">
        <v>1.29E-2</v>
      </c>
      <c r="H95" s="1931" t="e">
        <f>($G$9*Term)/((($F$8-BBR+'Product Data'!$K$3-'KB_BTL Opt Roll Defer Top Slice'!$G95)/12)*(Term-'KB_BTL Opt Roll Defer Top Slice'!F95)*'Product Data'!$P$18)</f>
        <v>#N/A</v>
      </c>
      <c r="J95" s="1927">
        <f t="shared" si="8"/>
        <v>0</v>
      </c>
      <c r="K95" s="1928">
        <v>1.29E-2</v>
      </c>
      <c r="L95" s="1931" t="e">
        <f>($K$9*Term)/((($J$8-BBR+'Product Data'!$K$2-'KB_BTL Opt Roll Defer Top Slice'!$K95)/12)*(Term-'KB_BTL Opt Roll Defer Top Slice'!J95)*'Product Data'!$P$18)</f>
        <v>#N/A</v>
      </c>
    </row>
    <row r="96" spans="2:12" x14ac:dyDescent="0.25">
      <c r="B96" s="1927">
        <f t="shared" si="6"/>
        <v>0</v>
      </c>
      <c r="C96" s="1928">
        <v>1.2800000000000001E-2</v>
      </c>
      <c r="D96" s="1931" t="e">
        <f>($C$9*Term)/((($B$8-BBR+'Product Data'!$K$3-'KB_BTL Opt Roll Defer Top Slice'!$C96)/12)*(Term-'KB_BTL Opt Roll Defer Top Slice'!B96)*'Product Data'!$P$18)</f>
        <v>#N/A</v>
      </c>
      <c r="F96" s="1927">
        <f t="shared" si="7"/>
        <v>0</v>
      </c>
      <c r="G96" s="1928">
        <v>1.2800000000000001E-2</v>
      </c>
      <c r="H96" s="1931" t="e">
        <f>($G$9*Term)/((($F$8-BBR+'Product Data'!$K$3-'KB_BTL Opt Roll Defer Top Slice'!$G96)/12)*(Term-'KB_BTL Opt Roll Defer Top Slice'!F96)*'Product Data'!$P$18)</f>
        <v>#N/A</v>
      </c>
      <c r="J96" s="1927">
        <f t="shared" si="8"/>
        <v>0</v>
      </c>
      <c r="K96" s="1928">
        <v>1.2800000000000001E-2</v>
      </c>
      <c r="L96" s="1931" t="e">
        <f>($K$9*Term)/((($J$8-BBR+'Product Data'!$K$2-'KB_BTL Opt Roll Defer Top Slice'!$K96)/12)*(Term-'KB_BTL Opt Roll Defer Top Slice'!J96)*'Product Data'!$P$18)</f>
        <v>#N/A</v>
      </c>
    </row>
    <row r="97" spans="2:12" x14ac:dyDescent="0.25">
      <c r="B97" s="1927">
        <f t="shared" si="6"/>
        <v>0</v>
      </c>
      <c r="C97" s="1928">
        <v>1.2699999999999999E-2</v>
      </c>
      <c r="D97" s="1931" t="e">
        <f>($C$9*Term)/((($B$8-BBR+'Product Data'!$K$3-'KB_BTL Opt Roll Defer Top Slice'!$C97)/12)*(Term-'KB_BTL Opt Roll Defer Top Slice'!B97)*'Product Data'!$P$18)</f>
        <v>#N/A</v>
      </c>
      <c r="F97" s="1927">
        <f t="shared" si="7"/>
        <v>0</v>
      </c>
      <c r="G97" s="1928">
        <v>1.2699999999999999E-2</v>
      </c>
      <c r="H97" s="1931" t="e">
        <f>($G$9*Term)/((($F$8-BBR+'Product Data'!$K$3-'KB_BTL Opt Roll Defer Top Slice'!$G97)/12)*(Term-'KB_BTL Opt Roll Defer Top Slice'!F97)*'Product Data'!$P$18)</f>
        <v>#N/A</v>
      </c>
      <c r="J97" s="1927">
        <f t="shared" si="8"/>
        <v>0</v>
      </c>
      <c r="K97" s="1928">
        <v>1.2699999999999999E-2</v>
      </c>
      <c r="L97" s="1931" t="e">
        <f>($K$9*Term)/((($J$8-BBR+'Product Data'!$K$2-'KB_BTL Opt Roll Defer Top Slice'!$K97)/12)*(Term-'KB_BTL Opt Roll Defer Top Slice'!J97)*'Product Data'!$P$18)</f>
        <v>#N/A</v>
      </c>
    </row>
    <row r="98" spans="2:12" x14ac:dyDescent="0.25">
      <c r="B98" s="1927">
        <f t="shared" si="6"/>
        <v>0</v>
      </c>
      <c r="C98" s="1928">
        <v>1.26E-2</v>
      </c>
      <c r="D98" s="1931" t="e">
        <f>($C$9*Term)/((($B$8-BBR+'Product Data'!$K$3-'KB_BTL Opt Roll Defer Top Slice'!$C98)/12)*(Term-'KB_BTL Opt Roll Defer Top Slice'!B98)*'Product Data'!$P$18)</f>
        <v>#N/A</v>
      </c>
      <c r="F98" s="1927">
        <f t="shared" si="7"/>
        <v>0</v>
      </c>
      <c r="G98" s="1928">
        <v>1.26E-2</v>
      </c>
      <c r="H98" s="1931" t="e">
        <f>($G$9*Term)/((($F$8-BBR+'Product Data'!$K$3-'KB_BTL Opt Roll Defer Top Slice'!$G98)/12)*(Term-'KB_BTL Opt Roll Defer Top Slice'!F98)*'Product Data'!$P$18)</f>
        <v>#N/A</v>
      </c>
      <c r="J98" s="1927">
        <f t="shared" si="8"/>
        <v>0</v>
      </c>
      <c r="K98" s="1928">
        <v>1.26E-2</v>
      </c>
      <c r="L98" s="1931" t="e">
        <f>($K$9*Term)/((($J$8-BBR+'Product Data'!$K$2-'KB_BTL Opt Roll Defer Top Slice'!$K98)/12)*(Term-'KB_BTL Opt Roll Defer Top Slice'!J98)*'Product Data'!$P$18)</f>
        <v>#N/A</v>
      </c>
    </row>
    <row r="99" spans="2:12" x14ac:dyDescent="0.25">
      <c r="B99" s="1927">
        <f t="shared" si="6"/>
        <v>0</v>
      </c>
      <c r="C99" s="1928">
        <v>1.2500000000000001E-2</v>
      </c>
      <c r="D99" s="1931" t="e">
        <f>($C$9*Term)/((($B$8-BBR+'Product Data'!$K$3-'KB_BTL Opt Roll Defer Top Slice'!$C99)/12)*(Term-'KB_BTL Opt Roll Defer Top Slice'!B99)*'Product Data'!$P$18)</f>
        <v>#N/A</v>
      </c>
      <c r="F99" s="1927">
        <f t="shared" si="7"/>
        <v>0</v>
      </c>
      <c r="G99" s="1928">
        <v>1.2500000000000001E-2</v>
      </c>
      <c r="H99" s="1931" t="e">
        <f>($G$9*Term)/((($F$8-BBR+'Product Data'!$K$3-'KB_BTL Opt Roll Defer Top Slice'!$G99)/12)*(Term-'KB_BTL Opt Roll Defer Top Slice'!F99)*'Product Data'!$P$18)</f>
        <v>#N/A</v>
      </c>
      <c r="J99" s="1927">
        <f t="shared" si="8"/>
        <v>0</v>
      </c>
      <c r="K99" s="1928">
        <v>1.2500000000000001E-2</v>
      </c>
      <c r="L99" s="1931" t="e">
        <f>($K$9*Term)/((($J$8-BBR+'Product Data'!$K$2-'KB_BTL Opt Roll Defer Top Slice'!$K99)/12)*(Term-'KB_BTL Opt Roll Defer Top Slice'!J99)*'Product Data'!$P$18)</f>
        <v>#N/A</v>
      </c>
    </row>
    <row r="100" spans="2:12" x14ac:dyDescent="0.25">
      <c r="B100" s="1927">
        <f t="shared" si="6"/>
        <v>0</v>
      </c>
      <c r="C100" s="1928">
        <v>1.24E-2</v>
      </c>
      <c r="D100" s="1931" t="e">
        <f>($C$9*Term)/((($B$8-BBR+'Product Data'!$K$3-'KB_BTL Opt Roll Defer Top Slice'!$C100)/12)*(Term-'KB_BTL Opt Roll Defer Top Slice'!B100)*'Product Data'!$P$18)</f>
        <v>#N/A</v>
      </c>
      <c r="F100" s="1927">
        <f t="shared" si="7"/>
        <v>0</v>
      </c>
      <c r="G100" s="1928">
        <v>1.24E-2</v>
      </c>
      <c r="H100" s="1931" t="e">
        <f>($G$9*Term)/((($F$8-BBR+'Product Data'!$K$3-'KB_BTL Opt Roll Defer Top Slice'!$G100)/12)*(Term-'KB_BTL Opt Roll Defer Top Slice'!F100)*'Product Data'!$P$18)</f>
        <v>#N/A</v>
      </c>
      <c r="J100" s="1927">
        <f t="shared" si="8"/>
        <v>0</v>
      </c>
      <c r="K100" s="1928">
        <v>1.24E-2</v>
      </c>
      <c r="L100" s="1931" t="e">
        <f>($K$9*Term)/((($J$8-BBR+'Product Data'!$K$2-'KB_BTL Opt Roll Defer Top Slice'!$K100)/12)*(Term-'KB_BTL Opt Roll Defer Top Slice'!J100)*'Product Data'!$P$18)</f>
        <v>#N/A</v>
      </c>
    </row>
    <row r="101" spans="2:12" x14ac:dyDescent="0.25">
      <c r="B101" s="1927">
        <f t="shared" si="6"/>
        <v>0</v>
      </c>
      <c r="C101" s="1928">
        <v>1.2300000000000101E-2</v>
      </c>
      <c r="D101" s="1931" t="e">
        <f>($C$9*Term)/((($B$8-BBR+'Product Data'!$K$3-'KB_BTL Opt Roll Defer Top Slice'!$C101)/12)*(Term-'KB_BTL Opt Roll Defer Top Slice'!B101)*'Product Data'!$P$18)</f>
        <v>#N/A</v>
      </c>
      <c r="F101" s="1927">
        <f t="shared" si="7"/>
        <v>0</v>
      </c>
      <c r="G101" s="1928">
        <v>1.2300000000000101E-2</v>
      </c>
      <c r="H101" s="1931" t="e">
        <f>($G$9*Term)/((($F$8-BBR+'Product Data'!$K$3-'KB_BTL Opt Roll Defer Top Slice'!$G101)/12)*(Term-'KB_BTL Opt Roll Defer Top Slice'!F101)*'Product Data'!$P$18)</f>
        <v>#N/A</v>
      </c>
      <c r="J101" s="1927">
        <f t="shared" si="8"/>
        <v>0</v>
      </c>
      <c r="K101" s="1928">
        <v>1.2300000000000101E-2</v>
      </c>
      <c r="L101" s="1931" t="e">
        <f>($K$9*Term)/((($J$8-BBR+'Product Data'!$K$2-'KB_BTL Opt Roll Defer Top Slice'!$K101)/12)*(Term-'KB_BTL Opt Roll Defer Top Slice'!J101)*'Product Data'!$P$18)</f>
        <v>#N/A</v>
      </c>
    </row>
    <row r="102" spans="2:12" x14ac:dyDescent="0.25">
      <c r="B102" s="1927">
        <f t="shared" si="6"/>
        <v>0</v>
      </c>
      <c r="C102" s="1928">
        <v>1.22000000000001E-2</v>
      </c>
      <c r="D102" s="1931" t="e">
        <f>($C$9*Term)/((($B$8-BBR+'Product Data'!$K$3-'KB_BTL Opt Roll Defer Top Slice'!$C102)/12)*(Term-'KB_BTL Opt Roll Defer Top Slice'!B102)*'Product Data'!$P$18)</f>
        <v>#N/A</v>
      </c>
      <c r="F102" s="1927">
        <f t="shared" si="7"/>
        <v>0</v>
      </c>
      <c r="G102" s="1928">
        <v>1.22000000000001E-2</v>
      </c>
      <c r="H102" s="1931" t="e">
        <f>($G$9*Term)/((($F$8-BBR+'Product Data'!$K$3-'KB_BTL Opt Roll Defer Top Slice'!$G102)/12)*(Term-'KB_BTL Opt Roll Defer Top Slice'!F102)*'Product Data'!$P$18)</f>
        <v>#N/A</v>
      </c>
      <c r="J102" s="1927">
        <f t="shared" si="8"/>
        <v>0</v>
      </c>
      <c r="K102" s="1928">
        <v>1.22000000000001E-2</v>
      </c>
      <c r="L102" s="1931" t="e">
        <f>($K$9*Term)/((($J$8-BBR+'Product Data'!$K$2-'KB_BTL Opt Roll Defer Top Slice'!$K102)/12)*(Term-'KB_BTL Opt Roll Defer Top Slice'!J102)*'Product Data'!$P$18)</f>
        <v>#N/A</v>
      </c>
    </row>
    <row r="103" spans="2:12" x14ac:dyDescent="0.25">
      <c r="B103" s="1927">
        <f t="shared" si="6"/>
        <v>0</v>
      </c>
      <c r="C103" s="1928">
        <v>1.21E-2</v>
      </c>
      <c r="D103" s="1931" t="e">
        <f>($C$9*Term)/((($B$8-BBR+'Product Data'!$K$3-'KB_BTL Opt Roll Defer Top Slice'!$C103)/12)*(Term-'KB_BTL Opt Roll Defer Top Slice'!B103)*'Product Data'!$P$18)</f>
        <v>#N/A</v>
      </c>
      <c r="F103" s="1927">
        <f t="shared" si="7"/>
        <v>0</v>
      </c>
      <c r="G103" s="1928">
        <v>1.21E-2</v>
      </c>
      <c r="H103" s="1931" t="e">
        <f>($G$9*Term)/((($F$8-BBR+'Product Data'!$K$3-'KB_BTL Opt Roll Defer Top Slice'!$G103)/12)*(Term-'KB_BTL Opt Roll Defer Top Slice'!F103)*'Product Data'!$P$18)</f>
        <v>#N/A</v>
      </c>
      <c r="J103" s="1927">
        <f t="shared" si="8"/>
        <v>0</v>
      </c>
      <c r="K103" s="1928">
        <v>1.21E-2</v>
      </c>
      <c r="L103" s="1931" t="e">
        <f>($K$9*Term)/((($J$8-BBR+'Product Data'!$K$2-'KB_BTL Opt Roll Defer Top Slice'!$K103)/12)*(Term-'KB_BTL Opt Roll Defer Top Slice'!J103)*'Product Data'!$P$18)</f>
        <v>#N/A</v>
      </c>
    </row>
    <row r="104" spans="2:12" x14ac:dyDescent="0.25">
      <c r="B104" s="1927">
        <f t="shared" si="6"/>
        <v>0</v>
      </c>
      <c r="C104" s="1928">
        <v>1.2000000000000101E-2</v>
      </c>
      <c r="D104" s="1931" t="e">
        <f>($C$9*Term)/((($B$8-BBR+'Product Data'!$K$3-'KB_BTL Opt Roll Defer Top Slice'!$C104)/12)*(Term-'KB_BTL Opt Roll Defer Top Slice'!B104)*'Product Data'!$P$18)</f>
        <v>#N/A</v>
      </c>
      <c r="F104" s="1927">
        <f t="shared" si="7"/>
        <v>0</v>
      </c>
      <c r="G104" s="1928">
        <v>1.2000000000000101E-2</v>
      </c>
      <c r="H104" s="1931" t="e">
        <f>($G$9*Term)/((($F$8-BBR+'Product Data'!$K$3-'KB_BTL Opt Roll Defer Top Slice'!$G104)/12)*(Term-'KB_BTL Opt Roll Defer Top Slice'!F104)*'Product Data'!$P$18)</f>
        <v>#N/A</v>
      </c>
      <c r="J104" s="1927">
        <f t="shared" si="8"/>
        <v>0</v>
      </c>
      <c r="K104" s="1928">
        <v>1.2000000000000101E-2</v>
      </c>
      <c r="L104" s="1931" t="e">
        <f>($K$9*Term)/((($J$8-BBR+'Product Data'!$K$2-'KB_BTL Opt Roll Defer Top Slice'!$K104)/12)*(Term-'KB_BTL Opt Roll Defer Top Slice'!J104)*'Product Data'!$P$18)</f>
        <v>#N/A</v>
      </c>
    </row>
    <row r="105" spans="2:12" x14ac:dyDescent="0.25">
      <c r="B105" s="1927">
        <f t="shared" si="6"/>
        <v>0</v>
      </c>
      <c r="C105" s="1928">
        <v>1.19000000000001E-2</v>
      </c>
      <c r="D105" s="1931" t="e">
        <f>($C$9*Term)/((($B$8-BBR+'Product Data'!$K$3-'KB_BTL Opt Roll Defer Top Slice'!$C105)/12)*(Term-'KB_BTL Opt Roll Defer Top Slice'!B105)*'Product Data'!$P$18)</f>
        <v>#N/A</v>
      </c>
      <c r="F105" s="1927">
        <f t="shared" si="7"/>
        <v>0</v>
      </c>
      <c r="G105" s="1928">
        <v>1.19000000000001E-2</v>
      </c>
      <c r="H105" s="1931" t="e">
        <f>($G$9*Term)/((($F$8-BBR+'Product Data'!$K$3-'KB_BTL Opt Roll Defer Top Slice'!$G105)/12)*(Term-'KB_BTL Opt Roll Defer Top Slice'!F105)*'Product Data'!$P$18)</f>
        <v>#N/A</v>
      </c>
      <c r="J105" s="1927">
        <f t="shared" si="8"/>
        <v>0</v>
      </c>
      <c r="K105" s="1928">
        <v>1.19000000000001E-2</v>
      </c>
      <c r="L105" s="1931" t="e">
        <f>($K$9*Term)/((($J$8-BBR+'Product Data'!$K$2-'KB_BTL Opt Roll Defer Top Slice'!$K105)/12)*(Term-'KB_BTL Opt Roll Defer Top Slice'!J105)*'Product Data'!$P$18)</f>
        <v>#N/A</v>
      </c>
    </row>
    <row r="106" spans="2:12" x14ac:dyDescent="0.25">
      <c r="B106" s="1927">
        <f t="shared" ref="B106:B137" si="9">B105</f>
        <v>0</v>
      </c>
      <c r="C106" s="1928">
        <v>1.18000000000001E-2</v>
      </c>
      <c r="D106" s="1931" t="e">
        <f>($C$9*Term)/((($B$8-BBR+'Product Data'!$K$3-'KB_BTL Opt Roll Defer Top Slice'!$C106)/12)*(Term-'KB_BTL Opt Roll Defer Top Slice'!B106)*'Product Data'!$P$18)</f>
        <v>#N/A</v>
      </c>
      <c r="F106" s="1927">
        <f t="shared" si="7"/>
        <v>0</v>
      </c>
      <c r="G106" s="1928">
        <v>1.18000000000001E-2</v>
      </c>
      <c r="H106" s="1931" t="e">
        <f>($G$9*Term)/((($F$8-BBR+'Product Data'!$K$3-'KB_BTL Opt Roll Defer Top Slice'!$G106)/12)*(Term-'KB_BTL Opt Roll Defer Top Slice'!F106)*'Product Data'!$P$18)</f>
        <v>#N/A</v>
      </c>
      <c r="J106" s="1927">
        <f t="shared" si="8"/>
        <v>0</v>
      </c>
      <c r="K106" s="1928">
        <v>1.18000000000001E-2</v>
      </c>
      <c r="L106" s="1931" t="e">
        <f>($K$9*Term)/((($J$8-BBR+'Product Data'!$K$2-'KB_BTL Opt Roll Defer Top Slice'!$K106)/12)*(Term-'KB_BTL Opt Roll Defer Top Slice'!J106)*'Product Data'!$P$18)</f>
        <v>#N/A</v>
      </c>
    </row>
    <row r="107" spans="2:12" x14ac:dyDescent="0.25">
      <c r="B107" s="1927">
        <f t="shared" si="9"/>
        <v>0</v>
      </c>
      <c r="C107" s="1928">
        <v>1.1700000000000099E-2</v>
      </c>
      <c r="D107" s="1931" t="e">
        <f>($C$9*Term)/((($B$8-BBR+'Product Data'!$K$3-'KB_BTL Opt Roll Defer Top Slice'!$C107)/12)*(Term-'KB_BTL Opt Roll Defer Top Slice'!B107)*'Product Data'!$P$18)</f>
        <v>#N/A</v>
      </c>
      <c r="F107" s="1927">
        <f t="shared" si="7"/>
        <v>0</v>
      </c>
      <c r="G107" s="1928">
        <v>1.1700000000000099E-2</v>
      </c>
      <c r="H107" s="1931" t="e">
        <f>($G$9*Term)/((($F$8-BBR+'Product Data'!$K$3-'KB_BTL Opt Roll Defer Top Slice'!$G107)/12)*(Term-'KB_BTL Opt Roll Defer Top Slice'!F107)*'Product Data'!$P$18)</f>
        <v>#N/A</v>
      </c>
      <c r="J107" s="1927">
        <f t="shared" si="8"/>
        <v>0</v>
      </c>
      <c r="K107" s="1928">
        <v>1.1700000000000099E-2</v>
      </c>
      <c r="L107" s="1931" t="e">
        <f>($K$9*Term)/((($J$8-BBR+'Product Data'!$K$2-'KB_BTL Opt Roll Defer Top Slice'!$K107)/12)*(Term-'KB_BTL Opt Roll Defer Top Slice'!J107)*'Product Data'!$P$18)</f>
        <v>#N/A</v>
      </c>
    </row>
    <row r="108" spans="2:12" x14ac:dyDescent="0.25">
      <c r="B108" s="1927">
        <f t="shared" si="9"/>
        <v>0</v>
      </c>
      <c r="C108" s="1928">
        <v>1.16000000000001E-2</v>
      </c>
      <c r="D108" s="1931" t="e">
        <f>($C$9*Term)/((($B$8-BBR+'Product Data'!$K$3-'KB_BTL Opt Roll Defer Top Slice'!$C108)/12)*(Term-'KB_BTL Opt Roll Defer Top Slice'!B108)*'Product Data'!$P$18)</f>
        <v>#N/A</v>
      </c>
      <c r="F108" s="1927">
        <f t="shared" si="7"/>
        <v>0</v>
      </c>
      <c r="G108" s="1928">
        <v>1.16000000000001E-2</v>
      </c>
      <c r="H108" s="1931" t="e">
        <f>($G$9*Term)/((($F$8-BBR+'Product Data'!$K$3-'KB_BTL Opt Roll Defer Top Slice'!$G108)/12)*(Term-'KB_BTL Opt Roll Defer Top Slice'!F108)*'Product Data'!$P$18)</f>
        <v>#N/A</v>
      </c>
      <c r="J108" s="1927">
        <f t="shared" si="8"/>
        <v>0</v>
      </c>
      <c r="K108" s="1928">
        <v>1.16000000000001E-2</v>
      </c>
      <c r="L108" s="1931" t="e">
        <f>($K$9*Term)/((($J$8-BBR+'Product Data'!$K$2-'KB_BTL Opt Roll Defer Top Slice'!$K108)/12)*(Term-'KB_BTL Opt Roll Defer Top Slice'!J108)*'Product Data'!$P$18)</f>
        <v>#N/A</v>
      </c>
    </row>
    <row r="109" spans="2:12" x14ac:dyDescent="0.25">
      <c r="B109" s="1927">
        <f t="shared" si="9"/>
        <v>0</v>
      </c>
      <c r="C109" s="1928">
        <v>1.15000000000001E-2</v>
      </c>
      <c r="D109" s="1931" t="e">
        <f>($C$9*Term)/((($B$8-BBR+'Product Data'!$K$3-'KB_BTL Opt Roll Defer Top Slice'!$C109)/12)*(Term-'KB_BTL Opt Roll Defer Top Slice'!B109)*'Product Data'!$P$18)</f>
        <v>#N/A</v>
      </c>
      <c r="F109" s="1927">
        <f t="shared" si="7"/>
        <v>0</v>
      </c>
      <c r="G109" s="1928">
        <v>1.15000000000001E-2</v>
      </c>
      <c r="H109" s="1931" t="e">
        <f>($G$9*Term)/((($F$8-BBR+'Product Data'!$K$3-'KB_BTL Opt Roll Defer Top Slice'!$G109)/12)*(Term-'KB_BTL Opt Roll Defer Top Slice'!F109)*'Product Data'!$P$18)</f>
        <v>#N/A</v>
      </c>
      <c r="J109" s="1927">
        <f t="shared" si="8"/>
        <v>0</v>
      </c>
      <c r="K109" s="1928">
        <v>1.15000000000001E-2</v>
      </c>
      <c r="L109" s="1931" t="e">
        <f>($K$9*Term)/((($J$8-BBR+'Product Data'!$K$2-'KB_BTL Opt Roll Defer Top Slice'!$K109)/12)*(Term-'KB_BTL Opt Roll Defer Top Slice'!J109)*'Product Data'!$P$18)</f>
        <v>#N/A</v>
      </c>
    </row>
    <row r="110" spans="2:12" x14ac:dyDescent="0.25">
      <c r="B110" s="1927">
        <f t="shared" si="9"/>
        <v>0</v>
      </c>
      <c r="C110" s="1928">
        <v>1.1400000000000099E-2</v>
      </c>
      <c r="D110" s="1931" t="e">
        <f>($C$9*Term)/((($B$8-BBR+'Product Data'!$K$3-'KB_BTL Opt Roll Defer Top Slice'!$C110)/12)*(Term-'KB_BTL Opt Roll Defer Top Slice'!B110)*'Product Data'!$P$18)</f>
        <v>#N/A</v>
      </c>
      <c r="F110" s="1927">
        <f t="shared" si="7"/>
        <v>0</v>
      </c>
      <c r="G110" s="1928">
        <v>1.1400000000000099E-2</v>
      </c>
      <c r="H110" s="1931" t="e">
        <f>($G$9*Term)/((($F$8-BBR+'Product Data'!$K$3-'KB_BTL Opt Roll Defer Top Slice'!$G110)/12)*(Term-'KB_BTL Opt Roll Defer Top Slice'!F110)*'Product Data'!$P$18)</f>
        <v>#N/A</v>
      </c>
      <c r="J110" s="1927">
        <f t="shared" si="8"/>
        <v>0</v>
      </c>
      <c r="K110" s="1928">
        <v>1.1400000000000099E-2</v>
      </c>
      <c r="L110" s="1931" t="e">
        <f>($K$9*Term)/((($J$8-BBR+'Product Data'!$K$2-'KB_BTL Opt Roll Defer Top Slice'!$K110)/12)*(Term-'KB_BTL Opt Roll Defer Top Slice'!J110)*'Product Data'!$P$18)</f>
        <v>#N/A</v>
      </c>
    </row>
    <row r="111" spans="2:12" x14ac:dyDescent="0.25">
      <c r="B111" s="1927">
        <f t="shared" si="9"/>
        <v>0</v>
      </c>
      <c r="C111" s="1928">
        <v>1.1299999999999999E-2</v>
      </c>
      <c r="D111" s="1931" t="e">
        <f>($C$9*Term)/((($B$8-BBR+'Product Data'!$K$3-'KB_BTL Opt Roll Defer Top Slice'!$C111)/12)*(Term-'KB_BTL Opt Roll Defer Top Slice'!B111)*'Product Data'!$P$18)</f>
        <v>#N/A</v>
      </c>
      <c r="F111" s="1927">
        <f t="shared" si="7"/>
        <v>0</v>
      </c>
      <c r="G111" s="1928">
        <v>1.1299999999999999E-2</v>
      </c>
      <c r="H111" s="1931" t="e">
        <f>($G$9*Term)/((($F$8-BBR+'Product Data'!$K$3-'KB_BTL Opt Roll Defer Top Slice'!$G111)/12)*(Term-'KB_BTL Opt Roll Defer Top Slice'!F111)*'Product Data'!$P$18)</f>
        <v>#N/A</v>
      </c>
      <c r="J111" s="1927">
        <f t="shared" si="8"/>
        <v>0</v>
      </c>
      <c r="K111" s="1928">
        <v>1.1299999999999999E-2</v>
      </c>
      <c r="L111" s="1931" t="e">
        <f>($K$9*Term)/((($J$8-BBR+'Product Data'!$K$2-'KB_BTL Opt Roll Defer Top Slice'!$K111)/12)*(Term-'KB_BTL Opt Roll Defer Top Slice'!J111)*'Product Data'!$P$18)</f>
        <v>#N/A</v>
      </c>
    </row>
    <row r="112" spans="2:12" x14ac:dyDescent="0.25">
      <c r="B112" s="1927">
        <f t="shared" si="9"/>
        <v>0</v>
      </c>
      <c r="C112" s="1928">
        <v>1.1200000000000101E-2</v>
      </c>
      <c r="D112" s="1931" t="e">
        <f>($C$9*Term)/((($B$8-BBR+'Product Data'!$K$3-'KB_BTL Opt Roll Defer Top Slice'!$C112)/12)*(Term-'KB_BTL Opt Roll Defer Top Slice'!B112)*'Product Data'!$P$18)</f>
        <v>#N/A</v>
      </c>
      <c r="F112" s="1927">
        <f t="shared" si="7"/>
        <v>0</v>
      </c>
      <c r="G112" s="1928">
        <v>1.1200000000000101E-2</v>
      </c>
      <c r="H112" s="1931" t="e">
        <f>($G$9*Term)/((($F$8-BBR+'Product Data'!$K$3-'KB_BTL Opt Roll Defer Top Slice'!$G112)/12)*(Term-'KB_BTL Opt Roll Defer Top Slice'!F112)*'Product Data'!$P$18)</f>
        <v>#N/A</v>
      </c>
      <c r="J112" s="1927">
        <f t="shared" si="8"/>
        <v>0</v>
      </c>
      <c r="K112" s="1928">
        <v>1.1200000000000101E-2</v>
      </c>
      <c r="L112" s="1931" t="e">
        <f>($K$9*Term)/((($J$8-BBR+'Product Data'!$K$2-'KB_BTL Opt Roll Defer Top Slice'!$K112)/12)*(Term-'KB_BTL Opt Roll Defer Top Slice'!J112)*'Product Data'!$P$18)</f>
        <v>#N/A</v>
      </c>
    </row>
    <row r="113" spans="2:12" x14ac:dyDescent="0.25">
      <c r="B113" s="1927">
        <f t="shared" si="9"/>
        <v>0</v>
      </c>
      <c r="C113" s="1928">
        <v>1.1100000000000099E-2</v>
      </c>
      <c r="D113" s="1931" t="e">
        <f>($C$9*Term)/((($B$8-BBR+'Product Data'!$K$3-'KB_BTL Opt Roll Defer Top Slice'!$C113)/12)*(Term-'KB_BTL Opt Roll Defer Top Slice'!B113)*'Product Data'!$P$18)</f>
        <v>#N/A</v>
      </c>
      <c r="F113" s="1927">
        <f t="shared" si="7"/>
        <v>0</v>
      </c>
      <c r="G113" s="1928">
        <v>1.1100000000000099E-2</v>
      </c>
      <c r="H113" s="1931" t="e">
        <f>($G$9*Term)/((($F$8-BBR+'Product Data'!$K$3-'KB_BTL Opt Roll Defer Top Slice'!$G113)/12)*(Term-'KB_BTL Opt Roll Defer Top Slice'!F113)*'Product Data'!$P$18)</f>
        <v>#N/A</v>
      </c>
      <c r="J113" s="1927">
        <f t="shared" si="8"/>
        <v>0</v>
      </c>
      <c r="K113" s="1928">
        <v>1.1100000000000099E-2</v>
      </c>
      <c r="L113" s="1931" t="e">
        <f>($K$9*Term)/((($J$8-BBR+'Product Data'!$K$2-'KB_BTL Opt Roll Defer Top Slice'!$K113)/12)*(Term-'KB_BTL Opt Roll Defer Top Slice'!J113)*'Product Data'!$P$18)</f>
        <v>#N/A</v>
      </c>
    </row>
    <row r="114" spans="2:12" x14ac:dyDescent="0.25">
      <c r="B114" s="1927">
        <f t="shared" si="9"/>
        <v>0</v>
      </c>
      <c r="C114" s="1928">
        <v>1.0999999999999999E-2</v>
      </c>
      <c r="D114" s="1931" t="e">
        <f>($C$9*Term)/((($B$8-BBR+'Product Data'!$K$3-'KB_BTL Opt Roll Defer Top Slice'!$C114)/12)*(Term-'KB_BTL Opt Roll Defer Top Slice'!B114)*'Product Data'!$P$18)</f>
        <v>#N/A</v>
      </c>
      <c r="F114" s="1927">
        <f t="shared" si="7"/>
        <v>0</v>
      </c>
      <c r="G114" s="1928">
        <v>1.0999999999999999E-2</v>
      </c>
      <c r="H114" s="1931" t="e">
        <f>($G$9*Term)/((($F$8-BBR+'Product Data'!$K$3-'KB_BTL Opt Roll Defer Top Slice'!$G114)/12)*(Term-'KB_BTL Opt Roll Defer Top Slice'!F114)*'Product Data'!$P$18)</f>
        <v>#N/A</v>
      </c>
      <c r="J114" s="1927">
        <f t="shared" si="8"/>
        <v>0</v>
      </c>
      <c r="K114" s="1928">
        <v>1.0999999999999999E-2</v>
      </c>
      <c r="L114" s="1931" t="e">
        <f>($K$9*Term)/((($J$8-BBR+'Product Data'!$K$2-'KB_BTL Opt Roll Defer Top Slice'!$K114)/12)*(Term-'KB_BTL Opt Roll Defer Top Slice'!J114)*'Product Data'!$P$18)</f>
        <v>#N/A</v>
      </c>
    </row>
    <row r="115" spans="2:12" x14ac:dyDescent="0.25">
      <c r="B115" s="1927">
        <f t="shared" si="9"/>
        <v>0</v>
      </c>
      <c r="C115" s="1928">
        <v>1.0900000000000101E-2</v>
      </c>
      <c r="D115" s="1931" t="e">
        <f>($C$9*Term)/((($B$8-BBR+'Product Data'!$K$3-'KB_BTL Opt Roll Defer Top Slice'!$C115)/12)*(Term-'KB_BTL Opt Roll Defer Top Slice'!B115)*'Product Data'!$P$18)</f>
        <v>#N/A</v>
      </c>
      <c r="F115" s="1927">
        <f t="shared" si="7"/>
        <v>0</v>
      </c>
      <c r="G115" s="1928">
        <v>1.0900000000000101E-2</v>
      </c>
      <c r="H115" s="1931" t="e">
        <f>($G$9*Term)/((($F$8-BBR+'Product Data'!$K$3-'KB_BTL Opt Roll Defer Top Slice'!$G115)/12)*(Term-'KB_BTL Opt Roll Defer Top Slice'!F115)*'Product Data'!$P$18)</f>
        <v>#N/A</v>
      </c>
      <c r="J115" s="1927">
        <f t="shared" si="8"/>
        <v>0</v>
      </c>
      <c r="K115" s="1928">
        <v>1.0900000000000101E-2</v>
      </c>
      <c r="L115" s="1931" t="e">
        <f>($K$9*Term)/((($J$8-BBR+'Product Data'!$K$2-'KB_BTL Opt Roll Defer Top Slice'!$K115)/12)*(Term-'KB_BTL Opt Roll Defer Top Slice'!J115)*'Product Data'!$P$18)</f>
        <v>#N/A</v>
      </c>
    </row>
    <row r="116" spans="2:12" x14ac:dyDescent="0.25">
      <c r="B116" s="1927">
        <f t="shared" si="9"/>
        <v>0</v>
      </c>
      <c r="C116" s="1928">
        <v>1.0800000000000099E-2</v>
      </c>
      <c r="D116" s="1931" t="e">
        <f>($C$9*Term)/((($B$8-BBR+'Product Data'!$K$3-'KB_BTL Opt Roll Defer Top Slice'!$C116)/12)*(Term-'KB_BTL Opt Roll Defer Top Slice'!B116)*'Product Data'!$P$18)</f>
        <v>#N/A</v>
      </c>
      <c r="F116" s="1927">
        <f t="shared" si="7"/>
        <v>0</v>
      </c>
      <c r="G116" s="1928">
        <v>1.0800000000000099E-2</v>
      </c>
      <c r="H116" s="1931" t="e">
        <f>($G$9*Term)/((($F$8-BBR+'Product Data'!$K$3-'KB_BTL Opt Roll Defer Top Slice'!$G116)/12)*(Term-'KB_BTL Opt Roll Defer Top Slice'!F116)*'Product Data'!$P$18)</f>
        <v>#N/A</v>
      </c>
      <c r="J116" s="1927">
        <f t="shared" si="8"/>
        <v>0</v>
      </c>
      <c r="K116" s="1928">
        <v>1.0800000000000099E-2</v>
      </c>
      <c r="L116" s="1931" t="e">
        <f>($K$9*Term)/((($J$8-BBR+'Product Data'!$K$2-'KB_BTL Opt Roll Defer Top Slice'!$K116)/12)*(Term-'KB_BTL Opt Roll Defer Top Slice'!J116)*'Product Data'!$P$18)</f>
        <v>#N/A</v>
      </c>
    </row>
    <row r="117" spans="2:12" x14ac:dyDescent="0.25">
      <c r="B117" s="1927">
        <f t="shared" si="9"/>
        <v>0</v>
      </c>
      <c r="C117" s="1928">
        <v>1.07000000000001E-2</v>
      </c>
      <c r="D117" s="1931" t="e">
        <f>($C$9*Term)/((($B$8-BBR+'Product Data'!$K$3-'KB_BTL Opt Roll Defer Top Slice'!$C117)/12)*(Term-'KB_BTL Opt Roll Defer Top Slice'!B117)*'Product Data'!$P$18)</f>
        <v>#N/A</v>
      </c>
      <c r="F117" s="1927">
        <f t="shared" si="7"/>
        <v>0</v>
      </c>
      <c r="G117" s="1928">
        <v>1.07000000000001E-2</v>
      </c>
      <c r="H117" s="1931" t="e">
        <f>($G$9*Term)/((($F$8-BBR+'Product Data'!$K$3-'KB_BTL Opt Roll Defer Top Slice'!$G117)/12)*(Term-'KB_BTL Opt Roll Defer Top Slice'!F117)*'Product Data'!$P$18)</f>
        <v>#N/A</v>
      </c>
      <c r="J117" s="1927">
        <f t="shared" si="8"/>
        <v>0</v>
      </c>
      <c r="K117" s="1928">
        <v>1.07000000000001E-2</v>
      </c>
      <c r="L117" s="1931" t="e">
        <f>($K$9*Term)/((($J$8-BBR+'Product Data'!$K$2-'KB_BTL Opt Roll Defer Top Slice'!$K117)/12)*(Term-'KB_BTL Opt Roll Defer Top Slice'!J117)*'Product Data'!$P$18)</f>
        <v>#N/A</v>
      </c>
    </row>
    <row r="118" spans="2:12" x14ac:dyDescent="0.25">
      <c r="B118" s="1927">
        <f t="shared" si="9"/>
        <v>0</v>
      </c>
      <c r="C118" s="1928">
        <v>1.0600000000000101E-2</v>
      </c>
      <c r="D118" s="1931" t="e">
        <f>($C$9*Term)/((($B$8-BBR+'Product Data'!$K$3-'KB_BTL Opt Roll Defer Top Slice'!$C118)/12)*(Term-'KB_BTL Opt Roll Defer Top Slice'!B118)*'Product Data'!$P$18)</f>
        <v>#N/A</v>
      </c>
      <c r="F118" s="1927">
        <f t="shared" si="7"/>
        <v>0</v>
      </c>
      <c r="G118" s="1928">
        <v>1.0600000000000101E-2</v>
      </c>
      <c r="H118" s="1931" t="e">
        <f>($G$9*Term)/((($F$8-BBR+'Product Data'!$K$3-'KB_BTL Opt Roll Defer Top Slice'!$G118)/12)*(Term-'KB_BTL Opt Roll Defer Top Slice'!F118)*'Product Data'!$P$18)</f>
        <v>#N/A</v>
      </c>
      <c r="J118" s="1927">
        <f t="shared" si="8"/>
        <v>0</v>
      </c>
      <c r="K118" s="1928">
        <v>1.0600000000000101E-2</v>
      </c>
      <c r="L118" s="1931" t="e">
        <f>($K$9*Term)/((($J$8-BBR+'Product Data'!$K$2-'KB_BTL Opt Roll Defer Top Slice'!$K118)/12)*(Term-'KB_BTL Opt Roll Defer Top Slice'!J118)*'Product Data'!$P$18)</f>
        <v>#N/A</v>
      </c>
    </row>
    <row r="119" spans="2:12" x14ac:dyDescent="0.25">
      <c r="B119" s="1927">
        <f t="shared" si="9"/>
        <v>0</v>
      </c>
      <c r="C119" s="1928">
        <v>1.05000000000001E-2</v>
      </c>
      <c r="D119" s="1931" t="e">
        <f>($C$9*Term)/((($B$8-BBR+'Product Data'!$K$3-'KB_BTL Opt Roll Defer Top Slice'!$C119)/12)*(Term-'KB_BTL Opt Roll Defer Top Slice'!B119)*'Product Data'!$P$18)</f>
        <v>#N/A</v>
      </c>
      <c r="F119" s="1927">
        <f t="shared" si="7"/>
        <v>0</v>
      </c>
      <c r="G119" s="1928">
        <v>1.05000000000001E-2</v>
      </c>
      <c r="H119" s="1931" t="e">
        <f>($G$9*Term)/((($F$8-BBR+'Product Data'!$K$3-'KB_BTL Opt Roll Defer Top Slice'!$G119)/12)*(Term-'KB_BTL Opt Roll Defer Top Slice'!F119)*'Product Data'!$P$18)</f>
        <v>#N/A</v>
      </c>
      <c r="J119" s="1927">
        <f t="shared" si="8"/>
        <v>0</v>
      </c>
      <c r="K119" s="1928">
        <v>1.05000000000001E-2</v>
      </c>
      <c r="L119" s="1931" t="e">
        <f>($K$9*Term)/((($J$8-BBR+'Product Data'!$K$2-'KB_BTL Opt Roll Defer Top Slice'!$K119)/12)*(Term-'KB_BTL Opt Roll Defer Top Slice'!J119)*'Product Data'!$P$18)</f>
        <v>#N/A</v>
      </c>
    </row>
    <row r="120" spans="2:12" x14ac:dyDescent="0.25">
      <c r="B120" s="1927">
        <f t="shared" si="9"/>
        <v>0</v>
      </c>
      <c r="C120" s="1928">
        <v>1.04000000000001E-2</v>
      </c>
      <c r="D120" s="1931" t="e">
        <f>($C$9*Term)/((($B$8-BBR+'Product Data'!$K$3-'KB_BTL Opt Roll Defer Top Slice'!$C120)/12)*(Term-'KB_BTL Opt Roll Defer Top Slice'!B120)*'Product Data'!$P$18)</f>
        <v>#N/A</v>
      </c>
      <c r="F120" s="1927">
        <f t="shared" si="7"/>
        <v>0</v>
      </c>
      <c r="G120" s="1928">
        <v>1.04000000000001E-2</v>
      </c>
      <c r="H120" s="1931" t="e">
        <f>($G$9*Term)/((($F$8-BBR+'Product Data'!$K$3-'KB_BTL Opt Roll Defer Top Slice'!$G120)/12)*(Term-'KB_BTL Opt Roll Defer Top Slice'!F120)*'Product Data'!$P$18)</f>
        <v>#N/A</v>
      </c>
      <c r="J120" s="1927">
        <f t="shared" si="8"/>
        <v>0</v>
      </c>
      <c r="K120" s="1928">
        <v>1.04000000000001E-2</v>
      </c>
      <c r="L120" s="1931" t="e">
        <f>($K$9*Term)/((($J$8-BBR+'Product Data'!$K$2-'KB_BTL Opt Roll Defer Top Slice'!$K120)/12)*(Term-'KB_BTL Opt Roll Defer Top Slice'!J120)*'Product Data'!$P$18)</f>
        <v>#N/A</v>
      </c>
    </row>
    <row r="121" spans="2:12" x14ac:dyDescent="0.25">
      <c r="B121" s="1927">
        <f t="shared" si="9"/>
        <v>0</v>
      </c>
      <c r="C121" s="1928">
        <v>1.0300000000000101E-2</v>
      </c>
      <c r="D121" s="1931" t="e">
        <f>($C$9*Term)/((($B$8-BBR+'Product Data'!$K$3-'KB_BTL Opt Roll Defer Top Slice'!$C121)/12)*(Term-'KB_BTL Opt Roll Defer Top Slice'!B121)*'Product Data'!$P$18)</f>
        <v>#N/A</v>
      </c>
      <c r="F121" s="1927">
        <f t="shared" si="7"/>
        <v>0</v>
      </c>
      <c r="G121" s="1928">
        <v>1.0300000000000101E-2</v>
      </c>
      <c r="H121" s="1931" t="e">
        <f>($G$9*Term)/((($F$8-BBR+'Product Data'!$K$3-'KB_BTL Opt Roll Defer Top Slice'!$G121)/12)*(Term-'KB_BTL Opt Roll Defer Top Slice'!F121)*'Product Data'!$P$18)</f>
        <v>#N/A</v>
      </c>
      <c r="J121" s="1927">
        <f t="shared" si="8"/>
        <v>0</v>
      </c>
      <c r="K121" s="1928">
        <v>1.0300000000000101E-2</v>
      </c>
      <c r="L121" s="1931" t="e">
        <f>($K$9*Term)/((($J$8-BBR+'Product Data'!$K$2-'KB_BTL Opt Roll Defer Top Slice'!$K121)/12)*(Term-'KB_BTL Opt Roll Defer Top Slice'!J121)*'Product Data'!$P$18)</f>
        <v>#N/A</v>
      </c>
    </row>
    <row r="122" spans="2:12" x14ac:dyDescent="0.25">
      <c r="B122" s="1927">
        <f t="shared" si="9"/>
        <v>0</v>
      </c>
      <c r="C122" s="1928">
        <v>1.02000000000001E-2</v>
      </c>
      <c r="D122" s="1931" t="e">
        <f>($C$9*Term)/((($B$8-BBR+'Product Data'!$K$3-'KB_BTL Opt Roll Defer Top Slice'!$C122)/12)*(Term-'KB_BTL Opt Roll Defer Top Slice'!B122)*'Product Data'!$P$18)</f>
        <v>#N/A</v>
      </c>
      <c r="F122" s="1927">
        <f t="shared" si="7"/>
        <v>0</v>
      </c>
      <c r="G122" s="1928">
        <v>1.02000000000001E-2</v>
      </c>
      <c r="H122" s="1931" t="e">
        <f>($G$9*Term)/((($F$8-BBR+'Product Data'!$K$3-'KB_BTL Opt Roll Defer Top Slice'!$G122)/12)*(Term-'KB_BTL Opt Roll Defer Top Slice'!F122)*'Product Data'!$P$18)</f>
        <v>#N/A</v>
      </c>
      <c r="J122" s="1927">
        <f t="shared" si="8"/>
        <v>0</v>
      </c>
      <c r="K122" s="1928">
        <v>1.02000000000001E-2</v>
      </c>
      <c r="L122" s="1931" t="e">
        <f>($K$9*Term)/((($J$8-BBR+'Product Data'!$K$2-'KB_BTL Opt Roll Defer Top Slice'!$K122)/12)*(Term-'KB_BTL Opt Roll Defer Top Slice'!J122)*'Product Data'!$P$18)</f>
        <v>#N/A</v>
      </c>
    </row>
    <row r="123" spans="2:12" x14ac:dyDescent="0.25">
      <c r="B123" s="1927">
        <f t="shared" si="9"/>
        <v>0</v>
      </c>
      <c r="C123" s="1928">
        <v>1.01000000000001E-2</v>
      </c>
      <c r="D123" s="1931" t="e">
        <f>($C$9*Term)/((($B$8-BBR+'Product Data'!$K$3-'KB_BTL Opt Roll Defer Top Slice'!$C123)/12)*(Term-'KB_BTL Opt Roll Defer Top Slice'!B123)*'Product Data'!$P$18)</f>
        <v>#N/A</v>
      </c>
      <c r="F123" s="1927">
        <f t="shared" si="7"/>
        <v>0</v>
      </c>
      <c r="G123" s="1928">
        <v>1.01000000000001E-2</v>
      </c>
      <c r="H123" s="1931" t="e">
        <f>($G$9*Term)/((($F$8-BBR+'Product Data'!$K$3-'KB_BTL Opt Roll Defer Top Slice'!$G123)/12)*(Term-'KB_BTL Opt Roll Defer Top Slice'!F123)*'Product Data'!$P$18)</f>
        <v>#N/A</v>
      </c>
      <c r="J123" s="1927">
        <f t="shared" si="8"/>
        <v>0</v>
      </c>
      <c r="K123" s="1928">
        <v>1.01000000000001E-2</v>
      </c>
      <c r="L123" s="1931" t="e">
        <f>($K$9*Term)/((($J$8-BBR+'Product Data'!$K$2-'KB_BTL Opt Roll Defer Top Slice'!$K123)/12)*(Term-'KB_BTL Opt Roll Defer Top Slice'!J123)*'Product Data'!$P$18)</f>
        <v>#N/A</v>
      </c>
    </row>
    <row r="124" spans="2:12" x14ac:dyDescent="0.25">
      <c r="B124" s="1927">
        <f t="shared" si="9"/>
        <v>0</v>
      </c>
      <c r="C124" s="1928">
        <v>1.0000000000000101E-2</v>
      </c>
      <c r="D124" s="1931" t="e">
        <f>($C$9*Term)/((($B$8-BBR+'Product Data'!$K$3-'KB_BTL Opt Roll Defer Top Slice'!$C124)/12)*(Term-'KB_BTL Opt Roll Defer Top Slice'!B124)*'Product Data'!$P$18)</f>
        <v>#N/A</v>
      </c>
      <c r="F124" s="1927">
        <f t="shared" si="7"/>
        <v>0</v>
      </c>
      <c r="G124" s="1928">
        <v>1.0000000000000101E-2</v>
      </c>
      <c r="H124" s="1931" t="e">
        <f>($G$9*Term)/((($F$8-BBR+'Product Data'!$K$3-'KB_BTL Opt Roll Defer Top Slice'!$G124)/12)*(Term-'KB_BTL Opt Roll Defer Top Slice'!F124)*'Product Data'!$P$18)</f>
        <v>#N/A</v>
      </c>
      <c r="J124" s="1927">
        <f t="shared" si="8"/>
        <v>0</v>
      </c>
      <c r="K124" s="1928">
        <v>1.0000000000000101E-2</v>
      </c>
      <c r="L124" s="1931" t="e">
        <f>($K$9*Term)/((($J$8-BBR+'Product Data'!$K$2-'KB_BTL Opt Roll Defer Top Slice'!$K124)/12)*(Term-'KB_BTL Opt Roll Defer Top Slice'!J124)*'Product Data'!$P$18)</f>
        <v>#N/A</v>
      </c>
    </row>
    <row r="125" spans="2:12" x14ac:dyDescent="0.25">
      <c r="B125" s="1927">
        <f t="shared" si="9"/>
        <v>0</v>
      </c>
      <c r="C125" s="1928">
        <v>9.9000000000000997E-3</v>
      </c>
      <c r="D125" s="1931" t="e">
        <f>($C$9*Term)/((($B$8-BBR+'Product Data'!$K$3-'KB_BTL Opt Roll Defer Top Slice'!$C125)/12)*(Term-'KB_BTL Opt Roll Defer Top Slice'!B125)*'Product Data'!$P$18)</f>
        <v>#N/A</v>
      </c>
      <c r="F125" s="1927">
        <f t="shared" si="7"/>
        <v>0</v>
      </c>
      <c r="G125" s="1928">
        <v>9.9000000000000997E-3</v>
      </c>
      <c r="H125" s="1931" t="e">
        <f>($G$9*Term)/((($F$8-BBR+'Product Data'!$K$3-'KB_BTL Opt Roll Defer Top Slice'!$G125)/12)*(Term-'KB_BTL Opt Roll Defer Top Slice'!F125)*'Product Data'!$P$18)</f>
        <v>#N/A</v>
      </c>
      <c r="J125" s="1927">
        <f t="shared" si="8"/>
        <v>0</v>
      </c>
      <c r="K125" s="1928">
        <v>9.9000000000000997E-3</v>
      </c>
      <c r="L125" s="1931" t="e">
        <f>($K$9*Term)/((($J$8-BBR+'Product Data'!$K$2-'KB_BTL Opt Roll Defer Top Slice'!$K125)/12)*(Term-'KB_BTL Opt Roll Defer Top Slice'!J125)*'Product Data'!$P$18)</f>
        <v>#N/A</v>
      </c>
    </row>
    <row r="126" spans="2:12" x14ac:dyDescent="0.25">
      <c r="B126" s="1927">
        <f t="shared" si="9"/>
        <v>0</v>
      </c>
      <c r="C126" s="1928">
        <v>9.8000000000001003E-3</v>
      </c>
      <c r="D126" s="1931" t="e">
        <f>($C$9*Term)/((($B$8-BBR+'Product Data'!$K$3-'KB_BTL Opt Roll Defer Top Slice'!$C126)/12)*(Term-'KB_BTL Opt Roll Defer Top Slice'!B126)*'Product Data'!$P$18)</f>
        <v>#N/A</v>
      </c>
      <c r="F126" s="1927">
        <f t="shared" si="7"/>
        <v>0</v>
      </c>
      <c r="G126" s="1928">
        <v>9.8000000000001003E-3</v>
      </c>
      <c r="H126" s="1931" t="e">
        <f>($G$9*Term)/((($F$8-BBR+'Product Data'!$K$3-'KB_BTL Opt Roll Defer Top Slice'!$G126)/12)*(Term-'KB_BTL Opt Roll Defer Top Slice'!F126)*'Product Data'!$P$18)</f>
        <v>#N/A</v>
      </c>
      <c r="J126" s="1927">
        <f t="shared" si="8"/>
        <v>0</v>
      </c>
      <c r="K126" s="1928">
        <v>9.8000000000001003E-3</v>
      </c>
      <c r="L126" s="1931" t="e">
        <f>($K$9*Term)/((($J$8-BBR+'Product Data'!$K$2-'KB_BTL Opt Roll Defer Top Slice'!$K126)/12)*(Term-'KB_BTL Opt Roll Defer Top Slice'!J126)*'Product Data'!$P$18)</f>
        <v>#N/A</v>
      </c>
    </row>
    <row r="127" spans="2:12" x14ac:dyDescent="0.25">
      <c r="B127" s="1927">
        <f t="shared" si="9"/>
        <v>0</v>
      </c>
      <c r="C127" s="1928">
        <v>9.7000000000000992E-3</v>
      </c>
      <c r="D127" s="1931" t="e">
        <f>($C$9*Term)/((($B$8-BBR+'Product Data'!$K$3-'KB_BTL Opt Roll Defer Top Slice'!$C127)/12)*(Term-'KB_BTL Opt Roll Defer Top Slice'!B127)*'Product Data'!$P$18)</f>
        <v>#N/A</v>
      </c>
      <c r="F127" s="1927">
        <f t="shared" si="7"/>
        <v>0</v>
      </c>
      <c r="G127" s="1928">
        <v>9.7000000000000992E-3</v>
      </c>
      <c r="H127" s="1931" t="e">
        <f>($G$9*Term)/((($F$8-BBR+'Product Data'!$K$3-'KB_BTL Opt Roll Defer Top Slice'!$G127)/12)*(Term-'KB_BTL Opt Roll Defer Top Slice'!F127)*'Product Data'!$P$18)</f>
        <v>#N/A</v>
      </c>
      <c r="J127" s="1927">
        <f t="shared" si="8"/>
        <v>0</v>
      </c>
      <c r="K127" s="1928">
        <v>9.7000000000000992E-3</v>
      </c>
      <c r="L127" s="1931" t="e">
        <f>($K$9*Term)/((($J$8-BBR+'Product Data'!$K$2-'KB_BTL Opt Roll Defer Top Slice'!$K127)/12)*(Term-'KB_BTL Opt Roll Defer Top Slice'!J127)*'Product Data'!$P$18)</f>
        <v>#N/A</v>
      </c>
    </row>
    <row r="128" spans="2:12" x14ac:dyDescent="0.25">
      <c r="B128" s="1927">
        <f t="shared" si="9"/>
        <v>0</v>
      </c>
      <c r="C128" s="1928">
        <v>9.6000000000000998E-3</v>
      </c>
      <c r="D128" s="1931" t="e">
        <f>($C$9*Term)/((($B$8-BBR+'Product Data'!$K$3-'KB_BTL Opt Roll Defer Top Slice'!$C128)/12)*(Term-'KB_BTL Opt Roll Defer Top Slice'!B128)*'Product Data'!$P$18)</f>
        <v>#N/A</v>
      </c>
      <c r="F128" s="1927">
        <f t="shared" si="7"/>
        <v>0</v>
      </c>
      <c r="G128" s="1928">
        <v>9.6000000000000998E-3</v>
      </c>
      <c r="H128" s="1931" t="e">
        <f>($G$9*Term)/((($F$8-BBR+'Product Data'!$K$3-'KB_BTL Opt Roll Defer Top Slice'!$G128)/12)*(Term-'KB_BTL Opt Roll Defer Top Slice'!F128)*'Product Data'!$P$18)</f>
        <v>#N/A</v>
      </c>
      <c r="J128" s="1927">
        <f t="shared" si="8"/>
        <v>0</v>
      </c>
      <c r="K128" s="1928">
        <v>9.6000000000000998E-3</v>
      </c>
      <c r="L128" s="1931" t="e">
        <f>($K$9*Term)/((($J$8-BBR+'Product Data'!$K$2-'KB_BTL Opt Roll Defer Top Slice'!$K128)/12)*(Term-'KB_BTL Opt Roll Defer Top Slice'!J128)*'Product Data'!$P$18)</f>
        <v>#N/A</v>
      </c>
    </row>
    <row r="129" spans="2:12" x14ac:dyDescent="0.25">
      <c r="B129" s="1927">
        <f t="shared" si="9"/>
        <v>0</v>
      </c>
      <c r="C129" s="1928">
        <v>9.5000000000001004E-3</v>
      </c>
      <c r="D129" s="1931" t="e">
        <f>($C$9*Term)/((($B$8-BBR+'Product Data'!$K$3-'KB_BTL Opt Roll Defer Top Slice'!$C129)/12)*(Term-'KB_BTL Opt Roll Defer Top Slice'!B129)*'Product Data'!$P$18)</f>
        <v>#N/A</v>
      </c>
      <c r="F129" s="1927">
        <f t="shared" si="7"/>
        <v>0</v>
      </c>
      <c r="G129" s="1928">
        <v>9.5000000000001004E-3</v>
      </c>
      <c r="H129" s="1931" t="e">
        <f>($G$9*Term)/((($F$8-BBR+'Product Data'!$K$3-'KB_BTL Opt Roll Defer Top Slice'!$G129)/12)*(Term-'KB_BTL Opt Roll Defer Top Slice'!F129)*'Product Data'!$P$18)</f>
        <v>#N/A</v>
      </c>
      <c r="J129" s="1927">
        <f t="shared" si="8"/>
        <v>0</v>
      </c>
      <c r="K129" s="1928">
        <v>9.5000000000001004E-3</v>
      </c>
      <c r="L129" s="1931" t="e">
        <f>($K$9*Term)/((($J$8-BBR+'Product Data'!$K$2-'KB_BTL Opt Roll Defer Top Slice'!$K129)/12)*(Term-'KB_BTL Opt Roll Defer Top Slice'!J129)*'Product Data'!$P$18)</f>
        <v>#N/A</v>
      </c>
    </row>
    <row r="130" spans="2:12" x14ac:dyDescent="0.25">
      <c r="B130" s="1927">
        <f t="shared" si="9"/>
        <v>0</v>
      </c>
      <c r="C130" s="1928">
        <v>9.4000000000000992E-3</v>
      </c>
      <c r="D130" s="1931" t="e">
        <f>($C$9*Term)/((($B$8-BBR+'Product Data'!$K$3-'KB_BTL Opt Roll Defer Top Slice'!$C130)/12)*(Term-'KB_BTL Opt Roll Defer Top Slice'!B130)*'Product Data'!$P$18)</f>
        <v>#N/A</v>
      </c>
      <c r="F130" s="1927">
        <f t="shared" si="7"/>
        <v>0</v>
      </c>
      <c r="G130" s="1928">
        <v>9.4000000000000992E-3</v>
      </c>
      <c r="H130" s="1931" t="e">
        <f>($G$9*Term)/((($F$8-BBR+'Product Data'!$K$3-'KB_BTL Opt Roll Defer Top Slice'!$G130)/12)*(Term-'KB_BTL Opt Roll Defer Top Slice'!F130)*'Product Data'!$P$18)</f>
        <v>#N/A</v>
      </c>
      <c r="J130" s="1927">
        <f t="shared" si="8"/>
        <v>0</v>
      </c>
      <c r="K130" s="1928">
        <v>9.4000000000000992E-3</v>
      </c>
      <c r="L130" s="1931" t="e">
        <f>($K$9*Term)/((($J$8-BBR+'Product Data'!$K$2-'KB_BTL Opt Roll Defer Top Slice'!$K130)/12)*(Term-'KB_BTL Opt Roll Defer Top Slice'!J130)*'Product Data'!$P$18)</f>
        <v>#N/A</v>
      </c>
    </row>
    <row r="131" spans="2:12" x14ac:dyDescent="0.25">
      <c r="B131" s="1927">
        <f t="shared" si="9"/>
        <v>0</v>
      </c>
      <c r="C131" s="1928">
        <v>9.3000000000000999E-3</v>
      </c>
      <c r="D131" s="1931" t="e">
        <f>($C$9*Term)/((($B$8-BBR+'Product Data'!$K$3-'KB_BTL Opt Roll Defer Top Slice'!$C131)/12)*(Term-'KB_BTL Opt Roll Defer Top Slice'!B131)*'Product Data'!$P$18)</f>
        <v>#N/A</v>
      </c>
      <c r="F131" s="1927">
        <f t="shared" si="7"/>
        <v>0</v>
      </c>
      <c r="G131" s="1928">
        <v>9.3000000000000999E-3</v>
      </c>
      <c r="H131" s="1931" t="e">
        <f>($G$9*Term)/((($F$8-BBR+'Product Data'!$K$3-'KB_BTL Opt Roll Defer Top Slice'!$G131)/12)*(Term-'KB_BTL Opt Roll Defer Top Slice'!F131)*'Product Data'!$P$18)</f>
        <v>#N/A</v>
      </c>
      <c r="J131" s="1927">
        <f t="shared" si="8"/>
        <v>0</v>
      </c>
      <c r="K131" s="1928">
        <v>9.3000000000000999E-3</v>
      </c>
      <c r="L131" s="1931" t="e">
        <f>($K$9*Term)/((($J$8-BBR+'Product Data'!$K$2-'KB_BTL Opt Roll Defer Top Slice'!$K131)/12)*(Term-'KB_BTL Opt Roll Defer Top Slice'!J131)*'Product Data'!$P$18)</f>
        <v>#N/A</v>
      </c>
    </row>
    <row r="132" spans="2:12" x14ac:dyDescent="0.25">
      <c r="B132" s="1927">
        <f t="shared" si="9"/>
        <v>0</v>
      </c>
      <c r="C132" s="1928">
        <v>9.2000000000001005E-3</v>
      </c>
      <c r="D132" s="1931" t="e">
        <f>($C$9*Term)/((($B$8-BBR+'Product Data'!$K$3-'KB_BTL Opt Roll Defer Top Slice'!$C132)/12)*(Term-'KB_BTL Opt Roll Defer Top Slice'!B132)*'Product Data'!$P$18)</f>
        <v>#N/A</v>
      </c>
      <c r="F132" s="1927">
        <f t="shared" si="7"/>
        <v>0</v>
      </c>
      <c r="G132" s="1928">
        <v>9.2000000000001005E-3</v>
      </c>
      <c r="H132" s="1931" t="e">
        <f>($G$9*Term)/((($F$8-BBR+'Product Data'!$K$3-'KB_BTL Opt Roll Defer Top Slice'!$G132)/12)*(Term-'KB_BTL Opt Roll Defer Top Slice'!F132)*'Product Data'!$P$18)</f>
        <v>#N/A</v>
      </c>
      <c r="J132" s="1927">
        <f t="shared" si="8"/>
        <v>0</v>
      </c>
      <c r="K132" s="1928">
        <v>9.2000000000001005E-3</v>
      </c>
      <c r="L132" s="1931" t="e">
        <f>($K$9*Term)/((($J$8-BBR+'Product Data'!$K$2-'KB_BTL Opt Roll Defer Top Slice'!$K132)/12)*(Term-'KB_BTL Opt Roll Defer Top Slice'!J132)*'Product Data'!$P$18)</f>
        <v>#N/A</v>
      </c>
    </row>
    <row r="133" spans="2:12" x14ac:dyDescent="0.25">
      <c r="B133" s="1927">
        <f t="shared" si="9"/>
        <v>0</v>
      </c>
      <c r="C133" s="1928">
        <v>9.1000000000000993E-3</v>
      </c>
      <c r="D133" s="1931" t="e">
        <f>($C$9*Term)/((($B$8-BBR+'Product Data'!$K$3-'KB_BTL Opt Roll Defer Top Slice'!$C133)/12)*(Term-'KB_BTL Opt Roll Defer Top Slice'!B133)*'Product Data'!$P$18)</f>
        <v>#N/A</v>
      </c>
      <c r="F133" s="1927">
        <f t="shared" si="7"/>
        <v>0</v>
      </c>
      <c r="G133" s="1928">
        <v>9.1000000000000993E-3</v>
      </c>
      <c r="H133" s="1931" t="e">
        <f>($G$9*Term)/((($F$8-BBR+'Product Data'!$K$3-'KB_BTL Opt Roll Defer Top Slice'!$G133)/12)*(Term-'KB_BTL Opt Roll Defer Top Slice'!F133)*'Product Data'!$P$18)</f>
        <v>#N/A</v>
      </c>
      <c r="J133" s="1927">
        <f t="shared" si="8"/>
        <v>0</v>
      </c>
      <c r="K133" s="1928">
        <v>9.1000000000000993E-3</v>
      </c>
      <c r="L133" s="1931" t="e">
        <f>($K$9*Term)/((($J$8-BBR+'Product Data'!$K$2-'KB_BTL Opt Roll Defer Top Slice'!$K133)/12)*(Term-'KB_BTL Opt Roll Defer Top Slice'!J133)*'Product Data'!$P$18)</f>
        <v>#N/A</v>
      </c>
    </row>
    <row r="134" spans="2:12" x14ac:dyDescent="0.25">
      <c r="B134" s="1927">
        <f t="shared" si="9"/>
        <v>0</v>
      </c>
      <c r="C134" s="1928">
        <v>9.0000000000000999E-3</v>
      </c>
      <c r="D134" s="1931" t="e">
        <f>($C$9*Term)/((($B$8-BBR+'Product Data'!$K$3-'KB_BTL Opt Roll Defer Top Slice'!$C134)/12)*(Term-'KB_BTL Opt Roll Defer Top Slice'!B134)*'Product Data'!$P$18)</f>
        <v>#N/A</v>
      </c>
      <c r="F134" s="1927">
        <f t="shared" si="7"/>
        <v>0</v>
      </c>
      <c r="G134" s="1928">
        <v>9.0000000000000999E-3</v>
      </c>
      <c r="H134" s="1931" t="e">
        <f>($G$9*Term)/((($F$8-BBR+'Product Data'!$K$3-'KB_BTL Opt Roll Defer Top Slice'!$G134)/12)*(Term-'KB_BTL Opt Roll Defer Top Slice'!F134)*'Product Data'!$P$18)</f>
        <v>#N/A</v>
      </c>
      <c r="J134" s="1927">
        <f t="shared" si="8"/>
        <v>0</v>
      </c>
      <c r="K134" s="1928">
        <v>9.0000000000000999E-3</v>
      </c>
      <c r="L134" s="1931" t="e">
        <f>($K$9*Term)/((($J$8-BBR+'Product Data'!$K$2-'KB_BTL Opt Roll Defer Top Slice'!$K134)/12)*(Term-'KB_BTL Opt Roll Defer Top Slice'!J134)*'Product Data'!$P$18)</f>
        <v>#N/A</v>
      </c>
    </row>
    <row r="135" spans="2:12" x14ac:dyDescent="0.25">
      <c r="B135" s="1927">
        <f t="shared" si="9"/>
        <v>0</v>
      </c>
      <c r="C135" s="1928">
        <v>8.9000000000001005E-3</v>
      </c>
      <c r="D135" s="1931" t="e">
        <f>($C$9*Term)/((($B$8-BBR+'Product Data'!$K$3-'KB_BTL Opt Roll Defer Top Slice'!$C135)/12)*(Term-'KB_BTL Opt Roll Defer Top Slice'!B135)*'Product Data'!$P$18)</f>
        <v>#N/A</v>
      </c>
      <c r="F135" s="1927">
        <f t="shared" si="7"/>
        <v>0</v>
      </c>
      <c r="G135" s="1928">
        <v>8.9000000000001005E-3</v>
      </c>
      <c r="H135" s="1931" t="e">
        <f>($G$9*Term)/((($F$8-BBR+'Product Data'!$K$3-'KB_BTL Opt Roll Defer Top Slice'!$G135)/12)*(Term-'KB_BTL Opt Roll Defer Top Slice'!F135)*'Product Data'!$P$18)</f>
        <v>#N/A</v>
      </c>
      <c r="J135" s="1927">
        <f t="shared" si="8"/>
        <v>0</v>
      </c>
      <c r="K135" s="1928">
        <v>8.9000000000001005E-3</v>
      </c>
      <c r="L135" s="1931" t="e">
        <f>($K$9*Term)/((($J$8-BBR+'Product Data'!$K$2-'KB_BTL Opt Roll Defer Top Slice'!$K135)/12)*(Term-'KB_BTL Opt Roll Defer Top Slice'!J135)*'Product Data'!$P$18)</f>
        <v>#N/A</v>
      </c>
    </row>
    <row r="136" spans="2:12" x14ac:dyDescent="0.25">
      <c r="B136" s="1927">
        <f t="shared" si="9"/>
        <v>0</v>
      </c>
      <c r="C136" s="1928">
        <v>8.8000000000000994E-3</v>
      </c>
      <c r="D136" s="1931" t="e">
        <f>($C$9*Term)/((($B$8-BBR+'Product Data'!$K$3-'KB_BTL Opt Roll Defer Top Slice'!$C136)/12)*(Term-'KB_BTL Opt Roll Defer Top Slice'!B136)*'Product Data'!$P$18)</f>
        <v>#N/A</v>
      </c>
      <c r="F136" s="1927">
        <f t="shared" si="7"/>
        <v>0</v>
      </c>
      <c r="G136" s="1928">
        <v>8.8000000000000994E-3</v>
      </c>
      <c r="H136" s="1931" t="e">
        <f>($G$9*Term)/((($F$8-BBR+'Product Data'!$K$3-'KB_BTL Opt Roll Defer Top Slice'!$G136)/12)*(Term-'KB_BTL Opt Roll Defer Top Slice'!F136)*'Product Data'!$P$18)</f>
        <v>#N/A</v>
      </c>
      <c r="J136" s="1927">
        <f t="shared" si="8"/>
        <v>0</v>
      </c>
      <c r="K136" s="1928">
        <v>8.8000000000000994E-3</v>
      </c>
      <c r="L136" s="1931" t="e">
        <f>($K$9*Term)/((($J$8-BBR+'Product Data'!$K$2-'KB_BTL Opt Roll Defer Top Slice'!$K136)/12)*(Term-'KB_BTL Opt Roll Defer Top Slice'!J136)*'Product Data'!$P$18)</f>
        <v>#N/A</v>
      </c>
    </row>
    <row r="137" spans="2:12" x14ac:dyDescent="0.25">
      <c r="B137" s="1927">
        <f t="shared" si="9"/>
        <v>0</v>
      </c>
      <c r="C137" s="1928">
        <v>8.7000000000001E-3</v>
      </c>
      <c r="D137" s="1931" t="e">
        <f>($C$9*Term)/((($B$8-BBR+'Product Data'!$K$3-'KB_BTL Opt Roll Defer Top Slice'!$C137)/12)*(Term-'KB_BTL Opt Roll Defer Top Slice'!B137)*'Product Data'!$P$18)</f>
        <v>#N/A</v>
      </c>
      <c r="F137" s="1927">
        <f t="shared" si="7"/>
        <v>0</v>
      </c>
      <c r="G137" s="1928">
        <v>8.7000000000001E-3</v>
      </c>
      <c r="H137" s="1931" t="e">
        <f>($G$9*Term)/((($F$8-BBR+'Product Data'!$K$3-'KB_BTL Opt Roll Defer Top Slice'!$G137)/12)*(Term-'KB_BTL Opt Roll Defer Top Slice'!F137)*'Product Data'!$P$18)</f>
        <v>#N/A</v>
      </c>
      <c r="J137" s="1927">
        <f t="shared" si="8"/>
        <v>0</v>
      </c>
      <c r="K137" s="1928">
        <v>8.7000000000001E-3</v>
      </c>
      <c r="L137" s="1931" t="e">
        <f>($K$9*Term)/((($J$8-BBR+'Product Data'!$K$2-'KB_BTL Opt Roll Defer Top Slice'!$K137)/12)*(Term-'KB_BTL Opt Roll Defer Top Slice'!J137)*'Product Data'!$P$18)</f>
        <v>#N/A</v>
      </c>
    </row>
    <row r="138" spans="2:12" x14ac:dyDescent="0.25">
      <c r="B138" s="1927">
        <f t="shared" ref="B138:B169" si="10">B137</f>
        <v>0</v>
      </c>
      <c r="C138" s="1928">
        <v>8.6000000000001006E-3</v>
      </c>
      <c r="D138" s="1931" t="e">
        <f>($C$9*Term)/((($B$8-BBR+'Product Data'!$K$3-'KB_BTL Opt Roll Defer Top Slice'!$C138)/12)*(Term-'KB_BTL Opt Roll Defer Top Slice'!B138)*'Product Data'!$P$18)</f>
        <v>#N/A</v>
      </c>
      <c r="F138" s="1927">
        <f t="shared" si="7"/>
        <v>0</v>
      </c>
      <c r="G138" s="1928">
        <v>8.6000000000001006E-3</v>
      </c>
      <c r="H138" s="1931" t="e">
        <f>($G$9*Term)/((($F$8-BBR+'Product Data'!$K$3-'KB_BTL Opt Roll Defer Top Slice'!$G138)/12)*(Term-'KB_BTL Opt Roll Defer Top Slice'!F138)*'Product Data'!$P$18)</f>
        <v>#N/A</v>
      </c>
      <c r="J138" s="1927">
        <f t="shared" si="8"/>
        <v>0</v>
      </c>
      <c r="K138" s="1928">
        <v>8.6000000000001006E-3</v>
      </c>
      <c r="L138" s="1931" t="e">
        <f>($K$9*Term)/((($J$8-BBR+'Product Data'!$K$2-'KB_BTL Opt Roll Defer Top Slice'!$K138)/12)*(Term-'KB_BTL Opt Roll Defer Top Slice'!J138)*'Product Data'!$P$18)</f>
        <v>#N/A</v>
      </c>
    </row>
    <row r="139" spans="2:12" x14ac:dyDescent="0.25">
      <c r="B139" s="1927">
        <f t="shared" si="10"/>
        <v>0</v>
      </c>
      <c r="C139" s="1928">
        <v>8.5000000000000995E-3</v>
      </c>
      <c r="D139" s="1931" t="e">
        <f>($C$9*Term)/((($B$8-BBR+'Product Data'!$K$3-'KB_BTL Opt Roll Defer Top Slice'!$C139)/12)*(Term-'KB_BTL Opt Roll Defer Top Slice'!B139)*'Product Data'!$P$18)</f>
        <v>#N/A</v>
      </c>
      <c r="F139" s="1927">
        <f t="shared" si="7"/>
        <v>0</v>
      </c>
      <c r="G139" s="1928">
        <v>8.5000000000000995E-3</v>
      </c>
      <c r="H139" s="1931" t="e">
        <f>($G$9*Term)/((($F$8-BBR+'Product Data'!$K$3-'KB_BTL Opt Roll Defer Top Slice'!$G139)/12)*(Term-'KB_BTL Opt Roll Defer Top Slice'!F139)*'Product Data'!$P$18)</f>
        <v>#N/A</v>
      </c>
      <c r="J139" s="1927">
        <f t="shared" si="8"/>
        <v>0</v>
      </c>
      <c r="K139" s="1928">
        <v>8.5000000000000995E-3</v>
      </c>
      <c r="L139" s="1931" t="e">
        <f>($K$9*Term)/((($J$8-BBR+'Product Data'!$K$2-'KB_BTL Opt Roll Defer Top Slice'!$K139)/12)*(Term-'KB_BTL Opt Roll Defer Top Slice'!J139)*'Product Data'!$P$18)</f>
        <v>#N/A</v>
      </c>
    </row>
    <row r="140" spans="2:12" x14ac:dyDescent="0.25">
      <c r="B140" s="1927">
        <f t="shared" si="10"/>
        <v>0</v>
      </c>
      <c r="C140" s="1928">
        <v>8.4000000000001001E-3</v>
      </c>
      <c r="D140" s="1931" t="e">
        <f>($C$9*Term)/((($B$8-BBR+'Product Data'!$K$3-'KB_BTL Opt Roll Defer Top Slice'!$C140)/12)*(Term-'KB_BTL Opt Roll Defer Top Slice'!B140)*'Product Data'!$P$18)</f>
        <v>#N/A</v>
      </c>
      <c r="F140" s="1927">
        <f t="shared" si="7"/>
        <v>0</v>
      </c>
      <c r="G140" s="1928">
        <v>8.4000000000001001E-3</v>
      </c>
      <c r="H140" s="1931" t="e">
        <f>($G$9*Term)/((($F$8-BBR+'Product Data'!$K$3-'KB_BTL Opt Roll Defer Top Slice'!$G140)/12)*(Term-'KB_BTL Opt Roll Defer Top Slice'!F140)*'Product Data'!$P$18)</f>
        <v>#N/A</v>
      </c>
      <c r="J140" s="1927">
        <f t="shared" si="8"/>
        <v>0</v>
      </c>
      <c r="K140" s="1928">
        <v>8.4000000000001001E-3</v>
      </c>
      <c r="L140" s="1931" t="e">
        <f>($K$9*Term)/((($J$8-BBR+'Product Data'!$K$2-'KB_BTL Opt Roll Defer Top Slice'!$K140)/12)*(Term-'KB_BTL Opt Roll Defer Top Slice'!J140)*'Product Data'!$P$18)</f>
        <v>#N/A</v>
      </c>
    </row>
    <row r="141" spans="2:12" x14ac:dyDescent="0.25">
      <c r="B141" s="1927">
        <f t="shared" si="10"/>
        <v>0</v>
      </c>
      <c r="C141" s="1928">
        <v>8.3000000000001007E-3</v>
      </c>
      <c r="D141" s="1931" t="e">
        <f>($C$9*Term)/((($B$8-BBR+'Product Data'!$K$3-'KB_BTL Opt Roll Defer Top Slice'!$C141)/12)*(Term-'KB_BTL Opt Roll Defer Top Slice'!B141)*'Product Data'!$P$18)</f>
        <v>#N/A</v>
      </c>
      <c r="F141" s="1927">
        <f t="shared" si="7"/>
        <v>0</v>
      </c>
      <c r="G141" s="1928">
        <v>8.3000000000001007E-3</v>
      </c>
      <c r="H141" s="1931" t="e">
        <f>($G$9*Term)/((($F$8-BBR+'Product Data'!$K$3-'KB_BTL Opt Roll Defer Top Slice'!$G141)/12)*(Term-'KB_BTL Opt Roll Defer Top Slice'!F141)*'Product Data'!$P$18)</f>
        <v>#N/A</v>
      </c>
      <c r="J141" s="1927">
        <f t="shared" si="8"/>
        <v>0</v>
      </c>
      <c r="K141" s="1928">
        <v>8.3000000000001007E-3</v>
      </c>
      <c r="L141" s="1931" t="e">
        <f>($K$9*Term)/((($J$8-BBR+'Product Data'!$K$2-'KB_BTL Opt Roll Defer Top Slice'!$K141)/12)*(Term-'KB_BTL Opt Roll Defer Top Slice'!J141)*'Product Data'!$P$18)</f>
        <v>#N/A</v>
      </c>
    </row>
    <row r="142" spans="2:12" x14ac:dyDescent="0.25">
      <c r="B142" s="1927">
        <f t="shared" si="10"/>
        <v>0</v>
      </c>
      <c r="C142" s="1928">
        <v>8.2000000000000996E-3</v>
      </c>
      <c r="D142" s="1931" t="e">
        <f>($C$9*Term)/((($B$8-BBR+'Product Data'!$K$3-'KB_BTL Opt Roll Defer Top Slice'!$C142)/12)*(Term-'KB_BTL Opt Roll Defer Top Slice'!B142)*'Product Data'!$P$18)</f>
        <v>#N/A</v>
      </c>
      <c r="F142" s="1927">
        <f t="shared" si="7"/>
        <v>0</v>
      </c>
      <c r="G142" s="1928">
        <v>8.2000000000000996E-3</v>
      </c>
      <c r="H142" s="1931" t="e">
        <f>($G$9*Term)/((($F$8-BBR+'Product Data'!$K$3-'KB_BTL Opt Roll Defer Top Slice'!$G142)/12)*(Term-'KB_BTL Opt Roll Defer Top Slice'!F142)*'Product Data'!$P$18)</f>
        <v>#N/A</v>
      </c>
      <c r="J142" s="1927">
        <f t="shared" si="8"/>
        <v>0</v>
      </c>
      <c r="K142" s="1928">
        <v>8.2000000000000996E-3</v>
      </c>
      <c r="L142" s="1931" t="e">
        <f>($K$9*Term)/((($J$8-BBR+'Product Data'!$K$2-'KB_BTL Opt Roll Defer Top Slice'!$K142)/12)*(Term-'KB_BTL Opt Roll Defer Top Slice'!J142)*'Product Data'!$P$18)</f>
        <v>#N/A</v>
      </c>
    </row>
    <row r="143" spans="2:12" x14ac:dyDescent="0.25">
      <c r="B143" s="1927">
        <f t="shared" si="10"/>
        <v>0</v>
      </c>
      <c r="C143" s="1928">
        <v>8.1000000000001002E-3</v>
      </c>
      <c r="D143" s="1931" t="e">
        <f>($C$9*Term)/((($B$8-BBR+'Product Data'!$K$3-'KB_BTL Opt Roll Defer Top Slice'!$C143)/12)*(Term-'KB_BTL Opt Roll Defer Top Slice'!B143)*'Product Data'!$P$18)</f>
        <v>#N/A</v>
      </c>
      <c r="F143" s="1927">
        <f t="shared" si="7"/>
        <v>0</v>
      </c>
      <c r="G143" s="1928">
        <v>8.1000000000001002E-3</v>
      </c>
      <c r="H143" s="1931" t="e">
        <f>($G$9*Term)/((($F$8-BBR+'Product Data'!$K$3-'KB_BTL Opt Roll Defer Top Slice'!$G143)/12)*(Term-'KB_BTL Opt Roll Defer Top Slice'!F143)*'Product Data'!$P$18)</f>
        <v>#N/A</v>
      </c>
      <c r="J143" s="1927">
        <f t="shared" si="8"/>
        <v>0</v>
      </c>
      <c r="K143" s="1928">
        <v>8.1000000000001002E-3</v>
      </c>
      <c r="L143" s="1931" t="e">
        <f>($K$9*Term)/((($J$8-BBR+'Product Data'!$K$2-'KB_BTL Opt Roll Defer Top Slice'!$K143)/12)*(Term-'KB_BTL Opt Roll Defer Top Slice'!J143)*'Product Data'!$P$18)</f>
        <v>#N/A</v>
      </c>
    </row>
    <row r="144" spans="2:12" x14ac:dyDescent="0.25">
      <c r="B144" s="1927">
        <f t="shared" si="10"/>
        <v>0</v>
      </c>
      <c r="C144" s="1928">
        <v>8.0000000000001008E-3</v>
      </c>
      <c r="D144" s="1931" t="e">
        <f>($C$9*Term)/((($B$8-BBR+'Product Data'!$K$3-'KB_BTL Opt Roll Defer Top Slice'!$C144)/12)*(Term-'KB_BTL Opt Roll Defer Top Slice'!B144)*'Product Data'!$P$18)</f>
        <v>#N/A</v>
      </c>
      <c r="F144" s="1927">
        <f t="shared" si="7"/>
        <v>0</v>
      </c>
      <c r="G144" s="1928">
        <v>8.0000000000001008E-3</v>
      </c>
      <c r="H144" s="1931" t="e">
        <f>($G$9*Term)/((($F$8-BBR+'Product Data'!$K$3-'KB_BTL Opt Roll Defer Top Slice'!$G144)/12)*(Term-'KB_BTL Opt Roll Defer Top Slice'!F144)*'Product Data'!$P$18)</f>
        <v>#N/A</v>
      </c>
      <c r="J144" s="1927">
        <f t="shared" si="8"/>
        <v>0</v>
      </c>
      <c r="K144" s="1928">
        <v>8.0000000000001008E-3</v>
      </c>
      <c r="L144" s="1931" t="e">
        <f>($K$9*Term)/((($J$8-BBR+'Product Data'!$K$2-'KB_BTL Opt Roll Defer Top Slice'!$K144)/12)*(Term-'KB_BTL Opt Roll Defer Top Slice'!J144)*'Product Data'!$P$18)</f>
        <v>#N/A</v>
      </c>
    </row>
    <row r="145" spans="2:12" x14ac:dyDescent="0.25">
      <c r="B145" s="1927">
        <f t="shared" si="10"/>
        <v>0</v>
      </c>
      <c r="C145" s="1928">
        <v>7.9000000000000997E-3</v>
      </c>
      <c r="D145" s="1931" t="e">
        <f>($C$9*Term)/((($B$8-BBR+'Product Data'!$K$3-'KB_BTL Opt Roll Defer Top Slice'!$C145)/12)*(Term-'KB_BTL Opt Roll Defer Top Slice'!B145)*'Product Data'!$P$18)</f>
        <v>#N/A</v>
      </c>
      <c r="F145" s="1927">
        <f t="shared" si="7"/>
        <v>0</v>
      </c>
      <c r="G145" s="1928">
        <v>7.9000000000000997E-3</v>
      </c>
      <c r="H145" s="1931" t="e">
        <f>($G$9*Term)/((($F$8-BBR+'Product Data'!$K$3-'KB_BTL Opt Roll Defer Top Slice'!$G145)/12)*(Term-'KB_BTL Opt Roll Defer Top Slice'!F145)*'Product Data'!$P$18)</f>
        <v>#N/A</v>
      </c>
      <c r="J145" s="1927">
        <f t="shared" si="8"/>
        <v>0</v>
      </c>
      <c r="K145" s="1928">
        <v>7.9000000000000997E-3</v>
      </c>
      <c r="L145" s="1931" t="e">
        <f>($K$9*Term)/((($J$8-BBR+'Product Data'!$K$2-'KB_BTL Opt Roll Defer Top Slice'!$K145)/12)*(Term-'KB_BTL Opt Roll Defer Top Slice'!J145)*'Product Data'!$P$18)</f>
        <v>#N/A</v>
      </c>
    </row>
    <row r="146" spans="2:12" x14ac:dyDescent="0.25">
      <c r="B146" s="1927">
        <f t="shared" si="10"/>
        <v>0</v>
      </c>
      <c r="C146" s="1928">
        <v>7.8000000000001003E-3</v>
      </c>
      <c r="D146" s="1931" t="e">
        <f>($C$9*Term)/((($B$8-BBR+'Product Data'!$K$3-'KB_BTL Opt Roll Defer Top Slice'!$C146)/12)*(Term-'KB_BTL Opt Roll Defer Top Slice'!B146)*'Product Data'!$P$18)</f>
        <v>#N/A</v>
      </c>
      <c r="F146" s="1927">
        <f t="shared" si="7"/>
        <v>0</v>
      </c>
      <c r="G146" s="1928">
        <v>7.8000000000001003E-3</v>
      </c>
      <c r="H146" s="1931" t="e">
        <f>($G$9*Term)/((($F$8-BBR+'Product Data'!$K$3-'KB_BTL Opt Roll Defer Top Slice'!$G146)/12)*(Term-'KB_BTL Opt Roll Defer Top Slice'!F146)*'Product Data'!$P$18)</f>
        <v>#N/A</v>
      </c>
      <c r="J146" s="1927">
        <f t="shared" si="8"/>
        <v>0</v>
      </c>
      <c r="K146" s="1928">
        <v>7.8000000000001003E-3</v>
      </c>
      <c r="L146" s="1931" t="e">
        <f>($K$9*Term)/((($J$8-BBR+'Product Data'!$K$2-'KB_BTL Opt Roll Defer Top Slice'!$K146)/12)*(Term-'KB_BTL Opt Roll Defer Top Slice'!J146)*'Product Data'!$P$18)</f>
        <v>#N/A</v>
      </c>
    </row>
    <row r="147" spans="2:12" x14ac:dyDescent="0.25">
      <c r="B147" s="1927">
        <f t="shared" si="10"/>
        <v>0</v>
      </c>
      <c r="C147" s="1928">
        <v>7.7000000000001E-3</v>
      </c>
      <c r="D147" s="1931" t="e">
        <f>($C$9*Term)/((($B$8-BBR+'Product Data'!$K$3-'KB_BTL Opt Roll Defer Top Slice'!$C147)/12)*(Term-'KB_BTL Opt Roll Defer Top Slice'!B147)*'Product Data'!$P$18)</f>
        <v>#N/A</v>
      </c>
      <c r="F147" s="1927">
        <f t="shared" si="7"/>
        <v>0</v>
      </c>
      <c r="G147" s="1928">
        <v>7.7000000000001E-3</v>
      </c>
      <c r="H147" s="1931" t="e">
        <f>($G$9*Term)/((($F$8-BBR+'Product Data'!$K$3-'KB_BTL Opt Roll Defer Top Slice'!$G147)/12)*(Term-'KB_BTL Opt Roll Defer Top Slice'!F147)*'Product Data'!$P$18)</f>
        <v>#N/A</v>
      </c>
      <c r="J147" s="1927">
        <f t="shared" si="8"/>
        <v>0</v>
      </c>
      <c r="K147" s="1928">
        <v>7.7000000000001E-3</v>
      </c>
      <c r="L147" s="1931" t="e">
        <f>($K$9*Term)/((($J$8-BBR+'Product Data'!$K$2-'KB_BTL Opt Roll Defer Top Slice'!$K147)/12)*(Term-'KB_BTL Opt Roll Defer Top Slice'!J147)*'Product Data'!$P$18)</f>
        <v>#N/A</v>
      </c>
    </row>
    <row r="148" spans="2:12" x14ac:dyDescent="0.25">
      <c r="B148" s="1927">
        <f t="shared" si="10"/>
        <v>0</v>
      </c>
      <c r="C148" s="1928">
        <v>7.6000000000000997E-3</v>
      </c>
      <c r="D148" s="1931" t="e">
        <f>($C$9*Term)/((($B$8-BBR+'Product Data'!$K$3-'KB_BTL Opt Roll Defer Top Slice'!$C148)/12)*(Term-'KB_BTL Opt Roll Defer Top Slice'!B148)*'Product Data'!$P$18)</f>
        <v>#N/A</v>
      </c>
      <c r="F148" s="1927">
        <f t="shared" si="7"/>
        <v>0</v>
      </c>
      <c r="G148" s="1928">
        <v>7.6000000000000997E-3</v>
      </c>
      <c r="H148" s="1931" t="e">
        <f>($G$9*Term)/((($F$8-BBR+'Product Data'!$K$3-'KB_BTL Opt Roll Defer Top Slice'!$G148)/12)*(Term-'KB_BTL Opt Roll Defer Top Slice'!F148)*'Product Data'!$P$18)</f>
        <v>#N/A</v>
      </c>
      <c r="J148" s="1927">
        <f t="shared" si="8"/>
        <v>0</v>
      </c>
      <c r="K148" s="1928">
        <v>7.6000000000000997E-3</v>
      </c>
      <c r="L148" s="1931" t="e">
        <f>($K$9*Term)/((($J$8-BBR+'Product Data'!$K$2-'KB_BTL Opt Roll Defer Top Slice'!$K148)/12)*(Term-'KB_BTL Opt Roll Defer Top Slice'!J148)*'Product Data'!$P$18)</f>
        <v>#N/A</v>
      </c>
    </row>
    <row r="149" spans="2:12" x14ac:dyDescent="0.25">
      <c r="B149" s="1927">
        <f t="shared" si="10"/>
        <v>0</v>
      </c>
      <c r="C149" s="1928">
        <v>7.5000000000001003E-3</v>
      </c>
      <c r="D149" s="1931" t="e">
        <f>($C$9*Term)/((($B$8-BBR+'Product Data'!$K$3-'KB_BTL Opt Roll Defer Top Slice'!$C149)/12)*(Term-'KB_BTL Opt Roll Defer Top Slice'!B149)*'Product Data'!$P$18)</f>
        <v>#N/A</v>
      </c>
      <c r="F149" s="1927">
        <f t="shared" si="7"/>
        <v>0</v>
      </c>
      <c r="G149" s="1928">
        <v>7.5000000000001003E-3</v>
      </c>
      <c r="H149" s="1931" t="e">
        <f>($G$9*Term)/((($F$8-BBR+'Product Data'!$K$3-'KB_BTL Opt Roll Defer Top Slice'!$G149)/12)*(Term-'KB_BTL Opt Roll Defer Top Slice'!F149)*'Product Data'!$P$18)</f>
        <v>#N/A</v>
      </c>
      <c r="J149" s="1927">
        <f t="shared" si="8"/>
        <v>0</v>
      </c>
      <c r="K149" s="1928">
        <v>7.5000000000001003E-3</v>
      </c>
      <c r="L149" s="1931" t="e">
        <f>($K$9*Term)/((($J$8-BBR+'Product Data'!$K$2-'KB_BTL Opt Roll Defer Top Slice'!$K149)/12)*(Term-'KB_BTL Opt Roll Defer Top Slice'!J149)*'Product Data'!$P$18)</f>
        <v>#N/A</v>
      </c>
    </row>
    <row r="150" spans="2:12" x14ac:dyDescent="0.25">
      <c r="B150" s="1927">
        <f t="shared" si="10"/>
        <v>0</v>
      </c>
      <c r="C150" s="1928">
        <v>7.4000000000001001E-3</v>
      </c>
      <c r="D150" s="1931" t="e">
        <f>($C$9*Term)/((($B$8-BBR+'Product Data'!$K$3-'KB_BTL Opt Roll Defer Top Slice'!$C150)/12)*(Term-'KB_BTL Opt Roll Defer Top Slice'!B150)*'Product Data'!$P$18)</f>
        <v>#N/A</v>
      </c>
      <c r="F150" s="1927">
        <f t="shared" si="7"/>
        <v>0</v>
      </c>
      <c r="G150" s="1928">
        <v>7.4000000000001001E-3</v>
      </c>
      <c r="H150" s="1931" t="e">
        <f>($G$9*Term)/((($F$8-BBR+'Product Data'!$K$3-'KB_BTL Opt Roll Defer Top Slice'!$G150)/12)*(Term-'KB_BTL Opt Roll Defer Top Slice'!F150)*'Product Data'!$P$18)</f>
        <v>#N/A</v>
      </c>
      <c r="J150" s="1927">
        <f t="shared" si="8"/>
        <v>0</v>
      </c>
      <c r="K150" s="1928">
        <v>7.4000000000001001E-3</v>
      </c>
      <c r="L150" s="1931" t="e">
        <f>($K$9*Term)/((($J$8-BBR+'Product Data'!$K$2-'KB_BTL Opt Roll Defer Top Slice'!$K150)/12)*(Term-'KB_BTL Opt Roll Defer Top Slice'!J150)*'Product Data'!$P$18)</f>
        <v>#N/A</v>
      </c>
    </row>
    <row r="151" spans="2:12" x14ac:dyDescent="0.25">
      <c r="B151" s="1927">
        <f t="shared" si="10"/>
        <v>0</v>
      </c>
      <c r="C151" s="1928">
        <v>7.3000000000000998E-3</v>
      </c>
      <c r="D151" s="1931" t="e">
        <f>($C$9*Term)/((($B$8-BBR+'Product Data'!$K$3-'KB_BTL Opt Roll Defer Top Slice'!$C151)/12)*(Term-'KB_BTL Opt Roll Defer Top Slice'!B151)*'Product Data'!$P$18)</f>
        <v>#N/A</v>
      </c>
      <c r="F151" s="1927">
        <f t="shared" si="7"/>
        <v>0</v>
      </c>
      <c r="G151" s="1928">
        <v>7.3000000000000998E-3</v>
      </c>
      <c r="H151" s="1931" t="e">
        <f>($G$9*Term)/((($F$8-BBR+'Product Data'!$K$3-'KB_BTL Opt Roll Defer Top Slice'!$G151)/12)*(Term-'KB_BTL Opt Roll Defer Top Slice'!F151)*'Product Data'!$P$18)</f>
        <v>#N/A</v>
      </c>
      <c r="J151" s="1927">
        <f t="shared" si="8"/>
        <v>0</v>
      </c>
      <c r="K151" s="1928">
        <v>7.3000000000000998E-3</v>
      </c>
      <c r="L151" s="1931" t="e">
        <f>($K$9*Term)/((($J$8-BBR+'Product Data'!$K$2-'KB_BTL Opt Roll Defer Top Slice'!$K151)/12)*(Term-'KB_BTL Opt Roll Defer Top Slice'!J151)*'Product Data'!$P$18)</f>
        <v>#N/A</v>
      </c>
    </row>
    <row r="152" spans="2:12" x14ac:dyDescent="0.25">
      <c r="B152" s="1927">
        <f t="shared" si="10"/>
        <v>0</v>
      </c>
      <c r="C152" s="1928">
        <v>7.2000000000001004E-3</v>
      </c>
      <c r="D152" s="1931" t="e">
        <f>($C$9*Term)/((($B$8-BBR+'Product Data'!$K$3-'KB_BTL Opt Roll Defer Top Slice'!$C152)/12)*(Term-'KB_BTL Opt Roll Defer Top Slice'!B152)*'Product Data'!$P$18)</f>
        <v>#N/A</v>
      </c>
      <c r="F152" s="1927">
        <f t="shared" si="7"/>
        <v>0</v>
      </c>
      <c r="G152" s="1928">
        <v>7.2000000000001004E-3</v>
      </c>
      <c r="H152" s="1931" t="e">
        <f>($G$9*Term)/((($F$8-BBR+'Product Data'!$K$3-'KB_BTL Opt Roll Defer Top Slice'!$G152)/12)*(Term-'KB_BTL Opt Roll Defer Top Slice'!F152)*'Product Data'!$P$18)</f>
        <v>#N/A</v>
      </c>
      <c r="J152" s="1927">
        <f t="shared" si="8"/>
        <v>0</v>
      </c>
      <c r="K152" s="1928">
        <v>7.2000000000001004E-3</v>
      </c>
      <c r="L152" s="1931" t="e">
        <f>($K$9*Term)/((($J$8-BBR+'Product Data'!$K$2-'KB_BTL Opt Roll Defer Top Slice'!$K152)/12)*(Term-'KB_BTL Opt Roll Defer Top Slice'!J152)*'Product Data'!$P$18)</f>
        <v>#N/A</v>
      </c>
    </row>
    <row r="153" spans="2:12" x14ac:dyDescent="0.25">
      <c r="B153" s="1927">
        <f t="shared" si="10"/>
        <v>0</v>
      </c>
      <c r="C153" s="1928">
        <v>7.1000000000001002E-3</v>
      </c>
      <c r="D153" s="1931" t="e">
        <f>($C$9*Term)/((($B$8-BBR+'Product Data'!$K$3-'KB_BTL Opt Roll Defer Top Slice'!$C153)/12)*(Term-'KB_BTL Opt Roll Defer Top Slice'!B153)*'Product Data'!$P$18)</f>
        <v>#N/A</v>
      </c>
      <c r="F153" s="1927">
        <f t="shared" si="7"/>
        <v>0</v>
      </c>
      <c r="G153" s="1928">
        <v>7.1000000000001002E-3</v>
      </c>
      <c r="H153" s="1931" t="e">
        <f>($G$9*Term)/((($F$8-BBR+'Product Data'!$K$3-'KB_BTL Opt Roll Defer Top Slice'!$G153)/12)*(Term-'KB_BTL Opt Roll Defer Top Slice'!F153)*'Product Data'!$P$18)</f>
        <v>#N/A</v>
      </c>
      <c r="J153" s="1927">
        <f t="shared" si="8"/>
        <v>0</v>
      </c>
      <c r="K153" s="1928">
        <v>7.1000000000001002E-3</v>
      </c>
      <c r="L153" s="1931" t="e">
        <f>($K$9*Term)/((($J$8-BBR+'Product Data'!$K$2-'KB_BTL Opt Roll Defer Top Slice'!$K153)/12)*(Term-'KB_BTL Opt Roll Defer Top Slice'!J153)*'Product Data'!$P$18)</f>
        <v>#N/A</v>
      </c>
    </row>
    <row r="154" spans="2:12" x14ac:dyDescent="0.25">
      <c r="B154" s="1927">
        <f t="shared" si="10"/>
        <v>0</v>
      </c>
      <c r="C154" s="1928">
        <v>7.0000000000000999E-3</v>
      </c>
      <c r="D154" s="1931" t="e">
        <f>($C$9*Term)/((($B$8-BBR+'Product Data'!$K$3-'KB_BTL Opt Roll Defer Top Slice'!$C154)/12)*(Term-'KB_BTL Opt Roll Defer Top Slice'!B154)*'Product Data'!$P$18)</f>
        <v>#N/A</v>
      </c>
      <c r="F154" s="1927">
        <f t="shared" ref="F154:F217" si="11">F153</f>
        <v>0</v>
      </c>
      <c r="G154" s="1928">
        <v>7.0000000000000999E-3</v>
      </c>
      <c r="H154" s="1931" t="e">
        <f>($G$9*Term)/((($F$8-BBR+'Product Data'!$K$3-'KB_BTL Opt Roll Defer Top Slice'!$G154)/12)*(Term-'KB_BTL Opt Roll Defer Top Slice'!F154)*'Product Data'!$P$18)</f>
        <v>#N/A</v>
      </c>
      <c r="J154" s="1927">
        <f t="shared" ref="J154:J217" si="12">J153</f>
        <v>0</v>
      </c>
      <c r="K154" s="1928">
        <v>7.0000000000000999E-3</v>
      </c>
      <c r="L154" s="1931" t="e">
        <f>($K$9*Term)/((($J$8-BBR+'Product Data'!$K$2-'KB_BTL Opt Roll Defer Top Slice'!$K154)/12)*(Term-'KB_BTL Opt Roll Defer Top Slice'!J154)*'Product Data'!$P$18)</f>
        <v>#N/A</v>
      </c>
    </row>
    <row r="155" spans="2:12" x14ac:dyDescent="0.25">
      <c r="B155" s="1927">
        <f t="shared" si="10"/>
        <v>0</v>
      </c>
      <c r="C155" s="1928">
        <v>6.9000000000000996E-3</v>
      </c>
      <c r="D155" s="1931" t="e">
        <f>($C$9*Term)/((($B$8-BBR+'Product Data'!$K$3-'KB_BTL Opt Roll Defer Top Slice'!$C155)/12)*(Term-'KB_BTL Opt Roll Defer Top Slice'!B155)*'Product Data'!$P$18)</f>
        <v>#N/A</v>
      </c>
      <c r="F155" s="1927">
        <f t="shared" si="11"/>
        <v>0</v>
      </c>
      <c r="G155" s="1928">
        <v>6.9000000000000996E-3</v>
      </c>
      <c r="H155" s="1931" t="e">
        <f>($G$9*Term)/((($F$8-BBR+'Product Data'!$K$3-'KB_BTL Opt Roll Defer Top Slice'!$G155)/12)*(Term-'KB_BTL Opt Roll Defer Top Slice'!F155)*'Product Data'!$P$18)</f>
        <v>#N/A</v>
      </c>
      <c r="J155" s="1927">
        <f t="shared" si="12"/>
        <v>0</v>
      </c>
      <c r="K155" s="1928">
        <v>6.9000000000000996E-3</v>
      </c>
      <c r="L155" s="1931" t="e">
        <f>($K$9*Term)/((($J$8-BBR+'Product Data'!$K$2-'KB_BTL Opt Roll Defer Top Slice'!$K155)/12)*(Term-'KB_BTL Opt Roll Defer Top Slice'!J155)*'Product Data'!$P$18)</f>
        <v>#N/A</v>
      </c>
    </row>
    <row r="156" spans="2:12" x14ac:dyDescent="0.25">
      <c r="B156" s="1927">
        <f t="shared" si="10"/>
        <v>0</v>
      </c>
      <c r="C156" s="1928">
        <v>6.8000000000001002E-3</v>
      </c>
      <c r="D156" s="1931" t="e">
        <f>($C$9*Term)/((($B$8-BBR+'Product Data'!$K$3-'KB_BTL Opt Roll Defer Top Slice'!$C156)/12)*(Term-'KB_BTL Opt Roll Defer Top Slice'!B156)*'Product Data'!$P$18)</f>
        <v>#N/A</v>
      </c>
      <c r="F156" s="1927">
        <f t="shared" si="11"/>
        <v>0</v>
      </c>
      <c r="G156" s="1928">
        <v>6.8000000000001002E-3</v>
      </c>
      <c r="H156" s="1931" t="e">
        <f>($G$9*Term)/((($F$8-BBR+'Product Data'!$K$3-'KB_BTL Opt Roll Defer Top Slice'!$G156)/12)*(Term-'KB_BTL Opt Roll Defer Top Slice'!F156)*'Product Data'!$P$18)</f>
        <v>#N/A</v>
      </c>
      <c r="J156" s="1927">
        <f t="shared" si="12"/>
        <v>0</v>
      </c>
      <c r="K156" s="1928">
        <v>6.8000000000001002E-3</v>
      </c>
      <c r="L156" s="1931" t="e">
        <f>($K$9*Term)/((($J$8-BBR+'Product Data'!$K$2-'KB_BTL Opt Roll Defer Top Slice'!$K156)/12)*(Term-'KB_BTL Opt Roll Defer Top Slice'!J156)*'Product Data'!$P$18)</f>
        <v>#N/A</v>
      </c>
    </row>
    <row r="157" spans="2:12" x14ac:dyDescent="0.25">
      <c r="B157" s="1927">
        <f t="shared" si="10"/>
        <v>0</v>
      </c>
      <c r="C157" s="1928">
        <v>6.7000000000001E-3</v>
      </c>
      <c r="D157" s="1931" t="e">
        <f>($C$9*Term)/((($B$8-BBR+'Product Data'!$K$3-'KB_BTL Opt Roll Defer Top Slice'!$C157)/12)*(Term-'KB_BTL Opt Roll Defer Top Slice'!B157)*'Product Data'!$P$18)</f>
        <v>#N/A</v>
      </c>
      <c r="F157" s="1927">
        <f t="shared" si="11"/>
        <v>0</v>
      </c>
      <c r="G157" s="1928">
        <v>6.7000000000001E-3</v>
      </c>
      <c r="H157" s="1931" t="e">
        <f>($G$9*Term)/((($F$8-BBR+'Product Data'!$K$3-'KB_BTL Opt Roll Defer Top Slice'!$G157)/12)*(Term-'KB_BTL Opt Roll Defer Top Slice'!F157)*'Product Data'!$P$18)</f>
        <v>#N/A</v>
      </c>
      <c r="J157" s="1927">
        <f t="shared" si="12"/>
        <v>0</v>
      </c>
      <c r="K157" s="1928">
        <v>6.7000000000001E-3</v>
      </c>
      <c r="L157" s="1931" t="e">
        <f>($K$9*Term)/((($J$8-BBR+'Product Data'!$K$2-'KB_BTL Opt Roll Defer Top Slice'!$K157)/12)*(Term-'KB_BTL Opt Roll Defer Top Slice'!J157)*'Product Data'!$P$18)</f>
        <v>#N/A</v>
      </c>
    </row>
    <row r="158" spans="2:12" x14ac:dyDescent="0.25">
      <c r="B158" s="1927">
        <f t="shared" si="10"/>
        <v>0</v>
      </c>
      <c r="C158" s="1928">
        <v>6.6000000000000997E-3</v>
      </c>
      <c r="D158" s="1931" t="e">
        <f>($C$9*Term)/((($B$8-BBR+'Product Data'!$K$3-'KB_BTL Opt Roll Defer Top Slice'!$C158)/12)*(Term-'KB_BTL Opt Roll Defer Top Slice'!B158)*'Product Data'!$P$18)</f>
        <v>#N/A</v>
      </c>
      <c r="F158" s="1927">
        <f t="shared" si="11"/>
        <v>0</v>
      </c>
      <c r="G158" s="1928">
        <v>6.6000000000000997E-3</v>
      </c>
      <c r="H158" s="1931" t="e">
        <f>($G$9*Term)/((($F$8-BBR+'Product Data'!$K$3-'KB_BTL Opt Roll Defer Top Slice'!$G158)/12)*(Term-'KB_BTL Opt Roll Defer Top Slice'!F158)*'Product Data'!$P$18)</f>
        <v>#N/A</v>
      </c>
      <c r="J158" s="1927">
        <f t="shared" si="12"/>
        <v>0</v>
      </c>
      <c r="K158" s="1928">
        <v>6.6000000000000997E-3</v>
      </c>
      <c r="L158" s="1931" t="e">
        <f>($K$9*Term)/((($J$8-BBR+'Product Data'!$K$2-'KB_BTL Opt Roll Defer Top Slice'!$K158)/12)*(Term-'KB_BTL Opt Roll Defer Top Slice'!J158)*'Product Data'!$P$18)</f>
        <v>#N/A</v>
      </c>
    </row>
    <row r="159" spans="2:12" x14ac:dyDescent="0.25">
      <c r="B159" s="1927">
        <f t="shared" si="10"/>
        <v>0</v>
      </c>
      <c r="C159" s="1928">
        <v>6.5000000000001003E-3</v>
      </c>
      <c r="D159" s="1931" t="e">
        <f>($C$9*Term)/((($B$8-BBR+'Product Data'!$K$3-'KB_BTL Opt Roll Defer Top Slice'!$C159)/12)*(Term-'KB_BTL Opt Roll Defer Top Slice'!B159)*'Product Data'!$P$18)</f>
        <v>#N/A</v>
      </c>
      <c r="F159" s="1927">
        <f t="shared" si="11"/>
        <v>0</v>
      </c>
      <c r="G159" s="1928">
        <v>6.5000000000001003E-3</v>
      </c>
      <c r="H159" s="1931" t="e">
        <f>($G$9*Term)/((($F$8-BBR+'Product Data'!$K$3-'KB_BTL Opt Roll Defer Top Slice'!$G159)/12)*(Term-'KB_BTL Opt Roll Defer Top Slice'!F159)*'Product Data'!$P$18)</f>
        <v>#N/A</v>
      </c>
      <c r="J159" s="1927">
        <f t="shared" si="12"/>
        <v>0</v>
      </c>
      <c r="K159" s="1928">
        <v>6.5000000000001003E-3</v>
      </c>
      <c r="L159" s="1931" t="e">
        <f>($K$9*Term)/((($J$8-BBR+'Product Data'!$K$2-'KB_BTL Opt Roll Defer Top Slice'!$K159)/12)*(Term-'KB_BTL Opt Roll Defer Top Slice'!J159)*'Product Data'!$P$18)</f>
        <v>#N/A</v>
      </c>
    </row>
    <row r="160" spans="2:12" x14ac:dyDescent="0.25">
      <c r="B160" s="1927">
        <f t="shared" si="10"/>
        <v>0</v>
      </c>
      <c r="C160" s="1928">
        <v>6.4000000000001001E-3</v>
      </c>
      <c r="D160" s="1931" t="e">
        <f>($C$9*Term)/((($B$8-BBR+'Product Data'!$K$3-'KB_BTL Opt Roll Defer Top Slice'!$C160)/12)*(Term-'KB_BTL Opt Roll Defer Top Slice'!B160)*'Product Data'!$P$18)</f>
        <v>#N/A</v>
      </c>
      <c r="F160" s="1927">
        <f t="shared" si="11"/>
        <v>0</v>
      </c>
      <c r="G160" s="1928">
        <v>6.4000000000001001E-3</v>
      </c>
      <c r="H160" s="1931" t="e">
        <f>($G$9*Term)/((($F$8-BBR+'Product Data'!$K$3-'KB_BTL Opt Roll Defer Top Slice'!$G160)/12)*(Term-'KB_BTL Opt Roll Defer Top Slice'!F160)*'Product Data'!$P$18)</f>
        <v>#N/A</v>
      </c>
      <c r="J160" s="1927">
        <f t="shared" si="12"/>
        <v>0</v>
      </c>
      <c r="K160" s="1928">
        <v>6.4000000000001001E-3</v>
      </c>
      <c r="L160" s="1931" t="e">
        <f>($K$9*Term)/((($J$8-BBR+'Product Data'!$K$2-'KB_BTL Opt Roll Defer Top Slice'!$K160)/12)*(Term-'KB_BTL Opt Roll Defer Top Slice'!J160)*'Product Data'!$P$18)</f>
        <v>#N/A</v>
      </c>
    </row>
    <row r="161" spans="2:12" x14ac:dyDescent="0.25">
      <c r="B161" s="1927">
        <f t="shared" si="10"/>
        <v>0</v>
      </c>
      <c r="C161" s="1928">
        <v>6.3000000000000998E-3</v>
      </c>
      <c r="D161" s="1931" t="e">
        <f>($C$9*Term)/((($B$8-BBR+'Product Data'!$K$3-'KB_BTL Opt Roll Defer Top Slice'!$C161)/12)*(Term-'KB_BTL Opt Roll Defer Top Slice'!B161)*'Product Data'!$P$18)</f>
        <v>#N/A</v>
      </c>
      <c r="F161" s="1927">
        <f t="shared" si="11"/>
        <v>0</v>
      </c>
      <c r="G161" s="1928">
        <v>6.3000000000000998E-3</v>
      </c>
      <c r="H161" s="1931" t="e">
        <f>($G$9*Term)/((($F$8-BBR+'Product Data'!$K$3-'KB_BTL Opt Roll Defer Top Slice'!$G161)/12)*(Term-'KB_BTL Opt Roll Defer Top Slice'!F161)*'Product Data'!$P$18)</f>
        <v>#N/A</v>
      </c>
      <c r="J161" s="1927">
        <f t="shared" si="12"/>
        <v>0</v>
      </c>
      <c r="K161" s="1928">
        <v>6.3000000000000998E-3</v>
      </c>
      <c r="L161" s="1931" t="e">
        <f>($K$9*Term)/((($J$8-BBR+'Product Data'!$K$2-'KB_BTL Opt Roll Defer Top Slice'!$K161)/12)*(Term-'KB_BTL Opt Roll Defer Top Slice'!J161)*'Product Data'!$P$18)</f>
        <v>#N/A</v>
      </c>
    </row>
    <row r="162" spans="2:12" x14ac:dyDescent="0.25">
      <c r="B162" s="1927">
        <f t="shared" si="10"/>
        <v>0</v>
      </c>
      <c r="C162" s="1928">
        <v>6.2000000000001004E-3</v>
      </c>
      <c r="D162" s="1931" t="e">
        <f>($C$9*Term)/((($B$8-BBR+'Product Data'!$K$3-'KB_BTL Opt Roll Defer Top Slice'!$C162)/12)*(Term-'KB_BTL Opt Roll Defer Top Slice'!B162)*'Product Data'!$P$18)</f>
        <v>#N/A</v>
      </c>
      <c r="F162" s="1927">
        <f t="shared" si="11"/>
        <v>0</v>
      </c>
      <c r="G162" s="1928">
        <v>6.2000000000001004E-3</v>
      </c>
      <c r="H162" s="1931" t="e">
        <f>($G$9*Term)/((($F$8-BBR+'Product Data'!$K$3-'KB_BTL Opt Roll Defer Top Slice'!$G162)/12)*(Term-'KB_BTL Opt Roll Defer Top Slice'!F162)*'Product Data'!$P$18)</f>
        <v>#N/A</v>
      </c>
      <c r="J162" s="1927">
        <f t="shared" si="12"/>
        <v>0</v>
      </c>
      <c r="K162" s="1928">
        <v>6.2000000000001004E-3</v>
      </c>
      <c r="L162" s="1931" t="e">
        <f>($K$9*Term)/((($J$8-BBR+'Product Data'!$K$2-'KB_BTL Opt Roll Defer Top Slice'!$K162)/12)*(Term-'KB_BTL Opt Roll Defer Top Slice'!J162)*'Product Data'!$P$18)</f>
        <v>#N/A</v>
      </c>
    </row>
    <row r="163" spans="2:12" x14ac:dyDescent="0.25">
      <c r="B163" s="1927">
        <f t="shared" si="10"/>
        <v>0</v>
      </c>
      <c r="C163" s="1928">
        <v>6.1000000000001001E-3</v>
      </c>
      <c r="D163" s="1931" t="e">
        <f>($C$9*Term)/((($B$8-BBR+'Product Data'!$K$3-'KB_BTL Opt Roll Defer Top Slice'!$C163)/12)*(Term-'KB_BTL Opt Roll Defer Top Slice'!B163)*'Product Data'!$P$18)</f>
        <v>#N/A</v>
      </c>
      <c r="F163" s="1927">
        <f t="shared" si="11"/>
        <v>0</v>
      </c>
      <c r="G163" s="1928">
        <v>6.1000000000001001E-3</v>
      </c>
      <c r="H163" s="1931" t="e">
        <f>($G$9*Term)/((($F$8-BBR+'Product Data'!$K$3-'KB_BTL Opt Roll Defer Top Slice'!$G163)/12)*(Term-'KB_BTL Opt Roll Defer Top Slice'!F163)*'Product Data'!$P$18)</f>
        <v>#N/A</v>
      </c>
      <c r="J163" s="1927">
        <f t="shared" si="12"/>
        <v>0</v>
      </c>
      <c r="K163" s="1928">
        <v>6.1000000000001001E-3</v>
      </c>
      <c r="L163" s="1931" t="e">
        <f>($K$9*Term)/((($J$8-BBR+'Product Data'!$K$2-'KB_BTL Opt Roll Defer Top Slice'!$K163)/12)*(Term-'KB_BTL Opt Roll Defer Top Slice'!J163)*'Product Data'!$P$18)</f>
        <v>#N/A</v>
      </c>
    </row>
    <row r="164" spans="2:12" x14ac:dyDescent="0.25">
      <c r="B164" s="1927">
        <f t="shared" si="10"/>
        <v>0</v>
      </c>
      <c r="C164" s="1928">
        <v>6.0000000000000999E-3</v>
      </c>
      <c r="D164" s="1931" t="e">
        <f>($C$9*Term)/((($B$8-BBR+'Product Data'!$K$3-'KB_BTL Opt Roll Defer Top Slice'!$C164)/12)*(Term-'KB_BTL Opt Roll Defer Top Slice'!B164)*'Product Data'!$P$18)</f>
        <v>#N/A</v>
      </c>
      <c r="F164" s="1927">
        <f t="shared" si="11"/>
        <v>0</v>
      </c>
      <c r="G164" s="1928">
        <v>6.0000000000000999E-3</v>
      </c>
      <c r="H164" s="1931" t="e">
        <f>($G$9*Term)/((($F$8-BBR+'Product Data'!$K$3-'KB_BTL Opt Roll Defer Top Slice'!$G164)/12)*(Term-'KB_BTL Opt Roll Defer Top Slice'!F164)*'Product Data'!$P$18)</f>
        <v>#N/A</v>
      </c>
      <c r="J164" s="1927">
        <f t="shared" si="12"/>
        <v>0</v>
      </c>
      <c r="K164" s="1928">
        <v>6.0000000000000999E-3</v>
      </c>
      <c r="L164" s="1931" t="e">
        <f>($K$9*Term)/((($J$8-BBR+'Product Data'!$K$2-'KB_BTL Opt Roll Defer Top Slice'!$K164)/12)*(Term-'KB_BTL Opt Roll Defer Top Slice'!J164)*'Product Data'!$P$18)</f>
        <v>#N/A</v>
      </c>
    </row>
    <row r="165" spans="2:12" x14ac:dyDescent="0.25">
      <c r="B165" s="1927">
        <f t="shared" si="10"/>
        <v>0</v>
      </c>
      <c r="C165" s="1928">
        <v>5.9000000000000996E-3</v>
      </c>
      <c r="D165" s="1931" t="e">
        <f>($C$9*Term)/((($B$8-BBR+'Product Data'!$K$3-'KB_BTL Opt Roll Defer Top Slice'!$C165)/12)*(Term-'KB_BTL Opt Roll Defer Top Slice'!B165)*'Product Data'!$P$18)</f>
        <v>#N/A</v>
      </c>
      <c r="F165" s="1927">
        <f t="shared" si="11"/>
        <v>0</v>
      </c>
      <c r="G165" s="1928">
        <v>5.9000000000000996E-3</v>
      </c>
      <c r="H165" s="1931" t="e">
        <f>($G$9*Term)/((($F$8-BBR+'Product Data'!$K$3-'KB_BTL Opt Roll Defer Top Slice'!$G165)/12)*(Term-'KB_BTL Opt Roll Defer Top Slice'!F165)*'Product Data'!$P$18)</f>
        <v>#N/A</v>
      </c>
      <c r="J165" s="1927">
        <f t="shared" si="12"/>
        <v>0</v>
      </c>
      <c r="K165" s="1928">
        <v>5.9000000000000996E-3</v>
      </c>
      <c r="L165" s="1931" t="e">
        <f>($K$9*Term)/((($J$8-BBR+'Product Data'!$K$2-'KB_BTL Opt Roll Defer Top Slice'!$K165)/12)*(Term-'KB_BTL Opt Roll Defer Top Slice'!J165)*'Product Data'!$P$18)</f>
        <v>#N/A</v>
      </c>
    </row>
    <row r="166" spans="2:12" x14ac:dyDescent="0.25">
      <c r="B166" s="1927">
        <f t="shared" si="10"/>
        <v>0</v>
      </c>
      <c r="C166" s="1928">
        <v>5.8000000000001002E-3</v>
      </c>
      <c r="D166" s="1931" t="e">
        <f>($C$9*Term)/((($B$8-BBR+'Product Data'!$K$3-'KB_BTL Opt Roll Defer Top Slice'!$C166)/12)*(Term-'KB_BTL Opt Roll Defer Top Slice'!B166)*'Product Data'!$P$18)</f>
        <v>#N/A</v>
      </c>
      <c r="F166" s="1927">
        <f t="shared" si="11"/>
        <v>0</v>
      </c>
      <c r="G166" s="1928">
        <v>5.8000000000001002E-3</v>
      </c>
      <c r="H166" s="1931" t="e">
        <f>($G$9*Term)/((($F$8-BBR+'Product Data'!$K$3-'KB_BTL Opt Roll Defer Top Slice'!$G166)/12)*(Term-'KB_BTL Opt Roll Defer Top Slice'!F166)*'Product Data'!$P$18)</f>
        <v>#N/A</v>
      </c>
      <c r="J166" s="1927">
        <f t="shared" si="12"/>
        <v>0</v>
      </c>
      <c r="K166" s="1928">
        <v>5.8000000000001002E-3</v>
      </c>
      <c r="L166" s="1931" t="e">
        <f>($K$9*Term)/((($J$8-BBR+'Product Data'!$K$2-'KB_BTL Opt Roll Defer Top Slice'!$K166)/12)*(Term-'KB_BTL Opt Roll Defer Top Slice'!J166)*'Product Data'!$P$18)</f>
        <v>#N/A</v>
      </c>
    </row>
    <row r="167" spans="2:12" x14ac:dyDescent="0.25">
      <c r="B167" s="1927">
        <f t="shared" si="10"/>
        <v>0</v>
      </c>
      <c r="C167" s="1928">
        <v>5.7000000000001E-3</v>
      </c>
      <c r="D167" s="1931" t="e">
        <f>($C$9*Term)/((($B$8-BBR+'Product Data'!$K$3-'KB_BTL Opt Roll Defer Top Slice'!$C167)/12)*(Term-'KB_BTL Opt Roll Defer Top Slice'!B167)*'Product Data'!$P$18)</f>
        <v>#N/A</v>
      </c>
      <c r="F167" s="1927">
        <f t="shared" si="11"/>
        <v>0</v>
      </c>
      <c r="G167" s="1928">
        <v>5.7000000000001E-3</v>
      </c>
      <c r="H167" s="1931" t="e">
        <f>($G$9*Term)/((($F$8-BBR+'Product Data'!$K$3-'KB_BTL Opt Roll Defer Top Slice'!$G167)/12)*(Term-'KB_BTL Opt Roll Defer Top Slice'!F167)*'Product Data'!$P$18)</f>
        <v>#N/A</v>
      </c>
      <c r="J167" s="1927">
        <f t="shared" si="12"/>
        <v>0</v>
      </c>
      <c r="K167" s="1928">
        <v>5.7000000000001E-3</v>
      </c>
      <c r="L167" s="1931" t="e">
        <f>($K$9*Term)/((($J$8-BBR+'Product Data'!$K$2-'KB_BTL Opt Roll Defer Top Slice'!$K167)/12)*(Term-'KB_BTL Opt Roll Defer Top Slice'!J167)*'Product Data'!$P$18)</f>
        <v>#N/A</v>
      </c>
    </row>
    <row r="168" spans="2:12" x14ac:dyDescent="0.25">
      <c r="B168" s="1927">
        <f t="shared" si="10"/>
        <v>0</v>
      </c>
      <c r="C168" s="1928">
        <v>5.6000000000000997E-3</v>
      </c>
      <c r="D168" s="1931" t="e">
        <f>($C$9*Term)/((($B$8-BBR+'Product Data'!$K$3-'KB_BTL Opt Roll Defer Top Slice'!$C168)/12)*(Term-'KB_BTL Opt Roll Defer Top Slice'!B168)*'Product Data'!$P$18)</f>
        <v>#N/A</v>
      </c>
      <c r="F168" s="1927">
        <f t="shared" si="11"/>
        <v>0</v>
      </c>
      <c r="G168" s="1928">
        <v>5.6000000000000997E-3</v>
      </c>
      <c r="H168" s="1931" t="e">
        <f>($G$9*Term)/((($F$8-BBR+'Product Data'!$K$3-'KB_BTL Opt Roll Defer Top Slice'!$G168)/12)*(Term-'KB_BTL Opt Roll Defer Top Slice'!F168)*'Product Data'!$P$18)</f>
        <v>#N/A</v>
      </c>
      <c r="J168" s="1927">
        <f t="shared" si="12"/>
        <v>0</v>
      </c>
      <c r="K168" s="1928">
        <v>5.6000000000000997E-3</v>
      </c>
      <c r="L168" s="1931" t="e">
        <f>($K$9*Term)/((($J$8-BBR+'Product Data'!$K$2-'KB_BTL Opt Roll Defer Top Slice'!$K168)/12)*(Term-'KB_BTL Opt Roll Defer Top Slice'!J168)*'Product Data'!$P$18)</f>
        <v>#N/A</v>
      </c>
    </row>
    <row r="169" spans="2:12" x14ac:dyDescent="0.25">
      <c r="B169" s="1927">
        <f t="shared" si="10"/>
        <v>0</v>
      </c>
      <c r="C169" s="1928">
        <v>5.5000000000001003E-3</v>
      </c>
      <c r="D169" s="1931" t="e">
        <f>($C$9*Term)/((($B$8-BBR+'Product Data'!$K$3-'KB_BTL Opt Roll Defer Top Slice'!$C169)/12)*(Term-'KB_BTL Opt Roll Defer Top Slice'!B169)*'Product Data'!$P$18)</f>
        <v>#N/A</v>
      </c>
      <c r="F169" s="1927">
        <f t="shared" si="11"/>
        <v>0</v>
      </c>
      <c r="G169" s="1928">
        <v>5.5000000000001003E-3</v>
      </c>
      <c r="H169" s="1931" t="e">
        <f>($G$9*Term)/((($F$8-BBR+'Product Data'!$K$3-'KB_BTL Opt Roll Defer Top Slice'!$G169)/12)*(Term-'KB_BTL Opt Roll Defer Top Slice'!F169)*'Product Data'!$P$18)</f>
        <v>#N/A</v>
      </c>
      <c r="J169" s="1927">
        <f t="shared" si="12"/>
        <v>0</v>
      </c>
      <c r="K169" s="1928">
        <v>5.5000000000001003E-3</v>
      </c>
      <c r="L169" s="1931" t="e">
        <f>($K$9*Term)/((($J$8-BBR+'Product Data'!$K$2-'KB_BTL Opt Roll Defer Top Slice'!$K169)/12)*(Term-'KB_BTL Opt Roll Defer Top Slice'!J169)*'Product Data'!$P$18)</f>
        <v>#N/A</v>
      </c>
    </row>
    <row r="170" spans="2:12" x14ac:dyDescent="0.25">
      <c r="B170" s="1927">
        <f t="shared" ref="B170:B201" si="13">B169</f>
        <v>0</v>
      </c>
      <c r="C170" s="1928">
        <v>5.4000000000001E-3</v>
      </c>
      <c r="D170" s="1931" t="e">
        <f>($C$9*Term)/((($B$8-BBR+'Product Data'!$K$3-'KB_BTL Opt Roll Defer Top Slice'!$C170)/12)*(Term-'KB_BTL Opt Roll Defer Top Slice'!B170)*'Product Data'!$P$18)</f>
        <v>#N/A</v>
      </c>
      <c r="F170" s="1927">
        <f t="shared" si="11"/>
        <v>0</v>
      </c>
      <c r="G170" s="1928">
        <v>5.4000000000001E-3</v>
      </c>
      <c r="H170" s="1931" t="e">
        <f>($G$9*Term)/((($F$8-BBR+'Product Data'!$K$3-'KB_BTL Opt Roll Defer Top Slice'!$G170)/12)*(Term-'KB_BTL Opt Roll Defer Top Slice'!F170)*'Product Data'!$P$18)</f>
        <v>#N/A</v>
      </c>
      <c r="J170" s="1927">
        <f t="shared" si="12"/>
        <v>0</v>
      </c>
      <c r="K170" s="1928">
        <v>5.4000000000001E-3</v>
      </c>
      <c r="L170" s="1931" t="e">
        <f>($K$9*Term)/((($J$8-BBR+'Product Data'!$K$2-'KB_BTL Opt Roll Defer Top Slice'!$K170)/12)*(Term-'KB_BTL Opt Roll Defer Top Slice'!J170)*'Product Data'!$P$18)</f>
        <v>#N/A</v>
      </c>
    </row>
    <row r="171" spans="2:12" x14ac:dyDescent="0.25">
      <c r="B171" s="1927">
        <f t="shared" si="13"/>
        <v>0</v>
      </c>
      <c r="C171" s="1928">
        <v>5.3000000000000998E-3</v>
      </c>
      <c r="D171" s="1931" t="e">
        <f>($C$9*Term)/((($B$8-BBR+'Product Data'!$K$3-'KB_BTL Opt Roll Defer Top Slice'!$C171)/12)*(Term-'KB_BTL Opt Roll Defer Top Slice'!B171)*'Product Data'!$P$18)</f>
        <v>#N/A</v>
      </c>
      <c r="F171" s="1927">
        <f t="shared" si="11"/>
        <v>0</v>
      </c>
      <c r="G171" s="1928">
        <v>5.3000000000000998E-3</v>
      </c>
      <c r="H171" s="1931" t="e">
        <f>($G$9*Term)/((($F$8-BBR+'Product Data'!$K$3-'KB_BTL Opt Roll Defer Top Slice'!$G171)/12)*(Term-'KB_BTL Opt Roll Defer Top Slice'!F171)*'Product Data'!$P$18)</f>
        <v>#N/A</v>
      </c>
      <c r="J171" s="1927">
        <f t="shared" si="12"/>
        <v>0</v>
      </c>
      <c r="K171" s="1928">
        <v>5.3000000000000998E-3</v>
      </c>
      <c r="L171" s="1931" t="e">
        <f>($K$9*Term)/((($J$8-BBR+'Product Data'!$K$2-'KB_BTL Opt Roll Defer Top Slice'!$K171)/12)*(Term-'KB_BTL Opt Roll Defer Top Slice'!J171)*'Product Data'!$P$18)</f>
        <v>#N/A</v>
      </c>
    </row>
    <row r="172" spans="2:12" x14ac:dyDescent="0.25">
      <c r="B172" s="1927">
        <f t="shared" si="13"/>
        <v>0</v>
      </c>
      <c r="C172" s="1928">
        <v>5.2000000000001004E-3</v>
      </c>
      <c r="D172" s="1931" t="e">
        <f>($C$9*Term)/((($B$8-BBR+'Product Data'!$K$3-'KB_BTL Opt Roll Defer Top Slice'!$C172)/12)*(Term-'KB_BTL Opt Roll Defer Top Slice'!B172)*'Product Data'!$P$18)</f>
        <v>#N/A</v>
      </c>
      <c r="F172" s="1927">
        <f t="shared" si="11"/>
        <v>0</v>
      </c>
      <c r="G172" s="1928">
        <v>5.2000000000001004E-3</v>
      </c>
      <c r="H172" s="1931" t="e">
        <f>($G$9*Term)/((($F$8-BBR+'Product Data'!$K$3-'KB_BTL Opt Roll Defer Top Slice'!$G172)/12)*(Term-'KB_BTL Opt Roll Defer Top Slice'!F172)*'Product Data'!$P$18)</f>
        <v>#N/A</v>
      </c>
      <c r="J172" s="1927">
        <f t="shared" si="12"/>
        <v>0</v>
      </c>
      <c r="K172" s="1928">
        <v>5.2000000000001004E-3</v>
      </c>
      <c r="L172" s="1931" t="e">
        <f>($K$9*Term)/((($J$8-BBR+'Product Data'!$K$2-'KB_BTL Opt Roll Defer Top Slice'!$K172)/12)*(Term-'KB_BTL Opt Roll Defer Top Slice'!J172)*'Product Data'!$P$18)</f>
        <v>#N/A</v>
      </c>
    </row>
    <row r="173" spans="2:12" x14ac:dyDescent="0.25">
      <c r="B173" s="1927">
        <f t="shared" si="13"/>
        <v>0</v>
      </c>
      <c r="C173" s="1928">
        <v>5.1000000000001001E-3</v>
      </c>
      <c r="D173" s="1931" t="e">
        <f>($C$9*Term)/((($B$8-BBR+'Product Data'!$K$3-'KB_BTL Opt Roll Defer Top Slice'!$C173)/12)*(Term-'KB_BTL Opt Roll Defer Top Slice'!B173)*'Product Data'!$P$18)</f>
        <v>#N/A</v>
      </c>
      <c r="F173" s="1927">
        <f t="shared" si="11"/>
        <v>0</v>
      </c>
      <c r="G173" s="1928">
        <v>5.1000000000001001E-3</v>
      </c>
      <c r="H173" s="1931" t="e">
        <f>($G$9*Term)/((($F$8-BBR+'Product Data'!$K$3-'KB_BTL Opt Roll Defer Top Slice'!$G173)/12)*(Term-'KB_BTL Opt Roll Defer Top Slice'!F173)*'Product Data'!$P$18)</f>
        <v>#N/A</v>
      </c>
      <c r="J173" s="1927">
        <f t="shared" si="12"/>
        <v>0</v>
      </c>
      <c r="K173" s="1928">
        <v>5.1000000000001001E-3</v>
      </c>
      <c r="L173" s="1931" t="e">
        <f>($K$9*Term)/((($J$8-BBR+'Product Data'!$K$2-'KB_BTL Opt Roll Defer Top Slice'!$K173)/12)*(Term-'KB_BTL Opt Roll Defer Top Slice'!J173)*'Product Data'!$P$18)</f>
        <v>#N/A</v>
      </c>
    </row>
    <row r="174" spans="2:12" x14ac:dyDescent="0.25">
      <c r="B174" s="1927">
        <f t="shared" si="13"/>
        <v>0</v>
      </c>
      <c r="C174" s="1928">
        <v>5.0000000000000999E-3</v>
      </c>
      <c r="D174" s="1931" t="e">
        <f>($C$9*Term)/((($B$8-BBR+'Product Data'!$K$3-'KB_BTL Opt Roll Defer Top Slice'!$C174)/12)*(Term-'KB_BTL Opt Roll Defer Top Slice'!B174)*'Product Data'!$P$18)</f>
        <v>#N/A</v>
      </c>
      <c r="F174" s="1927">
        <f t="shared" si="11"/>
        <v>0</v>
      </c>
      <c r="G174" s="1928">
        <v>5.0000000000000999E-3</v>
      </c>
      <c r="H174" s="1931" t="e">
        <f>($G$9*Term)/((($F$8-BBR+'Product Data'!$K$3-'KB_BTL Opt Roll Defer Top Slice'!$G174)/12)*(Term-'KB_BTL Opt Roll Defer Top Slice'!F174)*'Product Data'!$P$18)</f>
        <v>#N/A</v>
      </c>
      <c r="J174" s="1927">
        <f t="shared" si="12"/>
        <v>0</v>
      </c>
      <c r="K174" s="1928">
        <v>5.0000000000000999E-3</v>
      </c>
      <c r="L174" s="1931" t="e">
        <f>($K$9*Term)/((($J$8-BBR+'Product Data'!$K$2-'KB_BTL Opt Roll Defer Top Slice'!$K174)/12)*(Term-'KB_BTL Opt Roll Defer Top Slice'!J174)*'Product Data'!$P$18)</f>
        <v>#N/A</v>
      </c>
    </row>
    <row r="175" spans="2:12" x14ac:dyDescent="0.25">
      <c r="B175" s="1927">
        <f t="shared" si="13"/>
        <v>0</v>
      </c>
      <c r="C175" s="1928">
        <v>4.9000000000000996E-3</v>
      </c>
      <c r="D175" s="1931" t="e">
        <f>($C$9*Term)/((($B$8-BBR+'Product Data'!$K$3-'KB_BTL Opt Roll Defer Top Slice'!$C175)/12)*(Term-'KB_BTL Opt Roll Defer Top Slice'!B175)*'Product Data'!$P$18)</f>
        <v>#N/A</v>
      </c>
      <c r="F175" s="1927">
        <f t="shared" si="11"/>
        <v>0</v>
      </c>
      <c r="G175" s="1928">
        <v>4.9000000000000996E-3</v>
      </c>
      <c r="H175" s="1931" t="e">
        <f>($G$9*Term)/((($F$8-BBR+'Product Data'!$K$3-'KB_BTL Opt Roll Defer Top Slice'!$G175)/12)*(Term-'KB_BTL Opt Roll Defer Top Slice'!F175)*'Product Data'!$P$18)</f>
        <v>#N/A</v>
      </c>
      <c r="J175" s="1927">
        <f t="shared" si="12"/>
        <v>0</v>
      </c>
      <c r="K175" s="1928">
        <v>4.9000000000000996E-3</v>
      </c>
      <c r="L175" s="1931" t="e">
        <f>($K$9*Term)/((($J$8-BBR+'Product Data'!$K$2-'KB_BTL Opt Roll Defer Top Slice'!$K175)/12)*(Term-'KB_BTL Opt Roll Defer Top Slice'!J175)*'Product Data'!$P$18)</f>
        <v>#N/A</v>
      </c>
    </row>
    <row r="176" spans="2:12" x14ac:dyDescent="0.25">
      <c r="B176" s="1927">
        <f t="shared" si="13"/>
        <v>0</v>
      </c>
      <c r="C176" s="1928">
        <v>4.8000000000001002E-3</v>
      </c>
      <c r="D176" s="1931" t="e">
        <f>($C$9*Term)/((($B$8-BBR+'Product Data'!$K$3-'KB_BTL Opt Roll Defer Top Slice'!$C176)/12)*(Term-'KB_BTL Opt Roll Defer Top Slice'!B176)*'Product Data'!$P$18)</f>
        <v>#N/A</v>
      </c>
      <c r="F176" s="1927">
        <f t="shared" si="11"/>
        <v>0</v>
      </c>
      <c r="G176" s="1928">
        <v>4.8000000000001002E-3</v>
      </c>
      <c r="H176" s="1931" t="e">
        <f>($G$9*Term)/((($F$8-BBR+'Product Data'!$K$3-'KB_BTL Opt Roll Defer Top Slice'!$G176)/12)*(Term-'KB_BTL Opt Roll Defer Top Slice'!F176)*'Product Data'!$P$18)</f>
        <v>#N/A</v>
      </c>
      <c r="J176" s="1927">
        <f t="shared" si="12"/>
        <v>0</v>
      </c>
      <c r="K176" s="1928">
        <v>4.8000000000001002E-3</v>
      </c>
      <c r="L176" s="1931" t="e">
        <f>($K$9*Term)/((($J$8-BBR+'Product Data'!$K$2-'KB_BTL Opt Roll Defer Top Slice'!$K176)/12)*(Term-'KB_BTL Opt Roll Defer Top Slice'!J176)*'Product Data'!$P$18)</f>
        <v>#N/A</v>
      </c>
    </row>
    <row r="177" spans="2:12" x14ac:dyDescent="0.25">
      <c r="B177" s="1927">
        <f t="shared" si="13"/>
        <v>0</v>
      </c>
      <c r="C177" s="1928">
        <v>4.7000000000000999E-3</v>
      </c>
      <c r="D177" s="1931" t="e">
        <f>($C$9*Term)/((($B$8-BBR+'Product Data'!$K$3-'KB_BTL Opt Roll Defer Top Slice'!$C177)/12)*(Term-'KB_BTL Opt Roll Defer Top Slice'!B177)*'Product Data'!$P$18)</f>
        <v>#N/A</v>
      </c>
      <c r="F177" s="1927">
        <f t="shared" si="11"/>
        <v>0</v>
      </c>
      <c r="G177" s="1928">
        <v>4.7000000000000999E-3</v>
      </c>
      <c r="H177" s="1931" t="e">
        <f>($G$9*Term)/((($F$8-BBR+'Product Data'!$K$3-'KB_BTL Opt Roll Defer Top Slice'!$G177)/12)*(Term-'KB_BTL Opt Roll Defer Top Slice'!F177)*'Product Data'!$P$18)</f>
        <v>#N/A</v>
      </c>
      <c r="J177" s="1927">
        <f t="shared" si="12"/>
        <v>0</v>
      </c>
      <c r="K177" s="1928">
        <v>4.7000000000000999E-3</v>
      </c>
      <c r="L177" s="1931" t="e">
        <f>($K$9*Term)/((($J$8-BBR+'Product Data'!$K$2-'KB_BTL Opt Roll Defer Top Slice'!$K177)/12)*(Term-'KB_BTL Opt Roll Defer Top Slice'!J177)*'Product Data'!$P$18)</f>
        <v>#N/A</v>
      </c>
    </row>
    <row r="178" spans="2:12" x14ac:dyDescent="0.25">
      <c r="B178" s="1927">
        <f t="shared" si="13"/>
        <v>0</v>
      </c>
      <c r="C178" s="1928">
        <v>4.6000000000000997E-3</v>
      </c>
      <c r="D178" s="1931" t="e">
        <f>($C$9*Term)/((($B$8-BBR+'Product Data'!$K$3-'KB_BTL Opt Roll Defer Top Slice'!$C178)/12)*(Term-'KB_BTL Opt Roll Defer Top Slice'!B178)*'Product Data'!$P$18)</f>
        <v>#N/A</v>
      </c>
      <c r="F178" s="1927">
        <f t="shared" si="11"/>
        <v>0</v>
      </c>
      <c r="G178" s="1928">
        <v>4.6000000000000997E-3</v>
      </c>
      <c r="H178" s="1931" t="e">
        <f>($G$9*Term)/((($F$8-BBR+'Product Data'!$K$3-'KB_BTL Opt Roll Defer Top Slice'!$G178)/12)*(Term-'KB_BTL Opt Roll Defer Top Slice'!F178)*'Product Data'!$P$18)</f>
        <v>#N/A</v>
      </c>
      <c r="J178" s="1927">
        <f t="shared" si="12"/>
        <v>0</v>
      </c>
      <c r="K178" s="1928">
        <v>4.6000000000000997E-3</v>
      </c>
      <c r="L178" s="1931" t="e">
        <f>($K$9*Term)/((($J$8-BBR+'Product Data'!$K$2-'KB_BTL Opt Roll Defer Top Slice'!$K178)/12)*(Term-'KB_BTL Opt Roll Defer Top Slice'!J178)*'Product Data'!$P$18)</f>
        <v>#N/A</v>
      </c>
    </row>
    <row r="179" spans="2:12" x14ac:dyDescent="0.25">
      <c r="B179" s="1927">
        <f t="shared" si="13"/>
        <v>0</v>
      </c>
      <c r="C179" s="1928">
        <v>4.5000000000001003E-3</v>
      </c>
      <c r="D179" s="1931" t="e">
        <f>($C$9*Term)/((($B$8-BBR+'Product Data'!$K$3-'KB_BTL Opt Roll Defer Top Slice'!$C179)/12)*(Term-'KB_BTL Opt Roll Defer Top Slice'!B179)*'Product Data'!$P$18)</f>
        <v>#N/A</v>
      </c>
      <c r="F179" s="1927">
        <f t="shared" si="11"/>
        <v>0</v>
      </c>
      <c r="G179" s="1928">
        <v>4.5000000000001003E-3</v>
      </c>
      <c r="H179" s="1931" t="e">
        <f>($G$9*Term)/((($F$8-BBR+'Product Data'!$K$3-'KB_BTL Opt Roll Defer Top Slice'!$G179)/12)*(Term-'KB_BTL Opt Roll Defer Top Slice'!F179)*'Product Data'!$P$18)</f>
        <v>#N/A</v>
      </c>
      <c r="J179" s="1927">
        <f t="shared" si="12"/>
        <v>0</v>
      </c>
      <c r="K179" s="1928">
        <v>4.5000000000001003E-3</v>
      </c>
      <c r="L179" s="1931" t="e">
        <f>($K$9*Term)/((($J$8-BBR+'Product Data'!$K$2-'KB_BTL Opt Roll Defer Top Slice'!$K179)/12)*(Term-'KB_BTL Opt Roll Defer Top Slice'!J179)*'Product Data'!$P$18)</f>
        <v>#N/A</v>
      </c>
    </row>
    <row r="180" spans="2:12" x14ac:dyDescent="0.25">
      <c r="B180" s="1927">
        <f t="shared" si="13"/>
        <v>0</v>
      </c>
      <c r="C180" s="1928">
        <v>4.4000000000001E-3</v>
      </c>
      <c r="D180" s="1931" t="e">
        <f>($C$9*Term)/((($B$8-BBR+'Product Data'!$K$3-'KB_BTL Opt Roll Defer Top Slice'!$C180)/12)*(Term-'KB_BTL Opt Roll Defer Top Slice'!B180)*'Product Data'!$P$18)</f>
        <v>#N/A</v>
      </c>
      <c r="F180" s="1927">
        <f t="shared" si="11"/>
        <v>0</v>
      </c>
      <c r="G180" s="1928">
        <v>4.4000000000001E-3</v>
      </c>
      <c r="H180" s="1931" t="e">
        <f>($G$9*Term)/((($F$8-BBR+'Product Data'!$K$3-'KB_BTL Opt Roll Defer Top Slice'!$G180)/12)*(Term-'KB_BTL Opt Roll Defer Top Slice'!F180)*'Product Data'!$P$18)</f>
        <v>#N/A</v>
      </c>
      <c r="J180" s="1927">
        <f t="shared" si="12"/>
        <v>0</v>
      </c>
      <c r="K180" s="1928">
        <v>4.4000000000001E-3</v>
      </c>
      <c r="L180" s="1931" t="e">
        <f>($K$9*Term)/((($J$8-BBR+'Product Data'!$K$2-'KB_BTL Opt Roll Defer Top Slice'!$K180)/12)*(Term-'KB_BTL Opt Roll Defer Top Slice'!J180)*'Product Data'!$P$18)</f>
        <v>#N/A</v>
      </c>
    </row>
    <row r="181" spans="2:12" x14ac:dyDescent="0.25">
      <c r="B181" s="1927">
        <f t="shared" si="13"/>
        <v>0</v>
      </c>
      <c r="C181" s="1928">
        <v>4.3000000000000997E-3</v>
      </c>
      <c r="D181" s="1931" t="e">
        <f>($C$9*Term)/((($B$8-BBR+'Product Data'!$K$3-'KB_BTL Opt Roll Defer Top Slice'!$C181)/12)*(Term-'KB_BTL Opt Roll Defer Top Slice'!B181)*'Product Data'!$P$18)</f>
        <v>#N/A</v>
      </c>
      <c r="F181" s="1927">
        <f t="shared" si="11"/>
        <v>0</v>
      </c>
      <c r="G181" s="1928">
        <v>4.3000000000000997E-3</v>
      </c>
      <c r="H181" s="1931" t="e">
        <f>($G$9*Term)/((($F$8-BBR+'Product Data'!$K$3-'KB_BTL Opt Roll Defer Top Slice'!$G181)/12)*(Term-'KB_BTL Opt Roll Defer Top Slice'!F181)*'Product Data'!$P$18)</f>
        <v>#N/A</v>
      </c>
      <c r="J181" s="1927">
        <f t="shared" si="12"/>
        <v>0</v>
      </c>
      <c r="K181" s="1928">
        <v>4.3000000000000997E-3</v>
      </c>
      <c r="L181" s="1931" t="e">
        <f>($K$9*Term)/((($J$8-BBR+'Product Data'!$K$2-'KB_BTL Opt Roll Defer Top Slice'!$K181)/12)*(Term-'KB_BTL Opt Roll Defer Top Slice'!J181)*'Product Data'!$P$18)</f>
        <v>#N/A</v>
      </c>
    </row>
    <row r="182" spans="2:12" x14ac:dyDescent="0.25">
      <c r="B182" s="1927">
        <f t="shared" si="13"/>
        <v>0</v>
      </c>
      <c r="C182" s="1928">
        <v>4.2000000000001004E-3</v>
      </c>
      <c r="D182" s="1931" t="e">
        <f>($C$9*Term)/((($B$8-BBR+'Product Data'!$K$3-'KB_BTL Opt Roll Defer Top Slice'!$C182)/12)*(Term-'KB_BTL Opt Roll Defer Top Slice'!B182)*'Product Data'!$P$18)</f>
        <v>#N/A</v>
      </c>
      <c r="F182" s="1927">
        <f t="shared" si="11"/>
        <v>0</v>
      </c>
      <c r="G182" s="1928">
        <v>4.2000000000001004E-3</v>
      </c>
      <c r="H182" s="1931" t="e">
        <f>($G$9*Term)/((($F$8-BBR+'Product Data'!$K$3-'KB_BTL Opt Roll Defer Top Slice'!$G182)/12)*(Term-'KB_BTL Opt Roll Defer Top Slice'!F182)*'Product Data'!$P$18)</f>
        <v>#N/A</v>
      </c>
      <c r="J182" s="1927">
        <f t="shared" si="12"/>
        <v>0</v>
      </c>
      <c r="K182" s="1928">
        <v>4.2000000000001004E-3</v>
      </c>
      <c r="L182" s="1931" t="e">
        <f>($K$9*Term)/((($J$8-BBR+'Product Data'!$K$2-'KB_BTL Opt Roll Defer Top Slice'!$K182)/12)*(Term-'KB_BTL Opt Roll Defer Top Slice'!J182)*'Product Data'!$P$18)</f>
        <v>#N/A</v>
      </c>
    </row>
    <row r="183" spans="2:12" x14ac:dyDescent="0.25">
      <c r="B183" s="1927">
        <f t="shared" si="13"/>
        <v>0</v>
      </c>
      <c r="C183" s="1928">
        <v>4.1000000000001001E-3</v>
      </c>
      <c r="D183" s="1931" t="e">
        <f>($C$9*Term)/((($B$8-BBR+'Product Data'!$K$3-'KB_BTL Opt Roll Defer Top Slice'!$C183)/12)*(Term-'KB_BTL Opt Roll Defer Top Slice'!B183)*'Product Data'!$P$18)</f>
        <v>#N/A</v>
      </c>
      <c r="F183" s="1927">
        <f t="shared" si="11"/>
        <v>0</v>
      </c>
      <c r="G183" s="1928">
        <v>4.1000000000001001E-3</v>
      </c>
      <c r="H183" s="1931" t="e">
        <f>($G$9*Term)/((($F$8-BBR+'Product Data'!$K$3-'KB_BTL Opt Roll Defer Top Slice'!$G183)/12)*(Term-'KB_BTL Opt Roll Defer Top Slice'!F183)*'Product Data'!$P$18)</f>
        <v>#N/A</v>
      </c>
      <c r="J183" s="1927">
        <f t="shared" si="12"/>
        <v>0</v>
      </c>
      <c r="K183" s="1928">
        <v>4.1000000000001001E-3</v>
      </c>
      <c r="L183" s="1931" t="e">
        <f>($K$9*Term)/((($J$8-BBR+'Product Data'!$K$2-'KB_BTL Opt Roll Defer Top Slice'!$K183)/12)*(Term-'KB_BTL Opt Roll Defer Top Slice'!J183)*'Product Data'!$P$18)</f>
        <v>#N/A</v>
      </c>
    </row>
    <row r="184" spans="2:12" x14ac:dyDescent="0.25">
      <c r="B184" s="1927">
        <f t="shared" si="13"/>
        <v>0</v>
      </c>
      <c r="C184" s="1928">
        <v>4.0000000000000998E-3</v>
      </c>
      <c r="D184" s="1931" t="e">
        <f>($C$9*Term)/((($B$8-BBR+'Product Data'!$K$3-'KB_BTL Opt Roll Defer Top Slice'!$C184)/12)*(Term-'KB_BTL Opt Roll Defer Top Slice'!B184)*'Product Data'!$P$18)</f>
        <v>#N/A</v>
      </c>
      <c r="F184" s="1927">
        <f t="shared" si="11"/>
        <v>0</v>
      </c>
      <c r="G184" s="1928">
        <v>4.0000000000000998E-3</v>
      </c>
      <c r="H184" s="1931" t="e">
        <f>($G$9*Term)/((($F$8-BBR+'Product Data'!$K$3-'KB_BTL Opt Roll Defer Top Slice'!$G184)/12)*(Term-'KB_BTL Opt Roll Defer Top Slice'!F184)*'Product Data'!$P$18)</f>
        <v>#N/A</v>
      </c>
      <c r="J184" s="1927">
        <f t="shared" si="12"/>
        <v>0</v>
      </c>
      <c r="K184" s="1928">
        <v>4.0000000000000998E-3</v>
      </c>
      <c r="L184" s="1931" t="e">
        <f>($K$9*Term)/((($J$8-BBR+'Product Data'!$K$2-'KB_BTL Opt Roll Defer Top Slice'!$K184)/12)*(Term-'KB_BTL Opt Roll Defer Top Slice'!J184)*'Product Data'!$P$18)</f>
        <v>#N/A</v>
      </c>
    </row>
    <row r="185" spans="2:12" x14ac:dyDescent="0.25">
      <c r="B185" s="1927">
        <f t="shared" si="13"/>
        <v>0</v>
      </c>
      <c r="C185" s="1928">
        <v>3.9000000000001E-3</v>
      </c>
      <c r="D185" s="1931" t="e">
        <f>($C$9*Term)/((($B$8-BBR+'Product Data'!$K$3-'KB_BTL Opt Roll Defer Top Slice'!$C185)/12)*(Term-'KB_BTL Opt Roll Defer Top Slice'!B185)*'Product Data'!$P$18)</f>
        <v>#N/A</v>
      </c>
      <c r="F185" s="1927">
        <f t="shared" si="11"/>
        <v>0</v>
      </c>
      <c r="G185" s="1928">
        <v>3.9000000000001E-3</v>
      </c>
      <c r="H185" s="1931" t="e">
        <f>($G$9*Term)/((($F$8-BBR+'Product Data'!$K$3-'KB_BTL Opt Roll Defer Top Slice'!$G185)/12)*(Term-'KB_BTL Opt Roll Defer Top Slice'!F185)*'Product Data'!$P$18)</f>
        <v>#N/A</v>
      </c>
      <c r="J185" s="1927">
        <f t="shared" si="12"/>
        <v>0</v>
      </c>
      <c r="K185" s="1928">
        <v>3.9000000000001E-3</v>
      </c>
      <c r="L185" s="1931" t="e">
        <f>($K$9*Term)/((($J$8-BBR+'Product Data'!$K$2-'KB_BTL Opt Roll Defer Top Slice'!$K185)/12)*(Term-'KB_BTL Opt Roll Defer Top Slice'!J185)*'Product Data'!$P$18)</f>
        <v>#N/A</v>
      </c>
    </row>
    <row r="186" spans="2:12" x14ac:dyDescent="0.25">
      <c r="B186" s="1927">
        <f t="shared" si="13"/>
        <v>0</v>
      </c>
      <c r="C186" s="1928">
        <v>3.8000000000001002E-3</v>
      </c>
      <c r="D186" s="1931" t="e">
        <f>($C$9*Term)/((($B$8-BBR+'Product Data'!$K$3-'KB_BTL Opt Roll Defer Top Slice'!$C186)/12)*(Term-'KB_BTL Opt Roll Defer Top Slice'!B186)*'Product Data'!$P$18)</f>
        <v>#N/A</v>
      </c>
      <c r="F186" s="1927">
        <f t="shared" si="11"/>
        <v>0</v>
      </c>
      <c r="G186" s="1928">
        <v>3.8000000000001002E-3</v>
      </c>
      <c r="H186" s="1931" t="e">
        <f>($G$9*Term)/((($F$8-BBR+'Product Data'!$K$3-'KB_BTL Opt Roll Defer Top Slice'!$G186)/12)*(Term-'KB_BTL Opt Roll Defer Top Slice'!F186)*'Product Data'!$P$18)</f>
        <v>#N/A</v>
      </c>
      <c r="J186" s="1927">
        <f t="shared" si="12"/>
        <v>0</v>
      </c>
      <c r="K186" s="1928">
        <v>3.8000000000001002E-3</v>
      </c>
      <c r="L186" s="1931" t="e">
        <f>($K$9*Term)/((($J$8-BBR+'Product Data'!$K$2-'KB_BTL Opt Roll Defer Top Slice'!$K186)/12)*(Term-'KB_BTL Opt Roll Defer Top Slice'!J186)*'Product Data'!$P$18)</f>
        <v>#N/A</v>
      </c>
    </row>
    <row r="187" spans="2:12" x14ac:dyDescent="0.25">
      <c r="B187" s="1927">
        <f t="shared" si="13"/>
        <v>0</v>
      </c>
      <c r="C187" s="1928">
        <v>3.7000000000000999E-3</v>
      </c>
      <c r="D187" s="1931" t="e">
        <f>($C$9*Term)/((($B$8-BBR+'Product Data'!$K$3-'KB_BTL Opt Roll Defer Top Slice'!$C187)/12)*(Term-'KB_BTL Opt Roll Defer Top Slice'!B187)*'Product Data'!$P$18)</f>
        <v>#N/A</v>
      </c>
      <c r="F187" s="1927">
        <f t="shared" si="11"/>
        <v>0</v>
      </c>
      <c r="G187" s="1928">
        <v>3.7000000000000999E-3</v>
      </c>
      <c r="H187" s="1931" t="e">
        <f>($G$9*Term)/((($F$8-BBR+'Product Data'!$K$3-'KB_BTL Opt Roll Defer Top Slice'!$G187)/12)*(Term-'KB_BTL Opt Roll Defer Top Slice'!F187)*'Product Data'!$P$18)</f>
        <v>#N/A</v>
      </c>
      <c r="J187" s="1927">
        <f t="shared" si="12"/>
        <v>0</v>
      </c>
      <c r="K187" s="1928">
        <v>3.7000000000000999E-3</v>
      </c>
      <c r="L187" s="1931" t="e">
        <f>($K$9*Term)/((($J$8-BBR+'Product Data'!$K$2-'KB_BTL Opt Roll Defer Top Slice'!$K187)/12)*(Term-'KB_BTL Opt Roll Defer Top Slice'!J187)*'Product Data'!$P$18)</f>
        <v>#N/A</v>
      </c>
    </row>
    <row r="188" spans="2:12" x14ac:dyDescent="0.25">
      <c r="B188" s="1927">
        <f t="shared" si="13"/>
        <v>0</v>
      </c>
      <c r="C188" s="1928">
        <v>3.6000000000001001E-3</v>
      </c>
      <c r="D188" s="1931" t="e">
        <f>($C$9*Term)/((($B$8-BBR+'Product Data'!$K$3-'KB_BTL Opt Roll Defer Top Slice'!$C188)/12)*(Term-'KB_BTL Opt Roll Defer Top Slice'!B188)*'Product Data'!$P$18)</f>
        <v>#N/A</v>
      </c>
      <c r="F188" s="1927">
        <f t="shared" si="11"/>
        <v>0</v>
      </c>
      <c r="G188" s="1928">
        <v>3.6000000000001001E-3</v>
      </c>
      <c r="H188" s="1931" t="e">
        <f>($G$9*Term)/((($F$8-BBR+'Product Data'!$K$3-'KB_BTL Opt Roll Defer Top Slice'!$G188)/12)*(Term-'KB_BTL Opt Roll Defer Top Slice'!F188)*'Product Data'!$P$18)</f>
        <v>#N/A</v>
      </c>
      <c r="J188" s="1927">
        <f t="shared" si="12"/>
        <v>0</v>
      </c>
      <c r="K188" s="1928">
        <v>3.6000000000001001E-3</v>
      </c>
      <c r="L188" s="1931" t="e">
        <f>($K$9*Term)/((($J$8-BBR+'Product Data'!$K$2-'KB_BTL Opt Roll Defer Top Slice'!$K188)/12)*(Term-'KB_BTL Opt Roll Defer Top Slice'!J188)*'Product Data'!$P$18)</f>
        <v>#N/A</v>
      </c>
    </row>
    <row r="189" spans="2:12" x14ac:dyDescent="0.25">
      <c r="B189" s="1927">
        <f t="shared" si="13"/>
        <v>0</v>
      </c>
      <c r="C189" s="1928">
        <v>3.5000000000000998E-3</v>
      </c>
      <c r="D189" s="1931" t="e">
        <f>($C$9*Term)/((($B$8-BBR+'Product Data'!$K$3-'KB_BTL Opt Roll Defer Top Slice'!$C189)/12)*(Term-'KB_BTL Opt Roll Defer Top Slice'!B189)*'Product Data'!$P$18)</f>
        <v>#N/A</v>
      </c>
      <c r="F189" s="1927">
        <f t="shared" si="11"/>
        <v>0</v>
      </c>
      <c r="G189" s="1928">
        <v>3.5000000000000998E-3</v>
      </c>
      <c r="H189" s="1931" t="e">
        <f>($G$9*Term)/((($F$8-BBR+'Product Data'!$K$3-'KB_BTL Opt Roll Defer Top Slice'!$G189)/12)*(Term-'KB_BTL Opt Roll Defer Top Slice'!F189)*'Product Data'!$P$18)</f>
        <v>#N/A</v>
      </c>
      <c r="J189" s="1927">
        <f t="shared" si="12"/>
        <v>0</v>
      </c>
      <c r="K189" s="1928">
        <v>3.5000000000000998E-3</v>
      </c>
      <c r="L189" s="1931" t="e">
        <f>($K$9*Term)/((($J$8-BBR+'Product Data'!$K$2-'KB_BTL Opt Roll Defer Top Slice'!$K189)/12)*(Term-'KB_BTL Opt Roll Defer Top Slice'!J189)*'Product Data'!$P$18)</f>
        <v>#N/A</v>
      </c>
    </row>
    <row r="190" spans="2:12" x14ac:dyDescent="0.25">
      <c r="B190" s="1927">
        <f t="shared" si="13"/>
        <v>0</v>
      </c>
      <c r="C190" s="1928">
        <v>3.4000000000001E-3</v>
      </c>
      <c r="D190" s="1931" t="e">
        <f>($C$9*Term)/((($B$8-BBR+'Product Data'!$K$3-'KB_BTL Opt Roll Defer Top Slice'!$C190)/12)*(Term-'KB_BTL Opt Roll Defer Top Slice'!B190)*'Product Data'!$P$18)</f>
        <v>#N/A</v>
      </c>
      <c r="F190" s="1927">
        <f t="shared" si="11"/>
        <v>0</v>
      </c>
      <c r="G190" s="1928">
        <v>3.4000000000001E-3</v>
      </c>
      <c r="H190" s="1931" t="e">
        <f>($G$9*Term)/((($F$8-BBR+'Product Data'!$K$3-'KB_BTL Opt Roll Defer Top Slice'!$G190)/12)*(Term-'KB_BTL Opt Roll Defer Top Slice'!F190)*'Product Data'!$P$18)</f>
        <v>#N/A</v>
      </c>
      <c r="J190" s="1927">
        <f t="shared" si="12"/>
        <v>0</v>
      </c>
      <c r="K190" s="1928">
        <v>3.4000000000001E-3</v>
      </c>
      <c r="L190" s="1931" t="e">
        <f>($K$9*Term)/((($J$8-BBR+'Product Data'!$K$2-'KB_BTL Opt Roll Defer Top Slice'!$K190)/12)*(Term-'KB_BTL Opt Roll Defer Top Slice'!J190)*'Product Data'!$P$18)</f>
        <v>#N/A</v>
      </c>
    </row>
    <row r="191" spans="2:12" x14ac:dyDescent="0.25">
      <c r="B191" s="1927">
        <f t="shared" si="13"/>
        <v>0</v>
      </c>
      <c r="C191" s="1928">
        <v>3.3000000000001002E-3</v>
      </c>
      <c r="D191" s="1931" t="e">
        <f>($C$9*Term)/((($B$8-BBR+'Product Data'!$K$3-'KB_BTL Opt Roll Defer Top Slice'!$C191)/12)*(Term-'KB_BTL Opt Roll Defer Top Slice'!B191)*'Product Data'!$P$18)</f>
        <v>#N/A</v>
      </c>
      <c r="F191" s="1927">
        <f t="shared" si="11"/>
        <v>0</v>
      </c>
      <c r="G191" s="1928">
        <v>3.3000000000001002E-3</v>
      </c>
      <c r="H191" s="1931" t="e">
        <f>($G$9*Term)/((($F$8-BBR+'Product Data'!$K$3-'KB_BTL Opt Roll Defer Top Slice'!$G191)/12)*(Term-'KB_BTL Opt Roll Defer Top Slice'!F191)*'Product Data'!$P$18)</f>
        <v>#N/A</v>
      </c>
      <c r="J191" s="1927">
        <f t="shared" si="12"/>
        <v>0</v>
      </c>
      <c r="K191" s="1928">
        <v>3.3000000000001002E-3</v>
      </c>
      <c r="L191" s="1931" t="e">
        <f>($K$9*Term)/((($J$8-BBR+'Product Data'!$K$2-'KB_BTL Opt Roll Defer Top Slice'!$K191)/12)*(Term-'KB_BTL Opt Roll Defer Top Slice'!J191)*'Product Data'!$P$18)</f>
        <v>#N/A</v>
      </c>
    </row>
    <row r="192" spans="2:12" x14ac:dyDescent="0.25">
      <c r="B192" s="1927">
        <f t="shared" si="13"/>
        <v>0</v>
      </c>
      <c r="C192" s="1928">
        <v>3.2000000000000999E-3</v>
      </c>
      <c r="D192" s="1931" t="e">
        <f>($C$9*Term)/((($B$8-BBR+'Product Data'!$K$3-'KB_BTL Opt Roll Defer Top Slice'!$C192)/12)*(Term-'KB_BTL Opt Roll Defer Top Slice'!B192)*'Product Data'!$P$18)</f>
        <v>#N/A</v>
      </c>
      <c r="F192" s="1927">
        <f t="shared" si="11"/>
        <v>0</v>
      </c>
      <c r="G192" s="1928">
        <v>3.2000000000000999E-3</v>
      </c>
      <c r="H192" s="1931" t="e">
        <f>($G$9*Term)/((($F$8-BBR+'Product Data'!$K$3-'KB_BTL Opt Roll Defer Top Slice'!$G192)/12)*(Term-'KB_BTL Opt Roll Defer Top Slice'!F192)*'Product Data'!$P$18)</f>
        <v>#N/A</v>
      </c>
      <c r="J192" s="1927">
        <f t="shared" si="12"/>
        <v>0</v>
      </c>
      <c r="K192" s="1928">
        <v>3.2000000000000999E-3</v>
      </c>
      <c r="L192" s="1931" t="e">
        <f>($K$9*Term)/((($J$8-BBR+'Product Data'!$K$2-'KB_BTL Opt Roll Defer Top Slice'!$K192)/12)*(Term-'KB_BTL Opt Roll Defer Top Slice'!J192)*'Product Data'!$P$18)</f>
        <v>#N/A</v>
      </c>
    </row>
    <row r="193" spans="2:12" x14ac:dyDescent="0.25">
      <c r="B193" s="1927">
        <f t="shared" si="13"/>
        <v>0</v>
      </c>
      <c r="C193" s="1928">
        <v>3.1000000000001001E-3</v>
      </c>
      <c r="D193" s="1931" t="e">
        <f>($C$9*Term)/((($B$8-BBR+'Product Data'!$K$3-'KB_BTL Opt Roll Defer Top Slice'!$C193)/12)*(Term-'KB_BTL Opt Roll Defer Top Slice'!B193)*'Product Data'!$P$18)</f>
        <v>#N/A</v>
      </c>
      <c r="F193" s="1927">
        <f t="shared" si="11"/>
        <v>0</v>
      </c>
      <c r="G193" s="1928">
        <v>3.1000000000001001E-3</v>
      </c>
      <c r="H193" s="1931" t="e">
        <f>($G$9*Term)/((($F$8-BBR+'Product Data'!$K$3-'KB_BTL Opt Roll Defer Top Slice'!$G193)/12)*(Term-'KB_BTL Opt Roll Defer Top Slice'!F193)*'Product Data'!$P$18)</f>
        <v>#N/A</v>
      </c>
      <c r="J193" s="1927">
        <f t="shared" si="12"/>
        <v>0</v>
      </c>
      <c r="K193" s="1928">
        <v>3.1000000000001001E-3</v>
      </c>
      <c r="L193" s="1931" t="e">
        <f>($K$9*Term)/((($J$8-BBR+'Product Data'!$K$2-'KB_BTL Opt Roll Defer Top Slice'!$K193)/12)*(Term-'KB_BTL Opt Roll Defer Top Slice'!J193)*'Product Data'!$P$18)</f>
        <v>#N/A</v>
      </c>
    </row>
    <row r="194" spans="2:12" x14ac:dyDescent="0.25">
      <c r="B194" s="1927">
        <f t="shared" si="13"/>
        <v>0</v>
      </c>
      <c r="C194" s="1928">
        <v>3.0000000000000998E-3</v>
      </c>
      <c r="D194" s="1931" t="e">
        <f>($C$9*Term)/((($B$8-BBR+'Product Data'!$K$3-'KB_BTL Opt Roll Defer Top Slice'!$C194)/12)*(Term-'KB_BTL Opt Roll Defer Top Slice'!B194)*'Product Data'!$P$18)</f>
        <v>#N/A</v>
      </c>
      <c r="F194" s="1927">
        <f t="shared" si="11"/>
        <v>0</v>
      </c>
      <c r="G194" s="1928">
        <v>3.0000000000000998E-3</v>
      </c>
      <c r="H194" s="1931" t="e">
        <f>($G$9*Term)/((($F$8-BBR+'Product Data'!$K$3-'KB_BTL Opt Roll Defer Top Slice'!$G194)/12)*(Term-'KB_BTL Opt Roll Defer Top Slice'!F194)*'Product Data'!$P$18)</f>
        <v>#N/A</v>
      </c>
      <c r="J194" s="1927">
        <f t="shared" si="12"/>
        <v>0</v>
      </c>
      <c r="K194" s="1928">
        <v>3.0000000000000998E-3</v>
      </c>
      <c r="L194" s="1931" t="e">
        <f>($K$9*Term)/((($J$8-BBR+'Product Data'!$K$2-'KB_BTL Opt Roll Defer Top Slice'!$K194)/12)*(Term-'KB_BTL Opt Roll Defer Top Slice'!J194)*'Product Data'!$P$18)</f>
        <v>#N/A</v>
      </c>
    </row>
    <row r="195" spans="2:12" x14ac:dyDescent="0.25">
      <c r="B195" s="1927">
        <f t="shared" si="13"/>
        <v>0</v>
      </c>
      <c r="C195" s="1928">
        <v>2.9000000000001E-3</v>
      </c>
      <c r="D195" s="1931" t="e">
        <f>($C$9*Term)/((($B$8-BBR+'Product Data'!$K$3-'KB_BTL Opt Roll Defer Top Slice'!$C195)/12)*(Term-'KB_BTL Opt Roll Defer Top Slice'!B195)*'Product Data'!$P$18)</f>
        <v>#N/A</v>
      </c>
      <c r="F195" s="1927">
        <f t="shared" si="11"/>
        <v>0</v>
      </c>
      <c r="G195" s="1928">
        <v>2.9000000000001E-3</v>
      </c>
      <c r="H195" s="1931" t="e">
        <f>($G$9*Term)/((($F$8-BBR+'Product Data'!$K$3-'KB_BTL Opt Roll Defer Top Slice'!$G195)/12)*(Term-'KB_BTL Opt Roll Defer Top Slice'!F195)*'Product Data'!$P$18)</f>
        <v>#N/A</v>
      </c>
      <c r="J195" s="1927">
        <f t="shared" si="12"/>
        <v>0</v>
      </c>
      <c r="K195" s="1928">
        <v>2.9000000000001E-3</v>
      </c>
      <c r="L195" s="1931" t="e">
        <f>($K$9*Term)/((($J$8-BBR+'Product Data'!$K$2-'KB_BTL Opt Roll Defer Top Slice'!$K195)/12)*(Term-'KB_BTL Opt Roll Defer Top Slice'!J195)*'Product Data'!$P$18)</f>
        <v>#N/A</v>
      </c>
    </row>
    <row r="196" spans="2:12" x14ac:dyDescent="0.25">
      <c r="B196" s="1927">
        <f t="shared" si="13"/>
        <v>0</v>
      </c>
      <c r="C196" s="1928">
        <v>2.8000000000001002E-3</v>
      </c>
      <c r="D196" s="1931" t="e">
        <f>($C$9*Term)/((($B$8-BBR+'Product Data'!$K$3-'KB_BTL Opt Roll Defer Top Slice'!$C196)/12)*(Term-'KB_BTL Opt Roll Defer Top Slice'!B196)*'Product Data'!$P$18)</f>
        <v>#N/A</v>
      </c>
      <c r="F196" s="1927">
        <f t="shared" si="11"/>
        <v>0</v>
      </c>
      <c r="G196" s="1928">
        <v>2.8000000000001002E-3</v>
      </c>
      <c r="H196" s="1931" t="e">
        <f>($G$9*Term)/((($F$8-BBR+'Product Data'!$K$3-'KB_BTL Opt Roll Defer Top Slice'!$G196)/12)*(Term-'KB_BTL Opt Roll Defer Top Slice'!F196)*'Product Data'!$P$18)</f>
        <v>#N/A</v>
      </c>
      <c r="J196" s="1927">
        <f t="shared" si="12"/>
        <v>0</v>
      </c>
      <c r="K196" s="1928">
        <v>2.8000000000001002E-3</v>
      </c>
      <c r="L196" s="1931" t="e">
        <f>($K$9*Term)/((($J$8-BBR+'Product Data'!$K$2-'KB_BTL Opt Roll Defer Top Slice'!$K196)/12)*(Term-'KB_BTL Opt Roll Defer Top Slice'!J196)*'Product Data'!$P$18)</f>
        <v>#N/A</v>
      </c>
    </row>
    <row r="197" spans="2:12" x14ac:dyDescent="0.25">
      <c r="B197" s="1927">
        <f t="shared" si="13"/>
        <v>0</v>
      </c>
      <c r="C197" s="1928">
        <v>2.7000000000000999E-3</v>
      </c>
      <c r="D197" s="1931" t="e">
        <f>($C$9*Term)/((($B$8-BBR+'Product Data'!$K$3-'KB_BTL Opt Roll Defer Top Slice'!$C197)/12)*(Term-'KB_BTL Opt Roll Defer Top Slice'!B197)*'Product Data'!$P$18)</f>
        <v>#N/A</v>
      </c>
      <c r="F197" s="1927">
        <f t="shared" si="11"/>
        <v>0</v>
      </c>
      <c r="G197" s="1928">
        <v>2.7000000000000999E-3</v>
      </c>
      <c r="H197" s="1931" t="e">
        <f>($G$9*Term)/((($F$8-BBR+'Product Data'!$K$3-'KB_BTL Opt Roll Defer Top Slice'!$G197)/12)*(Term-'KB_BTL Opt Roll Defer Top Slice'!F197)*'Product Data'!$P$18)</f>
        <v>#N/A</v>
      </c>
      <c r="J197" s="1927">
        <f t="shared" si="12"/>
        <v>0</v>
      </c>
      <c r="K197" s="1928">
        <v>2.7000000000000999E-3</v>
      </c>
      <c r="L197" s="1931" t="e">
        <f>($K$9*Term)/((($J$8-BBR+'Product Data'!$K$2-'KB_BTL Opt Roll Defer Top Slice'!$K197)/12)*(Term-'KB_BTL Opt Roll Defer Top Slice'!J197)*'Product Data'!$P$18)</f>
        <v>#N/A</v>
      </c>
    </row>
    <row r="198" spans="2:12" x14ac:dyDescent="0.25">
      <c r="B198" s="1927">
        <f t="shared" si="13"/>
        <v>0</v>
      </c>
      <c r="C198" s="1928">
        <v>2.6000000000001001E-3</v>
      </c>
      <c r="D198" s="1931" t="e">
        <f>($C$9*Term)/((($B$8-BBR+'Product Data'!$K$3-'KB_BTL Opt Roll Defer Top Slice'!$C198)/12)*(Term-'KB_BTL Opt Roll Defer Top Slice'!B198)*'Product Data'!$P$18)</f>
        <v>#N/A</v>
      </c>
      <c r="F198" s="1927">
        <f t="shared" si="11"/>
        <v>0</v>
      </c>
      <c r="G198" s="1928">
        <v>2.6000000000001001E-3</v>
      </c>
      <c r="H198" s="1931" t="e">
        <f>($G$9*Term)/((($F$8-BBR+'Product Data'!$K$3-'KB_BTL Opt Roll Defer Top Slice'!$G198)/12)*(Term-'KB_BTL Opt Roll Defer Top Slice'!F198)*'Product Data'!$P$18)</f>
        <v>#N/A</v>
      </c>
      <c r="J198" s="1927">
        <f t="shared" si="12"/>
        <v>0</v>
      </c>
      <c r="K198" s="1928">
        <v>2.6000000000001001E-3</v>
      </c>
      <c r="L198" s="1931" t="e">
        <f>($K$9*Term)/((($J$8-BBR+'Product Data'!$K$2-'KB_BTL Opt Roll Defer Top Slice'!$K198)/12)*(Term-'KB_BTL Opt Roll Defer Top Slice'!J198)*'Product Data'!$P$18)</f>
        <v>#N/A</v>
      </c>
    </row>
    <row r="199" spans="2:12" x14ac:dyDescent="0.25">
      <c r="B199" s="1927">
        <f t="shared" si="13"/>
        <v>0</v>
      </c>
      <c r="C199" s="1928">
        <v>2.5000000000000998E-3</v>
      </c>
      <c r="D199" s="1931" t="e">
        <f>($C$9*Term)/((($B$8-BBR+'Product Data'!$K$3-'KB_BTL Opt Roll Defer Top Slice'!$C199)/12)*(Term-'KB_BTL Opt Roll Defer Top Slice'!B199)*'Product Data'!$P$18)</f>
        <v>#N/A</v>
      </c>
      <c r="F199" s="1927">
        <f t="shared" si="11"/>
        <v>0</v>
      </c>
      <c r="G199" s="1928">
        <v>2.5000000000000998E-3</v>
      </c>
      <c r="H199" s="1931" t="e">
        <f>($G$9*Term)/((($F$8-BBR+'Product Data'!$K$3-'KB_BTL Opt Roll Defer Top Slice'!$G199)/12)*(Term-'KB_BTL Opt Roll Defer Top Slice'!F199)*'Product Data'!$P$18)</f>
        <v>#N/A</v>
      </c>
      <c r="J199" s="1927">
        <f t="shared" si="12"/>
        <v>0</v>
      </c>
      <c r="K199" s="1928">
        <v>2.5000000000000998E-3</v>
      </c>
      <c r="L199" s="1931" t="e">
        <f>($K$9*Term)/((($J$8-BBR+'Product Data'!$K$2-'KB_BTL Opt Roll Defer Top Slice'!$K199)/12)*(Term-'KB_BTL Opt Roll Defer Top Slice'!J199)*'Product Data'!$P$18)</f>
        <v>#N/A</v>
      </c>
    </row>
    <row r="200" spans="2:12" x14ac:dyDescent="0.25">
      <c r="B200" s="1927">
        <f t="shared" si="13"/>
        <v>0</v>
      </c>
      <c r="C200" s="1928">
        <v>2.4000000000001E-3</v>
      </c>
      <c r="D200" s="1931" t="e">
        <f>($C$9*Term)/((($B$8-BBR+'Product Data'!$K$3-'KB_BTL Opt Roll Defer Top Slice'!$C200)/12)*(Term-'KB_BTL Opt Roll Defer Top Slice'!B200)*'Product Data'!$P$18)</f>
        <v>#N/A</v>
      </c>
      <c r="F200" s="1927">
        <f t="shared" si="11"/>
        <v>0</v>
      </c>
      <c r="G200" s="1928">
        <v>2.4000000000001E-3</v>
      </c>
      <c r="H200" s="1931" t="e">
        <f>($G$9*Term)/((($F$8-BBR+'Product Data'!$K$3-'KB_BTL Opt Roll Defer Top Slice'!$G200)/12)*(Term-'KB_BTL Opt Roll Defer Top Slice'!F200)*'Product Data'!$P$18)</f>
        <v>#N/A</v>
      </c>
      <c r="J200" s="1927">
        <f t="shared" si="12"/>
        <v>0</v>
      </c>
      <c r="K200" s="1928">
        <v>2.4000000000001E-3</v>
      </c>
      <c r="L200" s="1931" t="e">
        <f>($K$9*Term)/((($J$8-BBR+'Product Data'!$K$2-'KB_BTL Opt Roll Defer Top Slice'!$K200)/12)*(Term-'KB_BTL Opt Roll Defer Top Slice'!J200)*'Product Data'!$P$18)</f>
        <v>#N/A</v>
      </c>
    </row>
    <row r="201" spans="2:12" x14ac:dyDescent="0.25">
      <c r="B201" s="1927">
        <f t="shared" si="13"/>
        <v>0</v>
      </c>
      <c r="C201" s="1928">
        <v>2.3000000000001001E-3</v>
      </c>
      <c r="D201" s="1931" t="e">
        <f>($C$9*Term)/((($B$8-BBR+'Product Data'!$K$3-'KB_BTL Opt Roll Defer Top Slice'!$C201)/12)*(Term-'KB_BTL Opt Roll Defer Top Slice'!B201)*'Product Data'!$P$18)</f>
        <v>#N/A</v>
      </c>
      <c r="F201" s="1927">
        <f t="shared" si="11"/>
        <v>0</v>
      </c>
      <c r="G201" s="1928">
        <v>2.3000000000001001E-3</v>
      </c>
      <c r="H201" s="1931" t="e">
        <f>($G$9*Term)/((($F$8-BBR+'Product Data'!$K$3-'KB_BTL Opt Roll Defer Top Slice'!$G201)/12)*(Term-'KB_BTL Opt Roll Defer Top Slice'!F201)*'Product Data'!$P$18)</f>
        <v>#N/A</v>
      </c>
      <c r="J201" s="1927">
        <f t="shared" si="12"/>
        <v>0</v>
      </c>
      <c r="K201" s="1928">
        <v>2.3000000000001001E-3</v>
      </c>
      <c r="L201" s="1931" t="e">
        <f>($K$9*Term)/((($J$8-BBR+'Product Data'!$K$2-'KB_BTL Opt Roll Defer Top Slice'!$K201)/12)*(Term-'KB_BTL Opt Roll Defer Top Slice'!J201)*'Product Data'!$P$18)</f>
        <v>#N/A</v>
      </c>
    </row>
    <row r="202" spans="2:12" x14ac:dyDescent="0.25">
      <c r="B202" s="1927">
        <f t="shared" ref="B202:B224" si="14">B201</f>
        <v>0</v>
      </c>
      <c r="C202" s="1928">
        <v>2.2000000000000999E-3</v>
      </c>
      <c r="D202" s="1931" t="e">
        <f>($C$9*Term)/((($B$8-BBR+'Product Data'!$K$3-'KB_BTL Opt Roll Defer Top Slice'!$C202)/12)*(Term-'KB_BTL Opt Roll Defer Top Slice'!B202)*'Product Data'!$P$18)</f>
        <v>#N/A</v>
      </c>
      <c r="F202" s="1927">
        <f t="shared" si="11"/>
        <v>0</v>
      </c>
      <c r="G202" s="1928">
        <v>2.2000000000000999E-3</v>
      </c>
      <c r="H202" s="1931" t="e">
        <f>($G$9*Term)/((($F$8-BBR+'Product Data'!$K$3-'KB_BTL Opt Roll Defer Top Slice'!$G202)/12)*(Term-'KB_BTL Opt Roll Defer Top Slice'!F202)*'Product Data'!$P$18)</f>
        <v>#N/A</v>
      </c>
      <c r="J202" s="1927">
        <f t="shared" si="12"/>
        <v>0</v>
      </c>
      <c r="K202" s="1928">
        <v>2.2000000000000999E-3</v>
      </c>
      <c r="L202" s="1931" t="e">
        <f>($K$9*Term)/((($J$8-BBR+'Product Data'!$K$2-'KB_BTL Opt Roll Defer Top Slice'!$K202)/12)*(Term-'KB_BTL Opt Roll Defer Top Slice'!J202)*'Product Data'!$P$18)</f>
        <v>#N/A</v>
      </c>
    </row>
    <row r="203" spans="2:12" x14ac:dyDescent="0.25">
      <c r="B203" s="1927">
        <f t="shared" si="14"/>
        <v>0</v>
      </c>
      <c r="C203" s="1928">
        <v>2.1000000000001001E-3</v>
      </c>
      <c r="D203" s="1931" t="e">
        <f>($C$9*Term)/((($B$8-BBR+'Product Data'!$K$3-'KB_BTL Opt Roll Defer Top Slice'!$C203)/12)*(Term-'KB_BTL Opt Roll Defer Top Slice'!B203)*'Product Data'!$P$18)</f>
        <v>#N/A</v>
      </c>
      <c r="F203" s="1927">
        <f t="shared" si="11"/>
        <v>0</v>
      </c>
      <c r="G203" s="1928">
        <v>2.1000000000001001E-3</v>
      </c>
      <c r="H203" s="1931" t="e">
        <f>($G$9*Term)/((($F$8-BBR+'Product Data'!$K$3-'KB_BTL Opt Roll Defer Top Slice'!$G203)/12)*(Term-'KB_BTL Opt Roll Defer Top Slice'!F203)*'Product Data'!$P$18)</f>
        <v>#N/A</v>
      </c>
      <c r="J203" s="1927">
        <f t="shared" si="12"/>
        <v>0</v>
      </c>
      <c r="K203" s="1928">
        <v>2.1000000000001001E-3</v>
      </c>
      <c r="L203" s="1931" t="e">
        <f>($K$9*Term)/((($J$8-BBR+'Product Data'!$K$2-'KB_BTL Opt Roll Defer Top Slice'!$K203)/12)*(Term-'KB_BTL Opt Roll Defer Top Slice'!J203)*'Product Data'!$P$18)</f>
        <v>#N/A</v>
      </c>
    </row>
    <row r="204" spans="2:12" x14ac:dyDescent="0.25">
      <c r="B204" s="1927">
        <f t="shared" si="14"/>
        <v>0</v>
      </c>
      <c r="C204" s="1928">
        <v>2.0000000000000998E-3</v>
      </c>
      <c r="D204" s="1931" t="e">
        <f>($C$9*Term)/((($B$8-BBR+'Product Data'!$K$3-'KB_BTL Opt Roll Defer Top Slice'!$C204)/12)*(Term-'KB_BTL Opt Roll Defer Top Slice'!B204)*'Product Data'!$P$18)</f>
        <v>#N/A</v>
      </c>
      <c r="F204" s="1927">
        <f t="shared" si="11"/>
        <v>0</v>
      </c>
      <c r="G204" s="1928">
        <v>2.0000000000000998E-3</v>
      </c>
      <c r="H204" s="1931" t="e">
        <f>($G$9*Term)/((($F$8-BBR+'Product Data'!$K$3-'KB_BTL Opt Roll Defer Top Slice'!$G204)/12)*(Term-'KB_BTL Opt Roll Defer Top Slice'!F204)*'Product Data'!$P$18)</f>
        <v>#N/A</v>
      </c>
      <c r="J204" s="1927">
        <f t="shared" si="12"/>
        <v>0</v>
      </c>
      <c r="K204" s="1928">
        <v>2.0000000000000998E-3</v>
      </c>
      <c r="L204" s="1931" t="e">
        <f>($K$9*Term)/((($J$8-BBR+'Product Data'!$K$2-'KB_BTL Opt Roll Defer Top Slice'!$K204)/12)*(Term-'KB_BTL Opt Roll Defer Top Slice'!J204)*'Product Data'!$P$18)</f>
        <v>#N/A</v>
      </c>
    </row>
    <row r="205" spans="2:12" x14ac:dyDescent="0.25">
      <c r="B205" s="1927">
        <f t="shared" si="14"/>
        <v>0</v>
      </c>
      <c r="C205" s="1928">
        <v>1.9000000000001E-3</v>
      </c>
      <c r="D205" s="1931" t="e">
        <f>($C$9*Term)/((($B$8-BBR+'Product Data'!$K$3-'KB_BTL Opt Roll Defer Top Slice'!$C205)/12)*(Term-'KB_BTL Opt Roll Defer Top Slice'!B205)*'Product Data'!$P$18)</f>
        <v>#N/A</v>
      </c>
      <c r="F205" s="1927">
        <f t="shared" si="11"/>
        <v>0</v>
      </c>
      <c r="G205" s="1928">
        <v>1.9000000000001E-3</v>
      </c>
      <c r="H205" s="1931" t="e">
        <f>($G$9*Term)/((($F$8-BBR+'Product Data'!$K$3-'KB_BTL Opt Roll Defer Top Slice'!$G205)/12)*(Term-'KB_BTL Opt Roll Defer Top Slice'!F205)*'Product Data'!$P$18)</f>
        <v>#N/A</v>
      </c>
      <c r="J205" s="1927">
        <f t="shared" si="12"/>
        <v>0</v>
      </c>
      <c r="K205" s="1928">
        <v>1.9000000000001E-3</v>
      </c>
      <c r="L205" s="1931" t="e">
        <f>($K$9*Term)/((($J$8-BBR+'Product Data'!$K$2-'KB_BTL Opt Roll Defer Top Slice'!$K205)/12)*(Term-'KB_BTL Opt Roll Defer Top Slice'!J205)*'Product Data'!$P$18)</f>
        <v>#N/A</v>
      </c>
    </row>
    <row r="206" spans="2:12" x14ac:dyDescent="0.25">
      <c r="B206" s="1927">
        <f t="shared" si="14"/>
        <v>0</v>
      </c>
      <c r="C206" s="1928">
        <v>1.8000000000000999E-3</v>
      </c>
      <c r="D206" s="1931" t="e">
        <f>($C$9*Term)/((($B$8-BBR+'Product Data'!$K$3-'KB_BTL Opt Roll Defer Top Slice'!$C206)/12)*(Term-'KB_BTL Opt Roll Defer Top Slice'!B206)*'Product Data'!$P$18)</f>
        <v>#N/A</v>
      </c>
      <c r="F206" s="1927">
        <f t="shared" si="11"/>
        <v>0</v>
      </c>
      <c r="G206" s="1928">
        <v>1.8000000000000999E-3</v>
      </c>
      <c r="H206" s="1931" t="e">
        <f>($G$9*Term)/((($F$8-BBR+'Product Data'!$K$3-'KB_BTL Opt Roll Defer Top Slice'!$G206)/12)*(Term-'KB_BTL Opt Roll Defer Top Slice'!F206)*'Product Data'!$P$18)</f>
        <v>#N/A</v>
      </c>
      <c r="J206" s="1927">
        <f t="shared" si="12"/>
        <v>0</v>
      </c>
      <c r="K206" s="1928">
        <v>1.8000000000000999E-3</v>
      </c>
      <c r="L206" s="1931" t="e">
        <f>($K$9*Term)/((($J$8-BBR+'Product Data'!$K$2-'KB_BTL Opt Roll Defer Top Slice'!$K206)/12)*(Term-'KB_BTL Opt Roll Defer Top Slice'!J206)*'Product Data'!$P$18)</f>
        <v>#N/A</v>
      </c>
    </row>
    <row r="207" spans="2:12" x14ac:dyDescent="0.25">
      <c r="B207" s="1927">
        <f t="shared" si="14"/>
        <v>0</v>
      </c>
      <c r="C207" s="1928">
        <v>1.7000000000001001E-3</v>
      </c>
      <c r="D207" s="1931" t="e">
        <f>($C$9*Term)/((($B$8-BBR+'Product Data'!$K$3-'KB_BTL Opt Roll Defer Top Slice'!$C207)/12)*(Term-'KB_BTL Opt Roll Defer Top Slice'!B207)*'Product Data'!$P$18)</f>
        <v>#N/A</v>
      </c>
      <c r="F207" s="1927">
        <f t="shared" si="11"/>
        <v>0</v>
      </c>
      <c r="G207" s="1928">
        <v>1.7000000000001001E-3</v>
      </c>
      <c r="H207" s="1931" t="e">
        <f>($G$9*Term)/((($F$8-BBR+'Product Data'!$K$3-'KB_BTL Opt Roll Defer Top Slice'!$G207)/12)*(Term-'KB_BTL Opt Roll Defer Top Slice'!F207)*'Product Data'!$P$18)</f>
        <v>#N/A</v>
      </c>
      <c r="J207" s="1927">
        <f t="shared" si="12"/>
        <v>0</v>
      </c>
      <c r="K207" s="1928">
        <v>1.7000000000001001E-3</v>
      </c>
      <c r="L207" s="1931" t="e">
        <f>($K$9*Term)/((($J$8-BBR+'Product Data'!$K$2-'KB_BTL Opt Roll Defer Top Slice'!$K207)/12)*(Term-'KB_BTL Opt Roll Defer Top Slice'!J207)*'Product Data'!$P$18)</f>
        <v>#N/A</v>
      </c>
    </row>
    <row r="208" spans="2:12" x14ac:dyDescent="0.25">
      <c r="B208" s="1927">
        <f t="shared" si="14"/>
        <v>0</v>
      </c>
      <c r="C208" s="1928">
        <v>1.6000000000001E-3</v>
      </c>
      <c r="D208" s="1931" t="e">
        <f>($C$9*Term)/((($B$8-BBR+'Product Data'!$K$3-'KB_BTL Opt Roll Defer Top Slice'!$C208)/12)*(Term-'KB_BTL Opt Roll Defer Top Slice'!B208)*'Product Data'!$P$18)</f>
        <v>#N/A</v>
      </c>
      <c r="F208" s="1927">
        <f t="shared" si="11"/>
        <v>0</v>
      </c>
      <c r="G208" s="1928">
        <v>1.6000000000001E-3</v>
      </c>
      <c r="H208" s="1931" t="e">
        <f>($G$9*Term)/((($F$8-BBR+'Product Data'!$K$3-'KB_BTL Opt Roll Defer Top Slice'!$G208)/12)*(Term-'KB_BTL Opt Roll Defer Top Slice'!F208)*'Product Data'!$P$18)</f>
        <v>#N/A</v>
      </c>
      <c r="J208" s="1927">
        <f t="shared" si="12"/>
        <v>0</v>
      </c>
      <c r="K208" s="1928">
        <v>1.6000000000001E-3</v>
      </c>
      <c r="L208" s="1931" t="e">
        <f>($K$9*Term)/((($J$8-BBR+'Product Data'!$K$2-'KB_BTL Opt Roll Defer Top Slice'!$K208)/12)*(Term-'KB_BTL Opt Roll Defer Top Slice'!J208)*'Product Data'!$P$18)</f>
        <v>#N/A</v>
      </c>
    </row>
    <row r="209" spans="2:12" x14ac:dyDescent="0.25">
      <c r="B209" s="1927">
        <f t="shared" si="14"/>
        <v>0</v>
      </c>
      <c r="C209" s="1928">
        <v>1.5000000000001E-3</v>
      </c>
      <c r="D209" s="1931" t="e">
        <f>($C$9*Term)/((($B$8-BBR+'Product Data'!$K$3-'KB_BTL Opt Roll Defer Top Slice'!$C209)/12)*(Term-'KB_BTL Opt Roll Defer Top Slice'!B209)*'Product Data'!$P$18)</f>
        <v>#N/A</v>
      </c>
      <c r="F209" s="1927">
        <f t="shared" si="11"/>
        <v>0</v>
      </c>
      <c r="G209" s="1928">
        <v>1.5000000000001E-3</v>
      </c>
      <c r="H209" s="1931" t="e">
        <f>($G$9*Term)/((($F$8-BBR+'Product Data'!$K$3-'KB_BTL Opt Roll Defer Top Slice'!$G209)/12)*(Term-'KB_BTL Opt Roll Defer Top Slice'!F209)*'Product Data'!$P$18)</f>
        <v>#N/A</v>
      </c>
      <c r="J209" s="1927">
        <f t="shared" si="12"/>
        <v>0</v>
      </c>
      <c r="K209" s="1928">
        <v>1.5000000000001E-3</v>
      </c>
      <c r="L209" s="1931" t="e">
        <f>($K$9*Term)/((($J$8-BBR+'Product Data'!$K$2-'KB_BTL Opt Roll Defer Top Slice'!$K209)/12)*(Term-'KB_BTL Opt Roll Defer Top Slice'!J209)*'Product Data'!$P$18)</f>
        <v>#N/A</v>
      </c>
    </row>
    <row r="210" spans="2:12" x14ac:dyDescent="0.25">
      <c r="B210" s="1927">
        <f t="shared" si="14"/>
        <v>0</v>
      </c>
      <c r="C210" s="1928">
        <v>1.4000000000000999E-3</v>
      </c>
      <c r="D210" s="1931" t="e">
        <f>($C$9*Term)/((($B$8-BBR+'Product Data'!$K$3-'KB_BTL Opt Roll Defer Top Slice'!$C210)/12)*(Term-'KB_BTL Opt Roll Defer Top Slice'!B210)*'Product Data'!$P$18)</f>
        <v>#N/A</v>
      </c>
      <c r="F210" s="1927">
        <f t="shared" si="11"/>
        <v>0</v>
      </c>
      <c r="G210" s="1928">
        <v>1.4000000000000999E-3</v>
      </c>
      <c r="H210" s="1931" t="e">
        <f>($G$9*Term)/((($F$8-BBR+'Product Data'!$K$3-'KB_BTL Opt Roll Defer Top Slice'!$G210)/12)*(Term-'KB_BTL Opt Roll Defer Top Slice'!F210)*'Product Data'!$P$18)</f>
        <v>#N/A</v>
      </c>
      <c r="J210" s="1927">
        <f t="shared" si="12"/>
        <v>0</v>
      </c>
      <c r="K210" s="1928">
        <v>1.4000000000000999E-3</v>
      </c>
      <c r="L210" s="1931" t="e">
        <f>($K$9*Term)/((($J$8-BBR+'Product Data'!$K$2-'KB_BTL Opt Roll Defer Top Slice'!$K210)/12)*(Term-'KB_BTL Opt Roll Defer Top Slice'!J210)*'Product Data'!$P$18)</f>
        <v>#N/A</v>
      </c>
    </row>
    <row r="211" spans="2:12" x14ac:dyDescent="0.25">
      <c r="B211" s="1927">
        <f t="shared" si="14"/>
        <v>0</v>
      </c>
      <c r="C211" s="1928">
        <v>1.3000000000000999E-3</v>
      </c>
      <c r="D211" s="1931" t="e">
        <f>($C$9*Term)/((($B$8-BBR+'Product Data'!$K$3-'KB_BTL Opt Roll Defer Top Slice'!$C211)/12)*(Term-'KB_BTL Opt Roll Defer Top Slice'!B211)*'Product Data'!$P$18)</f>
        <v>#N/A</v>
      </c>
      <c r="F211" s="1927">
        <f t="shared" si="11"/>
        <v>0</v>
      </c>
      <c r="G211" s="1928">
        <v>1.3000000000000999E-3</v>
      </c>
      <c r="H211" s="1931" t="e">
        <f>($G$9*Term)/((($F$8-BBR+'Product Data'!$K$3-'KB_BTL Opt Roll Defer Top Slice'!$G211)/12)*(Term-'KB_BTL Opt Roll Defer Top Slice'!F211)*'Product Data'!$P$18)</f>
        <v>#N/A</v>
      </c>
      <c r="J211" s="1927">
        <f t="shared" si="12"/>
        <v>0</v>
      </c>
      <c r="K211" s="1928">
        <v>1.3000000000000999E-3</v>
      </c>
      <c r="L211" s="1931" t="e">
        <f>($K$9*Term)/((($J$8-BBR+'Product Data'!$K$2-'KB_BTL Opt Roll Defer Top Slice'!$K211)/12)*(Term-'KB_BTL Opt Roll Defer Top Slice'!J211)*'Product Data'!$P$18)</f>
        <v>#N/A</v>
      </c>
    </row>
    <row r="212" spans="2:12" x14ac:dyDescent="0.25">
      <c r="B212" s="1927">
        <f t="shared" si="14"/>
        <v>0</v>
      </c>
      <c r="C212" s="1928">
        <v>1.2000000000001001E-3</v>
      </c>
      <c r="D212" s="1931" t="e">
        <f>($C$9*Term)/((($B$8-BBR+'Product Data'!$K$3-'KB_BTL Opt Roll Defer Top Slice'!$C212)/12)*(Term-'KB_BTL Opt Roll Defer Top Slice'!B212)*'Product Data'!$P$18)</f>
        <v>#N/A</v>
      </c>
      <c r="F212" s="1927">
        <f t="shared" si="11"/>
        <v>0</v>
      </c>
      <c r="G212" s="1928">
        <v>1.2000000000001001E-3</v>
      </c>
      <c r="H212" s="1931" t="e">
        <f>($G$9*Term)/((($F$8-BBR+'Product Data'!$K$3-'KB_BTL Opt Roll Defer Top Slice'!$G212)/12)*(Term-'KB_BTL Opt Roll Defer Top Slice'!F212)*'Product Data'!$P$18)</f>
        <v>#N/A</v>
      </c>
      <c r="J212" s="1927">
        <f t="shared" si="12"/>
        <v>0</v>
      </c>
      <c r="K212" s="1928">
        <v>1.2000000000001001E-3</v>
      </c>
      <c r="L212" s="1931" t="e">
        <f>($K$9*Term)/((($J$8-BBR+'Product Data'!$K$2-'KB_BTL Opt Roll Defer Top Slice'!$K212)/12)*(Term-'KB_BTL Opt Roll Defer Top Slice'!J212)*'Product Data'!$P$18)</f>
        <v>#N/A</v>
      </c>
    </row>
    <row r="213" spans="2:12" x14ac:dyDescent="0.25">
      <c r="B213" s="1927">
        <f t="shared" si="14"/>
        <v>0</v>
      </c>
      <c r="C213" s="1928">
        <v>1.1000000000001E-3</v>
      </c>
      <c r="D213" s="1931" t="e">
        <f>($C$9*Term)/((($B$8-BBR+'Product Data'!$K$3-'KB_BTL Opt Roll Defer Top Slice'!$C213)/12)*(Term-'KB_BTL Opt Roll Defer Top Slice'!B213)*'Product Data'!$P$18)</f>
        <v>#N/A</v>
      </c>
      <c r="F213" s="1927">
        <f t="shared" si="11"/>
        <v>0</v>
      </c>
      <c r="G213" s="1928">
        <v>1.1000000000001E-3</v>
      </c>
      <c r="H213" s="1931" t="e">
        <f>($G$9*Term)/((($F$8-BBR+'Product Data'!$K$3-'KB_BTL Opt Roll Defer Top Slice'!$G213)/12)*(Term-'KB_BTL Opt Roll Defer Top Slice'!F213)*'Product Data'!$P$18)</f>
        <v>#N/A</v>
      </c>
      <c r="J213" s="1927">
        <f t="shared" si="12"/>
        <v>0</v>
      </c>
      <c r="K213" s="1928">
        <v>1.1000000000001E-3</v>
      </c>
      <c r="L213" s="1931" t="e">
        <f>($K$9*Term)/((($J$8-BBR+'Product Data'!$K$2-'KB_BTL Opt Roll Defer Top Slice'!$K213)/12)*(Term-'KB_BTL Opt Roll Defer Top Slice'!J213)*'Product Data'!$P$18)</f>
        <v>#N/A</v>
      </c>
    </row>
    <row r="214" spans="2:12" x14ac:dyDescent="0.25">
      <c r="B214" s="1927">
        <f t="shared" si="14"/>
        <v>0</v>
      </c>
      <c r="C214" s="1928">
        <v>1.0000000000001E-3</v>
      </c>
      <c r="D214" s="1931" t="e">
        <f>($C$9*Term)/((($B$8-BBR+'Product Data'!$K$3-'KB_BTL Opt Roll Defer Top Slice'!$C214)/12)*(Term-'KB_BTL Opt Roll Defer Top Slice'!B214)*'Product Data'!$P$18)</f>
        <v>#N/A</v>
      </c>
      <c r="F214" s="1927">
        <f t="shared" si="11"/>
        <v>0</v>
      </c>
      <c r="G214" s="1928">
        <v>1.0000000000001E-3</v>
      </c>
      <c r="H214" s="1931" t="e">
        <f>($G$9*Term)/((($F$8-BBR+'Product Data'!$K$3-'KB_BTL Opt Roll Defer Top Slice'!$G214)/12)*(Term-'KB_BTL Opt Roll Defer Top Slice'!F214)*'Product Data'!$P$18)</f>
        <v>#N/A</v>
      </c>
      <c r="J214" s="1927">
        <f t="shared" si="12"/>
        <v>0</v>
      </c>
      <c r="K214" s="1928">
        <v>1.0000000000001E-3</v>
      </c>
      <c r="L214" s="1931" t="e">
        <f>($K$9*Term)/((($J$8-BBR+'Product Data'!$K$2-'KB_BTL Opt Roll Defer Top Slice'!$K214)/12)*(Term-'KB_BTL Opt Roll Defer Top Slice'!J214)*'Product Data'!$P$18)</f>
        <v>#N/A</v>
      </c>
    </row>
    <row r="215" spans="2:12" x14ac:dyDescent="0.25">
      <c r="B215" s="1927">
        <f t="shared" si="14"/>
        <v>0</v>
      </c>
      <c r="C215" s="1928">
        <v>9.00000000000102E-4</v>
      </c>
      <c r="D215" s="1931" t="e">
        <f>($C$9*Term)/((($B$8-BBR+'Product Data'!$K$3-'KB_BTL Opt Roll Defer Top Slice'!$C215)/12)*(Term-'KB_BTL Opt Roll Defer Top Slice'!B215)*'Product Data'!$P$18)</f>
        <v>#N/A</v>
      </c>
      <c r="F215" s="1927">
        <f t="shared" si="11"/>
        <v>0</v>
      </c>
      <c r="G215" s="1928">
        <v>9.00000000000102E-4</v>
      </c>
      <c r="H215" s="1931" t="e">
        <f>($G$9*Term)/((($F$8-BBR+'Product Data'!$K$3-'KB_BTL Opt Roll Defer Top Slice'!$G215)/12)*(Term-'KB_BTL Opt Roll Defer Top Slice'!F215)*'Product Data'!$P$18)</f>
        <v>#N/A</v>
      </c>
      <c r="J215" s="1927">
        <f t="shared" si="12"/>
        <v>0</v>
      </c>
      <c r="K215" s="1928">
        <v>9.00000000000102E-4</v>
      </c>
      <c r="L215" s="1931" t="e">
        <f>($K$9*Term)/((($J$8-BBR+'Product Data'!$K$2-'KB_BTL Opt Roll Defer Top Slice'!$K215)/12)*(Term-'KB_BTL Opt Roll Defer Top Slice'!J215)*'Product Data'!$P$18)</f>
        <v>#N/A</v>
      </c>
    </row>
    <row r="216" spans="2:12" x14ac:dyDescent="0.25">
      <c r="B216" s="1927">
        <f t="shared" si="14"/>
        <v>0</v>
      </c>
      <c r="C216" s="1928">
        <v>8.0000000000009903E-4</v>
      </c>
      <c r="D216" s="1931" t="e">
        <f>($C$9*Term)/((($B$8-BBR+'Product Data'!$K$3-'KB_BTL Opt Roll Defer Top Slice'!$C216)/12)*(Term-'KB_BTL Opt Roll Defer Top Slice'!B216)*'Product Data'!$P$18)</f>
        <v>#N/A</v>
      </c>
      <c r="F216" s="1927">
        <f t="shared" si="11"/>
        <v>0</v>
      </c>
      <c r="G216" s="1928">
        <v>8.0000000000009903E-4</v>
      </c>
      <c r="H216" s="1931" t="e">
        <f>($G$9*Term)/((($F$8-BBR+'Product Data'!$K$3-'KB_BTL Opt Roll Defer Top Slice'!$G216)/12)*(Term-'KB_BTL Opt Roll Defer Top Slice'!F216)*'Product Data'!$P$18)</f>
        <v>#N/A</v>
      </c>
      <c r="J216" s="1927">
        <f t="shared" si="12"/>
        <v>0</v>
      </c>
      <c r="K216" s="1928">
        <v>8.0000000000009903E-4</v>
      </c>
      <c r="L216" s="1931" t="e">
        <f>($K$9*Term)/((($J$8-BBR+'Product Data'!$K$2-'KB_BTL Opt Roll Defer Top Slice'!$K216)/12)*(Term-'KB_BTL Opt Roll Defer Top Slice'!J216)*'Product Data'!$P$18)</f>
        <v>#N/A</v>
      </c>
    </row>
    <row r="217" spans="2:12" x14ac:dyDescent="0.25">
      <c r="B217" s="1927">
        <f t="shared" si="14"/>
        <v>0</v>
      </c>
      <c r="C217" s="1928">
        <v>7.0000000000009996E-4</v>
      </c>
      <c r="D217" s="1931" t="e">
        <f>($C$9*Term)/((($B$8-BBR+'Product Data'!$K$3-'KB_BTL Opt Roll Defer Top Slice'!$C217)/12)*(Term-'KB_BTL Opt Roll Defer Top Slice'!B217)*'Product Data'!$P$18)</f>
        <v>#N/A</v>
      </c>
      <c r="F217" s="1927">
        <f t="shared" si="11"/>
        <v>0</v>
      </c>
      <c r="G217" s="1928">
        <v>7.0000000000009996E-4</v>
      </c>
      <c r="H217" s="1931" t="e">
        <f>($G$9*Term)/((($F$8-BBR+'Product Data'!$K$3-'KB_BTL Opt Roll Defer Top Slice'!$G217)/12)*(Term-'KB_BTL Opt Roll Defer Top Slice'!F217)*'Product Data'!$P$18)</f>
        <v>#N/A</v>
      </c>
      <c r="J217" s="1927">
        <f t="shared" si="12"/>
        <v>0</v>
      </c>
      <c r="K217" s="1928">
        <v>7.0000000000009996E-4</v>
      </c>
      <c r="L217" s="1931" t="e">
        <f>($K$9*Term)/((($J$8-BBR+'Product Data'!$K$2-'KB_BTL Opt Roll Defer Top Slice'!$K217)/12)*(Term-'KB_BTL Opt Roll Defer Top Slice'!J217)*'Product Data'!$P$18)</f>
        <v>#N/A</v>
      </c>
    </row>
    <row r="218" spans="2:12" x14ac:dyDescent="0.25">
      <c r="B218" s="1927">
        <f t="shared" si="14"/>
        <v>0</v>
      </c>
      <c r="C218" s="1928">
        <v>6.0000000000010002E-4</v>
      </c>
      <c r="D218" s="1931" t="e">
        <f>($C$9*Term)/((($B$8-BBR+'Product Data'!$K$3-'KB_BTL Opt Roll Defer Top Slice'!$C218)/12)*(Term-'KB_BTL Opt Roll Defer Top Slice'!B218)*'Product Data'!$P$18)</f>
        <v>#N/A</v>
      </c>
      <c r="F218" s="1927">
        <f t="shared" ref="F218:F224" si="15">F217</f>
        <v>0</v>
      </c>
      <c r="G218" s="1928">
        <v>6.0000000000010002E-4</v>
      </c>
      <c r="H218" s="1931" t="e">
        <f>($G$9*Term)/((($F$8-BBR+'Product Data'!$K$3-'KB_BTL Opt Roll Defer Top Slice'!$G218)/12)*(Term-'KB_BTL Opt Roll Defer Top Slice'!F218)*'Product Data'!$P$18)</f>
        <v>#N/A</v>
      </c>
      <c r="J218" s="1927">
        <f t="shared" ref="J218:J224" si="16">J217</f>
        <v>0</v>
      </c>
      <c r="K218" s="1928">
        <v>6.0000000000010002E-4</v>
      </c>
      <c r="L218" s="1931" t="e">
        <f>($K$9*Term)/((($J$8-BBR+'Product Data'!$K$2-'KB_BTL Opt Roll Defer Top Slice'!$K218)/12)*(Term-'KB_BTL Opt Roll Defer Top Slice'!J218)*'Product Data'!$P$18)</f>
        <v>#N/A</v>
      </c>
    </row>
    <row r="219" spans="2:12" x14ac:dyDescent="0.25">
      <c r="B219" s="1927">
        <f t="shared" si="14"/>
        <v>0</v>
      </c>
      <c r="C219" s="1928">
        <v>5.0000000000010095E-4</v>
      </c>
      <c r="D219" s="1931" t="e">
        <f>($C$9*Term)/((($B$8-BBR+'Product Data'!$K$3-'KB_BTL Opt Roll Defer Top Slice'!$C219)/12)*(Term-'KB_BTL Opt Roll Defer Top Slice'!B219)*'Product Data'!$P$18)</f>
        <v>#N/A</v>
      </c>
      <c r="F219" s="1927">
        <f t="shared" si="15"/>
        <v>0</v>
      </c>
      <c r="G219" s="1928">
        <v>5.0000000000010095E-4</v>
      </c>
      <c r="H219" s="1931" t="e">
        <f>($G$9*Term)/((($F$8-BBR+'Product Data'!$K$3-'KB_BTL Opt Roll Defer Top Slice'!$G219)/12)*(Term-'KB_BTL Opt Roll Defer Top Slice'!F219)*'Product Data'!$P$18)</f>
        <v>#N/A</v>
      </c>
      <c r="J219" s="1927">
        <f t="shared" si="16"/>
        <v>0</v>
      </c>
      <c r="K219" s="1928">
        <v>5.0000000000010095E-4</v>
      </c>
      <c r="L219" s="1931" t="e">
        <f>($K$9*Term)/((($J$8-BBR+'Product Data'!$K$2-'KB_BTL Opt Roll Defer Top Slice'!$K219)/12)*(Term-'KB_BTL Opt Roll Defer Top Slice'!J219)*'Product Data'!$P$18)</f>
        <v>#N/A</v>
      </c>
    </row>
    <row r="220" spans="2:12" x14ac:dyDescent="0.25">
      <c r="B220" s="1927">
        <f t="shared" si="14"/>
        <v>0</v>
      </c>
      <c r="C220" s="1928">
        <v>4.0000000000010199E-4</v>
      </c>
      <c r="D220" s="1931" t="e">
        <f>($C$9*Term)/((($B$8-BBR+'Product Data'!$K$3-'KB_BTL Opt Roll Defer Top Slice'!$C220)/12)*(Term-'KB_BTL Opt Roll Defer Top Slice'!B220)*'Product Data'!$P$18)</f>
        <v>#N/A</v>
      </c>
      <c r="F220" s="1927">
        <f t="shared" si="15"/>
        <v>0</v>
      </c>
      <c r="G220" s="1928">
        <v>4.0000000000010199E-4</v>
      </c>
      <c r="H220" s="1931" t="e">
        <f>($G$9*Term)/((($F$8-BBR+'Product Data'!$K$3-'KB_BTL Opt Roll Defer Top Slice'!$G220)/12)*(Term-'KB_BTL Opt Roll Defer Top Slice'!F220)*'Product Data'!$P$18)</f>
        <v>#N/A</v>
      </c>
      <c r="J220" s="1927">
        <f t="shared" si="16"/>
        <v>0</v>
      </c>
      <c r="K220" s="1928">
        <v>4.0000000000010199E-4</v>
      </c>
      <c r="L220" s="1931" t="e">
        <f>($K$9*Term)/((($J$8-BBR+'Product Data'!$K$2-'KB_BTL Opt Roll Defer Top Slice'!$K220)/12)*(Term-'KB_BTL Opt Roll Defer Top Slice'!J220)*'Product Data'!$P$18)</f>
        <v>#N/A</v>
      </c>
    </row>
    <row r="221" spans="2:12" x14ac:dyDescent="0.25">
      <c r="B221" s="1927">
        <f t="shared" si="14"/>
        <v>0</v>
      </c>
      <c r="C221" s="1928">
        <v>3.0000000000009902E-4</v>
      </c>
      <c r="D221" s="1931" t="e">
        <f>($C$9*Term)/((($B$8-BBR+'Product Data'!$K$3-'KB_BTL Opt Roll Defer Top Slice'!$C221)/12)*(Term-'KB_BTL Opt Roll Defer Top Slice'!B221)*'Product Data'!$P$18)</f>
        <v>#N/A</v>
      </c>
      <c r="F221" s="1927">
        <f t="shared" si="15"/>
        <v>0</v>
      </c>
      <c r="G221" s="1928">
        <v>3.0000000000009902E-4</v>
      </c>
      <c r="H221" s="1931" t="e">
        <f>($G$9*Term)/((($F$8-BBR+'Product Data'!$K$3-'KB_BTL Opt Roll Defer Top Slice'!$G221)/12)*(Term-'KB_BTL Opt Roll Defer Top Slice'!F221)*'Product Data'!$P$18)</f>
        <v>#N/A</v>
      </c>
      <c r="J221" s="1927">
        <f t="shared" si="16"/>
        <v>0</v>
      </c>
      <c r="K221" s="1928">
        <v>3.0000000000009902E-4</v>
      </c>
      <c r="L221" s="1931" t="e">
        <f>($K$9*Term)/((($J$8-BBR+'Product Data'!$K$2-'KB_BTL Opt Roll Defer Top Slice'!$K221)/12)*(Term-'KB_BTL Opt Roll Defer Top Slice'!J221)*'Product Data'!$P$18)</f>
        <v>#N/A</v>
      </c>
    </row>
    <row r="222" spans="2:12" x14ac:dyDescent="0.25">
      <c r="B222" s="1927">
        <f t="shared" si="14"/>
        <v>0</v>
      </c>
      <c r="C222" s="1928">
        <v>2.00000000000099E-4</v>
      </c>
      <c r="D222" s="1931" t="e">
        <f>($C$9*Term)/((($B$8-BBR+'Product Data'!$K$3-'KB_BTL Opt Roll Defer Top Slice'!$C222)/12)*(Term-'KB_BTL Opt Roll Defer Top Slice'!B222)*'Product Data'!$P$18)</f>
        <v>#N/A</v>
      </c>
      <c r="F222" s="1927">
        <f t="shared" si="15"/>
        <v>0</v>
      </c>
      <c r="G222" s="1928">
        <v>2.00000000000099E-4</v>
      </c>
      <c r="H222" s="1931" t="e">
        <f>($G$9*Term)/((($F$8-BBR+'Product Data'!$K$3-'KB_BTL Opt Roll Defer Top Slice'!$G222)/12)*(Term-'KB_BTL Opt Roll Defer Top Slice'!F222)*'Product Data'!$P$18)</f>
        <v>#N/A</v>
      </c>
      <c r="J222" s="1927">
        <f t="shared" si="16"/>
        <v>0</v>
      </c>
      <c r="K222" s="1928">
        <v>2.00000000000099E-4</v>
      </c>
      <c r="L222" s="1931" t="e">
        <f>($K$9*Term)/((($J$8-BBR+'Product Data'!$K$2-'KB_BTL Opt Roll Defer Top Slice'!$K222)/12)*(Term-'KB_BTL Opt Roll Defer Top Slice'!J222)*'Product Data'!$P$18)</f>
        <v>#N/A</v>
      </c>
    </row>
    <row r="223" spans="2:12" x14ac:dyDescent="0.25">
      <c r="B223" s="1927">
        <f t="shared" si="14"/>
        <v>0</v>
      </c>
      <c r="C223" s="1928">
        <v>1.000000000001E-4</v>
      </c>
      <c r="D223" s="1931" t="e">
        <f>($C$9*Term)/((($B$8-BBR+'Product Data'!$K$3-'KB_BTL Opt Roll Defer Top Slice'!$C223)/12)*(Term-'KB_BTL Opt Roll Defer Top Slice'!B223)*'Product Data'!$P$18)</f>
        <v>#N/A</v>
      </c>
      <c r="F223" s="1927">
        <f t="shared" si="15"/>
        <v>0</v>
      </c>
      <c r="G223" s="1928">
        <v>1.000000000001E-4</v>
      </c>
      <c r="H223" s="1931" t="e">
        <f>($G$9*Term)/((($F$8-BBR+'Product Data'!$K$3-'KB_BTL Opt Roll Defer Top Slice'!$G223)/12)*(Term-'KB_BTL Opt Roll Defer Top Slice'!F223)*'Product Data'!$P$18)</f>
        <v>#N/A</v>
      </c>
      <c r="J223" s="1927">
        <f t="shared" si="16"/>
        <v>0</v>
      </c>
      <c r="K223" s="1928">
        <v>1.000000000001E-4</v>
      </c>
      <c r="L223" s="1931" t="e">
        <f>($K$9*Term)/((($J$8-BBR+'Product Data'!$K$2-'KB_BTL Opt Roll Defer Top Slice'!$K223)/12)*(Term-'KB_BTL Opt Roll Defer Top Slice'!J223)*'Product Data'!$P$18)</f>
        <v>#N/A</v>
      </c>
    </row>
    <row r="224" spans="2:12" x14ac:dyDescent="0.25">
      <c r="B224" s="1927">
        <f t="shared" si="14"/>
        <v>0</v>
      </c>
      <c r="C224" s="1928">
        <v>1.00613961606655E-16</v>
      </c>
      <c r="D224" s="1931" t="e">
        <f>($C$9*Term)/((($B$8-BBR+'Product Data'!$K$3-'KB_BTL Opt Roll Defer Top Slice'!$C224)/12)*(Term-'KB_BTL Opt Roll Defer Top Slice'!B224)*'Product Data'!$P$18)</f>
        <v>#N/A</v>
      </c>
      <c r="F224" s="1927">
        <f t="shared" si="15"/>
        <v>0</v>
      </c>
      <c r="G224" s="1928">
        <v>1.00613961606655E-16</v>
      </c>
      <c r="H224" s="1931" t="e">
        <f>($G$9*Term)/((($F$8-BBR+'Product Data'!$K$3-'KB_BTL Opt Roll Defer Top Slice'!$G224)/12)*(Term-'KB_BTL Opt Roll Defer Top Slice'!F224)*'Product Data'!$P$18)</f>
        <v>#N/A</v>
      </c>
      <c r="J224" s="1927">
        <f t="shared" si="16"/>
        <v>0</v>
      </c>
      <c r="K224" s="1928">
        <v>1.00613961606655E-16</v>
      </c>
      <c r="L224" s="1931" t="e">
        <f>($K$9*Term)/((($J$8-BBR+'Product Data'!$K$2-'KB_BTL Opt Roll Defer Top Slice'!$K224)/12)*(Term-'KB_BTL Opt Roll Defer Top Slice'!J224)*'Product Data'!$P$18)</f>
        <v>#N/A</v>
      </c>
    </row>
  </sheetData>
  <mergeCells count="11">
    <mergeCell ref="B3:D4"/>
    <mergeCell ref="B2:D2"/>
    <mergeCell ref="F2:H2"/>
    <mergeCell ref="F3:H4"/>
    <mergeCell ref="J2:L2"/>
    <mergeCell ref="J3:L4"/>
    <mergeCell ref="Q8:Q9"/>
    <mergeCell ref="N10:O10"/>
    <mergeCell ref="N11:O11"/>
    <mergeCell ref="N12:O12"/>
    <mergeCell ref="N9:P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EB2A9-05E7-4A67-A9EF-B2FC21F67C8C}">
  <sheetPr codeName="Sheet42" filterMode="1">
    <tabColor theme="4"/>
    <pageSetUpPr fitToPage="1"/>
  </sheetPr>
  <dimension ref="A2:EF110"/>
  <sheetViews>
    <sheetView topLeftCell="E1" zoomScale="70" zoomScaleNormal="70" workbookViewId="0">
      <selection activeCell="E17" sqref="E17:K17"/>
    </sheetView>
  </sheetViews>
  <sheetFormatPr defaultRowHeight="18.75" x14ac:dyDescent="0.25"/>
  <cols>
    <col min="1" max="1" width="6.7109375" style="898" hidden="1" customWidth="1"/>
    <col min="2" max="2" width="11.5703125" style="2482" hidden="1" customWidth="1"/>
    <col min="3" max="3" width="0" style="2482" hidden="1" customWidth="1"/>
    <col min="4" max="4" width="10.7109375" style="2482" hidden="1" customWidth="1"/>
    <col min="5" max="5" width="8.7109375" style="898" customWidth="1"/>
    <col min="6" max="6" width="26.42578125" style="898" customWidth="1"/>
    <col min="7" max="7" width="53.42578125" style="898" bestFit="1" customWidth="1"/>
    <col min="8" max="9" width="17.28515625" style="898" customWidth="1"/>
    <col min="10" max="10" width="46" style="898" customWidth="1"/>
    <col min="11" max="11" width="15.7109375" style="1786" customWidth="1"/>
    <col min="12" max="12" width="5.5703125" style="1786" customWidth="1"/>
    <col min="13" max="13" width="17.28515625" style="1786" hidden="1" customWidth="1"/>
    <col min="14" max="14" width="15.7109375" style="1825" customWidth="1"/>
    <col min="15" max="15" width="15.7109375" style="898" customWidth="1"/>
    <col min="16" max="16" width="5.7109375" style="898" customWidth="1"/>
    <col min="17" max="17" width="50.42578125" style="2482" customWidth="1"/>
    <col min="18" max="19" width="19.7109375" style="898" customWidth="1"/>
    <col min="20" max="16384" width="9.140625" style="898"/>
  </cols>
  <sheetData>
    <row r="2" spans="1:23" x14ac:dyDescent="0.25">
      <c r="A2" s="3632"/>
      <c r="B2" s="3632"/>
      <c r="C2" s="3632"/>
      <c r="D2" s="3632"/>
      <c r="E2" s="3632"/>
      <c r="F2" s="3632"/>
      <c r="G2" s="3632"/>
      <c r="H2" s="3632"/>
      <c r="I2" s="3632"/>
      <c r="J2" s="3632"/>
      <c r="K2" s="3632"/>
      <c r="L2" s="2610"/>
      <c r="M2" s="2623"/>
      <c r="N2" s="2624"/>
      <c r="Q2" s="2500" t="s">
        <v>3650</v>
      </c>
    </row>
    <row r="3" spans="1:23" ht="18.75" customHeight="1" x14ac:dyDescent="0.25">
      <c r="Q3" s="2500"/>
    </row>
    <row r="4" spans="1:23" ht="37.5" customHeight="1" x14ac:dyDescent="0.25">
      <c r="B4" s="2484"/>
      <c r="C4" s="2485"/>
      <c r="D4" s="2486"/>
      <c r="E4" s="2390"/>
      <c r="F4" s="2390"/>
      <c r="G4" s="2390"/>
      <c r="H4" s="2390"/>
      <c r="I4" s="2390"/>
      <c r="J4" s="2390"/>
      <c r="K4" s="2390"/>
      <c r="L4" s="2390"/>
      <c r="M4" s="2390"/>
      <c r="N4" s="1712"/>
    </row>
    <row r="5" spans="1:23" ht="37.5" customHeight="1" x14ac:dyDescent="0.25">
      <c r="B5" s="2484"/>
      <c r="C5" s="2485"/>
      <c r="W5" s="898" t="s">
        <v>3364</v>
      </c>
    </row>
    <row r="6" spans="1:23" ht="27" customHeight="1" x14ac:dyDescent="0.25">
      <c r="B6" s="2484"/>
      <c r="C6" s="2485"/>
    </row>
    <row r="7" spans="1:23" ht="37.5" hidden="1" customHeight="1" x14ac:dyDescent="0.25">
      <c r="B7" s="2484"/>
      <c r="C7" s="2485"/>
      <c r="E7" s="3632"/>
      <c r="F7" s="3632"/>
      <c r="G7" s="3632"/>
      <c r="H7" s="3632"/>
      <c r="I7" s="3632"/>
      <c r="J7" s="3632"/>
      <c r="K7" s="3632"/>
      <c r="L7" s="2611"/>
      <c r="M7" s="2552" t="s">
        <v>3743</v>
      </c>
      <c r="N7" s="2552" t="s">
        <v>3744</v>
      </c>
      <c r="O7" s="2615" t="s">
        <v>3730</v>
      </c>
      <c r="P7" s="2553"/>
      <c r="Q7" s="2558" t="s">
        <v>3745</v>
      </c>
    </row>
    <row r="8" spans="1:23" ht="37.5" customHeight="1" x14ac:dyDescent="0.25">
      <c r="B8" s="2484"/>
      <c r="C8" s="2485"/>
      <c r="E8" s="3638" t="str">
        <f>+IF('BTL Calculator'!V3 = "Residential BTL", "Residential BTL", "Commercial BTL")</f>
        <v>Commercial BTL</v>
      </c>
      <c r="F8" s="3638"/>
      <c r="G8" s="3639"/>
      <c r="H8" s="3639"/>
      <c r="I8" s="3633"/>
      <c r="J8" s="3633"/>
      <c r="K8" s="3633"/>
      <c r="M8" s="1786" t="s">
        <v>3731</v>
      </c>
      <c r="N8" s="1825" t="s">
        <v>3731</v>
      </c>
      <c r="O8" s="1825" t="s">
        <v>3731</v>
      </c>
      <c r="Q8" s="3642" t="str">
        <f>IF('BTL Calculator'!V17&lt;&gt;"No","HMO,","")&amp;IF('BTL Calculator'!V18&lt;&gt;"No"," MUFB,","")&amp;IF('BTL Calculator'!V19&lt;&gt;"No"," Commercial adjacent,","")&amp;IF('BTL Calculator'!V20&lt;&gt;"No"," Holiday let,","")&amp;IF('BTL Calculator'!V22&lt;&gt;"No"," New build,","")&amp;IF('BTL Calculator'!H24="Individual"," Individual"," Corporate")</f>
        <v xml:space="preserve"> Individual</v>
      </c>
    </row>
    <row r="9" spans="1:23" ht="53.25" customHeight="1" x14ac:dyDescent="0.25">
      <c r="B9" s="2484"/>
      <c r="C9" s="2485"/>
      <c r="E9" s="3634" t="str">
        <f>'BTL Calculator'!H8</f>
        <v>xxxxxxx</v>
      </c>
      <c r="F9" s="3634"/>
      <c r="G9" s="3635" t="str">
        <f>'BTL Calculator'!H10</f>
        <v>xxxxxxx</v>
      </c>
      <c r="H9" s="3635"/>
      <c r="I9" s="3635" t="str">
        <f>'BTL Calculator'!H7</f>
        <v>xxxxxxx</v>
      </c>
      <c r="J9" s="3635"/>
      <c r="L9" s="2612"/>
      <c r="M9" s="1786" t="s">
        <v>3731</v>
      </c>
      <c r="N9" s="1825" t="s">
        <v>3731</v>
      </c>
      <c r="O9" s="1825" t="s">
        <v>3731</v>
      </c>
      <c r="Q9" s="3642"/>
    </row>
    <row r="10" spans="1:23" ht="17.25" customHeight="1" x14ac:dyDescent="0.25">
      <c r="B10" s="2484"/>
      <c r="C10" s="2485"/>
      <c r="E10" s="2619"/>
      <c r="F10" s="3641" t="s">
        <v>3797</v>
      </c>
      <c r="G10" s="3641"/>
      <c r="H10" s="3641"/>
      <c r="I10" s="3641"/>
      <c r="J10" s="3641"/>
      <c r="K10" s="3641"/>
      <c r="L10" s="2612"/>
      <c r="M10" s="1786" t="s">
        <v>3731</v>
      </c>
      <c r="N10" s="2621" t="s">
        <v>3734</v>
      </c>
      <c r="O10" s="1825" t="s">
        <v>3731</v>
      </c>
      <c r="R10" s="898" t="s">
        <v>3364</v>
      </c>
    </row>
    <row r="11" spans="1:23" ht="17.25" customHeight="1" x14ac:dyDescent="0.25">
      <c r="B11" s="2484"/>
      <c r="C11" s="2485"/>
      <c r="E11" s="2619"/>
      <c r="F11" s="2619"/>
      <c r="G11" s="2619"/>
      <c r="H11" s="2619"/>
      <c r="I11" s="2619"/>
      <c r="J11" s="2619"/>
      <c r="K11" s="2619"/>
      <c r="L11" s="2612"/>
      <c r="M11" s="1786" t="s">
        <v>3731</v>
      </c>
      <c r="N11" s="2621" t="s">
        <v>3734</v>
      </c>
      <c r="O11" s="1825"/>
    </row>
    <row r="12" spans="1:23" ht="45" customHeight="1" x14ac:dyDescent="0.25">
      <c r="B12" s="2484"/>
      <c r="C12" s="2485"/>
      <c r="E12" s="3636" t="s">
        <v>3799</v>
      </c>
      <c r="F12" s="3636"/>
      <c r="G12" s="3636"/>
      <c r="H12" s="3636"/>
      <c r="I12" s="3636"/>
      <c r="J12" s="3636"/>
      <c r="K12" s="3636"/>
      <c r="L12" s="2612"/>
      <c r="M12" s="1786" t="s">
        <v>3731</v>
      </c>
      <c r="N12" s="2621" t="s">
        <v>3734</v>
      </c>
      <c r="O12" s="1825"/>
    </row>
    <row r="13" spans="1:23" ht="21.75" customHeight="1" x14ac:dyDescent="0.25">
      <c r="B13" s="2484"/>
      <c r="C13" s="2485"/>
      <c r="E13" s="2613" t="s">
        <v>3649</v>
      </c>
      <c r="F13" s="3637" t="s">
        <v>3808</v>
      </c>
      <c r="G13" s="3637"/>
      <c r="H13" s="3637"/>
      <c r="I13" s="3637"/>
      <c r="J13" s="3637"/>
      <c r="K13" s="3637"/>
      <c r="L13" s="2612"/>
      <c r="M13" s="1786" t="s">
        <v>3731</v>
      </c>
      <c r="N13" s="2621" t="s">
        <v>3734</v>
      </c>
      <c r="O13" s="1825"/>
    </row>
    <row r="14" spans="1:23" ht="21" customHeight="1" x14ac:dyDescent="0.25">
      <c r="B14" s="2484"/>
      <c r="C14" s="2485"/>
      <c r="E14" s="2613" t="s">
        <v>3649</v>
      </c>
      <c r="F14" s="3637" t="s">
        <v>3806</v>
      </c>
      <c r="G14" s="3637"/>
      <c r="H14" s="3637"/>
      <c r="I14" s="3637"/>
      <c r="J14" s="3637"/>
      <c r="K14" s="3637"/>
      <c r="L14" s="2612"/>
      <c r="M14" s="1786" t="s">
        <v>3731</v>
      </c>
      <c r="N14" s="2621" t="s">
        <v>3734</v>
      </c>
      <c r="O14" s="1825"/>
    </row>
    <row r="15" spans="1:23" ht="18.75" customHeight="1" x14ac:dyDescent="0.25">
      <c r="B15" s="2484"/>
      <c r="C15" s="2485"/>
      <c r="E15" s="2613" t="s">
        <v>3649</v>
      </c>
      <c r="F15" s="3637" t="s">
        <v>3807</v>
      </c>
      <c r="G15" s="3637"/>
      <c r="H15" s="3637"/>
      <c r="I15" s="3637"/>
      <c r="J15" s="3637"/>
      <c r="K15" s="3637"/>
      <c r="L15" s="2612"/>
      <c r="M15" s="1786" t="s">
        <v>3731</v>
      </c>
      <c r="N15" s="2621" t="s">
        <v>3734</v>
      </c>
      <c r="O15" s="1825"/>
    </row>
    <row r="16" spans="1:23" ht="17.25" customHeight="1" x14ac:dyDescent="0.25">
      <c r="B16" s="2484"/>
      <c r="C16" s="2485"/>
      <c r="E16" s="2613"/>
      <c r="F16" s="3637"/>
      <c r="G16" s="3637"/>
      <c r="H16" s="3637"/>
      <c r="I16" s="3637"/>
      <c r="J16" s="3637"/>
      <c r="K16" s="3637"/>
      <c r="L16" s="2612"/>
      <c r="M16" s="1786" t="s">
        <v>3731</v>
      </c>
      <c r="N16" s="2621" t="s">
        <v>3734</v>
      </c>
      <c r="O16" s="1825"/>
    </row>
    <row r="17" spans="2:136" ht="18.75" customHeight="1" x14ac:dyDescent="0.25">
      <c r="B17" s="2484"/>
      <c r="C17" s="2485"/>
      <c r="E17" s="3640" t="s">
        <v>3798</v>
      </c>
      <c r="F17" s="3640"/>
      <c r="G17" s="3640"/>
      <c r="H17" s="3640"/>
      <c r="I17" s="3640"/>
      <c r="J17" s="3640"/>
      <c r="K17" s="3640"/>
      <c r="L17" s="2612"/>
      <c r="M17" s="1786" t="s">
        <v>3731</v>
      </c>
      <c r="N17" s="2621" t="s">
        <v>3734</v>
      </c>
      <c r="O17" s="1825"/>
    </row>
    <row r="18" spans="2:136" ht="17.25" customHeight="1" x14ac:dyDescent="0.25">
      <c r="B18" s="2484"/>
      <c r="C18" s="2485"/>
      <c r="E18" s="3640"/>
      <c r="F18" s="3640"/>
      <c r="G18" s="3640"/>
      <c r="H18" s="3640"/>
      <c r="I18" s="3640"/>
      <c r="J18" s="3640"/>
      <c r="K18" s="3640"/>
      <c r="L18" s="2612"/>
      <c r="M18" s="1786" t="s">
        <v>3731</v>
      </c>
      <c r="N18" s="1825" t="s">
        <v>3731</v>
      </c>
      <c r="O18" s="1825"/>
    </row>
    <row r="19" spans="2:136" ht="46.5" customHeight="1" x14ac:dyDescent="0.25">
      <c r="B19" s="2484"/>
      <c r="C19" s="2485"/>
      <c r="E19" s="3640" t="s">
        <v>3651</v>
      </c>
      <c r="F19" s="3640"/>
      <c r="G19" s="3640"/>
      <c r="H19" s="3640"/>
      <c r="I19" s="3640"/>
      <c r="J19" s="3640"/>
      <c r="K19" s="3640"/>
      <c r="L19" s="2612"/>
      <c r="M19" s="1786" t="s">
        <v>3731</v>
      </c>
      <c r="N19" s="1825" t="s">
        <v>3731</v>
      </c>
      <c r="O19" s="1825"/>
    </row>
    <row r="20" spans="2:136" ht="17.25" customHeight="1" x14ac:dyDescent="0.25">
      <c r="B20" s="2484"/>
      <c r="C20" s="2485"/>
      <c r="E20" s="2619"/>
      <c r="F20" s="2619"/>
      <c r="G20" s="2619"/>
      <c r="H20" s="2619"/>
      <c r="I20" s="2619"/>
      <c r="J20" s="2619"/>
      <c r="K20" s="2619"/>
      <c r="L20" s="2612"/>
      <c r="M20" s="1786" t="s">
        <v>3731</v>
      </c>
      <c r="N20" s="1825" t="s">
        <v>3731</v>
      </c>
      <c r="O20" s="1825"/>
    </row>
    <row r="21" spans="2:136" ht="45" customHeight="1" x14ac:dyDescent="0.25">
      <c r="B21" s="2484"/>
      <c r="C21" s="2485"/>
      <c r="E21" s="3643" t="s">
        <v>666</v>
      </c>
      <c r="F21" s="3644"/>
      <c r="G21" s="3644"/>
      <c r="H21" s="3644"/>
      <c r="I21" s="3644"/>
      <c r="J21" s="3644"/>
      <c r="K21" s="3645"/>
      <c r="L21" s="2612"/>
      <c r="M21" s="1786" t="s">
        <v>3731</v>
      </c>
      <c r="N21" s="2621" t="s">
        <v>3734</v>
      </c>
      <c r="O21" s="1825"/>
    </row>
    <row r="22" spans="2:136" ht="24.75" customHeight="1" x14ac:dyDescent="0.25">
      <c r="B22" s="2484"/>
      <c r="C22" s="2485"/>
      <c r="E22" s="2613" t="s">
        <v>3649</v>
      </c>
      <c r="F22" s="3641" t="s">
        <v>3800</v>
      </c>
      <c r="G22" s="3641"/>
      <c r="H22" s="3641"/>
      <c r="I22" s="3641"/>
      <c r="J22" s="3641"/>
      <c r="K22" s="3641"/>
      <c r="L22" s="2609"/>
      <c r="M22" s="1786" t="s">
        <v>3731</v>
      </c>
      <c r="N22" s="2621" t="s">
        <v>3734</v>
      </c>
      <c r="O22" s="1825" t="s">
        <v>3731</v>
      </c>
    </row>
    <row r="23" spans="2:136" ht="24.75" customHeight="1" x14ac:dyDescent="0.25">
      <c r="B23" s="2484"/>
      <c r="C23" s="2485"/>
      <c r="E23" s="3640"/>
      <c r="F23" s="3640"/>
      <c r="G23" s="3640"/>
      <c r="H23" s="3640"/>
      <c r="I23" s="3640"/>
      <c r="J23" s="3640"/>
      <c r="K23" s="3640"/>
      <c r="L23" s="2609"/>
      <c r="M23" s="1786" t="s">
        <v>3731</v>
      </c>
      <c r="N23" s="2621" t="s">
        <v>3734</v>
      </c>
      <c r="O23" s="1825"/>
    </row>
    <row r="24" spans="2:136" s="862" customFormat="1" ht="45" customHeight="1" x14ac:dyDescent="0.25">
      <c r="B24" s="2554"/>
      <c r="C24" s="2555"/>
      <c r="D24" s="2556"/>
      <c r="E24" s="3636" t="s">
        <v>349</v>
      </c>
      <c r="F24" s="3636"/>
      <c r="G24" s="3636"/>
      <c r="H24" s="3636"/>
      <c r="I24" s="3636"/>
      <c r="J24" s="3636"/>
      <c r="K24" s="3636"/>
      <c r="L24" s="2609"/>
      <c r="M24" s="1786" t="s">
        <v>3731</v>
      </c>
      <c r="N24" s="2621" t="s">
        <v>3732</v>
      </c>
      <c r="O24" s="2616" t="s">
        <v>27</v>
      </c>
      <c r="P24" s="898"/>
      <c r="Q24" s="2482"/>
      <c r="R24" s="898"/>
      <c r="S24" s="898"/>
      <c r="T24" s="898"/>
      <c r="U24" s="898"/>
      <c r="V24" s="898"/>
      <c r="W24" s="898"/>
      <c r="X24" s="898"/>
      <c r="Y24" s="898"/>
      <c r="Z24" s="898"/>
      <c r="AA24" s="898"/>
      <c r="AB24" s="898"/>
      <c r="AC24" s="898"/>
      <c r="AD24" s="898"/>
      <c r="AE24" s="898"/>
      <c r="AF24" s="898"/>
      <c r="AG24" s="898"/>
      <c r="AH24" s="898"/>
      <c r="AI24" s="898"/>
      <c r="AJ24" s="898"/>
      <c r="AK24" s="898"/>
      <c r="AL24" s="898"/>
      <c r="AM24" s="898"/>
      <c r="AN24" s="898"/>
      <c r="AO24" s="898"/>
      <c r="AP24" s="898"/>
      <c r="AQ24" s="898"/>
      <c r="AR24" s="898"/>
      <c r="AS24" s="898"/>
      <c r="AT24" s="898"/>
      <c r="AU24" s="898"/>
      <c r="AV24" s="898"/>
      <c r="AW24" s="898"/>
      <c r="AX24" s="898"/>
      <c r="AY24" s="898"/>
      <c r="AZ24" s="898"/>
      <c r="BA24" s="898"/>
      <c r="BB24" s="898"/>
      <c r="BC24" s="898"/>
      <c r="BD24" s="898"/>
      <c r="BE24" s="898"/>
      <c r="BF24" s="898"/>
      <c r="BG24" s="898"/>
      <c r="BH24" s="898"/>
      <c r="BI24" s="898"/>
      <c r="BJ24" s="898"/>
      <c r="BK24" s="898"/>
      <c r="BL24" s="898"/>
      <c r="BM24" s="898"/>
      <c r="BN24" s="898"/>
      <c r="BO24" s="898"/>
      <c r="BP24" s="898"/>
      <c r="BQ24" s="898"/>
      <c r="BR24" s="898"/>
      <c r="BS24" s="898"/>
      <c r="BT24" s="898"/>
      <c r="BU24" s="898"/>
      <c r="BV24" s="898"/>
      <c r="BW24" s="898"/>
      <c r="BX24" s="898"/>
      <c r="BY24" s="898"/>
      <c r="BZ24" s="898"/>
      <c r="CA24" s="898"/>
      <c r="CB24" s="898"/>
      <c r="CC24" s="898"/>
      <c r="CD24" s="898"/>
      <c r="CE24" s="898"/>
      <c r="CF24" s="898"/>
      <c r="CG24" s="898"/>
      <c r="CH24" s="898"/>
      <c r="CI24" s="898"/>
      <c r="CJ24" s="898"/>
      <c r="CK24" s="898"/>
      <c r="CL24" s="898"/>
      <c r="CM24" s="898"/>
      <c r="CN24" s="898"/>
      <c r="CO24" s="898"/>
      <c r="CP24" s="898"/>
      <c r="CQ24" s="898"/>
      <c r="CR24" s="898"/>
      <c r="CS24" s="898"/>
      <c r="CT24" s="898"/>
      <c r="CU24" s="898"/>
      <c r="CV24" s="898"/>
      <c r="CW24" s="898"/>
      <c r="CX24" s="898"/>
      <c r="CY24" s="898"/>
      <c r="CZ24" s="898"/>
      <c r="DA24" s="898"/>
      <c r="DB24" s="898"/>
      <c r="DC24" s="898"/>
      <c r="DD24" s="898"/>
      <c r="DE24" s="898"/>
      <c r="DF24" s="898"/>
      <c r="DG24" s="898"/>
      <c r="DH24" s="898"/>
      <c r="DI24" s="898"/>
      <c r="DJ24" s="898"/>
      <c r="DK24" s="898"/>
      <c r="DL24" s="898"/>
      <c r="DM24" s="898"/>
      <c r="DN24" s="898"/>
      <c r="DO24" s="898"/>
      <c r="DP24" s="898"/>
      <c r="DQ24" s="898"/>
      <c r="DR24" s="898"/>
      <c r="DS24" s="898"/>
      <c r="DT24" s="898"/>
      <c r="DU24" s="898"/>
      <c r="DV24" s="898"/>
      <c r="DW24" s="898"/>
      <c r="DX24" s="898"/>
      <c r="DY24" s="898"/>
      <c r="DZ24" s="898"/>
      <c r="EA24" s="898"/>
      <c r="EB24" s="898"/>
      <c r="EC24" s="898"/>
      <c r="ED24" s="898"/>
      <c r="EE24" s="898"/>
      <c r="EF24" s="898"/>
    </row>
    <row r="25" spans="2:136" ht="24.75" customHeight="1" x14ac:dyDescent="0.25">
      <c r="B25" s="2484"/>
      <c r="C25" s="2485"/>
      <c r="E25" s="2613" t="s">
        <v>3649</v>
      </c>
      <c r="F25" s="3637" t="s">
        <v>3802</v>
      </c>
      <c r="G25" s="3637"/>
      <c r="H25" s="3637"/>
      <c r="I25" s="3637"/>
      <c r="J25" s="3637"/>
      <c r="K25" s="3637"/>
      <c r="L25" s="2547"/>
      <c r="M25" s="1786" t="s">
        <v>3731</v>
      </c>
      <c r="N25" s="2621" t="s">
        <v>3734</v>
      </c>
      <c r="O25" s="2616" t="s">
        <v>27</v>
      </c>
      <c r="Q25" s="2482" t="s">
        <v>3364</v>
      </c>
    </row>
    <row r="26" spans="2:136" ht="24.75" hidden="1" customHeight="1" x14ac:dyDescent="0.25">
      <c r="B26" s="2484"/>
      <c r="C26" s="2485"/>
      <c r="E26" s="2613" t="s">
        <v>3649</v>
      </c>
      <c r="F26" s="3637" t="s">
        <v>3654</v>
      </c>
      <c r="G26" s="3637"/>
      <c r="H26" s="3637"/>
      <c r="I26" s="3637"/>
      <c r="J26" s="3637"/>
      <c r="K26" s="3637"/>
      <c r="L26" s="2547"/>
      <c r="M26" s="1786" t="s">
        <v>3731</v>
      </c>
      <c r="N26" s="2622" t="s">
        <v>260</v>
      </c>
      <c r="O26" s="2616" t="s">
        <v>27</v>
      </c>
      <c r="Q26" s="2482" t="s">
        <v>3364</v>
      </c>
    </row>
    <row r="27" spans="2:136" ht="24.75" customHeight="1" x14ac:dyDescent="0.25">
      <c r="B27" s="2484"/>
      <c r="C27" s="2485"/>
      <c r="E27" s="2613" t="s">
        <v>3649</v>
      </c>
      <c r="F27" s="3637" t="s">
        <v>3803</v>
      </c>
      <c r="G27" s="3637"/>
      <c r="H27" s="3637"/>
      <c r="I27" s="3637"/>
      <c r="J27" s="3637"/>
      <c r="K27" s="3637"/>
      <c r="L27" s="2609"/>
      <c r="M27" s="1786" t="s">
        <v>3731</v>
      </c>
      <c r="N27" s="2622" t="s">
        <v>3734</v>
      </c>
      <c r="O27" s="2616" t="s">
        <v>27</v>
      </c>
    </row>
    <row r="28" spans="2:136" ht="24.75" hidden="1" customHeight="1" x14ac:dyDescent="0.25">
      <c r="B28" s="2484"/>
      <c r="C28" s="2485"/>
      <c r="E28" s="2613" t="s">
        <v>3649</v>
      </c>
      <c r="F28" s="3637" t="s">
        <v>3733</v>
      </c>
      <c r="G28" s="3637"/>
      <c r="H28" s="3637"/>
      <c r="I28" s="3637"/>
      <c r="J28" s="3637"/>
      <c r="K28" s="3637"/>
      <c r="L28" s="2547"/>
      <c r="M28" s="1786" t="s">
        <v>3731</v>
      </c>
      <c r="N28" s="2621" t="s">
        <v>260</v>
      </c>
      <c r="O28" s="2616" t="s">
        <v>27</v>
      </c>
      <c r="Q28" s="2482" t="s">
        <v>3364</v>
      </c>
    </row>
    <row r="29" spans="2:136" ht="24.75" hidden="1" customHeight="1" x14ac:dyDescent="0.25">
      <c r="B29" s="2484"/>
      <c r="C29" s="2485"/>
      <c r="E29" s="2613" t="s">
        <v>3649</v>
      </c>
      <c r="F29" s="3637" t="s">
        <v>3652</v>
      </c>
      <c r="G29" s="3637"/>
      <c r="H29" s="3637"/>
      <c r="I29" s="3637"/>
      <c r="J29" s="3637"/>
      <c r="K29" s="3637"/>
      <c r="L29" s="2547"/>
      <c r="M29" s="1786" t="s">
        <v>3731</v>
      </c>
      <c r="N29" s="2621" t="s">
        <v>260</v>
      </c>
      <c r="O29" s="2616" t="s">
        <v>27</v>
      </c>
      <c r="Q29" s="2482" t="s">
        <v>3364</v>
      </c>
    </row>
    <row r="30" spans="2:136" ht="24.75" hidden="1" customHeight="1" x14ac:dyDescent="0.25">
      <c r="B30" s="2484"/>
      <c r="C30" s="2485"/>
      <c r="E30" s="2613" t="s">
        <v>3649</v>
      </c>
      <c r="F30" s="3628" t="s">
        <v>3787</v>
      </c>
      <c r="G30" s="3628"/>
      <c r="H30" s="3628"/>
      <c r="I30" s="3628"/>
      <c r="J30" s="3628"/>
      <c r="K30" s="3628"/>
      <c r="L30" s="2547"/>
      <c r="M30" s="1786" t="s">
        <v>3731</v>
      </c>
      <c r="N30" s="2621" t="s">
        <v>260</v>
      </c>
      <c r="O30" s="2616" t="s">
        <v>27</v>
      </c>
    </row>
    <row r="31" spans="2:136" ht="24.75" hidden="1" customHeight="1" x14ac:dyDescent="0.25">
      <c r="B31" s="2484"/>
      <c r="C31" s="2485"/>
      <c r="E31" s="2613" t="s">
        <v>3649</v>
      </c>
      <c r="F31" s="3637" t="s">
        <v>3788</v>
      </c>
      <c r="G31" s="3637"/>
      <c r="H31" s="3637"/>
      <c r="I31" s="3637"/>
      <c r="J31" s="3637"/>
      <c r="K31" s="3637"/>
      <c r="L31" s="2547"/>
      <c r="M31" s="1786" t="s">
        <v>3731</v>
      </c>
      <c r="N31" s="2621" t="s">
        <v>260</v>
      </c>
      <c r="O31" s="2616" t="s">
        <v>27</v>
      </c>
      <c r="Q31" s="2617" t="s">
        <v>3793</v>
      </c>
      <c r="R31" s="2618"/>
      <c r="S31" s="2618"/>
      <c r="T31" s="2618"/>
      <c r="U31" s="2618"/>
      <c r="V31" s="2618"/>
      <c r="W31" s="2618"/>
    </row>
    <row r="32" spans="2:136" ht="24.75" hidden="1" customHeight="1" x14ac:dyDescent="0.25">
      <c r="B32" s="2484"/>
      <c r="C32" s="2485"/>
      <c r="E32" s="2613" t="s">
        <v>3649</v>
      </c>
      <c r="F32" s="3637" t="s">
        <v>3653</v>
      </c>
      <c r="G32" s="3637"/>
      <c r="H32" s="3637"/>
      <c r="I32" s="3637"/>
      <c r="J32" s="3637"/>
      <c r="K32" s="3637"/>
      <c r="L32" s="2547"/>
      <c r="M32" s="1786" t="s">
        <v>3731</v>
      </c>
      <c r="N32" s="2621" t="s">
        <v>260</v>
      </c>
      <c r="O32" s="2616" t="s">
        <v>27</v>
      </c>
      <c r="Q32" s="2617" t="s">
        <v>3795</v>
      </c>
      <c r="R32" s="2618"/>
      <c r="S32" s="2618"/>
      <c r="T32" s="2618"/>
      <c r="U32" s="2618"/>
      <c r="V32" s="2618"/>
      <c r="W32" s="2618"/>
    </row>
    <row r="33" spans="2:23" ht="24.75" hidden="1" customHeight="1" x14ac:dyDescent="0.25">
      <c r="B33" s="2484"/>
      <c r="C33" s="2485"/>
      <c r="E33" s="2613" t="s">
        <v>3649</v>
      </c>
      <c r="F33" s="3637" t="s">
        <v>3655</v>
      </c>
      <c r="G33" s="3637"/>
      <c r="H33" s="3637"/>
      <c r="I33" s="3637"/>
      <c r="J33" s="3637"/>
      <c r="K33" s="3637"/>
      <c r="L33" s="2547"/>
      <c r="M33" s="1786" t="s">
        <v>3731</v>
      </c>
      <c r="N33" s="2621" t="s">
        <v>260</v>
      </c>
      <c r="O33" s="2616" t="s">
        <v>27</v>
      </c>
      <c r="Q33" s="2617" t="s">
        <v>3656</v>
      </c>
      <c r="R33" s="2618"/>
      <c r="S33" s="2618"/>
      <c r="T33" s="2618"/>
      <c r="U33" s="2618"/>
      <c r="V33" s="2618"/>
      <c r="W33" s="2618"/>
    </row>
    <row r="34" spans="2:23" ht="24.75" hidden="1" customHeight="1" x14ac:dyDescent="0.25">
      <c r="B34" s="2484"/>
      <c r="C34" s="2485"/>
      <c r="E34" s="2613" t="s">
        <v>3649</v>
      </c>
      <c r="F34" s="3637" t="s">
        <v>3789</v>
      </c>
      <c r="G34" s="3637"/>
      <c r="H34" s="3637"/>
      <c r="I34" s="3637"/>
      <c r="J34" s="3637"/>
      <c r="K34" s="3637"/>
      <c r="L34" s="2547"/>
      <c r="M34" s="1786" t="s">
        <v>3731</v>
      </c>
      <c r="N34" s="2621" t="s">
        <v>260</v>
      </c>
      <c r="O34" s="2616" t="s">
        <v>27</v>
      </c>
    </row>
    <row r="35" spans="2:23" ht="24.75" hidden="1" customHeight="1" x14ac:dyDescent="0.25">
      <c r="B35" s="2484"/>
      <c r="C35" s="2485"/>
      <c r="E35" s="2613" t="s">
        <v>3649</v>
      </c>
      <c r="F35" s="3637" t="s">
        <v>3735</v>
      </c>
      <c r="G35" s="3637"/>
      <c r="H35" s="3637"/>
      <c r="I35" s="3637"/>
      <c r="J35" s="3637"/>
      <c r="K35" s="3637"/>
      <c r="L35" s="2547"/>
      <c r="M35" s="1786" t="s">
        <v>3731</v>
      </c>
      <c r="N35" s="2621" t="s">
        <v>260</v>
      </c>
      <c r="O35" s="2616" t="s">
        <v>27</v>
      </c>
    </row>
    <row r="36" spans="2:23" ht="24.75" customHeight="1" x14ac:dyDescent="0.25">
      <c r="B36" s="2484"/>
      <c r="C36" s="2485"/>
      <c r="E36" s="2613" t="s">
        <v>3649</v>
      </c>
      <c r="F36" s="3637" t="s">
        <v>3736</v>
      </c>
      <c r="G36" s="3637"/>
      <c r="H36" s="3637"/>
      <c r="I36" s="3637"/>
      <c r="J36" s="3637"/>
      <c r="K36" s="3637"/>
      <c r="L36" s="2547"/>
      <c r="M36" s="1786" t="s">
        <v>3731</v>
      </c>
      <c r="N36" s="2621" t="s">
        <v>3734</v>
      </c>
      <c r="O36" s="2616" t="s">
        <v>27</v>
      </c>
      <c r="Q36" s="2482" t="s">
        <v>3364</v>
      </c>
    </row>
    <row r="37" spans="2:23" ht="24.75" customHeight="1" x14ac:dyDescent="0.25">
      <c r="B37" s="2484"/>
      <c r="C37" s="2485"/>
      <c r="E37" s="2613" t="s">
        <v>3649</v>
      </c>
      <c r="F37" s="3637" t="s">
        <v>3746</v>
      </c>
      <c r="G37" s="3637"/>
      <c r="H37" s="3637"/>
      <c r="I37" s="3637"/>
      <c r="J37" s="3637"/>
      <c r="K37" s="3637"/>
      <c r="L37" s="2547"/>
      <c r="M37" s="1786" t="s">
        <v>3731</v>
      </c>
      <c r="N37" s="2621" t="s">
        <v>3734</v>
      </c>
      <c r="O37" s="1825" t="s">
        <v>3731</v>
      </c>
    </row>
    <row r="38" spans="2:23" ht="24.75" hidden="1" customHeight="1" x14ac:dyDescent="0.25">
      <c r="B38" s="2484"/>
      <c r="C38" s="2485"/>
      <c r="D38" s="2487" t="s">
        <v>3648</v>
      </c>
      <c r="E38" s="2613" t="s">
        <v>3649</v>
      </c>
      <c r="F38" s="3637" t="s">
        <v>3737</v>
      </c>
      <c r="G38" s="3637"/>
      <c r="H38" s="3637"/>
      <c r="I38" s="3637"/>
      <c r="J38" s="3637"/>
      <c r="K38" s="3637"/>
      <c r="L38" s="2547"/>
      <c r="M38" s="1786" t="s">
        <v>3731</v>
      </c>
      <c r="N38" s="2621" t="s">
        <v>260</v>
      </c>
      <c r="O38" s="1825" t="s">
        <v>3731</v>
      </c>
      <c r="R38" s="898" t="s">
        <v>3364</v>
      </c>
    </row>
    <row r="39" spans="2:23" ht="24.75" hidden="1" customHeight="1" x14ac:dyDescent="0.25">
      <c r="B39" s="2484"/>
      <c r="C39" s="2485"/>
      <c r="D39" s="2487"/>
      <c r="E39" s="2613" t="s">
        <v>3649</v>
      </c>
      <c r="F39" s="3637" t="s">
        <v>3738</v>
      </c>
      <c r="G39" s="3637"/>
      <c r="H39" s="3637"/>
      <c r="I39" s="3637"/>
      <c r="J39" s="3637"/>
      <c r="K39" s="3637"/>
      <c r="L39" s="2547"/>
      <c r="M39" s="1786" t="s">
        <v>3731</v>
      </c>
      <c r="N39" s="2621" t="s">
        <v>260</v>
      </c>
      <c r="O39" s="2616" t="s">
        <v>27</v>
      </c>
    </row>
    <row r="40" spans="2:23" ht="24.75" hidden="1" customHeight="1" x14ac:dyDescent="0.25">
      <c r="B40" s="2484"/>
      <c r="C40" s="2485"/>
      <c r="E40" s="2613" t="s">
        <v>3649</v>
      </c>
      <c r="F40" s="3637" t="s">
        <v>3657</v>
      </c>
      <c r="G40" s="3637"/>
      <c r="H40" s="3637"/>
      <c r="I40" s="3637"/>
      <c r="J40" s="3637"/>
      <c r="K40" s="3637"/>
      <c r="L40" s="2547"/>
      <c r="M40" s="1786" t="s">
        <v>3731</v>
      </c>
      <c r="N40" s="2621" t="s">
        <v>260</v>
      </c>
      <c r="O40" s="2616" t="s">
        <v>27</v>
      </c>
    </row>
    <row r="41" spans="2:23" ht="24.75" hidden="1" customHeight="1" x14ac:dyDescent="0.25">
      <c r="B41" s="2484"/>
      <c r="C41" s="2485"/>
      <c r="E41" s="2613" t="s">
        <v>3649</v>
      </c>
      <c r="F41" s="3637" t="s">
        <v>3658</v>
      </c>
      <c r="G41" s="3637"/>
      <c r="H41" s="3637"/>
      <c r="I41" s="3637"/>
      <c r="J41" s="3637"/>
      <c r="K41" s="3637"/>
      <c r="L41" s="2485"/>
      <c r="M41" s="1786" t="s">
        <v>3731</v>
      </c>
      <c r="N41" s="2621" t="s">
        <v>260</v>
      </c>
      <c r="O41" s="2616" t="s">
        <v>27</v>
      </c>
    </row>
    <row r="42" spans="2:23" ht="24.75" customHeight="1" x14ac:dyDescent="0.25">
      <c r="B42" s="2484"/>
      <c r="C42" s="2485"/>
      <c r="E42" s="2613" t="s">
        <v>3649</v>
      </c>
      <c r="F42" s="3637" t="s">
        <v>3796</v>
      </c>
      <c r="G42" s="3637"/>
      <c r="H42" s="3637"/>
      <c r="I42" s="3637"/>
      <c r="J42" s="3637"/>
      <c r="K42" s="3637"/>
      <c r="L42" s="2485"/>
      <c r="M42" s="1786" t="s">
        <v>3731</v>
      </c>
      <c r="N42" s="2621" t="s">
        <v>3734</v>
      </c>
      <c r="O42" s="2616"/>
    </row>
    <row r="43" spans="2:23" ht="24.75" hidden="1" customHeight="1" x14ac:dyDescent="0.25">
      <c r="B43" s="2484"/>
      <c r="C43" s="2485"/>
      <c r="E43" s="2613" t="s">
        <v>3649</v>
      </c>
      <c r="F43" s="3628" t="s">
        <v>3739</v>
      </c>
      <c r="G43" s="3628"/>
      <c r="H43" s="3628"/>
      <c r="I43" s="3628"/>
      <c r="J43" s="3628"/>
      <c r="K43" s="3628"/>
      <c r="L43" s="2502"/>
      <c r="M43" s="1786" t="s">
        <v>3731</v>
      </c>
      <c r="N43" s="2621" t="s">
        <v>260</v>
      </c>
      <c r="O43" s="2616" t="s">
        <v>27</v>
      </c>
      <c r="Q43" s="2482" t="s">
        <v>3794</v>
      </c>
    </row>
    <row r="44" spans="2:23" ht="24.75" hidden="1" customHeight="1" x14ac:dyDescent="0.25">
      <c r="B44" s="2484"/>
      <c r="C44" s="2485"/>
      <c r="E44" s="2613" t="s">
        <v>3649</v>
      </c>
      <c r="F44" s="3628" t="s">
        <v>3790</v>
      </c>
      <c r="G44" s="3628"/>
      <c r="H44" s="3628"/>
      <c r="I44" s="3628"/>
      <c r="J44" s="3628"/>
      <c r="K44" s="3628"/>
      <c r="L44" s="2614"/>
      <c r="M44" s="1786" t="s">
        <v>3731</v>
      </c>
      <c r="N44" s="1825" t="s">
        <v>260</v>
      </c>
      <c r="O44" s="2616" t="s">
        <v>27</v>
      </c>
    </row>
    <row r="45" spans="2:23" ht="24.75" customHeight="1" x14ac:dyDescent="0.25">
      <c r="B45" s="2484"/>
      <c r="C45" s="2485"/>
      <c r="E45" s="3647"/>
      <c r="F45" s="3647"/>
      <c r="G45" s="3647"/>
      <c r="H45" s="3647"/>
      <c r="I45" s="3647"/>
      <c r="J45" s="3647"/>
      <c r="K45" s="3647"/>
      <c r="L45" s="2614"/>
      <c r="M45" s="1786" t="s">
        <v>3731</v>
      </c>
      <c r="O45" s="1825" t="s">
        <v>3731</v>
      </c>
      <c r="T45" s="898" t="s">
        <v>3364</v>
      </c>
    </row>
    <row r="46" spans="2:23" ht="45" hidden="1" customHeight="1" x14ac:dyDescent="0.25">
      <c r="B46" s="2484"/>
      <c r="C46" s="2485"/>
      <c r="E46" s="3630" t="s">
        <v>1406</v>
      </c>
      <c r="F46" s="3630"/>
      <c r="G46" s="3630"/>
      <c r="H46" s="3630"/>
      <c r="I46" s="3630"/>
      <c r="J46" s="3630"/>
      <c r="K46" s="3630"/>
      <c r="L46" s="2614"/>
      <c r="M46" s="1786" t="s">
        <v>3731</v>
      </c>
      <c r="N46" s="2621" t="s">
        <v>260</v>
      </c>
      <c r="O46" s="1825" t="s">
        <v>3731</v>
      </c>
      <c r="Q46" s="2483" t="s">
        <v>3661</v>
      </c>
    </row>
    <row r="47" spans="2:23" ht="24.75" hidden="1" customHeight="1" x14ac:dyDescent="0.25">
      <c r="B47" s="2484"/>
      <c r="C47" s="2485"/>
      <c r="E47" s="2613" t="s">
        <v>3649</v>
      </c>
      <c r="F47" s="3628" t="s">
        <v>3659</v>
      </c>
      <c r="G47" s="3628"/>
      <c r="H47" s="3628"/>
      <c r="I47" s="3628"/>
      <c r="J47" s="3628"/>
      <c r="K47" s="3628"/>
      <c r="L47" s="2614"/>
      <c r="M47" s="1786" t="s">
        <v>3731</v>
      </c>
      <c r="N47" s="2621" t="s">
        <v>260</v>
      </c>
      <c r="O47" s="2616" t="s">
        <v>27</v>
      </c>
      <c r="Q47" s="2501" t="s">
        <v>3662</v>
      </c>
    </row>
    <row r="48" spans="2:23" ht="24.75" hidden="1" customHeight="1" x14ac:dyDescent="0.25">
      <c r="B48" s="2484"/>
      <c r="C48" s="2485"/>
      <c r="E48" s="2613" t="s">
        <v>3649</v>
      </c>
      <c r="F48" s="3628" t="s">
        <v>3660</v>
      </c>
      <c r="G48" s="3628"/>
      <c r="H48" s="3628"/>
      <c r="I48" s="3628"/>
      <c r="J48" s="3628"/>
      <c r="K48" s="3628"/>
      <c r="L48" s="2614"/>
      <c r="M48" s="1786" t="s">
        <v>3731</v>
      </c>
      <c r="N48" s="2621" t="s">
        <v>260</v>
      </c>
      <c r="O48" s="2616" t="s">
        <v>27</v>
      </c>
    </row>
    <row r="49" spans="2:15" ht="24.75" hidden="1" customHeight="1" x14ac:dyDescent="0.25">
      <c r="B49" s="2484"/>
      <c r="C49" s="2485"/>
      <c r="E49" s="2613"/>
      <c r="F49" s="3628"/>
      <c r="G49" s="3628"/>
      <c r="H49" s="3628"/>
      <c r="I49" s="3628"/>
      <c r="J49" s="3628"/>
      <c r="K49" s="3628"/>
      <c r="L49" s="2609"/>
      <c r="M49" s="1786" t="s">
        <v>3731</v>
      </c>
      <c r="N49" s="2621" t="s">
        <v>260</v>
      </c>
      <c r="O49" s="2616" t="s">
        <v>27</v>
      </c>
    </row>
    <row r="50" spans="2:15" ht="45" customHeight="1" x14ac:dyDescent="0.25">
      <c r="B50" s="2484"/>
      <c r="C50" s="2485"/>
      <c r="E50" s="3636" t="s">
        <v>341</v>
      </c>
      <c r="F50" s="3636"/>
      <c r="G50" s="3636"/>
      <c r="H50" s="3636"/>
      <c r="I50" s="3636"/>
      <c r="J50" s="3636"/>
      <c r="K50" s="3636"/>
      <c r="L50" s="2502"/>
      <c r="M50" s="1786" t="s">
        <v>3731</v>
      </c>
      <c r="N50" s="2621" t="s">
        <v>3732</v>
      </c>
      <c r="O50" s="2616" t="s">
        <v>27</v>
      </c>
    </row>
    <row r="51" spans="2:15" ht="24.75" customHeight="1" x14ac:dyDescent="0.25">
      <c r="B51" s="2484"/>
      <c r="C51" s="2485"/>
      <c r="E51" s="2613" t="s">
        <v>3649</v>
      </c>
      <c r="F51" s="3629" t="s">
        <v>3805</v>
      </c>
      <c r="G51" s="3629"/>
      <c r="H51" s="3629"/>
      <c r="I51" s="3629"/>
      <c r="J51" s="3629"/>
      <c r="K51" s="3629"/>
      <c r="L51" s="2502"/>
      <c r="M51" s="1786" t="s">
        <v>3731</v>
      </c>
      <c r="N51" s="2621" t="s">
        <v>3732</v>
      </c>
      <c r="O51" s="2616" t="s">
        <v>27</v>
      </c>
    </row>
    <row r="52" spans="2:15" ht="24.75" hidden="1" customHeight="1" x14ac:dyDescent="0.25">
      <c r="B52" s="2484"/>
      <c r="C52" s="2485"/>
      <c r="E52" s="2613" t="s">
        <v>3649</v>
      </c>
      <c r="F52" s="3629" t="s">
        <v>3667</v>
      </c>
      <c r="G52" s="3629"/>
      <c r="H52" s="3629"/>
      <c r="I52" s="3629"/>
      <c r="J52" s="3629"/>
      <c r="K52" s="3629"/>
      <c r="L52" s="2502"/>
      <c r="M52" s="1786" t="s">
        <v>3731</v>
      </c>
      <c r="N52" s="2621" t="s">
        <v>260</v>
      </c>
      <c r="O52" s="1825" t="s">
        <v>3731</v>
      </c>
    </row>
    <row r="53" spans="2:15" ht="24.75" customHeight="1" x14ac:dyDescent="0.25">
      <c r="B53" s="2484"/>
      <c r="C53" s="2485"/>
      <c r="D53" s="2487" t="s">
        <v>3648</v>
      </c>
      <c r="E53" s="2613" t="s">
        <v>3649</v>
      </c>
      <c r="F53" s="3629" t="s">
        <v>3804</v>
      </c>
      <c r="G53" s="3629"/>
      <c r="H53" s="3629"/>
      <c r="I53" s="3629"/>
      <c r="J53" s="3629"/>
      <c r="K53" s="3629"/>
      <c r="L53" s="2502"/>
      <c r="M53" s="1786" t="s">
        <v>3731</v>
      </c>
      <c r="N53" s="2621" t="s">
        <v>3734</v>
      </c>
      <c r="O53" s="1825" t="s">
        <v>3731</v>
      </c>
    </row>
    <row r="54" spans="2:15" ht="24.75" hidden="1" customHeight="1" x14ac:dyDescent="0.25">
      <c r="B54" s="2484"/>
      <c r="C54" s="2485"/>
      <c r="E54" s="2613" t="s">
        <v>3649</v>
      </c>
      <c r="F54" s="3629" t="s">
        <v>3663</v>
      </c>
      <c r="G54" s="3629"/>
      <c r="H54" s="3629"/>
      <c r="I54" s="3629"/>
      <c r="J54" s="3629"/>
      <c r="K54" s="3629"/>
      <c r="L54" s="2502"/>
      <c r="M54" s="1786" t="s">
        <v>3731</v>
      </c>
      <c r="N54" s="2621" t="s">
        <v>260</v>
      </c>
      <c r="O54" s="2616" t="s">
        <v>27</v>
      </c>
    </row>
    <row r="55" spans="2:15" ht="24.75" hidden="1" customHeight="1" x14ac:dyDescent="0.25">
      <c r="B55" s="2484"/>
      <c r="C55" s="2485"/>
      <c r="E55" s="2613" t="s">
        <v>3649</v>
      </c>
      <c r="F55" s="3629" t="s">
        <v>3664</v>
      </c>
      <c r="G55" s="3629"/>
      <c r="H55" s="3629"/>
      <c r="I55" s="3629"/>
      <c r="J55" s="3629"/>
      <c r="K55" s="3629"/>
      <c r="L55" s="2502"/>
      <c r="M55" s="1786" t="s">
        <v>3731</v>
      </c>
      <c r="N55" s="2621" t="s">
        <v>260</v>
      </c>
      <c r="O55" s="2616" t="s">
        <v>27</v>
      </c>
    </row>
    <row r="56" spans="2:15" ht="24.75" hidden="1" customHeight="1" x14ac:dyDescent="0.25">
      <c r="B56" s="2484"/>
      <c r="C56" s="2485"/>
      <c r="E56" s="2613" t="s">
        <v>3649</v>
      </c>
      <c r="F56" s="3629" t="s">
        <v>3665</v>
      </c>
      <c r="G56" s="3629"/>
      <c r="H56" s="3629"/>
      <c r="I56" s="3629"/>
      <c r="J56" s="3629"/>
      <c r="K56" s="3629"/>
      <c r="L56" s="2502"/>
      <c r="M56" s="1786" t="s">
        <v>3731</v>
      </c>
      <c r="N56" s="2621" t="s">
        <v>260</v>
      </c>
      <c r="O56" s="2616" t="s">
        <v>27</v>
      </c>
    </row>
    <row r="57" spans="2:15" ht="24.75" hidden="1" customHeight="1" x14ac:dyDescent="0.25">
      <c r="B57" s="2484"/>
      <c r="C57" s="2485"/>
      <c r="E57" s="2613" t="s">
        <v>3649</v>
      </c>
      <c r="F57" s="3629" t="s">
        <v>3666</v>
      </c>
      <c r="G57" s="3629"/>
      <c r="H57" s="3629"/>
      <c r="I57" s="3629"/>
      <c r="J57" s="3629"/>
      <c r="K57" s="3629"/>
      <c r="L57" s="2502"/>
      <c r="M57" s="1786" t="s">
        <v>3731</v>
      </c>
      <c r="N57" s="2621" t="s">
        <v>260</v>
      </c>
      <c r="O57" s="2616" t="s">
        <v>27</v>
      </c>
    </row>
    <row r="58" spans="2:15" ht="24.75" hidden="1" customHeight="1" x14ac:dyDescent="0.25">
      <c r="B58" s="2484"/>
      <c r="C58" s="2485"/>
      <c r="E58" s="2613" t="s">
        <v>3649</v>
      </c>
      <c r="F58" s="3629" t="s">
        <v>3740</v>
      </c>
      <c r="G58" s="3629"/>
      <c r="H58" s="3629"/>
      <c r="I58" s="3629"/>
      <c r="J58" s="3629"/>
      <c r="K58" s="3629"/>
      <c r="L58" s="2502"/>
      <c r="M58" s="1786" t="s">
        <v>3731</v>
      </c>
      <c r="N58" s="2621" t="s">
        <v>3734</v>
      </c>
      <c r="O58" s="2616" t="s">
        <v>27</v>
      </c>
    </row>
    <row r="59" spans="2:15" ht="24.75" hidden="1" customHeight="1" x14ac:dyDescent="0.25">
      <c r="B59" s="2484"/>
      <c r="C59" s="2485"/>
      <c r="E59" s="2613" t="s">
        <v>3649</v>
      </c>
      <c r="F59" s="3629" t="s">
        <v>3741</v>
      </c>
      <c r="G59" s="3629"/>
      <c r="H59" s="3629"/>
      <c r="I59" s="3629"/>
      <c r="J59" s="3629"/>
      <c r="K59" s="3629"/>
      <c r="L59" s="2502"/>
      <c r="M59" s="1786" t="s">
        <v>3731</v>
      </c>
      <c r="N59" s="2621" t="s">
        <v>260</v>
      </c>
      <c r="O59" s="2616" t="s">
        <v>27</v>
      </c>
    </row>
    <row r="60" spans="2:15" ht="24.75" hidden="1" customHeight="1" x14ac:dyDescent="0.25">
      <c r="B60" s="2484"/>
      <c r="C60" s="2485"/>
      <c r="E60" s="2613" t="s">
        <v>3649</v>
      </c>
      <c r="F60" s="3629" t="s">
        <v>3668</v>
      </c>
      <c r="G60" s="3629"/>
      <c r="H60" s="3629"/>
      <c r="I60" s="3629"/>
      <c r="J60" s="3629"/>
      <c r="K60" s="3629"/>
      <c r="L60" s="2485"/>
      <c r="M60" s="1786" t="s">
        <v>3731</v>
      </c>
      <c r="N60" s="2621" t="s">
        <v>260</v>
      </c>
      <c r="O60" s="2616" t="s">
        <v>27</v>
      </c>
    </row>
    <row r="61" spans="2:15" ht="24.75" hidden="1" customHeight="1" x14ac:dyDescent="0.25">
      <c r="B61" s="2484"/>
      <c r="C61" s="2485"/>
      <c r="E61" s="2613" t="s">
        <v>3649</v>
      </c>
      <c r="F61" s="3629" t="s">
        <v>3742</v>
      </c>
      <c r="G61" s="3629"/>
      <c r="H61" s="3629"/>
      <c r="I61" s="3629"/>
      <c r="J61" s="3629"/>
      <c r="K61" s="3629"/>
      <c r="L61" s="2502"/>
      <c r="M61" s="1786" t="s">
        <v>3731</v>
      </c>
      <c r="N61" s="2621" t="s">
        <v>3734</v>
      </c>
      <c r="O61" s="1825" t="s">
        <v>3731</v>
      </c>
    </row>
    <row r="62" spans="2:15" ht="24.75" hidden="1" customHeight="1" x14ac:dyDescent="0.25">
      <c r="B62" s="2484"/>
      <c r="C62" s="2485"/>
      <c r="D62" s="2487" t="s">
        <v>3648</v>
      </c>
      <c r="E62" s="2613" t="s">
        <v>3649</v>
      </c>
      <c r="F62" s="3629" t="s">
        <v>3669</v>
      </c>
      <c r="G62" s="3629"/>
      <c r="H62" s="3629"/>
      <c r="I62" s="3629"/>
      <c r="J62" s="3629"/>
      <c r="K62" s="3629"/>
      <c r="L62" s="2502"/>
      <c r="M62" s="1786" t="s">
        <v>3731</v>
      </c>
      <c r="N62" s="2621" t="s">
        <v>260</v>
      </c>
      <c r="O62" s="1825" t="s">
        <v>3731</v>
      </c>
    </row>
    <row r="63" spans="2:15" ht="24.75" hidden="1" customHeight="1" x14ac:dyDescent="0.25">
      <c r="B63" s="2484"/>
      <c r="C63" s="2485"/>
      <c r="E63" s="2613" t="s">
        <v>3649</v>
      </c>
      <c r="F63" s="3629" t="s">
        <v>3670</v>
      </c>
      <c r="G63" s="3629"/>
      <c r="H63" s="3629"/>
      <c r="I63" s="3629"/>
      <c r="J63" s="3629"/>
      <c r="K63" s="3629"/>
      <c r="L63" s="2502"/>
      <c r="M63" s="1786" t="s">
        <v>3731</v>
      </c>
      <c r="N63" s="2621" t="s">
        <v>260</v>
      </c>
      <c r="O63" s="2616" t="s">
        <v>27</v>
      </c>
    </row>
    <row r="64" spans="2:15" ht="24.75" hidden="1" customHeight="1" x14ac:dyDescent="0.25">
      <c r="B64" s="2484"/>
      <c r="C64" s="2485"/>
      <c r="E64" s="2613" t="s">
        <v>3649</v>
      </c>
      <c r="F64" s="3629" t="s">
        <v>3671</v>
      </c>
      <c r="G64" s="3629"/>
      <c r="H64" s="3629"/>
      <c r="I64" s="3629"/>
      <c r="J64" s="3629"/>
      <c r="K64" s="3629"/>
      <c r="L64" s="2485"/>
      <c r="M64" s="1786" t="s">
        <v>3731</v>
      </c>
      <c r="N64" s="2621" t="s">
        <v>260</v>
      </c>
      <c r="O64" s="2616" t="s">
        <v>27</v>
      </c>
    </row>
    <row r="65" spans="2:19" ht="24.75" hidden="1" customHeight="1" x14ac:dyDescent="0.25">
      <c r="B65" s="2484"/>
      <c r="C65" s="2485"/>
      <c r="E65" s="2613" t="s">
        <v>3649</v>
      </c>
      <c r="F65" s="3629" t="s">
        <v>3672</v>
      </c>
      <c r="G65" s="3629"/>
      <c r="H65" s="3629"/>
      <c r="I65" s="3629"/>
      <c r="J65" s="3629"/>
      <c r="K65" s="3629"/>
      <c r="L65" s="2502"/>
      <c r="M65" s="1786" t="s">
        <v>3731</v>
      </c>
      <c r="N65" s="2621" t="s">
        <v>260</v>
      </c>
      <c r="O65" s="2616" t="s">
        <v>27</v>
      </c>
    </row>
    <row r="66" spans="2:19" ht="24.75" hidden="1" customHeight="1" x14ac:dyDescent="0.25">
      <c r="B66" s="2484"/>
      <c r="C66" s="2485"/>
      <c r="E66" s="2613" t="s">
        <v>3649</v>
      </c>
      <c r="F66" s="3629" t="s">
        <v>3673</v>
      </c>
      <c r="G66" s="3629"/>
      <c r="H66" s="3629"/>
      <c r="I66" s="3629"/>
      <c r="J66" s="3629"/>
      <c r="K66" s="3629"/>
      <c r="L66" s="2502"/>
      <c r="M66" s="1786" t="s">
        <v>3731</v>
      </c>
      <c r="N66" s="2621" t="s">
        <v>260</v>
      </c>
      <c r="O66" s="2616" t="s">
        <v>27</v>
      </c>
    </row>
    <row r="67" spans="2:19" ht="24.75" hidden="1" customHeight="1" x14ac:dyDescent="0.25">
      <c r="B67" s="2484"/>
      <c r="C67" s="2485"/>
      <c r="E67" s="2613" t="s">
        <v>3649</v>
      </c>
      <c r="F67" s="3629" t="s">
        <v>3674</v>
      </c>
      <c r="G67" s="3629"/>
      <c r="H67" s="3629"/>
      <c r="I67" s="3629"/>
      <c r="J67" s="3629"/>
      <c r="K67" s="3629"/>
      <c r="L67" s="2502"/>
      <c r="M67" s="1786" t="s">
        <v>3731</v>
      </c>
      <c r="N67" s="2621" t="s">
        <v>260</v>
      </c>
      <c r="O67" s="2616" t="s">
        <v>27</v>
      </c>
    </row>
    <row r="68" spans="2:19" ht="24.75" hidden="1" customHeight="1" x14ac:dyDescent="0.25">
      <c r="B68" s="2484"/>
      <c r="C68" s="2485"/>
      <c r="E68" s="2613" t="s">
        <v>3649</v>
      </c>
      <c r="F68" s="3629" t="s">
        <v>3675</v>
      </c>
      <c r="G68" s="3629"/>
      <c r="H68" s="3629"/>
      <c r="I68" s="3629"/>
      <c r="J68" s="3629"/>
      <c r="K68" s="3629"/>
      <c r="L68" s="2502"/>
      <c r="M68" s="1786" t="s">
        <v>3731</v>
      </c>
      <c r="N68" s="2621" t="s">
        <v>3734</v>
      </c>
      <c r="O68" s="2616" t="s">
        <v>27</v>
      </c>
    </row>
    <row r="69" spans="2:19" ht="24.75" hidden="1" customHeight="1" x14ac:dyDescent="0.25">
      <c r="B69" s="2484"/>
      <c r="C69" s="2485"/>
      <c r="E69" s="2613" t="s">
        <v>3649</v>
      </c>
      <c r="F69" s="3629" t="s">
        <v>3676</v>
      </c>
      <c r="G69" s="3629"/>
      <c r="H69" s="3629"/>
      <c r="I69" s="3629"/>
      <c r="J69" s="3629"/>
      <c r="K69" s="3629"/>
      <c r="L69" s="2502"/>
      <c r="M69" s="1786" t="s">
        <v>3731</v>
      </c>
      <c r="N69" s="2621" t="s">
        <v>3734</v>
      </c>
      <c r="O69" s="1825" t="s">
        <v>3731</v>
      </c>
    </row>
    <row r="70" spans="2:19" ht="24.75" hidden="1" customHeight="1" x14ac:dyDescent="0.25">
      <c r="B70" s="2484"/>
      <c r="C70" s="2485"/>
      <c r="E70" s="2613" t="s">
        <v>3649</v>
      </c>
      <c r="F70" s="3629" t="s">
        <v>3677</v>
      </c>
      <c r="G70" s="3629"/>
      <c r="H70" s="3629"/>
      <c r="I70" s="3629"/>
      <c r="J70" s="3629"/>
      <c r="K70" s="3629"/>
      <c r="L70" s="2502"/>
      <c r="M70" s="1786" t="s">
        <v>3731</v>
      </c>
      <c r="N70" s="2621" t="s">
        <v>3734</v>
      </c>
      <c r="O70" s="1825" t="s">
        <v>3731</v>
      </c>
    </row>
    <row r="71" spans="2:19" ht="24.75" hidden="1" customHeight="1" x14ac:dyDescent="0.25">
      <c r="B71" s="2484"/>
      <c r="C71" s="2485"/>
      <c r="E71" s="2480"/>
      <c r="F71" s="2481"/>
      <c r="G71" s="2481"/>
      <c r="H71" s="2481"/>
      <c r="I71" s="2481"/>
      <c r="J71" s="2481"/>
      <c r="K71" s="2502"/>
      <c r="L71" s="2609"/>
      <c r="M71" s="1786" t="s">
        <v>3731</v>
      </c>
      <c r="N71" s="2621" t="s">
        <v>260</v>
      </c>
      <c r="O71" s="2616" t="s">
        <v>27</v>
      </c>
      <c r="Q71" s="3631" t="s">
        <v>3747</v>
      </c>
      <c r="R71" s="3631"/>
      <c r="S71" s="2559" t="s">
        <v>27</v>
      </c>
    </row>
    <row r="72" spans="2:19" ht="45" hidden="1" customHeight="1" x14ac:dyDescent="0.25">
      <c r="B72" s="2484"/>
      <c r="C72" s="2485"/>
      <c r="E72" s="3627" t="s">
        <v>3719</v>
      </c>
      <c r="F72" s="3627"/>
      <c r="G72" s="3627"/>
      <c r="H72" s="3627"/>
      <c r="I72" s="3627"/>
      <c r="J72" s="3627"/>
      <c r="K72" s="3627"/>
      <c r="L72" s="2502"/>
      <c r="M72" s="1786" t="s">
        <v>3731</v>
      </c>
      <c r="N72" s="2621" t="s">
        <v>260</v>
      </c>
      <c r="O72" s="2616" t="s">
        <v>27</v>
      </c>
    </row>
    <row r="73" spans="2:19" ht="24.75" hidden="1" customHeight="1" x14ac:dyDescent="0.25">
      <c r="B73" s="2484"/>
      <c r="C73" s="2485"/>
      <c r="E73" s="2613" t="s">
        <v>3649</v>
      </c>
      <c r="F73" s="3626" t="s">
        <v>3791</v>
      </c>
      <c r="G73" s="3626"/>
      <c r="H73" s="3626"/>
      <c r="I73" s="3626"/>
      <c r="J73" s="3626"/>
      <c r="K73" s="3626"/>
      <c r="M73" s="1786" t="s">
        <v>3731</v>
      </c>
      <c r="N73" s="2621" t="s">
        <v>260</v>
      </c>
      <c r="O73" s="2616" t="s">
        <v>27</v>
      </c>
    </row>
    <row r="74" spans="2:19" ht="24.75" hidden="1" customHeight="1" x14ac:dyDescent="0.25">
      <c r="B74" s="2484"/>
      <c r="C74" s="2485"/>
      <c r="E74" s="2613" t="s">
        <v>3649</v>
      </c>
      <c r="F74" s="3626" t="s">
        <v>3792</v>
      </c>
      <c r="G74" s="3626"/>
      <c r="H74" s="3626"/>
      <c r="I74" s="3626"/>
      <c r="J74" s="3626"/>
      <c r="K74" s="3626"/>
      <c r="M74" s="1786" t="s">
        <v>3731</v>
      </c>
      <c r="N74" s="2621" t="s">
        <v>260</v>
      </c>
      <c r="O74" s="1825" t="s">
        <v>3731</v>
      </c>
    </row>
    <row r="75" spans="2:19" ht="24.75" hidden="1" customHeight="1" x14ac:dyDescent="0.25">
      <c r="B75" s="2484"/>
      <c r="C75" s="2485"/>
      <c r="E75" s="2613" t="s">
        <v>3649</v>
      </c>
      <c r="F75" s="3629"/>
      <c r="G75" s="3629"/>
      <c r="H75" s="3629"/>
      <c r="I75" s="3629"/>
      <c r="J75" s="3629"/>
      <c r="K75" s="3629"/>
      <c r="M75" s="1786" t="s">
        <v>3731</v>
      </c>
      <c r="N75" s="2621" t="s">
        <v>260</v>
      </c>
      <c r="O75" s="1825" t="s">
        <v>3731</v>
      </c>
    </row>
    <row r="76" spans="2:19" ht="24.75" hidden="1" customHeight="1" x14ac:dyDescent="0.25">
      <c r="B76" s="2484"/>
      <c r="C76" s="2485"/>
      <c r="E76" s="2613" t="s">
        <v>3649</v>
      </c>
      <c r="F76" s="3629"/>
      <c r="G76" s="3629"/>
      <c r="H76" s="3629"/>
      <c r="I76" s="3629"/>
      <c r="J76" s="3629"/>
      <c r="K76" s="3629"/>
      <c r="M76" s="1786" t="s">
        <v>3731</v>
      </c>
      <c r="N76" s="2621" t="s">
        <v>260</v>
      </c>
      <c r="O76" s="2616" t="s">
        <v>27</v>
      </c>
    </row>
    <row r="77" spans="2:19" ht="24.95" customHeight="1" x14ac:dyDescent="0.25">
      <c r="E77" s="2613"/>
      <c r="F77" s="3629"/>
      <c r="G77" s="3629"/>
      <c r="H77" s="3629"/>
      <c r="I77" s="3629"/>
      <c r="J77" s="3629"/>
      <c r="K77" s="3629"/>
      <c r="M77" s="1786" t="s">
        <v>3731</v>
      </c>
      <c r="N77" s="2621" t="s">
        <v>3732</v>
      </c>
      <c r="O77" s="2616" t="s">
        <v>27</v>
      </c>
    </row>
    <row r="78" spans="2:19" ht="24.95" customHeight="1" x14ac:dyDescent="0.25">
      <c r="E78" s="2613"/>
      <c r="F78" s="3646"/>
      <c r="G78" s="3646"/>
      <c r="H78" s="3646"/>
      <c r="I78" s="3646"/>
      <c r="J78" s="3646"/>
      <c r="K78" s="3646"/>
      <c r="M78" s="1786" t="s">
        <v>3731</v>
      </c>
      <c r="N78" s="2621" t="s">
        <v>3732</v>
      </c>
      <c r="O78" s="2616" t="s">
        <v>27</v>
      </c>
    </row>
    <row r="79" spans="2:19" ht="20.100000000000001" customHeight="1" x14ac:dyDescent="0.25">
      <c r="E79" s="2480" t="s">
        <v>3649</v>
      </c>
      <c r="F79" s="3646"/>
      <c r="G79" s="3646"/>
      <c r="H79" s="3646"/>
      <c r="I79" s="3646"/>
      <c r="J79" s="3646"/>
      <c r="K79" s="3646"/>
      <c r="N79" s="2621"/>
      <c r="O79" s="1825"/>
    </row>
    <row r="80" spans="2:19" ht="30" customHeight="1" x14ac:dyDescent="0.25">
      <c r="E80" s="2480" t="s">
        <v>3649</v>
      </c>
      <c r="F80" s="3646"/>
      <c r="G80" s="3646"/>
      <c r="H80" s="3646"/>
      <c r="I80" s="3646"/>
      <c r="J80" s="3646"/>
      <c r="K80" s="3646"/>
      <c r="N80" s="2621"/>
      <c r="O80" s="1825"/>
    </row>
    <row r="81" spans="5:24" ht="24.95" customHeight="1" x14ac:dyDescent="0.25">
      <c r="E81" s="2480" t="s">
        <v>3649</v>
      </c>
      <c r="F81" s="3646"/>
      <c r="G81" s="3646"/>
      <c r="H81" s="3646"/>
      <c r="I81" s="3646"/>
      <c r="J81" s="3646"/>
      <c r="K81" s="3646"/>
      <c r="N81" s="2621"/>
      <c r="O81" s="2557"/>
    </row>
    <row r="82" spans="5:24" ht="24.95" customHeight="1" x14ac:dyDescent="0.25">
      <c r="E82" s="2480" t="s">
        <v>3649</v>
      </c>
      <c r="F82" s="3646"/>
      <c r="G82" s="3646"/>
      <c r="H82" s="3646"/>
      <c r="I82" s="3646"/>
      <c r="J82" s="3646"/>
      <c r="K82" s="3646"/>
      <c r="N82" s="2621"/>
      <c r="O82" s="2557"/>
    </row>
    <row r="83" spans="5:24" ht="24.95" customHeight="1" x14ac:dyDescent="0.25">
      <c r="E83" s="2480" t="s">
        <v>3649</v>
      </c>
      <c r="F83" s="3646"/>
      <c r="G83" s="3646"/>
      <c r="H83" s="3646"/>
      <c r="I83" s="3646"/>
      <c r="J83" s="3646"/>
      <c r="K83" s="3646"/>
      <c r="N83" s="2621"/>
      <c r="O83" s="2557"/>
    </row>
    <row r="84" spans="5:24" ht="24.95" hidden="1" customHeight="1" x14ac:dyDescent="0.25">
      <c r="N84" s="2482"/>
      <c r="O84" s="2557"/>
    </row>
    <row r="85" spans="5:24" ht="24.95" hidden="1" customHeight="1" x14ac:dyDescent="0.25">
      <c r="N85" s="2482"/>
      <c r="O85" s="2557"/>
    </row>
    <row r="86" spans="5:24" ht="24.95" hidden="1" customHeight="1" x14ac:dyDescent="0.25">
      <c r="N86" s="2482"/>
      <c r="O86" s="2557"/>
    </row>
    <row r="87" spans="5:24" ht="20.100000000000001" hidden="1" customHeight="1" x14ac:dyDescent="0.25">
      <c r="O87" s="1825"/>
    </row>
    <row r="88" spans="5:24" ht="30" hidden="1" customHeight="1" x14ac:dyDescent="0.25">
      <c r="N88" s="2485"/>
      <c r="O88" s="1825"/>
    </row>
    <row r="89" spans="5:24" ht="24.95" hidden="1" customHeight="1" x14ac:dyDescent="0.25">
      <c r="N89" s="2482"/>
      <c r="O89" s="2557"/>
    </row>
    <row r="90" spans="5:24" ht="24.95" hidden="1" customHeight="1" x14ac:dyDescent="0.25">
      <c r="N90" s="2482"/>
      <c r="O90" s="2557"/>
    </row>
    <row r="91" spans="5:24" ht="20.100000000000001" hidden="1" customHeight="1" x14ac:dyDescent="0.25">
      <c r="O91" s="1825"/>
    </row>
    <row r="92" spans="5:24" ht="30" customHeight="1" x14ac:dyDescent="0.25">
      <c r="N92" s="2621"/>
      <c r="O92" s="1825"/>
      <c r="T92" s="2487"/>
      <c r="U92" s="2487"/>
      <c r="V92" s="2487"/>
      <c r="W92" s="2487"/>
      <c r="X92" s="2487"/>
    </row>
    <row r="93" spans="5:24" ht="24.95" customHeight="1" x14ac:dyDescent="0.25">
      <c r="N93" s="2621"/>
      <c r="O93" s="2557"/>
    </row>
    <row r="94" spans="5:24" ht="24.95" customHeight="1" x14ac:dyDescent="0.25">
      <c r="N94" s="2621"/>
    </row>
    <row r="95" spans="5:24" ht="24.95" customHeight="1" x14ac:dyDescent="0.25">
      <c r="N95" s="2621"/>
    </row>
    <row r="96" spans="5:24" ht="24.95" customHeight="1" x14ac:dyDescent="0.25">
      <c r="N96" s="2621"/>
    </row>
    <row r="97" spans="14:14" ht="24.95" customHeight="1" x14ac:dyDescent="0.25">
      <c r="N97" s="2621"/>
    </row>
    <row r="98" spans="14:14" ht="24.95" customHeight="1" x14ac:dyDescent="0.25">
      <c r="N98" s="2621"/>
    </row>
    <row r="99" spans="14:14" ht="24.95" customHeight="1" x14ac:dyDescent="0.25">
      <c r="N99" s="2621"/>
    </row>
    <row r="100" spans="14:14" ht="24.95" customHeight="1" x14ac:dyDescent="0.25">
      <c r="N100" s="2621"/>
    </row>
    <row r="101" spans="14:14" ht="24.95" customHeight="1" x14ac:dyDescent="0.25">
      <c r="N101" s="2621"/>
    </row>
    <row r="102" spans="14:14" ht="24.95" customHeight="1" x14ac:dyDescent="0.25">
      <c r="N102" s="2621"/>
    </row>
    <row r="103" spans="14:14" ht="24.95" customHeight="1" x14ac:dyDescent="0.25">
      <c r="N103" s="2621"/>
    </row>
    <row r="104" spans="14:14" ht="24.95" customHeight="1" x14ac:dyDescent="0.25">
      <c r="N104" s="2621"/>
    </row>
    <row r="105" spans="14:14" x14ac:dyDescent="0.25">
      <c r="N105" s="2621"/>
    </row>
    <row r="106" spans="14:14" x14ac:dyDescent="0.25">
      <c r="N106" s="2621"/>
    </row>
    <row r="107" spans="14:14" x14ac:dyDescent="0.25">
      <c r="N107" s="2621"/>
    </row>
    <row r="108" spans="14:14" x14ac:dyDescent="0.25">
      <c r="N108" s="2621"/>
    </row>
    <row r="109" spans="14:14" x14ac:dyDescent="0.25">
      <c r="N109" s="2621"/>
    </row>
    <row r="110" spans="14:14" x14ac:dyDescent="0.25">
      <c r="N110" s="2621"/>
    </row>
  </sheetData>
  <autoFilter ref="M7:O103" xr:uid="{152FBADC-FA75-46AC-93BB-4BE0D53C7818}">
    <filterColumn colId="0">
      <colorFilter dxfId="98" cellColor="0"/>
    </filterColumn>
    <filterColumn colId="1">
      <filters blank="1">
        <filter val="blank"/>
        <filter val="Both"/>
        <filter val="Indicative"/>
      </filters>
    </filterColumn>
  </autoFilter>
  <mergeCells count="81">
    <mergeCell ref="F78:K78"/>
    <mergeCell ref="F60:K60"/>
    <mergeCell ref="F81:K81"/>
    <mergeCell ref="F82:K82"/>
    <mergeCell ref="F32:K32"/>
    <mergeCell ref="F33:K33"/>
    <mergeCell ref="F34:K34"/>
    <mergeCell ref="F35:K35"/>
    <mergeCell ref="F36:K36"/>
    <mergeCell ref="F55:K55"/>
    <mergeCell ref="F39:K39"/>
    <mergeCell ref="F40:K40"/>
    <mergeCell ref="E45:K45"/>
    <mergeCell ref="F54:K54"/>
    <mergeCell ref="F56:K56"/>
    <mergeCell ref="F42:K42"/>
    <mergeCell ref="F83:K83"/>
    <mergeCell ref="F61:K61"/>
    <mergeCell ref="F63:K63"/>
    <mergeCell ref="F64:K64"/>
    <mergeCell ref="F66:K66"/>
    <mergeCell ref="F67:K67"/>
    <mergeCell ref="F79:K79"/>
    <mergeCell ref="F80:K80"/>
    <mergeCell ref="F70:K70"/>
    <mergeCell ref="F62:K62"/>
    <mergeCell ref="F65:K65"/>
    <mergeCell ref="F68:K68"/>
    <mergeCell ref="F77:K77"/>
    <mergeCell ref="F75:K75"/>
    <mergeCell ref="F76:K76"/>
    <mergeCell ref="F74:K74"/>
    <mergeCell ref="Q8:Q9"/>
    <mergeCell ref="F27:K27"/>
    <mergeCell ref="F28:K28"/>
    <mergeCell ref="F29:K29"/>
    <mergeCell ref="F30:K30"/>
    <mergeCell ref="E21:K21"/>
    <mergeCell ref="F22:K22"/>
    <mergeCell ref="E23:K23"/>
    <mergeCell ref="A2:K2"/>
    <mergeCell ref="E8:F8"/>
    <mergeCell ref="G8:H8"/>
    <mergeCell ref="I9:J9"/>
    <mergeCell ref="F31:K31"/>
    <mergeCell ref="F26:K26"/>
    <mergeCell ref="F13:K13"/>
    <mergeCell ref="F14:K14"/>
    <mergeCell ref="F15:K15"/>
    <mergeCell ref="F16:K16"/>
    <mergeCell ref="E19:K19"/>
    <mergeCell ref="E18:K18"/>
    <mergeCell ref="F10:K10"/>
    <mergeCell ref="E12:K12"/>
    <mergeCell ref="E17:K17"/>
    <mergeCell ref="Q71:R71"/>
    <mergeCell ref="F49:K49"/>
    <mergeCell ref="E7:K7"/>
    <mergeCell ref="I8:K8"/>
    <mergeCell ref="E9:F9"/>
    <mergeCell ref="G9:H9"/>
    <mergeCell ref="E24:K24"/>
    <mergeCell ref="F52:K52"/>
    <mergeCell ref="F53:K53"/>
    <mergeCell ref="E50:K50"/>
    <mergeCell ref="F37:K37"/>
    <mergeCell ref="F38:K38"/>
    <mergeCell ref="F25:K25"/>
    <mergeCell ref="F69:K69"/>
    <mergeCell ref="F41:K41"/>
    <mergeCell ref="F43:K43"/>
    <mergeCell ref="F73:K73"/>
    <mergeCell ref="E72:K72"/>
    <mergeCell ref="F44:K44"/>
    <mergeCell ref="F57:K57"/>
    <mergeCell ref="F58:K58"/>
    <mergeCell ref="F59:K59"/>
    <mergeCell ref="E46:K46"/>
    <mergeCell ref="F47:K47"/>
    <mergeCell ref="F48:K48"/>
    <mergeCell ref="F51:K51"/>
  </mergeCells>
  <conditionalFormatting sqref="E79:E83">
    <cfRule type="expression" dxfId="97" priority="16">
      <formula>F79=""</formula>
    </cfRule>
  </conditionalFormatting>
  <conditionalFormatting sqref="E72:K72">
    <cfRule type="expression" dxfId="96" priority="17">
      <formula>$S$71="Yes"</formula>
    </cfRule>
  </conditionalFormatting>
  <conditionalFormatting sqref="M72:M76 E72:K83">
    <cfRule type="expression" dxfId="95" priority="15">
      <formula>$S$71&lt;&gt;"Yes"</formula>
    </cfRule>
  </conditionalFormatting>
  <conditionalFormatting sqref="E73">
    <cfRule type="expression" dxfId="94" priority="6">
      <formula>$F73=""</formula>
    </cfRule>
  </conditionalFormatting>
  <conditionalFormatting sqref="E74">
    <cfRule type="expression" dxfId="93" priority="3">
      <formula>$F$74=""</formula>
    </cfRule>
  </conditionalFormatting>
  <conditionalFormatting sqref="E75">
    <cfRule type="expression" dxfId="92" priority="2">
      <formula>$F$75=""</formula>
    </cfRule>
  </conditionalFormatting>
  <conditionalFormatting sqref="E76">
    <cfRule type="expression" dxfId="91" priority="1">
      <formula>$F$76=""</formula>
    </cfRule>
  </conditionalFormatting>
  <dataValidations count="3">
    <dataValidation type="list" allowBlank="1" showInputMessage="1" showErrorMessage="1" sqref="S71" xr:uid="{F2A99836-1A59-4D86-ADE2-9570D95E2CF4}">
      <formula1>"Yes, No"</formula1>
    </dataValidation>
    <dataValidation type="list" allowBlank="1" showInputMessage="1" showErrorMessage="1" sqref="O24:O36 O89:O90 O93 O39:O44 O54:O60 O63:O68 O71:O73 O81:O86 O47:O51 O76:O78" xr:uid="{E0ACEA89-26E8-42EC-9EDA-64C250720B5A}">
      <formula1>"Yes,No"</formula1>
    </dataValidation>
    <dataValidation type="list" allowBlank="1" showInputMessage="1" showErrorMessage="1" sqref="N93:N110 N79:N83" xr:uid="{26CC6193-94AC-48E8-9DDD-64E67E6CDD4F}">
      <formula1>"DIP, Indicative"</formula1>
    </dataValidation>
  </dataValidations>
  <hyperlinks>
    <hyperlink ref="Q47" r:id="rId1" xr:uid="{A8D84100-0875-4F2B-8B9D-F1EAD977F7F4}"/>
  </hyperlinks>
  <pageMargins left="0.7" right="0.7" top="0.75" bottom="0.75" header="0.3" footer="0.3"/>
  <pageSetup paperSize="9" scale="47" fitToHeight="0"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79201" r:id="rId5" name="Button 1">
              <controlPr defaultSize="0" print="0" autoFill="0" autoPict="0" macro="[0]!Macro5">
                <anchor moveWithCells="1" sizeWithCells="1">
                  <from>
                    <xdr:col>12</xdr:col>
                    <xdr:colOff>0</xdr:colOff>
                    <xdr:row>3</xdr:row>
                    <xdr:rowOff>161925</xdr:rowOff>
                  </from>
                  <to>
                    <xdr:col>14</xdr:col>
                    <xdr:colOff>352425</xdr:colOff>
                    <xdr:row>4</xdr:row>
                    <xdr:rowOff>152400</xdr:rowOff>
                  </to>
                </anchor>
              </controlPr>
            </control>
          </mc:Choice>
        </mc:AlternateContent>
        <mc:AlternateContent xmlns:mc="http://schemas.openxmlformats.org/markup-compatibility/2006">
          <mc:Choice Requires="x14">
            <control shapeId="179202" r:id="rId6" name="Button 2">
              <controlPr defaultSize="0" print="0" autoFill="0" autoPict="0" macro="[0]!Macro6">
                <anchor moveWithCells="1" sizeWithCells="1">
                  <from>
                    <xdr:col>14</xdr:col>
                    <xdr:colOff>390525</xdr:colOff>
                    <xdr:row>3</xdr:row>
                    <xdr:rowOff>161925</xdr:rowOff>
                  </from>
                  <to>
                    <xdr:col>16</xdr:col>
                    <xdr:colOff>161925</xdr:colOff>
                    <xdr:row>4</xdr:row>
                    <xdr:rowOff>152400</xdr:rowOff>
                  </to>
                </anchor>
              </controlPr>
            </control>
          </mc:Choice>
        </mc:AlternateContent>
        <mc:AlternateContent xmlns:mc="http://schemas.openxmlformats.org/markup-compatibility/2006">
          <mc:Choice Requires="x14">
            <control shapeId="179203" r:id="rId7" name="Button 3">
              <controlPr defaultSize="0" print="0" autoFill="0" autoPict="0" macro="[0]!UsePrintPreview">
                <anchor moveWithCells="1" sizeWithCells="1">
                  <from>
                    <xdr:col>12</xdr:col>
                    <xdr:colOff>0</xdr:colOff>
                    <xdr:row>4</xdr:row>
                    <xdr:rowOff>219075</xdr:rowOff>
                  </from>
                  <to>
                    <xdr:col>16</xdr:col>
                    <xdr:colOff>161925</xdr:colOff>
                    <xdr:row>5</xdr:row>
                    <xdr:rowOff>247650</xdr:rowOff>
                  </to>
                </anchor>
              </controlPr>
            </control>
          </mc:Choice>
        </mc:AlternateContent>
        <mc:AlternateContent xmlns:mc="http://schemas.openxmlformats.org/markup-compatibility/2006">
          <mc:Choice Requires="x14">
            <control shapeId="179204" r:id="rId8" name="Button 4">
              <controlPr defaultSize="0" print="0" autoFill="0" autoPict="0" macro="[0]!Macro8">
                <anchor moveWithCells="1" sizeWithCells="1">
                  <from>
                    <xdr:col>16</xdr:col>
                    <xdr:colOff>285750</xdr:colOff>
                    <xdr:row>3</xdr:row>
                    <xdr:rowOff>152400</xdr:rowOff>
                  </from>
                  <to>
                    <xdr:col>16</xdr:col>
                    <xdr:colOff>1581150</xdr:colOff>
                    <xdr:row>4</xdr:row>
                    <xdr:rowOff>152400</xdr:rowOff>
                  </to>
                </anchor>
              </controlPr>
            </control>
          </mc:Choice>
        </mc:AlternateContent>
        <mc:AlternateContent xmlns:mc="http://schemas.openxmlformats.org/markup-compatibility/2006">
          <mc:Choice Requires="x14">
            <control shapeId="179205" r:id="rId9" name="Button 5">
              <controlPr defaultSize="0" print="0" autoFill="0" autoPict="0" macro="[0]!Macro9">
                <anchor moveWithCells="1" sizeWithCells="1">
                  <from>
                    <xdr:col>16</xdr:col>
                    <xdr:colOff>1609725</xdr:colOff>
                    <xdr:row>3</xdr:row>
                    <xdr:rowOff>152400</xdr:rowOff>
                  </from>
                  <to>
                    <xdr:col>16</xdr:col>
                    <xdr:colOff>2952750</xdr:colOff>
                    <xdr:row>4</xdr:row>
                    <xdr:rowOff>152400</xdr:rowOff>
                  </to>
                </anchor>
              </controlPr>
            </control>
          </mc:Choice>
        </mc:AlternateContent>
        <mc:AlternateContent xmlns:mc="http://schemas.openxmlformats.org/markup-compatibility/2006">
          <mc:Choice Requires="x14">
            <control shapeId="179206" r:id="rId10" name="Button 6">
              <controlPr defaultSize="0" print="0" autoFill="0" autoPict="0" macro="[0]!Macro10">
                <anchor moveWithCells="1" sizeWithCells="1">
                  <from>
                    <xdr:col>16</xdr:col>
                    <xdr:colOff>285750</xdr:colOff>
                    <xdr:row>4</xdr:row>
                    <xdr:rowOff>200025</xdr:rowOff>
                  </from>
                  <to>
                    <xdr:col>16</xdr:col>
                    <xdr:colOff>2943225</xdr:colOff>
                    <xdr:row>5</xdr:row>
                    <xdr:rowOff>247650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3" id="{579CCB43-ED6E-4636-AA48-FBF1151D4CB4}">
            <xm:f>'BTL Calculator'!$V$19 = "No"</xm:f>
            <x14:dxf>
              <font>
                <color theme="0"/>
              </font>
              <fill>
                <patternFill>
                  <bgColor theme="0"/>
                </patternFill>
              </fill>
            </x14:dxf>
          </x14:cfRule>
          <xm:sqref>M88:M91</xm:sqref>
        </x14:conditionalFormatting>
        <x14:conditionalFormatting xmlns:xm="http://schemas.microsoft.com/office/excel/2006/main">
          <x14:cfRule type="expression" priority="22" id="{6BF3431C-EF79-4073-A86A-1D5A759A08D3}">
            <xm:f>'BTL Calculator'!$V$20 = "No"</xm:f>
            <x14:dxf>
              <font>
                <color theme="0"/>
              </font>
              <fill>
                <patternFill>
                  <bgColor theme="0"/>
                </patternFill>
              </fill>
            </x14:dxf>
          </x14:cfRule>
          <xm:sqref>M84:M87</xm:sqref>
        </x14:conditionalFormatting>
        <x14:conditionalFormatting xmlns:xm="http://schemas.microsoft.com/office/excel/2006/main">
          <x14:cfRule type="expression" priority="13" id="{E4520E29-E183-4D2A-9784-CDDFF768368D}">
            <xm:f>'BTL Calculator'!$H$24&lt;&gt;"Individual"</xm:f>
            <x14:dxf>
              <font>
                <color theme="0"/>
              </font>
            </x14:dxf>
          </x14:cfRule>
          <xm:sqref>E43:M44</xm:sqref>
        </x14:conditionalFormatting>
        <x14:conditionalFormatting xmlns:xm="http://schemas.microsoft.com/office/excel/2006/main">
          <x14:cfRule type="expression" priority="12" id="{08DC8A56-2DAB-4AA8-92B3-461212B990A2}">
            <xm:f>'BTL Calculator'!$H$24&lt;&gt;"Corporate"</xm:f>
            <x14:dxf>
              <font>
                <color theme="0"/>
              </font>
              <fill>
                <patternFill patternType="solid">
                  <bgColor theme="0"/>
                </patternFill>
              </fill>
            </x14:dxf>
          </x14:cfRule>
          <xm:sqref>E46:M48</xm:sqref>
        </x14:conditionalFormatting>
        <x14:conditionalFormatting xmlns:xm="http://schemas.microsoft.com/office/excel/2006/main">
          <x14:cfRule type="expression" priority="11" id="{02845F78-AC25-41FE-A814-0701AFDCFFD5}">
            <xm:f>'BTL Calculator'!$H$24&lt;&gt;"Corporate"</xm:f>
            <x14:dxf>
              <font>
                <color theme="0"/>
              </font>
              <fill>
                <patternFill patternType="solid">
                  <bgColor theme="0"/>
                </patternFill>
              </fill>
            </x14:dxf>
          </x14:cfRule>
          <xm:sqref>E49:K49</xm:sqref>
        </x14:conditionalFormatting>
        <x14:conditionalFormatting xmlns:xm="http://schemas.microsoft.com/office/excel/2006/main">
          <x14:cfRule type="expression" priority="10" id="{BC75156A-B5F3-444D-B0E4-FBEB2EBE3A5A}">
            <xm:f>'BTL Calculator'!$H$24&lt;&gt;"Corporate"</xm:f>
            <x14:dxf>
              <font>
                <color theme="0"/>
              </font>
              <fill>
                <patternFill patternType="solid">
                  <bgColor theme="0"/>
                </patternFill>
              </fill>
            </x14:dxf>
          </x14:cfRule>
          <xm:sqref>M49</xm:sqref>
        </x14:conditionalFormatting>
        <x14:conditionalFormatting xmlns:xm="http://schemas.microsoft.com/office/excel/2006/main">
          <x14:cfRule type="expression" priority="9" id="{555659E8-AC08-4904-8B56-E1E6D43A997F}">
            <xm:f>OR('BTL Calculator'!$V$18="No",'BTL Calculator'!$V$18="")</xm:f>
            <x14:dxf>
              <font>
                <color theme="0"/>
              </font>
              <fill>
                <patternFill>
                  <bgColor theme="0"/>
                </patternFill>
              </fill>
            </x14:dxf>
          </x14:cfRule>
          <xm:sqref>E58:M60</xm:sqref>
        </x14:conditionalFormatting>
        <x14:conditionalFormatting xmlns:xm="http://schemas.microsoft.com/office/excel/2006/main">
          <x14:cfRule type="expression" priority="8" id="{248EBAD1-9CE7-45F7-9468-ADDAB532FA70}">
            <xm:f>OR('BTL Calculator'!$V$17="No",'BTL Calculator'!$V$17="")</xm:f>
            <x14:dxf>
              <font>
                <color theme="0"/>
              </font>
              <fill>
                <patternFill>
                  <bgColor theme="0"/>
                </patternFill>
              </fill>
            </x14:dxf>
          </x14:cfRule>
          <xm:sqref>E61:M64</xm:sqref>
        </x14:conditionalFormatting>
        <x14:conditionalFormatting xmlns:xm="http://schemas.microsoft.com/office/excel/2006/main">
          <x14:cfRule type="expression" priority="7" id="{0D5EC161-C8DF-4BE7-BD95-55F81774F42B}">
            <xm:f>'BTL Calculator'!$V$20&lt;&gt;"Yes"</xm:f>
            <x14:dxf>
              <font>
                <color theme="0"/>
              </font>
              <fill>
                <patternFill>
                  <bgColor theme="0"/>
                </patternFill>
              </fill>
            </x14:dxf>
          </x14:cfRule>
          <xm:sqref>E65:M70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0AD6B-AEAB-41E1-B706-0862F562F5F2}">
  <sheetPr codeName="Sheet17">
    <pageSetUpPr fitToPage="1"/>
  </sheetPr>
  <dimension ref="A1:BC90"/>
  <sheetViews>
    <sheetView workbookViewId="0">
      <selection activeCell="M9" sqref="M9:R11"/>
    </sheetView>
  </sheetViews>
  <sheetFormatPr defaultRowHeight="15" x14ac:dyDescent="0.25"/>
  <cols>
    <col min="1" max="1" width="3.5703125" style="1" customWidth="1"/>
    <col min="2" max="2" width="3.5703125" customWidth="1"/>
    <col min="3" max="3" width="10.42578125" customWidth="1"/>
    <col min="4" max="4" width="8.7109375" customWidth="1"/>
    <col min="5" max="5" width="11" customWidth="1"/>
    <col min="6" max="6" width="1.7109375" customWidth="1"/>
    <col min="7" max="7" width="12.28515625" customWidth="1"/>
    <col min="8" max="8" width="1.5703125" style="1" customWidth="1"/>
    <col min="9" max="9" width="10.85546875" customWidth="1"/>
    <col min="10" max="10" width="3.28515625" customWidth="1"/>
    <col min="11" max="11" width="12.42578125" customWidth="1"/>
    <col min="12" max="12" width="5.140625" customWidth="1"/>
    <col min="13" max="13" width="6.140625" customWidth="1"/>
    <col min="14" max="14" width="10.5703125" customWidth="1"/>
    <col min="15" max="15" width="0.85546875" style="1" customWidth="1"/>
    <col min="16" max="16" width="6.7109375" style="1" customWidth="1"/>
    <col min="17" max="17" width="1" style="1" customWidth="1"/>
    <col min="18" max="18" width="17.85546875" style="1" customWidth="1"/>
    <col min="19" max="19" width="21.28515625" style="1" customWidth="1"/>
    <col min="20" max="20" width="2.85546875" style="1" customWidth="1"/>
    <col min="27" max="27" width="21.7109375" style="1" customWidth="1"/>
    <col min="28" max="28" width="1.140625" style="1" customWidth="1"/>
    <col min="29" max="29" width="3.42578125" style="1" customWidth="1"/>
    <col min="30" max="30" width="10.140625" style="1" customWidth="1"/>
    <col min="31" max="31" width="5.5703125" style="1" customWidth="1"/>
    <col min="32" max="32" width="0.85546875" style="1" customWidth="1"/>
    <col min="33" max="33" width="7.42578125" style="1" hidden="1" customWidth="1"/>
    <col min="34" max="34" width="9.140625" style="1" hidden="1" customWidth="1"/>
    <col min="35" max="55" width="9.140625" style="1"/>
  </cols>
  <sheetData>
    <row r="1" spans="1:55" ht="15.75" thickBot="1" x14ac:dyDescent="0.3">
      <c r="A1" s="898"/>
      <c r="B1" s="1190"/>
      <c r="C1" s="1748"/>
      <c r="D1" s="898"/>
      <c r="E1" s="1557"/>
      <c r="F1" s="898"/>
      <c r="G1" s="898"/>
      <c r="H1" s="898"/>
      <c r="I1" s="898"/>
      <c r="J1" s="1748"/>
      <c r="K1" s="898"/>
      <c r="L1" s="898"/>
      <c r="M1" s="898"/>
      <c r="N1" s="898"/>
      <c r="O1" s="898"/>
      <c r="P1" s="898"/>
      <c r="U1" s="898"/>
      <c r="V1" s="898"/>
      <c r="W1" s="898"/>
      <c r="X1" s="898"/>
      <c r="Y1" s="1"/>
      <c r="Z1" s="1"/>
    </row>
    <row r="2" spans="1:55" ht="15.75" x14ac:dyDescent="0.25">
      <c r="A2" s="898"/>
      <c r="B2" s="898"/>
      <c r="C2" s="2247" t="s">
        <v>845</v>
      </c>
      <c r="D2" s="898"/>
      <c r="E2" s="1557"/>
      <c r="F2" s="898"/>
      <c r="G2" s="898"/>
      <c r="H2" s="898"/>
      <c r="I2" s="898"/>
      <c r="J2" s="1748"/>
      <c r="K2" s="898"/>
      <c r="L2" s="898"/>
      <c r="M2" s="898"/>
      <c r="N2" s="898"/>
      <c r="O2" s="898"/>
      <c r="P2" s="898"/>
      <c r="T2" s="2246"/>
      <c r="U2" s="2245"/>
      <c r="V2" s="2245"/>
      <c r="W2" s="2245"/>
      <c r="X2" s="2245"/>
      <c r="Y2" s="2244"/>
      <c r="Z2" s="2244"/>
      <c r="AA2" s="2244"/>
      <c r="AB2" s="2244"/>
      <c r="AC2" s="2243"/>
    </row>
    <row r="3" spans="1:55" ht="12.75" customHeight="1" thickBot="1" x14ac:dyDescent="0.3">
      <c r="A3" s="898"/>
      <c r="B3" s="898"/>
      <c r="C3" s="3651"/>
      <c r="D3" s="3651"/>
      <c r="E3" s="3651"/>
      <c r="F3" s="3651"/>
      <c r="G3" s="3651"/>
      <c r="H3" s="898"/>
      <c r="I3" s="898"/>
      <c r="J3" s="1748"/>
      <c r="K3" s="898"/>
      <c r="L3" s="898"/>
      <c r="M3" s="2302"/>
      <c r="N3" s="2303"/>
      <c r="O3" s="2302"/>
      <c r="P3" s="2302"/>
      <c r="Q3" s="2302"/>
      <c r="R3" s="2304"/>
      <c r="T3" s="2225"/>
      <c r="U3" s="2242" t="s">
        <v>846</v>
      </c>
      <c r="V3" s="898"/>
      <c r="W3" s="898"/>
      <c r="X3" s="898"/>
      <c r="Y3" s="898"/>
      <c r="Z3" s="1"/>
      <c r="AC3" s="2223"/>
    </row>
    <row r="4" spans="1:55" ht="26.25" customHeight="1" thickBot="1" x14ac:dyDescent="0.3">
      <c r="A4" s="898"/>
      <c r="B4" s="898"/>
      <c r="C4" s="2241"/>
      <c r="D4" s="2240"/>
      <c r="E4" s="2236" t="s">
        <v>847</v>
      </c>
      <c r="F4" s="2239"/>
      <c r="G4" s="2236" t="s">
        <v>848</v>
      </c>
      <c r="H4" s="2238"/>
      <c r="I4" s="2236" t="s">
        <v>849</v>
      </c>
      <c r="J4" s="2237"/>
      <c r="K4" s="2236" t="s">
        <v>850</v>
      </c>
      <c r="L4" s="2235"/>
      <c r="M4" s="2234" t="s">
        <v>130</v>
      </c>
      <c r="N4" s="898"/>
      <c r="O4" s="898"/>
      <c r="P4" s="898"/>
      <c r="Q4" s="898"/>
      <c r="T4" s="2225"/>
      <c r="U4" s="2228" t="s">
        <v>851</v>
      </c>
      <c r="V4" s="898"/>
      <c r="W4" s="898"/>
      <c r="X4" s="898"/>
      <c r="Y4" s="898"/>
      <c r="Z4" s="1"/>
      <c r="AC4" s="2223"/>
    </row>
    <row r="5" spans="1:55" ht="28.5" customHeight="1" thickBot="1" x14ac:dyDescent="0.3">
      <c r="A5" s="898"/>
      <c r="B5" s="898"/>
      <c r="C5" s="2233"/>
      <c r="D5" s="2207" t="s">
        <v>852</v>
      </c>
      <c r="E5" s="2232">
        <v>2022</v>
      </c>
      <c r="F5" s="914"/>
      <c r="G5" s="2232">
        <v>2023</v>
      </c>
      <c r="H5" s="1558"/>
      <c r="I5" s="2231">
        <v>2024</v>
      </c>
      <c r="J5" s="1748"/>
      <c r="K5" s="2230" t="str">
        <f>IF(E7="","Provide 2 Years figure",IF(G7="","Provide 2 Years figure",IF(I7&lt;&gt;"","Projection",IF(G7&lt;E7,"Latest Year","2yr Average"))))</f>
        <v>Provide 2 Years figure</v>
      </c>
      <c r="L5" s="2229"/>
      <c r="M5" s="2301" t="s">
        <v>853</v>
      </c>
      <c r="N5" s="1588"/>
      <c r="O5" s="1557"/>
      <c r="P5" s="1557"/>
      <c r="Q5" s="1557"/>
      <c r="R5" s="1588"/>
      <c r="T5" s="2225"/>
      <c r="U5" s="2228" t="s">
        <v>854</v>
      </c>
      <c r="V5" s="898"/>
      <c r="W5" s="898"/>
      <c r="X5" s="898"/>
      <c r="Y5" s="898"/>
      <c r="Z5" s="1"/>
      <c r="AC5" s="2223"/>
    </row>
    <row r="6" spans="1:55" ht="9" customHeight="1" x14ac:dyDescent="0.25">
      <c r="A6" s="898"/>
      <c r="B6" s="898"/>
      <c r="C6" s="2227"/>
      <c r="D6" s="2226"/>
      <c r="E6" s="1557"/>
      <c r="F6" s="898"/>
      <c r="G6" s="1557"/>
      <c r="H6" s="898"/>
      <c r="I6" s="1557"/>
      <c r="J6" s="1"/>
      <c r="L6" s="2223"/>
      <c r="M6" s="3653" t="s">
        <v>855</v>
      </c>
      <c r="N6" s="3654"/>
      <c r="O6" s="3654"/>
      <c r="P6" s="3654"/>
      <c r="Q6" s="3654"/>
      <c r="R6" s="3654"/>
      <c r="T6" s="2225"/>
      <c r="U6" s="3652" t="s">
        <v>856</v>
      </c>
      <c r="V6" s="3652"/>
      <c r="W6" s="3652"/>
      <c r="X6" s="3652"/>
      <c r="Y6" s="3652"/>
      <c r="Z6" s="3652"/>
      <c r="AA6" s="3652"/>
      <c r="AB6" s="2224"/>
      <c r="AC6" s="2223"/>
    </row>
    <row r="7" spans="1:55" ht="15" customHeight="1" x14ac:dyDescent="0.25">
      <c r="A7" s="898"/>
      <c r="B7" s="1"/>
      <c r="C7" s="2208"/>
      <c r="D7" s="2211" t="s">
        <v>857</v>
      </c>
      <c r="E7" s="2204"/>
      <c r="F7" s="2205"/>
      <c r="G7" s="2204"/>
      <c r="H7" s="2194"/>
      <c r="I7" s="2203"/>
      <c r="J7" s="2202"/>
      <c r="K7" s="2201">
        <f>IF(G7="",E7,(IF(E7="",G7,(IF($I$7&lt;&gt;"",$I$7,IF($G$7&lt;$E$7,G7,((E7+G7)/2)))))))</f>
        <v>0</v>
      </c>
      <c r="L7" s="2193"/>
      <c r="M7" s="3653"/>
      <c r="N7" s="3654"/>
      <c r="O7" s="3654"/>
      <c r="P7" s="3654"/>
      <c r="Q7" s="3654"/>
      <c r="R7" s="3654"/>
      <c r="T7" s="2225"/>
      <c r="U7" s="3652"/>
      <c r="V7" s="3652"/>
      <c r="W7" s="3652"/>
      <c r="X7" s="3652"/>
      <c r="Y7" s="3652"/>
      <c r="Z7" s="3652"/>
      <c r="AA7" s="3652"/>
      <c r="AB7" s="2224"/>
      <c r="AC7" s="2223"/>
    </row>
    <row r="8" spans="1:55" s="1" customFormat="1" ht="4.5" customHeight="1" x14ac:dyDescent="0.25">
      <c r="A8" s="898"/>
      <c r="B8" s="898"/>
      <c r="C8" s="2208"/>
      <c r="D8" s="2219"/>
      <c r="E8" s="2194"/>
      <c r="F8" s="2194"/>
      <c r="G8" s="2194"/>
      <c r="H8" s="2194"/>
      <c r="I8" s="2194"/>
      <c r="J8" s="2202"/>
      <c r="K8" s="2194"/>
      <c r="L8" s="2193"/>
      <c r="M8" s="2267"/>
      <c r="N8" s="2268"/>
      <c r="O8" s="2268"/>
      <c r="P8" s="2268"/>
      <c r="Q8" s="2268"/>
      <c r="R8" s="2268"/>
      <c r="T8" s="2225"/>
      <c r="U8" s="3649" t="s">
        <v>858</v>
      </c>
      <c r="V8" s="3649"/>
      <c r="W8" s="3649"/>
      <c r="X8" s="3649"/>
      <c r="Y8" s="3649"/>
      <c r="Z8" s="3649"/>
      <c r="AA8" s="3649"/>
      <c r="AC8" s="2223"/>
    </row>
    <row r="9" spans="1:55" ht="15" customHeight="1" x14ac:dyDescent="0.25">
      <c r="A9" s="898"/>
      <c r="B9" s="898"/>
      <c r="C9" s="2208"/>
      <c r="D9" s="2211" t="s">
        <v>859</v>
      </c>
      <c r="E9" s="2204"/>
      <c r="F9" s="2205"/>
      <c r="G9" s="2204"/>
      <c r="H9" s="2194"/>
      <c r="I9" s="2203"/>
      <c r="J9" s="2202"/>
      <c r="K9" s="2201">
        <f>IF(G9="",E9,(IF(E9="",G9,(IF($I$7&lt;&gt;"",$I$7,IF($G$7&lt;$E$7,G9,((E9+G9)/2)))))))</f>
        <v>0</v>
      </c>
      <c r="L9" s="2193"/>
      <c r="M9" s="3655" t="s">
        <v>860</v>
      </c>
      <c r="N9" s="3656"/>
      <c r="O9" s="3656"/>
      <c r="P9" s="3656"/>
      <c r="Q9" s="3656"/>
      <c r="R9" s="3656"/>
      <c r="T9" s="2225"/>
      <c r="U9" s="3649"/>
      <c r="V9" s="3649"/>
      <c r="W9" s="3649"/>
      <c r="X9" s="3649"/>
      <c r="Y9" s="3649"/>
      <c r="Z9" s="3649"/>
      <c r="AA9" s="3649"/>
      <c r="AC9" s="2223"/>
    </row>
    <row r="10" spans="1:55" ht="6.75" customHeight="1" x14ac:dyDescent="0.25">
      <c r="A10" s="898"/>
      <c r="B10" s="898"/>
      <c r="C10" s="2208"/>
      <c r="D10" s="2211"/>
      <c r="E10" s="2194"/>
      <c r="F10" s="2194"/>
      <c r="G10" s="2194"/>
      <c r="H10" s="2194"/>
      <c r="I10" s="2194"/>
      <c r="J10" s="2202"/>
      <c r="K10" s="2194"/>
      <c r="L10" s="2193"/>
      <c r="M10" s="3657"/>
      <c r="N10" s="3656"/>
      <c r="O10" s="3656"/>
      <c r="P10" s="3656"/>
      <c r="Q10" s="3656"/>
      <c r="R10" s="3656"/>
      <c r="T10" s="2225"/>
      <c r="U10" s="3649"/>
      <c r="V10" s="3649"/>
      <c r="W10" s="3649"/>
      <c r="X10" s="3649"/>
      <c r="Y10" s="3649"/>
      <c r="Z10" s="3649"/>
      <c r="AA10" s="3649"/>
      <c r="AC10" s="2223"/>
    </row>
    <row r="11" spans="1:55" s="898" customFormat="1" ht="15" customHeight="1" thickBot="1" x14ac:dyDescent="0.3">
      <c r="C11" s="2208"/>
      <c r="D11" s="2219" t="s">
        <v>861</v>
      </c>
      <c r="E11" s="2204"/>
      <c r="F11" s="2205"/>
      <c r="G11" s="2204"/>
      <c r="H11" s="2194"/>
      <c r="I11" s="2203"/>
      <c r="J11" s="2202"/>
      <c r="K11" s="2201">
        <f>IF(G11="",E11,(IF(E11="",G11,(IF($I$7&lt;&gt;"",$I$7,IF($G$7&lt;$E$7,G11,((E11+G11)/2)))))))</f>
        <v>0</v>
      </c>
      <c r="L11" s="2193"/>
      <c r="M11" s="3657"/>
      <c r="N11" s="3656"/>
      <c r="O11" s="3656"/>
      <c r="P11" s="3656"/>
      <c r="Q11" s="3656"/>
      <c r="R11" s="3656"/>
      <c r="S11" s="1"/>
      <c r="T11" s="2222"/>
      <c r="U11" s="3650"/>
      <c r="V11" s="3650"/>
      <c r="W11" s="3650"/>
      <c r="X11" s="3650"/>
      <c r="Y11" s="3650"/>
      <c r="Z11" s="3650"/>
      <c r="AA11" s="3650"/>
      <c r="AB11" s="2221"/>
      <c r="AC11" s="2220"/>
      <c r="AD11" s="1588"/>
      <c r="AE11" s="1588"/>
      <c r="AF11" s="1588"/>
      <c r="AG11" s="1774"/>
      <c r="AH11" s="1774"/>
      <c r="AI11" s="1774"/>
    </row>
    <row r="12" spans="1:55" s="898" customFormat="1" ht="6.75" customHeight="1" x14ac:dyDescent="0.25">
      <c r="C12" s="2208"/>
      <c r="D12" s="2219"/>
      <c r="E12" s="2194"/>
      <c r="F12" s="2194"/>
      <c r="G12" s="2194"/>
      <c r="H12" s="2194"/>
      <c r="I12" s="2194"/>
      <c r="J12" s="2202"/>
      <c r="K12" s="2194"/>
      <c r="L12" s="2193"/>
      <c r="M12" s="2186"/>
      <c r="N12" s="1557"/>
      <c r="O12" s="1557"/>
      <c r="P12" s="1557"/>
      <c r="Q12" s="1557"/>
      <c r="R12" s="1588"/>
      <c r="S12" s="1"/>
      <c r="U12" s="2218"/>
      <c r="V12" s="2218"/>
      <c r="W12" s="2218"/>
      <c r="X12" s="2218"/>
      <c r="Y12" s="2218"/>
      <c r="Z12" s="2218"/>
      <c r="AA12" s="2218"/>
      <c r="AB12" s="2218"/>
      <c r="AC12" s="2218"/>
      <c r="AD12" s="1588"/>
      <c r="AE12" s="1588"/>
      <c r="AF12" s="1588"/>
      <c r="AG12" s="1774"/>
      <c r="AH12" s="1774"/>
      <c r="AI12" s="1774"/>
    </row>
    <row r="13" spans="1:55" s="898" customFormat="1" ht="15" customHeight="1" x14ac:dyDescent="0.25">
      <c r="C13" s="2208"/>
      <c r="D13" s="2211" t="s">
        <v>862</v>
      </c>
      <c r="E13" s="2204"/>
      <c r="F13" s="2205"/>
      <c r="G13" s="2204"/>
      <c r="H13" s="2194"/>
      <c r="I13" s="2203"/>
      <c r="J13" s="2202"/>
      <c r="K13" s="2201">
        <f>IF(G13="",E13,(IF(E13="",G13,(IF($I$7&lt;&gt;"",$I$7,IF($G$7&lt;$E$7,G13,((E13+G13)/2)))))))</f>
        <v>0</v>
      </c>
      <c r="L13" s="2193"/>
      <c r="M13" s="2186"/>
      <c r="N13" s="1557"/>
      <c r="O13" s="1557"/>
      <c r="P13" s="1557"/>
      <c r="Q13" s="1557"/>
      <c r="R13" s="1588"/>
      <c r="S13" s="1"/>
      <c r="T13" s="1"/>
      <c r="U13" s="2218"/>
      <c r="V13" s="2218"/>
      <c r="W13" s="2218"/>
      <c r="X13" s="2218"/>
      <c r="Y13" s="2218"/>
      <c r="Z13" s="2218"/>
      <c r="AA13" s="2218"/>
      <c r="AB13" s="2218"/>
      <c r="AC13" s="2218"/>
      <c r="AD13" s="1588"/>
      <c r="AE13" s="1588"/>
      <c r="AF13" s="1588"/>
      <c r="AG13" s="1774"/>
      <c r="AH13" s="1774"/>
      <c r="AI13" s="1774"/>
    </row>
    <row r="14" spans="1:55" s="898" customFormat="1" ht="8.25" customHeight="1" x14ac:dyDescent="0.25">
      <c r="C14" s="2208"/>
      <c r="D14" s="2219"/>
      <c r="E14" s="2194"/>
      <c r="F14" s="2194"/>
      <c r="G14" s="2194"/>
      <c r="H14" s="2194"/>
      <c r="I14" s="2194"/>
      <c r="J14" s="2202"/>
      <c r="K14" s="2194"/>
      <c r="L14" s="2193"/>
      <c r="M14" s="2186"/>
      <c r="N14" s="1557"/>
      <c r="O14" s="1557"/>
      <c r="P14" s="1557"/>
      <c r="Q14" s="1557"/>
      <c r="R14" s="1588"/>
      <c r="S14" s="1"/>
      <c r="T14" s="1"/>
      <c r="U14" s="2218"/>
      <c r="V14" s="2218"/>
      <c r="W14" s="2218"/>
      <c r="X14" s="2218"/>
      <c r="Y14" s="2218"/>
      <c r="Z14" s="2218"/>
      <c r="AA14" s="2218"/>
      <c r="AB14" s="2218"/>
      <c r="AC14" s="2218"/>
      <c r="AD14" s="1588"/>
      <c r="AE14" s="1588"/>
      <c r="AF14" s="1588"/>
      <c r="AG14" s="1774"/>
      <c r="AH14" s="1774"/>
      <c r="AI14" s="1774"/>
    </row>
    <row r="15" spans="1:55" s="862" customFormat="1" ht="15.75" x14ac:dyDescent="0.25">
      <c r="A15" s="898"/>
      <c r="B15" s="898"/>
      <c r="C15" s="2208"/>
      <c r="D15" s="2207" t="s">
        <v>863</v>
      </c>
      <c r="E15" s="2204"/>
      <c r="F15" s="2205"/>
      <c r="G15" s="2204"/>
      <c r="H15" s="2194"/>
      <c r="I15" s="2203"/>
      <c r="J15" s="2202"/>
      <c r="K15" s="2201">
        <f>IF(G15="",E15,(IF(E15="",G15,(IF($I$7&lt;&gt;"",$I$7,IF($G$7&lt;$E$7,G15,((E15+G15)/2)))))))</f>
        <v>0</v>
      </c>
      <c r="L15" s="2193"/>
      <c r="M15" s="2186"/>
      <c r="N15" s="1557"/>
      <c r="O15" s="1557"/>
      <c r="P15" s="1557"/>
      <c r="Q15" s="1557"/>
      <c r="R15" s="1588"/>
      <c r="S15" s="1"/>
      <c r="T15" s="1"/>
      <c r="V15" s="898"/>
      <c r="W15" s="898"/>
      <c r="X15" s="898"/>
      <c r="Y15" s="898"/>
      <c r="Z15" s="898"/>
      <c r="AA15" s="898"/>
      <c r="AB15" s="2213"/>
      <c r="AC15" s="1588"/>
      <c r="AD15" s="2212"/>
      <c r="AE15" s="2212"/>
      <c r="AF15" s="2212"/>
      <c r="AG15" s="1774"/>
      <c r="AH15" s="1774"/>
      <c r="AI15" s="1774"/>
      <c r="AJ15" s="898"/>
      <c r="AK15" s="898"/>
      <c r="AL15" s="898"/>
      <c r="AM15" s="898"/>
      <c r="AN15" s="898"/>
      <c r="AO15" s="898"/>
      <c r="AP15" s="898"/>
      <c r="AQ15" s="898"/>
      <c r="AR15" s="898"/>
      <c r="AS15" s="898"/>
      <c r="AT15" s="898"/>
      <c r="AU15" s="898"/>
      <c r="AV15" s="898"/>
      <c r="AW15" s="898"/>
      <c r="AX15" s="898"/>
      <c r="AY15" s="898"/>
      <c r="AZ15" s="898"/>
      <c r="BA15" s="898"/>
      <c r="BB15" s="898"/>
      <c r="BC15" s="898"/>
    </row>
    <row r="16" spans="1:55" s="862" customFormat="1" ht="6.75" customHeight="1" x14ac:dyDescent="0.25">
      <c r="A16" s="898"/>
      <c r="B16" s="898"/>
      <c r="C16" s="2208"/>
      <c r="D16" s="1533"/>
      <c r="E16" s="2194"/>
      <c r="F16" s="2194"/>
      <c r="G16" s="2194"/>
      <c r="H16" s="2194"/>
      <c r="I16" s="2194"/>
      <c r="J16" s="2202"/>
      <c r="K16" s="2194"/>
      <c r="L16" s="2193"/>
      <c r="M16" s="2186"/>
      <c r="N16" s="1557"/>
      <c r="O16" s="1557"/>
      <c r="P16" s="1557"/>
      <c r="Q16" s="1557"/>
      <c r="R16" s="1588"/>
      <c r="S16" s="1"/>
      <c r="T16" s="1"/>
      <c r="U16" s="1"/>
      <c r="V16" s="898"/>
      <c r="W16" s="898"/>
      <c r="X16" s="898"/>
      <c r="Y16" s="898"/>
      <c r="Z16" s="898"/>
      <c r="AA16" s="898"/>
      <c r="AB16" s="2213"/>
      <c r="AC16" s="1588"/>
      <c r="AD16" s="2212"/>
      <c r="AE16" s="2212"/>
      <c r="AF16" s="2212"/>
      <c r="AG16" s="1774"/>
      <c r="AH16" s="1774"/>
      <c r="AI16" s="1774"/>
      <c r="AJ16" s="898"/>
      <c r="AK16" s="898"/>
      <c r="AL16" s="898"/>
      <c r="AM16" s="898"/>
      <c r="AN16" s="898"/>
      <c r="AO16" s="898"/>
      <c r="AP16" s="898"/>
      <c r="AQ16" s="898"/>
      <c r="AR16" s="898"/>
      <c r="AS16" s="898"/>
      <c r="AT16" s="898"/>
      <c r="AU16" s="898"/>
      <c r="AV16" s="898"/>
      <c r="AW16" s="898"/>
      <c r="AX16" s="898"/>
      <c r="AY16" s="898"/>
      <c r="AZ16" s="898"/>
      <c r="BA16" s="898"/>
      <c r="BB16" s="898"/>
      <c r="BC16" s="898"/>
    </row>
    <row r="17" spans="1:55" s="862" customFormat="1" ht="18" customHeight="1" x14ac:dyDescent="0.25">
      <c r="A17" s="898"/>
      <c r="B17" s="898"/>
      <c r="C17" s="2217" t="s">
        <v>864</v>
      </c>
      <c r="D17" s="2216"/>
      <c r="E17" s="2215"/>
      <c r="F17" s="2215"/>
      <c r="G17" s="2215"/>
      <c r="H17" s="2215"/>
      <c r="I17" s="2215"/>
      <c r="J17" s="2215"/>
      <c r="K17" s="2215"/>
      <c r="L17" s="2214"/>
      <c r="M17" s="2186" t="s">
        <v>865</v>
      </c>
      <c r="N17" s="1557"/>
      <c r="O17" s="1557"/>
      <c r="P17" s="1557"/>
      <c r="Q17" s="1557"/>
      <c r="R17" s="1588"/>
      <c r="S17" s="1"/>
      <c r="T17" s="1"/>
      <c r="U17" s="1"/>
      <c r="V17" s="898"/>
      <c r="W17" s="898"/>
      <c r="X17" s="898"/>
      <c r="Y17" s="898"/>
      <c r="Z17" s="898"/>
      <c r="AA17" s="898"/>
      <c r="AB17" s="2213"/>
      <c r="AC17" s="1588"/>
      <c r="AD17" s="2212"/>
      <c r="AE17" s="2212"/>
      <c r="AF17" s="2212"/>
      <c r="AG17" s="1774"/>
      <c r="AH17" s="1774"/>
      <c r="AI17" s="1774"/>
      <c r="AJ17" s="898"/>
      <c r="AK17" s="898"/>
      <c r="AL17" s="898"/>
      <c r="AM17" s="898"/>
      <c r="AN17" s="898"/>
      <c r="AO17" s="898"/>
      <c r="AP17" s="898"/>
      <c r="AQ17" s="898"/>
      <c r="AR17" s="898"/>
      <c r="AS17" s="898"/>
      <c r="AT17" s="898"/>
      <c r="AU17" s="898"/>
      <c r="AV17" s="898"/>
      <c r="AW17" s="898"/>
      <c r="AX17" s="898"/>
      <c r="AY17" s="898"/>
      <c r="AZ17" s="898"/>
      <c r="BA17" s="898"/>
      <c r="BB17" s="898"/>
      <c r="BC17" s="898"/>
    </row>
    <row r="18" spans="1:55" s="862" customFormat="1" ht="15.75" x14ac:dyDescent="0.25">
      <c r="A18" s="898"/>
      <c r="B18" s="898"/>
      <c r="C18" s="2277"/>
      <c r="D18" s="2207" t="s">
        <v>866</v>
      </c>
      <c r="E18" s="2206"/>
      <c r="F18" s="2205"/>
      <c r="G18" s="2204"/>
      <c r="H18" s="2194"/>
      <c r="I18" s="2203"/>
      <c r="J18" s="2202"/>
      <c r="K18" s="2201">
        <f>IF(I18&lt;&gt;"",I18,G18)</f>
        <v>0</v>
      </c>
      <c r="L18" s="2193"/>
      <c r="M18" s="2186" t="s">
        <v>867</v>
      </c>
      <c r="N18" s="1557"/>
      <c r="O18" s="1557"/>
      <c r="P18" s="1557"/>
      <c r="Q18" s="1557"/>
      <c r="R18" s="1588"/>
      <c r="S18" s="1"/>
      <c r="T18" s="1"/>
      <c r="U18" s="1"/>
      <c r="V18" s="898"/>
      <c r="W18" s="898"/>
      <c r="X18" s="898"/>
      <c r="Y18" s="898"/>
      <c r="Z18" s="898"/>
      <c r="AA18" s="898"/>
      <c r="AB18" s="2213"/>
      <c r="AC18" s="1588"/>
      <c r="AD18" s="2212"/>
      <c r="AE18" s="2212"/>
      <c r="AF18" s="2212"/>
      <c r="AG18" s="1774"/>
      <c r="AH18" s="1774"/>
      <c r="AI18" s="1774"/>
      <c r="AJ18" s="898"/>
      <c r="AK18" s="898"/>
      <c r="AL18" s="898"/>
      <c r="AM18" s="898"/>
      <c r="AN18" s="898"/>
      <c r="AO18" s="898"/>
      <c r="AP18" s="898"/>
      <c r="AQ18" s="898"/>
      <c r="AR18" s="898"/>
      <c r="AS18" s="898"/>
      <c r="AT18" s="898"/>
      <c r="AU18" s="898"/>
      <c r="AV18" s="898"/>
      <c r="AW18" s="898"/>
      <c r="AX18" s="898"/>
      <c r="AY18" s="898"/>
      <c r="AZ18" s="898"/>
      <c r="BA18" s="898"/>
      <c r="BB18" s="898"/>
      <c r="BC18" s="898"/>
    </row>
    <row r="19" spans="1:55" s="898" customFormat="1" ht="6.75" customHeight="1" x14ac:dyDescent="0.25">
      <c r="C19" s="2208"/>
      <c r="D19" s="2207"/>
      <c r="E19" s="2194"/>
      <c r="F19" s="2194"/>
      <c r="G19" s="2194"/>
      <c r="H19" s="2194"/>
      <c r="I19" s="2194"/>
      <c r="J19" s="2202"/>
      <c r="K19" s="2194"/>
      <c r="L19" s="2193"/>
      <c r="M19" s="1557"/>
      <c r="N19" s="1557"/>
      <c r="O19" s="1557"/>
      <c r="P19" s="1557"/>
      <c r="Q19" s="1557"/>
      <c r="R19" s="1588"/>
      <c r="S19" s="1"/>
      <c r="T19" s="1"/>
      <c r="U19" s="1"/>
      <c r="AB19" s="2213"/>
      <c r="AC19" s="1588"/>
      <c r="AD19" s="2212"/>
      <c r="AE19" s="2212"/>
      <c r="AF19" s="2212"/>
      <c r="AG19" s="1774"/>
      <c r="AH19" s="1774"/>
      <c r="AI19" s="1774"/>
    </row>
    <row r="20" spans="1:55" s="862" customFormat="1" ht="15.75" x14ac:dyDescent="0.25">
      <c r="A20" s="898"/>
      <c r="B20" s="898"/>
      <c r="C20" s="2208"/>
      <c r="D20" s="2207" t="s">
        <v>868</v>
      </c>
      <c r="E20" s="2206"/>
      <c r="F20" s="2205"/>
      <c r="G20" s="2204"/>
      <c r="H20" s="2194"/>
      <c r="I20" s="2203"/>
      <c r="J20" s="2202"/>
      <c r="K20" s="2201">
        <f>IF(I20&lt;&gt;"",I20,G20)</f>
        <v>0</v>
      </c>
      <c r="L20" s="2193"/>
      <c r="M20" s="2186" t="s">
        <v>869</v>
      </c>
      <c r="N20" s="1557"/>
      <c r="O20" s="1557"/>
      <c r="P20" s="1557"/>
      <c r="Q20" s="1557"/>
      <c r="R20" s="1588"/>
      <c r="S20" s="1"/>
      <c r="T20" s="1"/>
      <c r="U20" s="1"/>
      <c r="V20" s="898"/>
      <c r="W20" s="898"/>
      <c r="X20" s="898"/>
      <c r="Y20" s="898"/>
      <c r="Z20" s="898"/>
      <c r="AA20" s="898"/>
      <c r="AB20" s="2213"/>
      <c r="AC20" s="1588"/>
      <c r="AD20" s="2212"/>
      <c r="AE20" s="2212"/>
      <c r="AF20" s="2212"/>
      <c r="AG20" s="1774"/>
      <c r="AH20" s="1774"/>
      <c r="AI20" s="1774"/>
      <c r="AJ20" s="898"/>
      <c r="AK20" s="898"/>
      <c r="AL20" s="898"/>
      <c r="AM20" s="898"/>
      <c r="AN20" s="898"/>
      <c r="AO20" s="898"/>
      <c r="AP20" s="898"/>
      <c r="AQ20" s="898"/>
      <c r="AR20" s="898"/>
      <c r="AS20" s="898"/>
      <c r="AT20" s="898"/>
      <c r="AU20" s="898"/>
      <c r="AV20" s="898"/>
      <c r="AW20" s="898"/>
      <c r="AX20" s="898"/>
      <c r="AY20" s="898"/>
      <c r="AZ20" s="898"/>
      <c r="BA20" s="898"/>
      <c r="BB20" s="898"/>
      <c r="BC20" s="898"/>
    </row>
    <row r="21" spans="1:55" s="898" customFormat="1" ht="6.75" customHeight="1" x14ac:dyDescent="0.25">
      <c r="C21" s="2208"/>
      <c r="D21" s="2207"/>
      <c r="E21" s="2194"/>
      <c r="F21" s="2194"/>
      <c r="G21" s="2194"/>
      <c r="H21" s="2194"/>
      <c r="I21" s="2194"/>
      <c r="J21" s="2202"/>
      <c r="K21" s="2194"/>
      <c r="L21" s="2193"/>
      <c r="M21" s="1557"/>
      <c r="N21" s="1557"/>
      <c r="O21" s="1557"/>
      <c r="P21" s="1557"/>
      <c r="Q21" s="1557"/>
      <c r="R21" s="1588"/>
      <c r="S21" s="1"/>
      <c r="T21" s="1"/>
      <c r="U21" s="1"/>
      <c r="AB21" s="2213"/>
      <c r="AC21" s="1588"/>
      <c r="AD21" s="2212"/>
      <c r="AE21" s="2212"/>
      <c r="AF21" s="2212"/>
      <c r="AG21" s="1774"/>
      <c r="AH21" s="1774"/>
      <c r="AI21" s="1774"/>
    </row>
    <row r="22" spans="1:55" s="862" customFormat="1" x14ac:dyDescent="0.25">
      <c r="A22" s="898"/>
      <c r="B22" s="898"/>
      <c r="C22" s="2192"/>
      <c r="D22" s="2211" t="s">
        <v>870</v>
      </c>
      <c r="E22" s="2206"/>
      <c r="F22" s="2205"/>
      <c r="G22" s="2204"/>
      <c r="H22" s="2194"/>
      <c r="I22" s="2203"/>
      <c r="J22" s="2202"/>
      <c r="K22" s="2201">
        <f>IF(I22&lt;&gt;"",I22,G22)</f>
        <v>0</v>
      </c>
      <c r="L22" s="2193"/>
      <c r="M22" s="2186" t="s">
        <v>871</v>
      </c>
      <c r="N22" s="1557"/>
      <c r="O22" s="1557"/>
      <c r="P22" s="1557"/>
      <c r="Q22" s="1557"/>
      <c r="R22" s="1588"/>
      <c r="S22" s="1"/>
      <c r="T22" s="1"/>
      <c r="U22" s="1"/>
      <c r="V22" s="898"/>
      <c r="W22" s="898"/>
      <c r="X22" s="898"/>
      <c r="Y22" s="898"/>
      <c r="Z22" s="898"/>
      <c r="AA22" s="898"/>
      <c r="AB22" s="1557"/>
      <c r="AC22" s="1588"/>
      <c r="AD22" s="1588"/>
      <c r="AE22" s="1588"/>
      <c r="AF22" s="1588"/>
      <c r="AG22" s="2210"/>
      <c r="AH22" s="2210"/>
      <c r="AI22" s="2209"/>
      <c r="AJ22" s="898"/>
      <c r="AK22" s="898"/>
      <c r="AL22" s="898"/>
      <c r="AM22" s="898"/>
      <c r="AN22" s="898"/>
      <c r="AO22" s="898"/>
      <c r="AP22" s="898"/>
      <c r="AQ22" s="898"/>
      <c r="AR22" s="898"/>
      <c r="AS22" s="898"/>
      <c r="AT22" s="898"/>
      <c r="AU22" s="898"/>
      <c r="AV22" s="898"/>
      <c r="AW22" s="898"/>
      <c r="AX22" s="898"/>
      <c r="AY22" s="898"/>
      <c r="AZ22" s="898"/>
      <c r="BA22" s="898"/>
      <c r="BB22" s="898"/>
      <c r="BC22" s="898"/>
    </row>
    <row r="23" spans="1:55" s="898" customFormat="1" ht="7.5" customHeight="1" x14ac:dyDescent="0.25">
      <c r="C23" s="2192"/>
      <c r="D23" s="2211"/>
      <c r="E23" s="2194"/>
      <c r="F23" s="2194"/>
      <c r="G23" s="2194"/>
      <c r="H23" s="2194"/>
      <c r="I23" s="2194"/>
      <c r="J23" s="2202"/>
      <c r="K23" s="2194"/>
      <c r="L23" s="2193"/>
      <c r="M23" s="1557"/>
      <c r="N23" s="1557"/>
      <c r="O23" s="1557"/>
      <c r="P23" s="1557"/>
      <c r="Q23" s="1557"/>
      <c r="R23" s="1588"/>
      <c r="S23" s="1"/>
      <c r="T23" s="1"/>
      <c r="U23" s="1"/>
      <c r="AB23" s="1557"/>
      <c r="AC23" s="1588"/>
      <c r="AD23" s="1588"/>
      <c r="AE23" s="1588"/>
      <c r="AF23" s="1588"/>
      <c r="AG23" s="2210"/>
      <c r="AH23" s="2210"/>
      <c r="AI23" s="2209"/>
    </row>
    <row r="24" spans="1:55" s="862" customFormat="1" ht="15.75" customHeight="1" x14ac:dyDescent="0.25">
      <c r="A24" s="898"/>
      <c r="B24" s="898"/>
      <c r="C24" s="2208"/>
      <c r="D24" s="2207" t="s">
        <v>872</v>
      </c>
      <c r="E24" s="2206"/>
      <c r="F24" s="2205"/>
      <c r="G24" s="2204"/>
      <c r="H24" s="2194"/>
      <c r="I24" s="2203"/>
      <c r="J24" s="2202"/>
      <c r="K24" s="2201">
        <f>IF(I24&lt;&gt;"",I24,G24)</f>
        <v>0</v>
      </c>
      <c r="L24" s="2193"/>
      <c r="M24" s="2278" t="s">
        <v>873</v>
      </c>
      <c r="N24" s="1557"/>
      <c r="O24" s="1557"/>
      <c r="P24" s="1557"/>
      <c r="Q24" s="1557"/>
      <c r="R24" s="1588"/>
      <c r="S24" s="1"/>
      <c r="T24" s="1"/>
      <c r="U24" s="1"/>
      <c r="V24" s="898"/>
      <c r="W24" s="898"/>
      <c r="X24" s="898"/>
      <c r="Y24" s="898"/>
      <c r="Z24" s="898"/>
      <c r="AA24" s="1532"/>
      <c r="AB24" s="898"/>
      <c r="AC24" s="898"/>
      <c r="AD24" s="898"/>
      <c r="AE24" s="898"/>
      <c r="AF24" s="1593"/>
      <c r="AG24" s="2178"/>
      <c r="AH24" s="2178"/>
      <c r="AI24" s="2178"/>
      <c r="AJ24" s="898"/>
      <c r="AK24" s="898"/>
      <c r="AL24" s="898"/>
      <c r="AM24" s="898"/>
      <c r="AN24" s="898"/>
      <c r="AO24" s="898"/>
      <c r="AP24" s="898"/>
      <c r="AQ24" s="898"/>
      <c r="AR24" s="898"/>
      <c r="AS24" s="898"/>
      <c r="AT24" s="898"/>
      <c r="AU24" s="898"/>
      <c r="AV24" s="898"/>
      <c r="AW24" s="898"/>
      <c r="AX24" s="898"/>
      <c r="AY24" s="898"/>
      <c r="AZ24" s="898"/>
      <c r="BA24" s="898"/>
      <c r="BB24" s="898"/>
      <c r="BC24" s="898"/>
    </row>
    <row r="25" spans="1:55" s="898" customFormat="1" ht="7.5" customHeight="1" x14ac:dyDescent="0.25">
      <c r="C25" s="2200"/>
      <c r="D25" s="2199"/>
      <c r="E25" s="2198"/>
      <c r="F25" s="2198"/>
      <c r="G25" s="2198"/>
      <c r="H25" s="2198"/>
      <c r="I25" s="2198"/>
      <c r="J25" s="2198"/>
      <c r="K25" s="2198"/>
      <c r="L25" s="2197"/>
      <c r="M25" s="1557"/>
      <c r="N25" s="1557"/>
      <c r="O25" s="1557"/>
      <c r="P25" s="1557"/>
      <c r="Q25" s="1557"/>
      <c r="R25" s="1588"/>
      <c r="S25" s="1"/>
      <c r="T25" s="1"/>
      <c r="U25" s="1"/>
      <c r="AA25" s="1532"/>
      <c r="AF25" s="1593"/>
      <c r="AG25" s="2178"/>
      <c r="AH25" s="2178"/>
      <c r="AI25" s="2178"/>
    </row>
    <row r="26" spans="1:55" s="862" customFormat="1" ht="15" customHeight="1" thickBot="1" x14ac:dyDescent="0.3">
      <c r="A26" s="898"/>
      <c r="B26" s="898"/>
      <c r="C26" s="2196" t="s">
        <v>874</v>
      </c>
      <c r="D26" s="2195"/>
      <c r="E26" s="2194"/>
      <c r="F26" s="2194"/>
      <c r="G26" s="2194"/>
      <c r="H26" s="2194"/>
      <c r="I26" s="2194"/>
      <c r="J26" s="2194"/>
      <c r="K26" s="2194"/>
      <c r="L26" s="2193"/>
      <c r="M26" s="1557"/>
      <c r="N26" s="1557"/>
      <c r="O26" s="1557"/>
      <c r="P26" s="1557"/>
      <c r="Q26" s="1557"/>
      <c r="R26" s="1588"/>
      <c r="S26" s="1"/>
      <c r="T26" s="1"/>
      <c r="U26" s="1"/>
      <c r="V26" s="898"/>
      <c r="W26" s="898"/>
      <c r="X26" s="898"/>
      <c r="Y26" s="898"/>
      <c r="Z26" s="898"/>
      <c r="AA26" s="1532"/>
      <c r="AB26" s="898"/>
      <c r="AC26" s="898"/>
      <c r="AD26" s="898"/>
      <c r="AE26" s="898"/>
      <c r="AF26" s="1593"/>
      <c r="AG26" s="2178"/>
      <c r="AH26" s="2178"/>
      <c r="AI26" s="2178"/>
      <c r="AJ26" s="898"/>
      <c r="AK26" s="898"/>
      <c r="AL26" s="898"/>
      <c r="AM26" s="898"/>
      <c r="AN26" s="898"/>
      <c r="AO26" s="898"/>
      <c r="AP26" s="898"/>
      <c r="AQ26" s="898"/>
      <c r="AR26" s="898"/>
      <c r="AS26" s="898"/>
      <c r="AT26" s="898"/>
      <c r="AU26" s="898"/>
      <c r="AV26" s="898"/>
      <c r="AW26" s="898"/>
      <c r="AX26" s="898"/>
      <c r="AY26" s="898"/>
      <c r="AZ26" s="898"/>
      <c r="BA26" s="898"/>
      <c r="BB26" s="898"/>
      <c r="BC26" s="898"/>
    </row>
    <row r="27" spans="1:55" s="862" customFormat="1" ht="15.75" customHeight="1" thickBot="1" x14ac:dyDescent="0.3">
      <c r="A27" s="898"/>
      <c r="B27" s="898"/>
      <c r="C27" s="2192"/>
      <c r="D27" s="1802" t="s">
        <v>875</v>
      </c>
      <c r="E27" s="2190">
        <f>E7+E9+E11+E13+E15+E22+E24</f>
        <v>0</v>
      </c>
      <c r="F27" s="2191"/>
      <c r="G27" s="2190">
        <f>G7+G9+G11+G13+G15+G22+G24+G18+G20</f>
        <v>0</v>
      </c>
      <c r="H27" s="2189"/>
      <c r="I27" s="2190">
        <f>I7+I9+I11+I13+I15+I22+I24+I18+I20</f>
        <v>0</v>
      </c>
      <c r="J27" s="2189"/>
      <c r="K27" s="2188">
        <f>K7+K9+K11+K13+K15+K22+K24+K18+K20</f>
        <v>0</v>
      </c>
      <c r="L27" s="2187"/>
      <c r="M27" s="2186" t="s">
        <v>876</v>
      </c>
      <c r="N27" s="1557"/>
      <c r="O27" s="1557"/>
      <c r="P27" s="1557"/>
      <c r="Q27" s="1557"/>
      <c r="R27" s="1588"/>
      <c r="S27" s="1"/>
      <c r="T27" s="1"/>
      <c r="U27" s="1"/>
      <c r="V27" s="898"/>
      <c r="W27" s="898"/>
      <c r="X27" s="898"/>
      <c r="Y27" s="898"/>
      <c r="Z27" s="898"/>
      <c r="AA27" s="1532"/>
      <c r="AB27" s="898"/>
      <c r="AC27" s="898"/>
      <c r="AD27" s="898"/>
      <c r="AE27" s="898"/>
      <c r="AF27" s="1593"/>
      <c r="AG27" s="2178"/>
      <c r="AH27" s="2178"/>
      <c r="AI27" s="2178"/>
      <c r="AJ27" s="898"/>
      <c r="AK27" s="898"/>
      <c r="AL27" s="898"/>
      <c r="AM27" s="898"/>
      <c r="AN27" s="898"/>
      <c r="AO27" s="898"/>
      <c r="AP27" s="898"/>
      <c r="AQ27" s="898"/>
      <c r="AR27" s="898"/>
      <c r="AS27" s="898"/>
      <c r="AT27" s="898"/>
      <c r="AU27" s="898"/>
      <c r="AV27" s="898"/>
      <c r="AW27" s="898"/>
      <c r="AX27" s="898"/>
      <c r="AY27" s="898"/>
      <c r="AZ27" s="898"/>
      <c r="BA27" s="898"/>
      <c r="BB27" s="898"/>
      <c r="BC27" s="898"/>
    </row>
    <row r="28" spans="1:55" s="862" customFormat="1" ht="15.75" thickBot="1" x14ac:dyDescent="0.3">
      <c r="A28" s="898"/>
      <c r="B28" s="898"/>
      <c r="C28" s="2185"/>
      <c r="D28" s="2184"/>
      <c r="E28" s="2184"/>
      <c r="F28" s="2184"/>
      <c r="G28" s="2184"/>
      <c r="H28" s="2184"/>
      <c r="I28" s="2184"/>
      <c r="J28" s="2184"/>
      <c r="K28" s="2183"/>
      <c r="L28" s="2182"/>
      <c r="M28" s="898"/>
      <c r="N28" s="898"/>
      <c r="O28" s="898"/>
      <c r="P28" s="898"/>
      <c r="Q28" s="898"/>
      <c r="R28" s="1"/>
      <c r="S28" s="1"/>
      <c r="T28" s="1"/>
      <c r="U28" s="1"/>
      <c r="V28" s="898"/>
      <c r="W28" s="898"/>
      <c r="X28" s="898"/>
      <c r="Y28" s="898"/>
      <c r="Z28" s="898"/>
      <c r="AA28" s="1532"/>
      <c r="AB28" s="898"/>
      <c r="AC28" s="898"/>
      <c r="AD28" s="898"/>
      <c r="AE28" s="898"/>
      <c r="AF28" s="1594"/>
      <c r="AG28" s="2178"/>
      <c r="AH28" s="2178"/>
      <c r="AI28" s="2178"/>
      <c r="AJ28" s="898"/>
      <c r="AK28" s="898"/>
      <c r="AL28" s="898"/>
      <c r="AM28" s="898"/>
      <c r="AN28" s="898"/>
      <c r="AO28" s="898"/>
      <c r="AP28" s="898"/>
      <c r="AQ28" s="898"/>
      <c r="AR28" s="898"/>
      <c r="AS28" s="898"/>
      <c r="AT28" s="898"/>
      <c r="AU28" s="898"/>
      <c r="AV28" s="898"/>
      <c r="AW28" s="898"/>
      <c r="AX28" s="898"/>
      <c r="AY28" s="898"/>
      <c r="AZ28" s="898"/>
      <c r="BA28" s="898"/>
      <c r="BB28" s="898"/>
      <c r="BC28" s="898"/>
    </row>
    <row r="29" spans="1:55" s="862" customFormat="1" ht="9.75" customHeight="1" x14ac:dyDescent="0.25">
      <c r="A29" s="898"/>
      <c r="B29" s="898"/>
      <c r="C29" s="898"/>
      <c r="D29" s="898"/>
      <c r="E29" s="898"/>
      <c r="F29" s="898"/>
      <c r="G29" s="898"/>
      <c r="H29" s="898"/>
      <c r="I29" s="898"/>
      <c r="J29" s="898"/>
      <c r="K29" s="898"/>
      <c r="L29" s="898"/>
      <c r="M29" s="898"/>
      <c r="N29" s="898"/>
      <c r="O29" s="898"/>
      <c r="P29" s="898"/>
      <c r="Q29" s="898"/>
      <c r="R29" s="1"/>
      <c r="S29" s="1"/>
      <c r="T29" s="1"/>
      <c r="U29" s="1"/>
      <c r="V29" s="898"/>
      <c r="W29" s="898"/>
      <c r="X29" s="898"/>
      <c r="Y29" s="898"/>
      <c r="Z29" s="898"/>
      <c r="AA29" s="1532"/>
      <c r="AB29" s="898"/>
      <c r="AC29" s="898"/>
      <c r="AD29" s="898"/>
      <c r="AE29" s="898"/>
      <c r="AF29" s="2181"/>
      <c r="AG29" s="2180"/>
      <c r="AH29" s="2180"/>
      <c r="AI29" s="2180"/>
      <c r="AJ29" s="898"/>
      <c r="AK29" s="898"/>
      <c r="AL29" s="898"/>
      <c r="AM29" s="898"/>
      <c r="AN29" s="898"/>
      <c r="AO29" s="898"/>
      <c r="AP29" s="898"/>
      <c r="AQ29" s="898"/>
      <c r="AR29" s="898"/>
      <c r="AS29" s="898"/>
      <c r="AT29" s="898"/>
      <c r="AU29" s="898"/>
      <c r="AV29" s="898"/>
      <c r="AW29" s="898"/>
      <c r="AX29" s="898"/>
      <c r="AY29" s="898"/>
      <c r="AZ29" s="898"/>
      <c r="BA29" s="898"/>
      <c r="BB29" s="898"/>
      <c r="BC29" s="898"/>
    </row>
    <row r="30" spans="1:55" s="862" customFormat="1" ht="31.5" customHeight="1" x14ac:dyDescent="0.25">
      <c r="A30" s="898"/>
      <c r="B30" s="898"/>
      <c r="C30" s="2179" t="s">
        <v>877</v>
      </c>
      <c r="D30" s="898"/>
      <c r="E30" s="898"/>
      <c r="F30" s="898"/>
      <c r="G30" s="898"/>
      <c r="H30" s="898"/>
      <c r="I30" s="898"/>
      <c r="J30" s="898"/>
      <c r="K30" s="3648"/>
      <c r="L30" s="3648"/>
      <c r="M30" s="3648"/>
      <c r="N30" s="898"/>
      <c r="O30" s="898"/>
      <c r="P30" s="898"/>
      <c r="Q30" s="898"/>
      <c r="R30" s="1"/>
      <c r="S30" s="1"/>
      <c r="T30" s="1"/>
      <c r="U30" s="1"/>
      <c r="V30" s="898"/>
      <c r="W30" s="898"/>
      <c r="X30" s="898"/>
      <c r="Y30" s="898"/>
      <c r="Z30" s="898"/>
      <c r="AA30" s="1532"/>
      <c r="AB30" s="898"/>
      <c r="AC30" s="898"/>
      <c r="AD30" s="898"/>
      <c r="AE30" s="898"/>
      <c r="AF30" s="1599"/>
      <c r="AG30" s="2178"/>
      <c r="AH30" s="2178"/>
      <c r="AI30" s="2178"/>
      <c r="AJ30" s="898"/>
      <c r="AK30" s="898"/>
      <c r="AL30" s="898"/>
      <c r="AM30" s="898"/>
      <c r="AN30" s="898"/>
      <c r="AO30" s="898"/>
      <c r="AP30" s="898"/>
      <c r="AQ30" s="898"/>
      <c r="AR30" s="898"/>
      <c r="AS30" s="898"/>
      <c r="AT30" s="898"/>
      <c r="AU30" s="898"/>
      <c r="AV30" s="898"/>
      <c r="AW30" s="898"/>
      <c r="AX30" s="898"/>
      <c r="AY30" s="898"/>
      <c r="AZ30" s="898"/>
      <c r="BA30" s="898"/>
      <c r="BB30" s="898"/>
      <c r="BC30" s="898"/>
    </row>
    <row r="31" spans="1:55" s="1542" customFormat="1" ht="15" customHeight="1" x14ac:dyDescent="0.2">
      <c r="A31" s="1532"/>
      <c r="B31" s="1532"/>
      <c r="C31" s="1532" t="s">
        <v>878</v>
      </c>
      <c r="D31" s="1532"/>
      <c r="E31" s="1532"/>
      <c r="F31" s="1532"/>
      <c r="G31" s="1532"/>
      <c r="H31" s="1532"/>
      <c r="I31" s="1532"/>
      <c r="J31" s="1532"/>
      <c r="K31" s="1532"/>
      <c r="L31" s="1532"/>
      <c r="M31" s="1532"/>
      <c r="N31" s="1532"/>
      <c r="O31" s="1532"/>
      <c r="P31" s="1532"/>
      <c r="Q31" s="1532"/>
      <c r="R31" s="1201"/>
      <c r="S31" s="1201"/>
      <c r="T31" s="1201"/>
      <c r="U31" s="1201"/>
      <c r="V31" s="1532"/>
      <c r="W31" s="1532"/>
      <c r="X31" s="1532"/>
      <c r="Y31" s="1532"/>
      <c r="Z31" s="1532"/>
      <c r="AA31" s="1532"/>
      <c r="AB31" s="1532"/>
      <c r="AC31" s="1532"/>
      <c r="AD31" s="1532"/>
      <c r="AE31" s="1532"/>
      <c r="AF31" s="1740"/>
      <c r="AG31" s="2269"/>
      <c r="AH31" s="2269"/>
      <c r="AI31" s="2269"/>
      <c r="AJ31" s="1532"/>
      <c r="AK31" s="1532"/>
      <c r="AL31" s="1532"/>
      <c r="AM31" s="1532"/>
      <c r="AN31" s="1532"/>
      <c r="AO31" s="1532"/>
      <c r="AP31" s="1532"/>
      <c r="AQ31" s="1532"/>
      <c r="AR31" s="1532"/>
      <c r="AS31" s="1532"/>
      <c r="AT31" s="1532"/>
      <c r="AU31" s="1532"/>
      <c r="AV31" s="1532"/>
      <c r="AW31" s="1532"/>
      <c r="AX31" s="1532"/>
      <c r="AY31" s="1532"/>
      <c r="AZ31" s="1532"/>
      <c r="BA31" s="1532"/>
      <c r="BB31" s="1532"/>
      <c r="BC31" s="1532"/>
    </row>
    <row r="32" spans="1:55" s="1542" customFormat="1" ht="15" customHeight="1" x14ac:dyDescent="0.2">
      <c r="A32" s="1532"/>
      <c r="B32" s="1532"/>
      <c r="C32" s="1532" t="s">
        <v>879</v>
      </c>
      <c r="D32" s="1532"/>
      <c r="E32" s="1532"/>
      <c r="F32" s="1532"/>
      <c r="G32" s="1532"/>
      <c r="H32" s="1532"/>
      <c r="I32" s="1532"/>
      <c r="J32" s="1532"/>
      <c r="K32" s="1532"/>
      <c r="L32" s="1532"/>
      <c r="M32" s="1532"/>
      <c r="N32" s="1532"/>
      <c r="O32" s="1532"/>
      <c r="P32" s="1532"/>
      <c r="Q32" s="1201"/>
      <c r="R32" s="1201"/>
      <c r="S32" s="1201"/>
      <c r="T32" s="1201"/>
      <c r="U32" s="1532"/>
      <c r="V32" s="1532"/>
      <c r="W32" s="1532"/>
      <c r="X32" s="1532"/>
      <c r="Y32" s="1532"/>
      <c r="Z32" s="1532"/>
      <c r="AA32" s="1532"/>
      <c r="AB32" s="1532"/>
      <c r="AC32" s="1532"/>
      <c r="AD32" s="1532"/>
      <c r="AE32" s="2270"/>
      <c r="AF32" s="2269"/>
      <c r="AG32" s="2269"/>
      <c r="AH32" s="2269"/>
      <c r="AI32" s="1532"/>
      <c r="AJ32" s="1532"/>
      <c r="AK32" s="1532"/>
      <c r="AL32" s="1532"/>
      <c r="AM32" s="1532"/>
      <c r="AN32" s="1532"/>
      <c r="AO32" s="1532"/>
      <c r="AP32" s="1532"/>
      <c r="AQ32" s="1532"/>
      <c r="AR32" s="1532"/>
      <c r="AS32" s="1532"/>
      <c r="AT32" s="1532"/>
      <c r="AU32" s="1532"/>
      <c r="AV32" s="1532"/>
      <c r="AW32" s="1532"/>
      <c r="AX32" s="1532"/>
      <c r="AY32" s="1532"/>
      <c r="AZ32" s="1532"/>
      <c r="BA32" s="1532"/>
      <c r="BB32" s="1532"/>
      <c r="BC32" s="1532"/>
    </row>
    <row r="33" spans="1:34" s="1532" customFormat="1" ht="15" customHeight="1" x14ac:dyDescent="0.2">
      <c r="C33" s="1532" t="s">
        <v>880</v>
      </c>
      <c r="Q33" s="1201"/>
      <c r="R33" s="1201"/>
      <c r="S33" s="1201"/>
      <c r="T33" s="1201"/>
      <c r="AE33" s="1721"/>
      <c r="AF33" s="1201"/>
      <c r="AG33" s="1201"/>
      <c r="AH33" s="1201"/>
    </row>
    <row r="34" spans="1:34" s="1532" customFormat="1" ht="15" customHeight="1" x14ac:dyDescent="0.2">
      <c r="C34" s="1532" t="s">
        <v>881</v>
      </c>
      <c r="Q34" s="1201"/>
      <c r="R34" s="1201"/>
      <c r="S34" s="1201"/>
      <c r="T34" s="1201"/>
      <c r="AE34" s="1201"/>
      <c r="AF34" s="1201"/>
      <c r="AG34" s="1201"/>
      <c r="AH34" s="1201"/>
    </row>
    <row r="35" spans="1:34" s="898" customFormat="1" x14ac:dyDescent="0.25">
      <c r="C35" s="1532" t="s">
        <v>882</v>
      </c>
      <c r="Q35" s="1"/>
      <c r="R35" s="1"/>
      <c r="S35" s="1"/>
      <c r="T35" s="1"/>
      <c r="AE35" s="2177"/>
      <c r="AF35" s="1"/>
      <c r="AG35" s="1"/>
      <c r="AH35" s="1"/>
    </row>
    <row r="36" spans="1:34" s="898" customFormat="1" ht="38.25" customHeight="1" x14ac:dyDescent="0.25">
      <c r="A36" s="1532"/>
      <c r="B36" s="1532"/>
      <c r="D36" s="1532"/>
      <c r="E36" s="1532"/>
      <c r="F36" s="1532"/>
      <c r="G36" s="1532"/>
      <c r="H36" s="1532"/>
      <c r="I36" s="1532"/>
      <c r="J36" s="1532"/>
      <c r="K36" s="1532"/>
      <c r="L36" s="1532"/>
      <c r="M36" s="1532"/>
      <c r="N36" s="1532"/>
      <c r="O36" s="1532"/>
      <c r="P36" s="1532"/>
      <c r="Q36" s="1"/>
      <c r="R36" s="1"/>
      <c r="S36" s="1"/>
      <c r="T36" s="1"/>
      <c r="U36" s="1532"/>
      <c r="V36" s="1532"/>
      <c r="W36" s="1532"/>
      <c r="X36" s="1532"/>
      <c r="AE36" s="2177"/>
      <c r="AF36" s="1"/>
      <c r="AG36" s="1"/>
      <c r="AH36" s="1"/>
    </row>
    <row r="37" spans="1:34" s="898" customFormat="1" x14ac:dyDescent="0.25">
      <c r="A37" s="1532"/>
      <c r="B37" s="1532"/>
      <c r="D37" s="1532"/>
      <c r="E37" s="1532"/>
      <c r="F37" s="1532"/>
      <c r="G37" s="1532"/>
      <c r="H37" s="1532"/>
      <c r="I37" s="1532"/>
      <c r="J37" s="1532"/>
      <c r="K37" s="1532"/>
      <c r="L37" s="1532"/>
      <c r="M37" s="1532"/>
      <c r="N37" s="1532"/>
      <c r="O37" s="1532"/>
      <c r="P37" s="1532"/>
      <c r="Q37" s="1"/>
      <c r="R37" s="1"/>
      <c r="S37" s="1"/>
      <c r="T37" s="1"/>
      <c r="U37" s="1532"/>
      <c r="V37" s="1532"/>
      <c r="W37" s="1532"/>
      <c r="X37" s="1532"/>
      <c r="AF37" s="1"/>
      <c r="AG37" s="1"/>
      <c r="AH37" s="1"/>
    </row>
    <row r="38" spans="1:34" s="898" customFormat="1" x14ac:dyDescent="0.25">
      <c r="Q38" s="1"/>
      <c r="R38" s="1"/>
      <c r="S38" s="1"/>
      <c r="T38" s="1"/>
      <c r="AF38" s="1"/>
      <c r="AG38" s="1"/>
      <c r="AH38" s="1"/>
    </row>
    <row r="39" spans="1:34" s="898" customFormat="1" x14ac:dyDescent="0.25">
      <c r="A39" s="1"/>
      <c r="B39" s="1"/>
      <c r="C39" s="1"/>
      <c r="D39" s="1"/>
      <c r="E39" s="1"/>
      <c r="F39" s="1"/>
      <c r="G39" s="1"/>
      <c r="H39" s="1"/>
      <c r="I39" s="1"/>
      <c r="J39" s="1"/>
      <c r="K39" s="1"/>
      <c r="L39" s="1"/>
      <c r="M39" s="1"/>
      <c r="N39" s="1"/>
      <c r="O39" s="1"/>
      <c r="P39" s="1"/>
      <c r="Q39" s="1"/>
      <c r="R39" s="1"/>
      <c r="S39" s="1"/>
      <c r="T39" s="1"/>
      <c r="U39" s="1"/>
      <c r="V39" s="1"/>
      <c r="W39" s="1"/>
      <c r="X39" s="1"/>
      <c r="AE39" s="2176"/>
      <c r="AF39" s="1"/>
      <c r="AG39" s="1"/>
      <c r="AH39" s="1"/>
    </row>
    <row r="40" spans="1:34" s="1" customFormat="1" x14ac:dyDescent="0.25"/>
    <row r="41" spans="1:34" s="1" customFormat="1" x14ac:dyDescent="0.25"/>
    <row r="42" spans="1:34" s="1" customFormat="1" x14ac:dyDescent="0.25"/>
    <row r="43" spans="1:34" s="1" customFormat="1" x14ac:dyDescent="0.25"/>
    <row r="44" spans="1:34" s="1" customFormat="1" x14ac:dyDescent="0.25"/>
    <row r="45" spans="1:34" s="1" customFormat="1" x14ac:dyDescent="0.25"/>
    <row r="46" spans="1:34" s="1" customFormat="1" x14ac:dyDescent="0.25"/>
    <row r="47" spans="1:34" s="1" customFormat="1" x14ac:dyDescent="0.25"/>
    <row r="48" spans="1:34" s="1" customFormat="1" x14ac:dyDescent="0.25"/>
    <row r="49" s="1" customFormat="1" x14ac:dyDescent="0.25"/>
    <row r="50" s="1" customFormat="1" x14ac:dyDescent="0.25"/>
    <row r="51" s="1" customFormat="1" x14ac:dyDescent="0.25"/>
    <row r="52" s="1" customFormat="1" x14ac:dyDescent="0.25"/>
    <row r="53" s="1" customFormat="1" x14ac:dyDescent="0.25"/>
    <row r="54" s="1" customFormat="1" x14ac:dyDescent="0.25"/>
    <row r="55" s="1" customFormat="1" x14ac:dyDescent="0.25"/>
    <row r="56" s="1" customFormat="1" x14ac:dyDescent="0.25"/>
    <row r="57" s="1" customFormat="1" x14ac:dyDescent="0.25"/>
    <row r="58" s="1" customFormat="1" x14ac:dyDescent="0.25"/>
    <row r="59" s="1" customFormat="1" x14ac:dyDescent="0.25"/>
    <row r="60" s="1" customFormat="1" x14ac:dyDescent="0.25"/>
    <row r="61" s="1" customFormat="1" x14ac:dyDescent="0.25"/>
    <row r="62" s="1" customFormat="1" x14ac:dyDescent="0.25"/>
    <row r="63" s="1" customFormat="1" x14ac:dyDescent="0.25"/>
    <row r="64" s="1" customFormat="1" x14ac:dyDescent="0.25"/>
    <row r="65" s="1" customFormat="1" x14ac:dyDescent="0.25"/>
    <row r="66" s="1" customFormat="1" x14ac:dyDescent="0.25"/>
    <row r="67" s="1" customFormat="1" x14ac:dyDescent="0.25"/>
    <row r="68" s="1" customFormat="1" x14ac:dyDescent="0.25"/>
    <row r="69" s="1" customFormat="1" x14ac:dyDescent="0.25"/>
    <row r="70" s="1" customFormat="1" x14ac:dyDescent="0.25"/>
    <row r="71" s="1" customFormat="1" x14ac:dyDescent="0.25"/>
    <row r="72" s="1" customFormat="1" x14ac:dyDescent="0.25"/>
    <row r="73" s="1" customFormat="1" x14ac:dyDescent="0.25"/>
    <row r="74" s="1" customFormat="1" x14ac:dyDescent="0.25"/>
    <row r="75" s="1" customFormat="1" x14ac:dyDescent="0.25"/>
    <row r="76" s="1" customFormat="1" x14ac:dyDescent="0.25"/>
    <row r="77" s="1" customFormat="1" x14ac:dyDescent="0.25"/>
    <row r="78" s="1" customFormat="1" x14ac:dyDescent="0.25"/>
    <row r="79" s="1" customFormat="1" x14ac:dyDescent="0.25"/>
    <row r="80" s="1" customFormat="1" x14ac:dyDescent="0.25"/>
    <row r="81" s="1" customFormat="1" x14ac:dyDescent="0.25"/>
    <row r="82" s="1" customFormat="1" x14ac:dyDescent="0.25"/>
    <row r="83" s="1" customFormat="1" x14ac:dyDescent="0.25"/>
    <row r="84" s="1" customFormat="1" x14ac:dyDescent="0.25"/>
    <row r="85" s="1" customFormat="1" x14ac:dyDescent="0.25"/>
    <row r="86" s="1" customFormat="1" x14ac:dyDescent="0.25"/>
    <row r="87" s="1" customFormat="1" x14ac:dyDescent="0.25"/>
    <row r="88" s="1" customFormat="1" x14ac:dyDescent="0.25"/>
    <row r="89" s="1" customFormat="1" x14ac:dyDescent="0.25"/>
    <row r="90" s="1" customFormat="1" x14ac:dyDescent="0.25"/>
  </sheetData>
  <mergeCells count="6">
    <mergeCell ref="K30:M30"/>
    <mergeCell ref="U8:AA11"/>
    <mergeCell ref="C3:G3"/>
    <mergeCell ref="U6:AA7"/>
    <mergeCell ref="M6:R7"/>
    <mergeCell ref="M9:R11"/>
  </mergeCells>
  <pageMargins left="0.25" right="0.25" top="0.75" bottom="0.75" header="0.3" footer="0.3"/>
  <pageSetup paperSize="9" scale="32"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6238-BD6F-4F76-93A9-B289DB4EAE12}">
  <sheetPr codeName="Sheet19">
    <tabColor theme="0"/>
  </sheetPr>
  <dimension ref="B2:P30"/>
  <sheetViews>
    <sheetView zoomScale="80" zoomScaleNormal="80" workbookViewId="0">
      <selection activeCell="J33" sqref="J33"/>
    </sheetView>
  </sheetViews>
  <sheetFormatPr defaultRowHeight="15" x14ac:dyDescent="0.25"/>
  <cols>
    <col min="4" max="4" width="15.42578125" customWidth="1"/>
    <col min="5" max="5" width="12.42578125" customWidth="1"/>
    <col min="6" max="6" width="12.5703125" customWidth="1"/>
    <col min="7" max="7" width="14.42578125" style="1374" customWidth="1"/>
    <col min="8" max="8" width="16.85546875" style="1374" customWidth="1"/>
    <col min="9" max="9" width="25" style="1374" customWidth="1"/>
    <col min="10" max="10" width="16.85546875" style="1358" customWidth="1"/>
    <col min="11" max="11" width="19.7109375" style="1358" customWidth="1"/>
    <col min="12" max="14" width="17.28515625" style="1374" customWidth="1"/>
    <col min="15" max="15" width="21.7109375" style="1358" customWidth="1"/>
    <col min="16" max="16" width="24" style="1358" customWidth="1"/>
  </cols>
  <sheetData>
    <row r="2" spans="2:16" ht="31.5" x14ac:dyDescent="0.25">
      <c r="B2" s="3658" t="s">
        <v>341</v>
      </c>
      <c r="C2" s="3659"/>
      <c r="D2" s="3659"/>
      <c r="E2" s="1360" t="s">
        <v>1005</v>
      </c>
      <c r="F2" s="1359" t="s">
        <v>1006</v>
      </c>
      <c r="G2" s="1361" t="s">
        <v>660</v>
      </c>
      <c r="H2" s="1362" t="s">
        <v>1007</v>
      </c>
      <c r="I2" s="1363" t="s">
        <v>1008</v>
      </c>
      <c r="J2" s="1364" t="s">
        <v>1009</v>
      </c>
      <c r="K2" s="1364" t="s">
        <v>1010</v>
      </c>
      <c r="L2" s="1361" t="s">
        <v>1011</v>
      </c>
      <c r="M2" s="1365" t="s">
        <v>1012</v>
      </c>
      <c r="N2" s="1365" t="s">
        <v>1013</v>
      </c>
      <c r="O2" s="1365" t="s">
        <v>1014</v>
      </c>
      <c r="P2" s="1362" t="s">
        <v>1015</v>
      </c>
    </row>
    <row r="3" spans="2:16" ht="15.75" x14ac:dyDescent="0.25">
      <c r="B3" s="3660" t="s">
        <v>1016</v>
      </c>
      <c r="C3" s="3661"/>
      <c r="D3" s="3661"/>
      <c r="E3" s="1417"/>
      <c r="F3" s="1366"/>
      <c r="G3" s="1418"/>
      <c r="H3" s="1419"/>
      <c r="I3" s="1420">
        <f>IF(H3&gt;0,H3,G3)</f>
        <v>0</v>
      </c>
      <c r="J3" s="1421" t="s">
        <v>1017</v>
      </c>
      <c r="K3" s="1367" t="s">
        <v>1018</v>
      </c>
      <c r="L3" s="1368"/>
      <c r="M3" s="1369"/>
      <c r="N3" s="1369"/>
      <c r="O3" s="1422">
        <f t="shared" ref="O3:O8" si="0">IFERROR((L3)/I3,0)</f>
        <v>0</v>
      </c>
      <c r="P3" s="1370"/>
    </row>
    <row r="4" spans="2:16" ht="15.75" customHeight="1" x14ac:dyDescent="0.25">
      <c r="B4" s="3660" t="s">
        <v>1019</v>
      </c>
      <c r="C4" s="3661"/>
      <c r="D4" s="3661"/>
      <c r="E4" s="1417"/>
      <c r="F4" s="1366"/>
      <c r="G4" s="1418"/>
      <c r="H4" s="1419"/>
      <c r="I4" s="1420">
        <f>IF(H4&gt;0,H4,G4)</f>
        <v>0</v>
      </c>
      <c r="J4" s="1421"/>
      <c r="K4" s="1367" t="s">
        <v>1018</v>
      </c>
      <c r="L4" s="1368"/>
      <c r="M4" s="1369"/>
      <c r="N4" s="1369"/>
      <c r="O4" s="1422">
        <f t="shared" si="0"/>
        <v>0</v>
      </c>
      <c r="P4" s="1370"/>
    </row>
    <row r="5" spans="2:16" ht="15.75" customHeight="1" x14ac:dyDescent="0.25">
      <c r="B5" s="3660" t="s">
        <v>1020</v>
      </c>
      <c r="C5" s="3661"/>
      <c r="D5" s="3661"/>
      <c r="E5" s="1417"/>
      <c r="F5" s="1366"/>
      <c r="G5" s="1418"/>
      <c r="H5" s="1419"/>
      <c r="I5" s="1420">
        <f>IF(H5&gt;0,H5,G5)</f>
        <v>0</v>
      </c>
      <c r="J5" s="1421"/>
      <c r="K5" s="1367" t="s">
        <v>1018</v>
      </c>
      <c r="L5" s="1368"/>
      <c r="M5" s="1369"/>
      <c r="N5" s="1369"/>
      <c r="O5" s="1422">
        <f t="shared" si="0"/>
        <v>0</v>
      </c>
      <c r="P5" s="1370"/>
    </row>
    <row r="6" spans="2:16" ht="15.75" customHeight="1" x14ac:dyDescent="0.25">
      <c r="B6" s="3660" t="s">
        <v>1021</v>
      </c>
      <c r="C6" s="3661"/>
      <c r="D6" s="3661"/>
      <c r="E6" s="1417"/>
      <c r="F6" s="1366"/>
      <c r="G6" s="1418"/>
      <c r="H6" s="1419"/>
      <c r="I6" s="1420">
        <f>IF(H6&gt;0,H6,G6)</f>
        <v>0</v>
      </c>
      <c r="J6" s="1421"/>
      <c r="K6" s="1367" t="s">
        <v>1018</v>
      </c>
      <c r="L6" s="1368"/>
      <c r="M6" s="1369"/>
      <c r="N6" s="1369"/>
      <c r="O6" s="1422">
        <f t="shared" si="0"/>
        <v>0</v>
      </c>
      <c r="P6" s="1370"/>
    </row>
    <row r="7" spans="2:16" ht="15.75" customHeight="1" x14ac:dyDescent="0.25">
      <c r="B7" s="3660" t="s">
        <v>1022</v>
      </c>
      <c r="C7" s="3661"/>
      <c r="D7" s="3661"/>
      <c r="E7" s="1417"/>
      <c r="F7" s="1366"/>
      <c r="G7" s="1418"/>
      <c r="H7" s="1419"/>
      <c r="I7" s="1420">
        <f>IF(H7&gt;0,H7,G7)</f>
        <v>0</v>
      </c>
      <c r="J7" s="1421"/>
      <c r="K7" s="1367" t="s">
        <v>1018</v>
      </c>
      <c r="L7" s="1368"/>
      <c r="M7" s="1369"/>
      <c r="N7" s="1369"/>
      <c r="O7" s="1422">
        <f t="shared" si="0"/>
        <v>0</v>
      </c>
      <c r="P7" s="1370"/>
    </row>
    <row r="8" spans="2:16" ht="15.75" x14ac:dyDescent="0.25">
      <c r="B8" s="3671" t="s">
        <v>1023</v>
      </c>
      <c r="C8" s="3672"/>
      <c r="D8" s="3672"/>
      <c r="E8" s="3672"/>
      <c r="F8" s="3672"/>
      <c r="G8" s="1371">
        <f>IF(SUM(G3:G7)&gt;0,SUM(G3:G7),Property_Value)</f>
        <v>0</v>
      </c>
      <c r="H8" s="1371">
        <f>IF(SUM(H3:H7)&gt;0,SUM(H3:H7),0)</f>
        <v>0</v>
      </c>
      <c r="I8" s="1371">
        <f>IF(SUM(I3:I7)&gt;0,SUM(I3:I7),IF(H8&gt;0,H8,G8))</f>
        <v>0</v>
      </c>
      <c r="J8" s="1372"/>
      <c r="K8" s="1372"/>
      <c r="L8" s="1371">
        <f>IF(SUM(L3:L7)&gt;0,SUM(L3:L7),'BTL Calculator'!AL90)</f>
        <v>0</v>
      </c>
      <c r="M8" s="1371">
        <f>IF(SUM(M3:M7)&gt;0,SUM(M3:M7),'BTL Calculator'!AL91)</f>
        <v>0</v>
      </c>
      <c r="N8" s="1371">
        <f>IF(SUM(N3:N7)&gt;0,SUM(N3:N7),'BTL Calculator'!AO88)</f>
        <v>0</v>
      </c>
      <c r="O8" s="1423">
        <f t="shared" si="0"/>
        <v>0</v>
      </c>
      <c r="P8" s="1373"/>
    </row>
    <row r="10" spans="2:16" ht="49.5" customHeight="1" thickBot="1" x14ac:dyDescent="0.3">
      <c r="I10" s="1429" t="s">
        <v>1024</v>
      </c>
    </row>
    <row r="11" spans="2:16" ht="18.75" x14ac:dyDescent="0.3">
      <c r="B11" s="1375" t="s">
        <v>1025</v>
      </c>
      <c r="C11" s="1376"/>
      <c r="D11" s="1376"/>
      <c r="E11" s="1376"/>
      <c r="F11" s="1376"/>
      <c r="G11" s="1377"/>
      <c r="H11" s="1424">
        <v>0.7</v>
      </c>
      <c r="I11" s="1430">
        <f>IF(I12&gt;0,(L8+I12)/I8,0)</f>
        <v>0</v>
      </c>
      <c r="J11" s="1358" t="str">
        <f>IF(I11&gt;75%,"LTV too high","")</f>
        <v/>
      </c>
      <c r="L11" s="3662" t="s">
        <v>1026</v>
      </c>
      <c r="M11" s="3663"/>
      <c r="N11" s="3664"/>
    </row>
    <row r="12" spans="2:16" ht="18.75" x14ac:dyDescent="0.3">
      <c r="B12" s="1378" t="s">
        <v>1027</v>
      </c>
      <c r="C12" s="1379"/>
      <c r="D12" s="1379"/>
      <c r="E12" s="1379"/>
      <c r="F12" s="1379"/>
      <c r="G12" s="1380"/>
      <c r="H12" s="1381">
        <f>(I8*H11)-L8</f>
        <v>0</v>
      </c>
      <c r="I12" s="1428">
        <v>0</v>
      </c>
      <c r="J12" s="1382"/>
      <c r="L12" s="3665"/>
      <c r="M12" s="3666"/>
      <c r="N12" s="3667"/>
    </row>
    <row r="13" spans="2:16" ht="18.75" x14ac:dyDescent="0.3">
      <c r="B13" s="1378" t="s">
        <v>1028</v>
      </c>
      <c r="C13" s="1379"/>
      <c r="D13" s="1379"/>
      <c r="E13" s="1379"/>
      <c r="F13" s="1379"/>
      <c r="G13" s="1380"/>
      <c r="H13" s="1383">
        <v>12</v>
      </c>
      <c r="I13" s="1384"/>
      <c r="J13" s="1385"/>
      <c r="L13" s="3665"/>
      <c r="M13" s="3666"/>
      <c r="N13" s="3667"/>
    </row>
    <row r="14" spans="2:16" ht="18.75" x14ac:dyDescent="0.3">
      <c r="B14" s="1378" t="s">
        <v>1029</v>
      </c>
      <c r="C14" s="1379"/>
      <c r="D14" s="1379"/>
      <c r="E14" s="1379"/>
      <c r="F14" s="1379"/>
      <c r="G14" s="1380"/>
      <c r="H14" s="1383">
        <v>12</v>
      </c>
      <c r="I14" s="1384"/>
      <c r="J14" s="1385"/>
      <c r="L14" s="3668"/>
      <c r="M14" s="3669"/>
      <c r="N14" s="3670"/>
    </row>
    <row r="15" spans="2:16" ht="18.75" x14ac:dyDescent="0.3">
      <c r="B15" s="1378" t="s">
        <v>1030</v>
      </c>
      <c r="C15" s="1379"/>
      <c r="D15" s="1379"/>
      <c r="E15" s="1379"/>
      <c r="F15" s="1379"/>
      <c r="G15" s="1380"/>
      <c r="H15" s="1425">
        <f>H13-H14</f>
        <v>0</v>
      </c>
      <c r="I15" s="1384"/>
      <c r="J15" s="1386"/>
    </row>
    <row r="16" spans="2:16" ht="18.75" x14ac:dyDescent="0.3">
      <c r="B16" s="1378" t="str">
        <f>"Interest Rate per Month "</f>
        <v xml:space="preserve">Interest Rate per Month </v>
      </c>
      <c r="C16" s="1379"/>
      <c r="D16" s="1379"/>
      <c r="E16" s="1379"/>
      <c r="F16" s="1379"/>
      <c r="G16" s="1380"/>
      <c r="H16" s="1426">
        <f>IF(I12&gt;0,I12,H12)*I16</f>
        <v>0</v>
      </c>
      <c r="I16" s="1387">
        <v>1.2500000000000001E-2</v>
      </c>
      <c r="J16" s="1388"/>
    </row>
    <row r="17" spans="2:14" ht="18.75" x14ac:dyDescent="0.3">
      <c r="B17" s="1378" t="str">
        <f>"Arrangement Fee "&amp;ROUNDUP(I17*100,2)&amp;IF(ROUNDUP(I17*100,2)=ROUNDUP(I17*100,0),".00%",IF(ROUNDUP(I17*100,2)=ROUNDUP(I17*100,1),"0%","%"))</f>
        <v>Arrangement Fee 2.00%</v>
      </c>
      <c r="C17" s="1379"/>
      <c r="D17" s="1379"/>
      <c r="E17" s="1379"/>
      <c r="F17" s="1379"/>
      <c r="G17" s="1380"/>
      <c r="H17" s="1426">
        <f>IF(I12&gt;0,I12,H12)*I17</f>
        <v>0</v>
      </c>
      <c r="I17" s="1389">
        <v>0.02</v>
      </c>
      <c r="J17" s="1390"/>
    </row>
    <row r="18" spans="2:14" ht="18.75" x14ac:dyDescent="0.3">
      <c r="B18" s="1378" t="s">
        <v>1031</v>
      </c>
      <c r="C18" s="1379"/>
      <c r="D18" s="1379"/>
      <c r="E18" s="1379"/>
      <c r="F18" s="1379"/>
      <c r="G18" s="1380"/>
      <c r="H18" s="1426">
        <f>I18*IF(I12&gt;0,I12,H12)</f>
        <v>0</v>
      </c>
      <c r="I18" s="1389"/>
      <c r="J18" s="1391"/>
    </row>
    <row r="19" spans="2:14" ht="19.5" thickBot="1" x14ac:dyDescent="0.35">
      <c r="B19" s="1392" t="s">
        <v>1032</v>
      </c>
      <c r="C19" s="1393"/>
      <c r="D19" s="1393"/>
      <c r="E19" s="1393"/>
      <c r="F19" s="1393"/>
      <c r="G19" s="1394"/>
      <c r="H19" s="1427">
        <f>I19*IF(I12&gt;0,I12,H12)</f>
        <v>0</v>
      </c>
      <c r="I19" s="1395">
        <v>0.01</v>
      </c>
      <c r="J19" s="1391"/>
    </row>
    <row r="20" spans="2:14" ht="18.75" x14ac:dyDescent="0.3">
      <c r="B20" s="1396" t="s">
        <v>1033</v>
      </c>
      <c r="C20" s="1397"/>
      <c r="D20" s="1397"/>
      <c r="E20" s="1397"/>
      <c r="F20" s="1397"/>
      <c r="G20" s="1397"/>
      <c r="H20" s="1398"/>
      <c r="I20" s="1399"/>
      <c r="J20" s="1400">
        <f>IF(I12&gt;0,I12,H12)-H17-(H16*H14)</f>
        <v>0</v>
      </c>
    </row>
    <row r="21" spans="2:14" ht="18.75" x14ac:dyDescent="0.3">
      <c r="B21" s="1401" t="s">
        <v>1034</v>
      </c>
      <c r="C21" s="1402"/>
      <c r="D21" s="1402"/>
      <c r="E21" s="1402"/>
      <c r="F21" s="1402"/>
      <c r="G21" s="1402"/>
      <c r="H21" s="1403"/>
      <c r="I21" s="1404"/>
      <c r="J21" s="1405">
        <f>J20+M8</f>
        <v>0</v>
      </c>
    </row>
    <row r="22" spans="2:14" ht="18.75" x14ac:dyDescent="0.3">
      <c r="B22" s="1401" t="s">
        <v>1035</v>
      </c>
      <c r="C22" s="1402"/>
      <c r="D22" s="1402"/>
      <c r="E22" s="1402"/>
      <c r="F22" s="1402"/>
      <c r="G22" s="1402"/>
      <c r="H22" s="1403"/>
      <c r="I22" s="1404"/>
      <c r="J22" s="1405">
        <f>L8+IF(I12&gt;0,I12,H12)</f>
        <v>0</v>
      </c>
    </row>
    <row r="23" spans="2:14" s="1358" customFormat="1" ht="18.75" x14ac:dyDescent="0.3">
      <c r="B23" s="1406" t="s">
        <v>1036</v>
      </c>
      <c r="C23" s="1407"/>
      <c r="D23" s="1407"/>
      <c r="E23" s="1407"/>
      <c r="F23" s="1407"/>
      <c r="G23" s="1407"/>
      <c r="H23" s="1408"/>
      <c r="I23" s="1409">
        <f>H15</f>
        <v>0</v>
      </c>
      <c r="J23" s="1410">
        <f>IF(I12&gt;0,I12,H12)*I16</f>
        <v>0</v>
      </c>
      <c r="L23" s="1374"/>
      <c r="M23" s="1374"/>
      <c r="N23" s="1374"/>
    </row>
    <row r="24" spans="2:14" s="1358" customFormat="1" ht="19.5" thickBot="1" x14ac:dyDescent="0.35">
      <c r="B24" s="1411" t="s">
        <v>1037</v>
      </c>
      <c r="C24" s="1412"/>
      <c r="D24" s="1412"/>
      <c r="E24" s="1412"/>
      <c r="F24" s="1412"/>
      <c r="G24" s="1413"/>
      <c r="H24" s="1414"/>
      <c r="I24" s="1415"/>
      <c r="J24" s="1416">
        <f>J20+H17</f>
        <v>0</v>
      </c>
      <c r="L24" s="1374"/>
      <c r="M24" s="1374"/>
      <c r="N24" s="1374"/>
    </row>
    <row r="30" spans="2:14" x14ac:dyDescent="0.25">
      <c r="M30" s="1374" t="s">
        <v>1038</v>
      </c>
    </row>
  </sheetData>
  <sheetProtection selectLockedCells="1"/>
  <mergeCells count="8">
    <mergeCell ref="B2:D2"/>
    <mergeCell ref="B3:D3"/>
    <mergeCell ref="L11:N14"/>
    <mergeCell ref="B8:F8"/>
    <mergeCell ref="B7:D7"/>
    <mergeCell ref="B6:D6"/>
    <mergeCell ref="B5:D5"/>
    <mergeCell ref="B4:D4"/>
  </mergeCells>
  <phoneticPr fontId="15" type="noConversion"/>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AD10A-DC89-45E8-AC0F-078E1BF56DFB}">
  <sheetPr codeName="Sheet20">
    <tabColor theme="0" tint="-4.9989318521683403E-2"/>
    <pageSetUpPr fitToPage="1"/>
  </sheetPr>
  <dimension ref="A1:I170"/>
  <sheetViews>
    <sheetView showGridLines="0" zoomScaleNormal="100" workbookViewId="0">
      <selection activeCell="E29" sqref="E29"/>
    </sheetView>
  </sheetViews>
  <sheetFormatPr defaultColWidth="0" defaultRowHeight="0" customHeight="1" zeroHeight="1" x14ac:dyDescent="0.35"/>
  <cols>
    <col min="1" max="1" width="4.42578125" style="67" customWidth="1"/>
    <col min="2" max="2" width="39.5703125" style="67" customWidth="1"/>
    <col min="3" max="3" width="11.7109375" style="67" customWidth="1"/>
    <col min="4" max="4" width="11.7109375" style="441" customWidth="1"/>
    <col min="5" max="5" width="37" style="67" customWidth="1"/>
    <col min="6" max="6" width="2.28515625" style="67" customWidth="1"/>
    <col min="7" max="7" width="5.7109375" style="287" hidden="1" customWidth="1"/>
    <col min="8" max="8" width="39.42578125" style="67" hidden="1" customWidth="1"/>
    <col min="9" max="9" width="12" style="67" hidden="1" customWidth="1"/>
    <col min="10" max="13" width="9.140625" style="67" hidden="1" customWidth="1"/>
    <col min="14" max="16384" width="9.140625" style="67" hidden="1"/>
  </cols>
  <sheetData>
    <row r="1" spans="1:8" ht="18" x14ac:dyDescent="0.35">
      <c r="A1" s="208"/>
      <c r="B1" s="440"/>
      <c r="E1" s="208"/>
      <c r="F1" s="208"/>
      <c r="G1" s="293"/>
      <c r="H1" s="208"/>
    </row>
    <row r="2" spans="1:8" ht="18" x14ac:dyDescent="0.35">
      <c r="A2" s="208"/>
      <c r="B2" s="440"/>
      <c r="E2" s="208"/>
      <c r="F2" s="208"/>
      <c r="G2" s="293"/>
      <c r="H2" s="208"/>
    </row>
    <row r="3" spans="1:8" ht="18" x14ac:dyDescent="0.35">
      <c r="A3" s="208"/>
      <c r="B3" s="440"/>
      <c r="E3" s="208"/>
      <c r="F3" s="208"/>
      <c r="G3" s="293"/>
      <c r="H3" s="208"/>
    </row>
    <row r="4" spans="1:8" ht="3.75" customHeight="1" x14ac:dyDescent="0.35">
      <c r="A4" s="208"/>
      <c r="B4" s="440"/>
      <c r="E4" s="208"/>
      <c r="F4" s="208"/>
      <c r="G4" s="293"/>
      <c r="H4" s="208"/>
    </row>
    <row r="5" spans="1:8" ht="24" x14ac:dyDescent="0.45">
      <c r="A5" s="208"/>
      <c r="B5" s="3673" t="s">
        <v>1039</v>
      </c>
      <c r="C5" s="3673"/>
      <c r="D5" s="3673"/>
      <c r="E5" s="3673"/>
      <c r="F5" s="442"/>
      <c r="G5" s="442"/>
      <c r="H5" s="208"/>
    </row>
    <row r="6" spans="1:8" ht="22.5" x14ac:dyDescent="0.35">
      <c r="A6" s="208"/>
      <c r="B6" s="218"/>
      <c r="C6" s="443" t="s">
        <v>1040</v>
      </c>
      <c r="D6" s="444"/>
      <c r="E6" s="208"/>
      <c r="F6" s="208"/>
    </row>
    <row r="7" spans="1:8" ht="18" x14ac:dyDescent="0.35">
      <c r="A7" s="208"/>
      <c r="B7" s="445" t="s">
        <v>1041</v>
      </c>
      <c r="C7" s="446">
        <f>'BTL Calculator'!V9</f>
        <v>0</v>
      </c>
      <c r="D7" s="3678" t="s">
        <v>1042</v>
      </c>
      <c r="E7" s="3679"/>
      <c r="F7" s="208"/>
    </row>
    <row r="8" spans="1:8" ht="23.25" customHeight="1" x14ac:dyDescent="0.35">
      <c r="A8" s="208"/>
      <c r="B8" s="447"/>
      <c r="C8" s="443" t="s">
        <v>1043</v>
      </c>
      <c r="D8" s="444"/>
      <c r="E8" s="208"/>
      <c r="F8" s="208"/>
    </row>
    <row r="9" spans="1:8" ht="18" x14ac:dyDescent="0.35">
      <c r="A9" s="208"/>
      <c r="B9" s="445" t="s">
        <v>1044</v>
      </c>
      <c r="C9" s="448">
        <v>1000</v>
      </c>
      <c r="D9" s="3678" t="str">
        <f>"Per Week, "&amp;TEXT((C9*52)/12,"£  #,#0")&amp;" pcm"</f>
        <v>Per Week, £  4,333 pcm</v>
      </c>
      <c r="E9" s="3679"/>
      <c r="F9" s="208"/>
    </row>
    <row r="10" spans="1:8" ht="3" customHeight="1" x14ac:dyDescent="0.35">
      <c r="A10" s="208"/>
      <c r="B10" s="440"/>
      <c r="C10" s="449"/>
      <c r="D10" s="450"/>
      <c r="E10" s="208"/>
      <c r="F10" s="208"/>
    </row>
    <row r="11" spans="1:8" ht="18" x14ac:dyDescent="0.35">
      <c r="A11" s="208"/>
      <c r="B11" s="445" t="s">
        <v>1045</v>
      </c>
      <c r="C11" s="448">
        <v>750</v>
      </c>
      <c r="D11" s="3678" t="str">
        <f>"Per Week, "&amp;TEXT((C11*52)/12,"£  #,#0")&amp;" pcm"</f>
        <v>Per Week, £  3,250 pcm</v>
      </c>
      <c r="E11" s="3679"/>
      <c r="F11" s="208"/>
    </row>
    <row r="12" spans="1:8" ht="3" customHeight="1" x14ac:dyDescent="0.35">
      <c r="A12" s="208"/>
      <c r="B12" s="440"/>
      <c r="C12" s="449"/>
      <c r="D12" s="450"/>
      <c r="E12" s="208"/>
      <c r="F12" s="208"/>
    </row>
    <row r="13" spans="1:8" ht="18" x14ac:dyDescent="0.35">
      <c r="A13" s="208"/>
      <c r="B13" s="445" t="s">
        <v>1046</v>
      </c>
      <c r="C13" s="448">
        <v>500</v>
      </c>
      <c r="D13" s="3678" t="str">
        <f>"Per Week, "&amp;TEXT((C13*52)/12,"£  #,#0")&amp;" pcm"</f>
        <v>Per Week, £  2,167 pcm</v>
      </c>
      <c r="E13" s="3679"/>
      <c r="F13" s="208"/>
    </row>
    <row r="14" spans="1:8" ht="18" x14ac:dyDescent="0.35">
      <c r="A14" s="208"/>
      <c r="B14" s="451" t="s">
        <v>1047</v>
      </c>
      <c r="C14" s="452" t="str">
        <f>TEXT(AVERAGE(C9:C13),"£  #,#0")&amp;" p/week, "&amp;TEXT((AVERAGE(C9:C13)*52)/12,"£  #,#0")&amp;" p/month"</f>
        <v>£  750 p/week, £  3,250 p/month</v>
      </c>
      <c r="D14" s="452"/>
      <c r="E14" s="208"/>
      <c r="F14" s="208"/>
    </row>
    <row r="15" spans="1:8" ht="18" x14ac:dyDescent="0.35">
      <c r="A15" s="208"/>
      <c r="B15" s="445"/>
      <c r="C15" s="453"/>
      <c r="D15" s="450"/>
      <c r="E15" s="208"/>
      <c r="F15" s="208"/>
    </row>
    <row r="16" spans="1:8" ht="18" x14ac:dyDescent="0.35">
      <c r="A16" s="208"/>
      <c r="B16" s="445" t="s">
        <v>1048</v>
      </c>
      <c r="C16" s="454">
        <v>30</v>
      </c>
      <c r="D16" s="3680" t="s">
        <v>1049</v>
      </c>
      <c r="E16" s="3681"/>
      <c r="F16" s="208"/>
    </row>
    <row r="17" spans="1:9" ht="15" customHeight="1" x14ac:dyDescent="0.35">
      <c r="A17" s="208"/>
      <c r="B17" s="453"/>
      <c r="C17" s="453"/>
      <c r="D17" s="3677" t="s">
        <v>1050</v>
      </c>
      <c r="E17" s="3677"/>
      <c r="F17" s="455"/>
    </row>
    <row r="18" spans="1:9" ht="18" x14ac:dyDescent="0.35">
      <c r="A18" s="208"/>
      <c r="B18" s="440"/>
      <c r="C18" s="440"/>
      <c r="D18" s="3677"/>
      <c r="E18" s="3677"/>
      <c r="F18" s="455"/>
    </row>
    <row r="19" spans="1:9" ht="18" x14ac:dyDescent="0.35">
      <c r="A19" s="208"/>
      <c r="B19" s="440"/>
      <c r="C19" s="440"/>
      <c r="D19" s="3677"/>
      <c r="E19" s="3677"/>
      <c r="F19" s="208"/>
    </row>
    <row r="20" spans="1:9" ht="18" x14ac:dyDescent="0.35">
      <c r="A20" s="208"/>
      <c r="B20" s="440"/>
      <c r="C20" s="440"/>
      <c r="D20" s="456"/>
      <c r="E20" s="208"/>
      <c r="F20" s="208"/>
      <c r="G20" s="293"/>
      <c r="H20" s="457"/>
    </row>
    <row r="21" spans="1:9" ht="18" x14ac:dyDescent="0.35">
      <c r="A21" s="293"/>
      <c r="B21" s="208"/>
      <c r="D21" s="67"/>
      <c r="F21" s="208"/>
      <c r="G21" s="293"/>
      <c r="H21" s="457"/>
    </row>
    <row r="22" spans="1:9" ht="18" x14ac:dyDescent="0.35">
      <c r="A22" s="293"/>
      <c r="B22" s="3674" t="s">
        <v>1051</v>
      </c>
      <c r="C22" s="3675"/>
      <c r="D22" s="3676"/>
      <c r="F22" s="208"/>
      <c r="G22" s="293"/>
      <c r="H22" s="457"/>
    </row>
    <row r="23" spans="1:9" ht="18" x14ac:dyDescent="0.35">
      <c r="A23" s="293"/>
      <c r="B23" s="458"/>
      <c r="C23" s="459" t="s">
        <v>1040</v>
      </c>
      <c r="D23" s="460" t="s">
        <v>1052</v>
      </c>
      <c r="F23" s="208"/>
      <c r="G23" s="293"/>
      <c r="I23" s="208"/>
    </row>
    <row r="24" spans="1:9" ht="24" x14ac:dyDescent="0.35">
      <c r="A24" s="293"/>
      <c r="B24" s="461" t="s">
        <v>1053</v>
      </c>
      <c r="C24" s="462">
        <f>C7</f>
        <v>0</v>
      </c>
      <c r="D24" s="463">
        <f>C24*12</f>
        <v>0</v>
      </c>
      <c r="H24" s="464"/>
      <c r="I24" s="465"/>
    </row>
    <row r="25" spans="1:9" ht="18" x14ac:dyDescent="0.35">
      <c r="A25" s="293"/>
      <c r="B25" s="466"/>
      <c r="D25" s="467"/>
      <c r="H25" s="208"/>
    </row>
    <row r="26" spans="1:9" ht="19.5" x14ac:dyDescent="0.35">
      <c r="A26" s="293"/>
      <c r="B26" s="468" t="s">
        <v>1054</v>
      </c>
      <c r="C26" s="469"/>
      <c r="D26" s="470"/>
      <c r="H26" s="471"/>
    </row>
    <row r="27" spans="1:9" ht="18" x14ac:dyDescent="0.35">
      <c r="A27" s="293"/>
      <c r="B27" s="461" t="str">
        <f>"Average of "&amp;TEXT(AVERAGE(C9:C13),"£  #,#0")&amp;"pw holiday rent used"</f>
        <v>Average of £  750pw holiday rent used</v>
      </c>
      <c r="C27" s="462">
        <f>(AVERAGE(C9:C13)*52)/12</f>
        <v>3250</v>
      </c>
      <c r="D27" s="463">
        <f>C27*12</f>
        <v>39000</v>
      </c>
      <c r="H27" s="453"/>
    </row>
    <row r="28" spans="1:9" ht="18" x14ac:dyDescent="0.35">
      <c r="A28" s="293"/>
      <c r="B28" s="461" t="s">
        <v>1055</v>
      </c>
      <c r="C28" s="472">
        <f>C16</f>
        <v>30</v>
      </c>
      <c r="D28" s="473"/>
      <c r="F28" s="208"/>
      <c r="G28" s="293"/>
      <c r="H28" s="456"/>
    </row>
    <row r="29" spans="1:9" ht="18" x14ac:dyDescent="0.35">
      <c r="A29" s="293"/>
      <c r="B29" s="474" t="str">
        <f>"To be used for Underwriting based on "&amp;TEXT(C16,"#0")&amp;" weeks:"</f>
        <v>To be used for Underwriting based on 30 weeks:</v>
      </c>
      <c r="C29" s="475">
        <f>(AVERAGE(C9:C13)*C16)/12</f>
        <v>1875</v>
      </c>
      <c r="D29" s="476">
        <f>AVERAGE(C9:C13)*C16</f>
        <v>22500</v>
      </c>
      <c r="F29" s="208"/>
      <c r="G29" s="293"/>
    </row>
    <row r="30" spans="1:9" ht="18" x14ac:dyDescent="0.35">
      <c r="A30" s="477"/>
      <c r="B30" s="478"/>
      <c r="C30" s="479"/>
      <c r="D30" s="480"/>
      <c r="F30" s="208"/>
      <c r="G30" s="293"/>
      <c r="H30" s="208"/>
    </row>
    <row r="31" spans="1:9" ht="18" x14ac:dyDescent="0.35">
      <c r="B31" s="481"/>
      <c r="C31" s="481"/>
      <c r="D31" s="481"/>
      <c r="E31" s="208"/>
      <c r="F31" s="208"/>
      <c r="G31" s="293"/>
      <c r="H31" s="208"/>
    </row>
    <row r="32" spans="1:9" ht="18" hidden="1" x14ac:dyDescent="0.35">
      <c r="E32" s="208"/>
      <c r="F32" s="208"/>
      <c r="G32" s="293"/>
      <c r="H32" s="208"/>
    </row>
    <row r="33" spans="5:8" ht="18" hidden="1" x14ac:dyDescent="0.35">
      <c r="E33" s="208"/>
      <c r="F33" s="208"/>
      <c r="G33" s="293"/>
      <c r="H33" s="208"/>
    </row>
    <row r="34" spans="5:8" ht="18" hidden="1" x14ac:dyDescent="0.35">
      <c r="E34" s="208"/>
      <c r="F34" s="208"/>
      <c r="G34" s="293"/>
      <c r="H34" s="208"/>
    </row>
    <row r="35" spans="5:8" ht="18" hidden="1" x14ac:dyDescent="0.35">
      <c r="E35" s="208"/>
      <c r="F35" s="208"/>
      <c r="G35" s="293"/>
      <c r="H35" s="208"/>
    </row>
    <row r="36" spans="5:8" ht="15" hidden="1" customHeight="1" x14ac:dyDescent="0.35">
      <c r="H36" s="208"/>
    </row>
    <row r="37" spans="5:8" ht="18" hidden="1" x14ac:dyDescent="0.35"/>
    <row r="38" spans="5:8" ht="18" hidden="1" x14ac:dyDescent="0.35"/>
    <row r="39" spans="5:8" ht="18" hidden="1" x14ac:dyDescent="0.35"/>
    <row r="40" spans="5:8" ht="18" hidden="1" x14ac:dyDescent="0.35"/>
    <row r="41" spans="5:8" ht="18" hidden="1" x14ac:dyDescent="0.35"/>
    <row r="42" spans="5:8" ht="18" hidden="1" x14ac:dyDescent="0.35"/>
    <row r="43" spans="5:8" ht="18" hidden="1" x14ac:dyDescent="0.35"/>
    <row r="44" spans="5:8" ht="18" hidden="1" x14ac:dyDescent="0.35"/>
    <row r="45" spans="5:8" ht="18" hidden="1" x14ac:dyDescent="0.35"/>
    <row r="46" spans="5:8" ht="18" hidden="1" x14ac:dyDescent="0.35"/>
    <row r="47" spans="5:8" ht="18" hidden="1" x14ac:dyDescent="0.35"/>
    <row r="48" spans="5:8" ht="18" hidden="1" x14ac:dyDescent="0.35"/>
    <row r="49" ht="18" hidden="1" x14ac:dyDescent="0.35"/>
    <row r="50" ht="18" hidden="1" x14ac:dyDescent="0.35"/>
    <row r="51" ht="18" hidden="1" x14ac:dyDescent="0.35"/>
    <row r="52" ht="18" hidden="1" x14ac:dyDescent="0.35"/>
    <row r="53" ht="18" hidden="1" x14ac:dyDescent="0.35"/>
    <row r="54" ht="18" hidden="1" x14ac:dyDescent="0.35"/>
    <row r="55" ht="18" hidden="1" x14ac:dyDescent="0.35"/>
    <row r="56" ht="18" hidden="1" x14ac:dyDescent="0.35"/>
    <row r="57" ht="18" hidden="1" x14ac:dyDescent="0.35"/>
    <row r="58" ht="18" hidden="1" x14ac:dyDescent="0.35"/>
    <row r="59" ht="18" hidden="1" x14ac:dyDescent="0.35"/>
    <row r="60" ht="18" hidden="1" x14ac:dyDescent="0.35"/>
    <row r="61" ht="18" hidden="1" x14ac:dyDescent="0.35"/>
    <row r="62" ht="18" hidden="1" x14ac:dyDescent="0.35"/>
    <row r="63" ht="18" hidden="1" x14ac:dyDescent="0.35"/>
    <row r="64" ht="18" hidden="1" x14ac:dyDescent="0.35"/>
    <row r="65" ht="18" hidden="1" x14ac:dyDescent="0.35"/>
    <row r="66" ht="18" hidden="1" x14ac:dyDescent="0.35"/>
    <row r="67" ht="18" hidden="1" x14ac:dyDescent="0.35"/>
    <row r="68" ht="18" hidden="1" x14ac:dyDescent="0.35"/>
    <row r="69" ht="18" hidden="1" x14ac:dyDescent="0.35"/>
    <row r="70" ht="18" hidden="1" x14ac:dyDescent="0.35"/>
    <row r="71" ht="18" hidden="1" x14ac:dyDescent="0.35"/>
    <row r="72" ht="18" hidden="1" x14ac:dyDescent="0.35"/>
    <row r="73" ht="18" hidden="1" x14ac:dyDescent="0.35"/>
    <row r="74" ht="18" hidden="1" x14ac:dyDescent="0.35"/>
    <row r="75" ht="18" hidden="1" x14ac:dyDescent="0.35"/>
    <row r="76" ht="18" hidden="1" x14ac:dyDescent="0.35"/>
    <row r="77" ht="18" hidden="1" x14ac:dyDescent="0.35"/>
    <row r="78" ht="18" hidden="1" x14ac:dyDescent="0.35"/>
    <row r="79" ht="18" hidden="1" x14ac:dyDescent="0.35"/>
    <row r="80" ht="18" hidden="1" x14ac:dyDescent="0.35"/>
    <row r="81" ht="18" hidden="1" x14ac:dyDescent="0.35"/>
    <row r="82" ht="18" hidden="1" x14ac:dyDescent="0.35"/>
    <row r="83" ht="18" hidden="1" x14ac:dyDescent="0.35"/>
    <row r="84" ht="18" hidden="1" x14ac:dyDescent="0.35"/>
    <row r="85" ht="18" hidden="1" x14ac:dyDescent="0.35"/>
    <row r="86" ht="18" hidden="1" x14ac:dyDescent="0.35"/>
    <row r="87" ht="18" hidden="1" x14ac:dyDescent="0.35"/>
    <row r="88" ht="18" hidden="1" x14ac:dyDescent="0.35"/>
    <row r="89" ht="18" hidden="1" x14ac:dyDescent="0.35"/>
    <row r="90" ht="18" hidden="1" x14ac:dyDescent="0.35"/>
    <row r="91" ht="18" hidden="1" x14ac:dyDescent="0.35"/>
    <row r="92" ht="18" hidden="1" x14ac:dyDescent="0.35"/>
    <row r="93" ht="18" hidden="1" x14ac:dyDescent="0.35"/>
    <row r="94" ht="18" hidden="1" x14ac:dyDescent="0.35"/>
    <row r="95" ht="18" hidden="1" x14ac:dyDescent="0.35"/>
    <row r="96" ht="18" hidden="1" x14ac:dyDescent="0.35"/>
    <row r="97" ht="18" hidden="1" x14ac:dyDescent="0.35"/>
    <row r="98" ht="18" hidden="1" x14ac:dyDescent="0.35"/>
    <row r="99" ht="18" hidden="1" x14ac:dyDescent="0.35"/>
    <row r="100" ht="18" hidden="1" x14ac:dyDescent="0.35"/>
    <row r="101" ht="18" hidden="1" x14ac:dyDescent="0.35"/>
    <row r="102" ht="18" hidden="1" x14ac:dyDescent="0.35"/>
    <row r="103" ht="18" hidden="1" x14ac:dyDescent="0.35"/>
    <row r="104" ht="18" hidden="1" x14ac:dyDescent="0.35"/>
    <row r="105" ht="18" hidden="1" x14ac:dyDescent="0.35"/>
    <row r="106" ht="18" hidden="1" x14ac:dyDescent="0.35"/>
    <row r="107" ht="18" hidden="1" x14ac:dyDescent="0.35"/>
    <row r="108" ht="18" hidden="1" x14ac:dyDescent="0.35"/>
    <row r="109" ht="18" hidden="1" x14ac:dyDescent="0.35"/>
    <row r="110" ht="18" hidden="1" x14ac:dyDescent="0.35"/>
    <row r="111" ht="18" hidden="1" x14ac:dyDescent="0.35"/>
    <row r="112" ht="18" hidden="1" x14ac:dyDescent="0.35"/>
    <row r="113" ht="18" hidden="1" x14ac:dyDescent="0.35"/>
    <row r="114" ht="18" hidden="1" x14ac:dyDescent="0.35"/>
    <row r="115" ht="18" hidden="1" x14ac:dyDescent="0.35"/>
    <row r="116" ht="18" hidden="1" x14ac:dyDescent="0.35"/>
    <row r="117" ht="18" hidden="1" x14ac:dyDescent="0.35"/>
    <row r="118" ht="18" hidden="1" x14ac:dyDescent="0.35"/>
    <row r="119" ht="18" hidden="1" x14ac:dyDescent="0.35"/>
    <row r="120" ht="18" hidden="1" x14ac:dyDescent="0.35"/>
    <row r="121" ht="18" hidden="1" x14ac:dyDescent="0.35"/>
    <row r="122" ht="18" hidden="1" x14ac:dyDescent="0.35"/>
    <row r="123" ht="18" hidden="1" x14ac:dyDescent="0.35"/>
    <row r="124" ht="18" hidden="1" x14ac:dyDescent="0.35"/>
    <row r="125" ht="18" hidden="1" x14ac:dyDescent="0.35"/>
    <row r="126" ht="18" hidden="1" x14ac:dyDescent="0.35"/>
    <row r="127" ht="18" hidden="1" x14ac:dyDescent="0.35"/>
    <row r="128" ht="18" hidden="1" x14ac:dyDescent="0.35"/>
    <row r="129" ht="18" hidden="1" x14ac:dyDescent="0.35"/>
    <row r="130" ht="18" hidden="1" x14ac:dyDescent="0.35"/>
    <row r="131" ht="18" hidden="1" x14ac:dyDescent="0.35"/>
    <row r="132" ht="18" hidden="1" x14ac:dyDescent="0.35"/>
    <row r="133" ht="18" hidden="1" x14ac:dyDescent="0.35"/>
    <row r="134" ht="18" hidden="1" x14ac:dyDescent="0.35"/>
    <row r="135" ht="18" hidden="1" x14ac:dyDescent="0.35"/>
    <row r="136" ht="18" hidden="1" x14ac:dyDescent="0.35"/>
    <row r="137" ht="18" hidden="1" x14ac:dyDescent="0.35"/>
    <row r="138" ht="18" hidden="1" x14ac:dyDescent="0.35"/>
    <row r="139" ht="18" hidden="1" x14ac:dyDescent="0.35"/>
    <row r="140" ht="18" hidden="1" x14ac:dyDescent="0.35"/>
    <row r="141" ht="18" hidden="1" x14ac:dyDescent="0.35"/>
    <row r="142" ht="18" hidden="1" x14ac:dyDescent="0.35"/>
    <row r="143" ht="18" hidden="1" x14ac:dyDescent="0.35"/>
    <row r="144" ht="18" hidden="1" x14ac:dyDescent="0.35"/>
    <row r="145" ht="18" hidden="1" x14ac:dyDescent="0.35"/>
    <row r="146" ht="18" hidden="1" x14ac:dyDescent="0.35"/>
    <row r="147" ht="18" hidden="1" x14ac:dyDescent="0.35"/>
    <row r="148" ht="18" hidden="1" x14ac:dyDescent="0.35"/>
    <row r="149" ht="18" hidden="1" x14ac:dyDescent="0.35"/>
    <row r="150" ht="18" hidden="1" x14ac:dyDescent="0.35"/>
    <row r="151" ht="18" hidden="1" x14ac:dyDescent="0.35"/>
    <row r="152" ht="15" hidden="1" customHeight="1" x14ac:dyDescent="0.35"/>
    <row r="153" ht="15" hidden="1" customHeight="1" x14ac:dyDescent="0.35"/>
    <row r="154" ht="15" hidden="1" customHeight="1" x14ac:dyDescent="0.35"/>
    <row r="155" ht="15" hidden="1" customHeight="1" x14ac:dyDescent="0.35"/>
    <row r="156" ht="15" hidden="1" customHeight="1" x14ac:dyDescent="0.35"/>
    <row r="157" ht="15" hidden="1" customHeight="1" x14ac:dyDescent="0.35"/>
    <row r="158" ht="15" hidden="1" customHeight="1" x14ac:dyDescent="0.35"/>
    <row r="159" ht="15" hidden="1" customHeight="1" x14ac:dyDescent="0.35"/>
    <row r="160" ht="15" hidden="1" customHeight="1" x14ac:dyDescent="0.35"/>
    <row r="161" ht="15" hidden="1" customHeight="1" x14ac:dyDescent="0.35"/>
    <row r="162" ht="15" hidden="1" customHeight="1" x14ac:dyDescent="0.35"/>
    <row r="163" ht="15" hidden="1" customHeight="1" x14ac:dyDescent="0.35"/>
    <row r="164" ht="15" hidden="1" customHeight="1" x14ac:dyDescent="0.35"/>
    <row r="165" ht="15" hidden="1" customHeight="1" x14ac:dyDescent="0.35"/>
    <row r="166" ht="15" hidden="1" customHeight="1" x14ac:dyDescent="0.35"/>
    <row r="167" ht="15" hidden="1" customHeight="1" x14ac:dyDescent="0.35"/>
    <row r="168" ht="15" hidden="1" customHeight="1" x14ac:dyDescent="0.35"/>
    <row r="169" ht="15" hidden="1" customHeight="1" x14ac:dyDescent="0.35"/>
    <row r="170" ht="15" hidden="1" customHeight="1" x14ac:dyDescent="0.35"/>
  </sheetData>
  <sheetProtection selectLockedCells="1"/>
  <mergeCells count="8">
    <mergeCell ref="B5:E5"/>
    <mergeCell ref="B22:D22"/>
    <mergeCell ref="D17:E19"/>
    <mergeCell ref="D7:E7"/>
    <mergeCell ref="D9:E9"/>
    <mergeCell ref="D11:E11"/>
    <mergeCell ref="D13:E13"/>
    <mergeCell ref="D16:E16"/>
  </mergeCells>
  <pageMargins left="0.7" right="0.7" top="0.75" bottom="0.75" header="0.3" footer="0.3"/>
  <pageSetup paperSize="9" scale="81"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69332-86EE-4345-B991-BB6F96687ECA}">
  <sheetPr codeName="Sheet21">
    <tabColor rgb="FFFFFF00"/>
  </sheetPr>
  <dimension ref="A1:N400"/>
  <sheetViews>
    <sheetView topLeftCell="A16" zoomScale="68" zoomScaleNormal="68" workbookViewId="0">
      <selection activeCell="D31" sqref="D31"/>
    </sheetView>
  </sheetViews>
  <sheetFormatPr defaultRowHeight="22.5" x14ac:dyDescent="0.45"/>
  <cols>
    <col min="1" max="1" width="21.140625" style="552" customWidth="1"/>
    <col min="2" max="2" width="17.42578125" style="67" customWidth="1"/>
    <col min="3" max="3" width="22.5703125" style="67" bestFit="1" customWidth="1"/>
    <col min="4" max="4" width="44.85546875" style="67" bestFit="1" customWidth="1"/>
    <col min="5" max="6" width="11" style="67" customWidth="1"/>
    <col min="7" max="9" width="7.5703125" style="67" customWidth="1"/>
    <col min="10" max="10" width="8.28515625" style="67" customWidth="1"/>
    <col min="11" max="11" width="16.7109375" style="67" customWidth="1"/>
    <col min="12" max="12" width="19" style="67" bestFit="1" customWidth="1"/>
    <col min="13" max="13" width="14.42578125" style="67" bestFit="1" customWidth="1"/>
    <col min="14" max="14" width="20.85546875" style="67" bestFit="1" customWidth="1"/>
    <col min="15" max="15" width="3" style="67" bestFit="1" customWidth="1"/>
    <col min="16" max="16384" width="9.140625" style="67"/>
  </cols>
  <sheetData>
    <row r="1" spans="1:14" x14ac:dyDescent="0.45">
      <c r="A1" s="551" t="s">
        <v>1056</v>
      </c>
      <c r="B1" s="551"/>
      <c r="D1" s="551" t="s">
        <v>1057</v>
      </c>
      <c r="E1" s="551"/>
      <c r="F1" s="551"/>
      <c r="K1" s="3682" t="s">
        <v>1058</v>
      </c>
      <c r="L1" s="3682"/>
    </row>
    <row r="2" spans="1:14" x14ac:dyDescent="0.45">
      <c r="B2" s="553" t="s">
        <v>1059</v>
      </c>
      <c r="D2" s="553" t="s">
        <v>1060</v>
      </c>
      <c r="E2" s="553"/>
      <c r="F2" s="553"/>
      <c r="K2" s="67" t="s">
        <v>1061</v>
      </c>
      <c r="L2" s="554">
        <v>2</v>
      </c>
    </row>
    <row r="3" spans="1:14" x14ac:dyDescent="0.45">
      <c r="B3" s="67">
        <f ca="1">MATCH(D2,INDIRECT(ADDRESS(1,1,,,$B$2)&amp;":"&amp;ADDRESS(1000,1,,,)),0)</f>
        <v>139</v>
      </c>
      <c r="D3" s="67" t="s">
        <v>1062</v>
      </c>
      <c r="K3" s="67" t="s">
        <v>1063</v>
      </c>
      <c r="L3" s="554">
        <v>1</v>
      </c>
    </row>
    <row r="4" spans="1:14" x14ac:dyDescent="0.45">
      <c r="K4" s="67" t="s">
        <v>1064</v>
      </c>
      <c r="L4" s="554">
        <v>3</v>
      </c>
    </row>
    <row r="5" spans="1:14" x14ac:dyDescent="0.45">
      <c r="E5" s="67">
        <f>MIN($L$6,$N$6)</f>
        <v>2</v>
      </c>
      <c r="F5" s="67">
        <f>MIN($L$6,$M$6)</f>
        <v>1</v>
      </c>
    </row>
    <row r="6" spans="1:14" x14ac:dyDescent="0.45">
      <c r="E6" s="67">
        <f>MAX(L6,N6)</f>
        <v>3</v>
      </c>
      <c r="F6" s="67">
        <f>MAX(M6,L6)</f>
        <v>2</v>
      </c>
      <c r="L6" s="67">
        <f>L2</f>
        <v>2</v>
      </c>
      <c r="M6" s="67">
        <f>L3</f>
        <v>1</v>
      </c>
      <c r="N6" s="67">
        <f>L4</f>
        <v>3</v>
      </c>
    </row>
    <row r="7" spans="1:14" s="552" customFormat="1" x14ac:dyDescent="0.45">
      <c r="A7" s="552" t="s">
        <v>1065</v>
      </c>
      <c r="B7" s="552" t="s">
        <v>633</v>
      </c>
      <c r="C7" s="67"/>
      <c r="D7" s="552" t="s">
        <v>1066</v>
      </c>
      <c r="E7" s="552" t="s">
        <v>1067</v>
      </c>
      <c r="F7" s="552" t="s">
        <v>1068</v>
      </c>
      <c r="G7" s="552">
        <v>1</v>
      </c>
      <c r="H7" s="552">
        <v>2</v>
      </c>
      <c r="I7" s="552">
        <v>3</v>
      </c>
      <c r="J7" s="552" t="s">
        <v>1069</v>
      </c>
      <c r="K7" s="552" t="s">
        <v>1070</v>
      </c>
      <c r="L7" s="552" t="s">
        <v>1071</v>
      </c>
      <c r="M7" s="552" t="s">
        <v>1072</v>
      </c>
      <c r="N7" s="552" t="s">
        <v>1073</v>
      </c>
    </row>
    <row r="8" spans="1:14" x14ac:dyDescent="0.45">
      <c r="A8" s="552" t="s">
        <v>1074</v>
      </c>
    </row>
    <row r="9" spans="1:14" x14ac:dyDescent="0.45">
      <c r="B9" s="453" t="s">
        <v>1075</v>
      </c>
      <c r="D9" s="67" t="str">
        <f ca="1">IF(G9=0,IF(H9=0,I9,IFERROR(H9,I9)),IFERROR(G9,IFERROR(H9,I9)))</f>
        <v>Yes</v>
      </c>
      <c r="E9" s="67" t="str">
        <f ca="1">IF(INDEX($L9:$N9,MATCH(E$5,$L$6:$N$6,0))&gt;0,IFERROR(INDEX($L9:$N9,MATCH(E$5,$L$6:$N$6,0)),INDEX($L9:$N9,MATCH(E$6,$L$6:$N$6,0))),IFERROR(INDEX($L9:$N9,MATCH(E$6,$L$6:$N$6,0)),INDEX($L9:$N9,MATCH(E$5,$L$6:$N$6,0))))</f>
        <v>Yes</v>
      </c>
      <c r="F9" s="67" t="str">
        <f ca="1">IF(INDEX($L9:$N9,MATCH(F$5,$L$6:$N$6,0))&gt;0,IFERROR(INDEX($L9:$N9,MATCH(F$5,$L$6:$N$6,0)),INDEX($L9:$N9,MATCH(F$6,$L$6:$N$6,0))),IFERROR(INDEX($L9:$N9,MATCH(F$6,$L$6:$N$6,0)),INDEX($L9:$N9,MATCH(F$5,$L$6:$N$6,0))))</f>
        <v>Yes</v>
      </c>
      <c r="G9" s="67">
        <f t="shared" ref="G9:I28" si="0">INDEX($L9:$N9,MATCH(G$7,$L$6:$N$6,0))</f>
        <v>0</v>
      </c>
      <c r="H9" s="67" t="str">
        <f t="shared" ca="1" si="0"/>
        <v>Yes</v>
      </c>
      <c r="I9" s="67">
        <f t="shared" si="0"/>
        <v>0</v>
      </c>
      <c r="K9" s="67">
        <v>5</v>
      </c>
      <c r="L9" s="67" t="str" cm="1">
        <f t="array" aca="1" ref="L9" ca="1">INDIRECT(ADDRESS($B$3,$K9,,,$B$2))</f>
        <v>Yes</v>
      </c>
      <c r="N9" s="67">
        <f>'Deal lead sheet'!C6</f>
        <v>0</v>
      </c>
    </row>
    <row r="10" spans="1:14" x14ac:dyDescent="0.45">
      <c r="B10" s="555" t="s">
        <v>1076</v>
      </c>
      <c r="D10" s="67" t="str">
        <f t="shared" ref="D10:D45" ca="1" si="1">IF(G10=0,IF(H10=0,I10,IFERROR(H10,I10)),IFERROR(G10,IFERROR(H10,I10)))</f>
        <v>0</v>
      </c>
      <c r="E10" s="67" t="str">
        <f t="shared" ref="E10:F41" ca="1" si="2">IF(INDEX($L10:$N10,MATCH(E$5,$L$6:$N$6,0))&gt;0,IFERROR(INDEX($L10:$N10,MATCH(E$5,$L$6:$N$6,0)),INDEX($L10:$N10,MATCH(E$6,$L$6:$N$6,0))),IFERROR(INDEX($L10:$N10,MATCH(E$6,$L$6:$N$6,0)),INDEX($L10:$N10,MATCH(E$5,$L$6:$N$6,0))))</f>
        <v>0</v>
      </c>
      <c r="F10" s="67" t="str">
        <f t="shared" ca="1" si="2"/>
        <v>0</v>
      </c>
      <c r="G10" s="67">
        <f t="shared" si="0"/>
        <v>0</v>
      </c>
      <c r="H10" s="67" t="str">
        <f t="shared" ca="1" si="0"/>
        <v>0</v>
      </c>
      <c r="I10" s="67">
        <f t="shared" si="0"/>
        <v>0</v>
      </c>
      <c r="K10" s="67">
        <v>6</v>
      </c>
      <c r="L10" s="67" t="str" cm="1">
        <f t="array" aca="1" ref="L10" ca="1">INDIRECT(ADDRESS($B$3,$K10,,,$B$2))</f>
        <v>0</v>
      </c>
    </row>
    <row r="11" spans="1:14" x14ac:dyDescent="0.45">
      <c r="B11" s="555" t="s">
        <v>1077</v>
      </c>
      <c r="D11" s="67" t="str">
        <f t="shared" ca="1" si="1"/>
        <v>Yes</v>
      </c>
      <c r="E11" s="67" t="str">
        <f t="shared" ca="1" si="2"/>
        <v>Yes</v>
      </c>
      <c r="F11" s="67" t="str">
        <f t="shared" ca="1" si="2"/>
        <v>Yes</v>
      </c>
      <c r="G11" s="67">
        <f t="shared" si="0"/>
        <v>0</v>
      </c>
      <c r="H11" s="67" t="str">
        <f t="shared" ca="1" si="0"/>
        <v>Yes</v>
      </c>
      <c r="I11" s="67">
        <f t="shared" si="0"/>
        <v>0</v>
      </c>
      <c r="K11" s="67">
        <v>87</v>
      </c>
      <c r="L11" s="67" t="str" cm="1">
        <f t="array" aca="1" ref="L11" ca="1">INDIRECT(ADDRESS($B$3,$K11,,,$B$2))</f>
        <v>Yes</v>
      </c>
    </row>
    <row r="12" spans="1:14" x14ac:dyDescent="0.45">
      <c r="B12" s="453" t="s">
        <v>1078</v>
      </c>
      <c r="D12" s="67" t="str">
        <f t="shared" si="1"/>
        <v>xxxxxxx</v>
      </c>
      <c r="E12" s="67" t="str">
        <f t="shared" ca="1" si="2"/>
        <v>7440554082</v>
      </c>
      <c r="F12" s="67" t="str">
        <f t="shared" si="2"/>
        <v>xxxxxxx</v>
      </c>
      <c r="G12" s="67" t="str">
        <f t="shared" si="0"/>
        <v>xxxxxxx</v>
      </c>
      <c r="H12" s="67" t="str">
        <f t="shared" ca="1" si="0"/>
        <v>7440554082</v>
      </c>
      <c r="I12" s="67" t="str">
        <f t="shared" si="0"/>
        <v>xxxxxxx</v>
      </c>
      <c r="K12" s="67">
        <v>1</v>
      </c>
      <c r="L12" s="67" t="str" cm="1">
        <f t="array" aca="1" ref="L12" ca="1">INDIRECT(ADDRESS($B$3,$K12,3,,$B$2))</f>
        <v>7440554082</v>
      </c>
      <c r="M12" s="67" t="str">
        <f>'BTL Calculator'!H7</f>
        <v>xxxxxxx</v>
      </c>
      <c r="N12" s="67" t="str">
        <f>'Deal lead sheet'!C5</f>
        <v>xxxxxxx</v>
      </c>
    </row>
    <row r="13" spans="1:14" x14ac:dyDescent="0.45">
      <c r="B13" s="453" t="s">
        <v>1079</v>
      </c>
      <c r="D13" s="67" t="str">
        <f t="shared" ca="1" si="1"/>
        <v/>
      </c>
      <c r="E13" s="67" t="str">
        <f t="shared" ca="1" si="2"/>
        <v/>
      </c>
      <c r="F13" s="67" t="str">
        <f t="shared" ca="1" si="2"/>
        <v/>
      </c>
      <c r="G13" s="67">
        <f t="shared" si="0"/>
        <v>0</v>
      </c>
      <c r="H13" s="67" t="str">
        <f t="shared" ca="1" si="0"/>
        <v/>
      </c>
      <c r="I13" s="67">
        <f t="shared" si="0"/>
        <v>0</v>
      </c>
      <c r="K13" s="67">
        <v>2</v>
      </c>
      <c r="L13" s="67" t="str" cm="1">
        <f t="array" aca="1" ref="L13" ca="1">INDIRECT(ADDRESS($B$3,$K13,3,,$B$2))</f>
        <v/>
      </c>
    </row>
    <row r="14" spans="1:14" x14ac:dyDescent="0.45">
      <c r="B14" s="453" t="s">
        <v>1080</v>
      </c>
      <c r="D14" s="67" t="str">
        <f t="shared" ca="1" si="1"/>
        <v/>
      </c>
      <c r="E14" s="67" t="str">
        <f t="shared" ca="1" si="2"/>
        <v/>
      </c>
      <c r="F14" s="67" t="str">
        <f t="shared" ca="1" si="2"/>
        <v/>
      </c>
      <c r="G14" s="67">
        <f t="shared" si="0"/>
        <v>0</v>
      </c>
      <c r="H14" s="67" t="str">
        <f t="shared" ca="1" si="0"/>
        <v/>
      </c>
      <c r="I14" s="67" t="str">
        <f t="shared" si="0"/>
        <v>ZBL</v>
      </c>
      <c r="K14" s="67">
        <v>38</v>
      </c>
      <c r="L14" s="67" t="str" cm="1">
        <f t="array" aca="1" ref="L14" ca="1">INDIRECT(ADDRESS($B$3,$K14,,,$B$2))</f>
        <v/>
      </c>
      <c r="N14" s="67" t="str">
        <f>'Deal lead sheet'!C28</f>
        <v>ZBL</v>
      </c>
    </row>
    <row r="15" spans="1:14" x14ac:dyDescent="0.45">
      <c r="B15" s="381" t="s">
        <v>1081</v>
      </c>
      <c r="D15" s="67" t="str">
        <f t="shared" ca="1" si="1"/>
        <v>BTL</v>
      </c>
      <c r="E15" s="67" t="str">
        <f t="shared" ca="1" si="2"/>
        <v>BTL</v>
      </c>
      <c r="F15" s="67" t="str">
        <f t="shared" ca="1" si="2"/>
        <v>BTL</v>
      </c>
      <c r="G15" s="67">
        <f t="shared" si="0"/>
        <v>0</v>
      </c>
      <c r="H15" s="67" t="str">
        <f t="shared" ca="1" si="0"/>
        <v>BTL</v>
      </c>
      <c r="I15" s="67">
        <f t="shared" si="0"/>
        <v>0</v>
      </c>
      <c r="K15" s="67">
        <v>3</v>
      </c>
      <c r="L15" s="67" t="str" cm="1">
        <f t="array" aca="1" ref="L15" ca="1">INDIRECT(ADDRESS($B$3,$K15,,,$B$2))</f>
        <v>BTL</v>
      </c>
      <c r="N15" s="67">
        <f>'Deal lead sheet'!C8</f>
        <v>0</v>
      </c>
    </row>
    <row r="16" spans="1:14" x14ac:dyDescent="0.45">
      <c r="B16" s="381" t="s">
        <v>1082</v>
      </c>
      <c r="D16" s="364" t="str">
        <f t="shared" ca="1" si="1"/>
        <v/>
      </c>
      <c r="E16" s="67" t="str">
        <f t="shared" ca="1" si="2"/>
        <v/>
      </c>
      <c r="F16" s="67" t="str">
        <f t="shared" ca="1" si="2"/>
        <v/>
      </c>
      <c r="G16" s="67">
        <f t="shared" si="0"/>
        <v>0</v>
      </c>
      <c r="H16" s="67" t="str">
        <f t="shared" ca="1" si="0"/>
        <v/>
      </c>
      <c r="I16" s="67">
        <f t="shared" si="0"/>
        <v>0</v>
      </c>
      <c r="K16" s="67">
        <v>4</v>
      </c>
      <c r="L16" s="67" t="str" cm="1">
        <f t="array" aca="1" ref="L16" ca="1">INDIRECT(ADDRESS($B$3,$K16,,,$B$2))</f>
        <v/>
      </c>
    </row>
    <row r="17" spans="1:14" x14ac:dyDescent="0.45">
      <c r="B17" s="381" t="s">
        <v>1083</v>
      </c>
      <c r="D17" s="67" t="str">
        <f t="shared" ca="1" si="1"/>
        <v>0</v>
      </c>
      <c r="E17" s="67" t="str">
        <f t="shared" ca="1" si="2"/>
        <v>0</v>
      </c>
      <c r="F17" s="67" t="str">
        <f t="shared" ca="1" si="2"/>
        <v>0</v>
      </c>
      <c r="G17" s="67">
        <f t="shared" si="0"/>
        <v>0</v>
      </c>
      <c r="H17" s="67" t="str">
        <f t="shared" ca="1" si="0"/>
        <v>0</v>
      </c>
      <c r="I17" s="67">
        <f t="shared" si="0"/>
        <v>0</v>
      </c>
      <c r="K17" s="67">
        <v>24</v>
      </c>
      <c r="L17" s="67" t="str" cm="1">
        <f t="array" aca="1" ref="L17" ca="1">INDIRECT(ADDRESS($B$3,$K17,,,$B$2))</f>
        <v>0</v>
      </c>
    </row>
    <row r="18" spans="1:14" x14ac:dyDescent="0.45">
      <c r="B18" s="381" t="s">
        <v>1084</v>
      </c>
      <c r="D18" s="364" t="str">
        <f t="shared" ca="1" si="1"/>
        <v/>
      </c>
      <c r="E18" s="67" t="str">
        <f t="shared" ca="1" si="2"/>
        <v/>
      </c>
      <c r="F18" s="67" t="str">
        <f t="shared" ca="1" si="2"/>
        <v/>
      </c>
      <c r="G18" s="67">
        <f t="shared" si="0"/>
        <v>0</v>
      </c>
      <c r="H18" s="67" t="str">
        <f t="shared" ca="1" si="0"/>
        <v/>
      </c>
      <c r="I18" s="67">
        <f t="shared" si="0"/>
        <v>0</v>
      </c>
      <c r="K18" s="67">
        <v>25</v>
      </c>
      <c r="L18" s="67" t="str" cm="1">
        <f t="array" aca="1" ref="L18" ca="1">INDIRECT(ADDRESS($B$3,$K18,,,$B$2))</f>
        <v/>
      </c>
    </row>
    <row r="19" spans="1:14" x14ac:dyDescent="0.45">
      <c r="B19" s="381" t="s">
        <v>1085</v>
      </c>
      <c r="D19" s="67" t="str">
        <f t="shared" ca="1" si="1"/>
        <v/>
      </c>
      <c r="E19" s="67" t="str">
        <f t="shared" ca="1" si="2"/>
        <v/>
      </c>
      <c r="F19" s="67" t="str">
        <f t="shared" ca="1" si="2"/>
        <v/>
      </c>
      <c r="G19" s="67">
        <f t="shared" si="0"/>
        <v>0</v>
      </c>
      <c r="H19" s="67" t="str">
        <f t="shared" ca="1" si="0"/>
        <v/>
      </c>
      <c r="I19" s="67">
        <f t="shared" si="0"/>
        <v>0</v>
      </c>
      <c r="K19" s="67">
        <v>39</v>
      </c>
      <c r="L19" s="67" t="str" cm="1">
        <f t="array" aca="1" ref="L19" ca="1">INDIRECT(ADDRESS($B$3,$K19,,,$B$2))</f>
        <v/>
      </c>
    </row>
    <row r="20" spans="1:14" x14ac:dyDescent="0.45">
      <c r="B20" s="381" t="s">
        <v>1086</v>
      </c>
      <c r="D20" s="67" t="str">
        <f t="shared" ca="1" si="1"/>
        <v>Yes</v>
      </c>
      <c r="E20" s="67" t="str">
        <f t="shared" ca="1" si="2"/>
        <v>Yes</v>
      </c>
      <c r="F20" s="67" t="str">
        <f t="shared" ca="1" si="2"/>
        <v>Yes</v>
      </c>
      <c r="G20" s="67">
        <f t="shared" si="0"/>
        <v>0</v>
      </c>
      <c r="H20" s="67" t="str">
        <f t="shared" ca="1" si="0"/>
        <v>Yes</v>
      </c>
      <c r="I20" s="67">
        <f t="shared" si="0"/>
        <v>0</v>
      </c>
      <c r="K20" s="67">
        <v>40</v>
      </c>
      <c r="L20" s="67" t="str" cm="1">
        <f t="array" aca="1" ref="L20" ca="1">INDIRECT(ADDRESS($B$3,$K20,,,$B$2))</f>
        <v>Yes</v>
      </c>
    </row>
    <row r="21" spans="1:14" x14ac:dyDescent="0.45">
      <c r="A21" s="552" t="s">
        <v>1087</v>
      </c>
      <c r="D21" s="67">
        <f t="shared" si="1"/>
        <v>0</v>
      </c>
      <c r="E21" s="67">
        <f t="shared" si="2"/>
        <v>0</v>
      </c>
      <c r="F21" s="67">
        <f t="shared" si="2"/>
        <v>0</v>
      </c>
      <c r="G21" s="67">
        <f t="shared" si="0"/>
        <v>0</v>
      </c>
      <c r="H21" s="67">
        <f t="shared" si="0"/>
        <v>0</v>
      </c>
      <c r="I21" s="67">
        <f t="shared" si="0"/>
        <v>0</v>
      </c>
    </row>
    <row r="22" spans="1:14" x14ac:dyDescent="0.45">
      <c r="B22" s="381" t="s">
        <v>16</v>
      </c>
      <c r="D22" s="67" t="str">
        <f t="shared" ca="1" si="1"/>
        <v>5.41</v>
      </c>
      <c r="E22" s="67" t="str">
        <f t="shared" ca="1" si="2"/>
        <v>5.41</v>
      </c>
      <c r="F22" s="67" t="str">
        <f t="shared" ca="1" si="2"/>
        <v>5.41</v>
      </c>
      <c r="G22" s="67">
        <f t="shared" si="0"/>
        <v>0</v>
      </c>
      <c r="H22" s="67" t="str">
        <f t="shared" ca="1" si="0"/>
        <v>5.41</v>
      </c>
      <c r="I22" s="67" t="str">
        <f t="shared" si="0"/>
        <v>xxxxxxx</v>
      </c>
      <c r="K22" s="67">
        <v>7</v>
      </c>
      <c r="L22" s="67" t="str" cm="1">
        <f t="array" aca="1" ref="L22" ca="1">INDIRECT(ADDRESS($B$3,$K22,,,$B$2))</f>
        <v>5.41</v>
      </c>
      <c r="M22" s="67">
        <f>'BTL Calculator'!H11</f>
        <v>0</v>
      </c>
      <c r="N22" s="67" t="str">
        <f>'Deal lead sheet'!C12</f>
        <v>xxxxxxx</v>
      </c>
    </row>
    <row r="23" spans="1:14" x14ac:dyDescent="0.45">
      <c r="B23" s="381" t="s">
        <v>1088</v>
      </c>
      <c r="D23" s="67" t="str">
        <f t="shared" ca="1" si="1"/>
        <v/>
      </c>
      <c r="E23" s="67" t="str">
        <f t="shared" ca="1" si="2"/>
        <v/>
      </c>
      <c r="F23" s="67" t="str">
        <f t="shared" ca="1" si="2"/>
        <v/>
      </c>
      <c r="G23" s="67">
        <f t="shared" si="0"/>
        <v>0</v>
      </c>
      <c r="H23" s="67" t="str">
        <f t="shared" ca="1" si="0"/>
        <v/>
      </c>
      <c r="I23" s="67">
        <f t="shared" si="0"/>
        <v>0</v>
      </c>
      <c r="K23" s="67">
        <v>8</v>
      </c>
      <c r="L23" s="67" t="str" cm="1">
        <f t="array" aca="1" ref="L23" ca="1">INDIRECT(ADDRESS($B$3,$K23,,,$B$2))</f>
        <v/>
      </c>
      <c r="N23" s="67">
        <f>'Deal lead sheet'!C22</f>
        <v>0</v>
      </c>
    </row>
    <row r="24" spans="1:14" x14ac:dyDescent="0.45">
      <c r="B24" s="381" t="s">
        <v>1089</v>
      </c>
      <c r="D24" s="67" t="str">
        <f t="shared" ca="1" si="1"/>
        <v xml:space="preserve">
0
N/A
</v>
      </c>
      <c r="E24" s="67" t="str">
        <f t="shared" ca="1" si="2"/>
        <v xml:space="preserve">
0
N/A
</v>
      </c>
      <c r="F24" s="67" t="str">
        <f t="shared" ca="1" si="2"/>
        <v xml:space="preserve">
0
N/A
</v>
      </c>
      <c r="G24" s="67">
        <f t="shared" si="0"/>
        <v>0</v>
      </c>
      <c r="H24" s="67" t="str">
        <f t="shared" ca="1" si="0"/>
        <v xml:space="preserve">
0
N/A
</v>
      </c>
      <c r="I24" s="67">
        <f t="shared" si="0"/>
        <v>0</v>
      </c>
      <c r="K24" s="115" t="s">
        <v>1090</v>
      </c>
      <c r="L24" s="115" t="str" cm="1">
        <f t="array" aca="1" ref="L24" ca="1">INDIRECT(ADDRESS($B$3,10,,,$B$2))&amp;"
"&amp;INDIRECT(ADDRESS($B$3,47,,,$B$2))&amp;"
"&amp;INDIRECT(ADDRESS($B$3,57,,,$B$2))&amp;"
"&amp;INDIRECT(ADDRESS($B$3,67,,,$B$2))&amp;"
"&amp;INDIRECT(ADDRESS($B$3,77,,,$B$2))</f>
        <v xml:space="preserve">
0
N/A
</v>
      </c>
      <c r="N24" s="67">
        <f>'Deal lead sheet'!C13</f>
        <v>0</v>
      </c>
    </row>
    <row r="25" spans="1:14" x14ac:dyDescent="0.45">
      <c r="B25" s="381" t="s">
        <v>1091</v>
      </c>
      <c r="D25" s="67" t="str">
        <f t="shared" ca="1" si="1"/>
        <v>Yes</v>
      </c>
      <c r="E25" s="67" t="str">
        <f t="shared" ca="1" si="2"/>
        <v>Yes</v>
      </c>
      <c r="F25" s="67" t="str">
        <f t="shared" ca="1" si="2"/>
        <v>Yes</v>
      </c>
      <c r="G25" s="67">
        <f t="shared" si="0"/>
        <v>0</v>
      </c>
      <c r="H25" s="67" t="str">
        <f t="shared" ca="1" si="0"/>
        <v>Yes</v>
      </c>
      <c r="I25" s="67">
        <f t="shared" si="0"/>
        <v>0</v>
      </c>
      <c r="K25" s="67">
        <v>9</v>
      </c>
      <c r="L25" s="67" t="str" cm="1">
        <f t="array" aca="1" ref="L25" ca="1">INDIRECT(ADDRESS($B$3,$K25,,,$B$2))</f>
        <v>Yes</v>
      </c>
      <c r="N25" s="67">
        <f>'Deal lead sheet'!C7</f>
        <v>0</v>
      </c>
    </row>
    <row r="26" spans="1:14" x14ac:dyDescent="0.45">
      <c r="A26" s="552" t="s">
        <v>1092</v>
      </c>
      <c r="D26" s="67">
        <f t="shared" si="1"/>
        <v>0</v>
      </c>
      <c r="E26" s="67">
        <f t="shared" si="2"/>
        <v>0</v>
      </c>
      <c r="F26" s="67">
        <f t="shared" si="2"/>
        <v>0</v>
      </c>
      <c r="G26" s="67">
        <f t="shared" si="0"/>
        <v>0</v>
      </c>
      <c r="H26" s="67">
        <f t="shared" si="0"/>
        <v>0</v>
      </c>
      <c r="I26" s="67">
        <f t="shared" si="0"/>
        <v>0</v>
      </c>
    </row>
    <row r="27" spans="1:14" ht="18.75" customHeight="1" x14ac:dyDescent="0.45">
      <c r="B27" s="555" t="s">
        <v>1027</v>
      </c>
      <c r="D27" s="168" t="e">
        <f t="shared" si="1"/>
        <v>#N/A</v>
      </c>
      <c r="E27" s="67">
        <f t="shared" ca="1" si="2"/>
        <v>44588</v>
      </c>
      <c r="F27" s="67" t="e">
        <f t="shared" si="2"/>
        <v>#N/A</v>
      </c>
      <c r="G27" s="67" t="e">
        <f t="shared" si="0"/>
        <v>#N/A</v>
      </c>
      <c r="H27" s="67">
        <f t="shared" ca="1" si="0"/>
        <v>44588</v>
      </c>
      <c r="I27" s="67" t="e">
        <f t="shared" si="0"/>
        <v>#N/A</v>
      </c>
      <c r="K27" s="67">
        <v>28</v>
      </c>
      <c r="L27" s="67" cm="1">
        <f t="array" aca="1" ref="L27" ca="1">INDIRECT(ADDRESS($B$3,$K27,,,$B$2))</f>
        <v>44588</v>
      </c>
      <c r="M27" s="67" t="e">
        <f>Gross_Loan</f>
        <v>#N/A</v>
      </c>
      <c r="N27" s="556" t="e">
        <f>'Deal lead sheet'!C33</f>
        <v>#N/A</v>
      </c>
    </row>
    <row r="28" spans="1:14" ht="18.75" customHeight="1" x14ac:dyDescent="0.45">
      <c r="B28" s="555" t="s">
        <v>1093</v>
      </c>
      <c r="D28" s="557" t="e">
        <f ca="1">IF(D30&gt;0,D30,D29)</f>
        <v>#VALUE!</v>
      </c>
      <c r="E28" s="67">
        <f t="shared" si="2"/>
        <v>0</v>
      </c>
      <c r="F28" s="67">
        <f t="shared" si="2"/>
        <v>0</v>
      </c>
      <c r="G28" s="67">
        <f t="shared" si="0"/>
        <v>0</v>
      </c>
      <c r="H28" s="67">
        <f t="shared" si="0"/>
        <v>0</v>
      </c>
      <c r="I28" s="67">
        <f t="shared" si="0"/>
        <v>0</v>
      </c>
    </row>
    <row r="29" spans="1:14" ht="18.75" customHeight="1" x14ac:dyDescent="0.45">
      <c r="B29" s="555" t="s">
        <v>1094</v>
      </c>
      <c r="D29" s="557" t="e">
        <f t="shared" ca="1" si="1"/>
        <v>#VALUE!</v>
      </c>
      <c r="E29" s="67" t="e">
        <f t="shared" ca="1" si="2"/>
        <v>#VALUE!</v>
      </c>
      <c r="F29" s="67">
        <f t="shared" ca="1" si="2"/>
        <v>0</v>
      </c>
      <c r="G29" s="67">
        <f t="shared" ref="G29:I48" si="3">INDEX($L29:$N29,MATCH(G$7,$L$6:$N$6,0))</f>
        <v>0</v>
      </c>
      <c r="H29" s="67" t="e">
        <f t="shared" ca="1" si="3"/>
        <v>#VALUE!</v>
      </c>
      <c r="I29" s="67">
        <f t="shared" si="3"/>
        <v>0</v>
      </c>
      <c r="K29" s="67">
        <v>26</v>
      </c>
      <c r="L29" s="67" t="e" cm="1">
        <f t="array" aca="1" ref="L29" ca="1">INDIRECT(ADDRESS($B$3,$K29,,,$B$2))/100</f>
        <v>#VALUE!</v>
      </c>
    </row>
    <row r="30" spans="1:14" ht="18.75" customHeight="1" x14ac:dyDescent="0.45">
      <c r="B30" s="555" t="s">
        <v>1095</v>
      </c>
      <c r="D30" s="557"/>
      <c r="E30" s="67" t="e">
        <f t="shared" ca="1" si="2"/>
        <v>#VALUE!</v>
      </c>
      <c r="F30" s="67">
        <f t="shared" ca="1" si="2"/>
        <v>0</v>
      </c>
      <c r="G30" s="67">
        <f t="shared" si="3"/>
        <v>0</v>
      </c>
      <c r="H30" s="67" t="e">
        <f t="shared" ca="1" si="3"/>
        <v>#VALUE!</v>
      </c>
      <c r="I30" s="67">
        <f t="shared" si="3"/>
        <v>0</v>
      </c>
      <c r="K30" s="67">
        <v>27</v>
      </c>
      <c r="L30" s="67" t="e" cm="1">
        <f t="array" aca="1" ref="L30" ca="1">INDIRECT(ADDRESS($B$3,$K30,,,$B$2))/100</f>
        <v>#VALUE!</v>
      </c>
    </row>
    <row r="31" spans="1:14" x14ac:dyDescent="0.45">
      <c r="B31" s="381" t="s">
        <v>467</v>
      </c>
      <c r="D31" s="67">
        <f>IF(G31=0,IF(H31=0,I31,IFERROR(H31,I31)),IFERROR(G31,IFERROR(H31,I31)))</f>
        <v>24</v>
      </c>
      <c r="E31" s="67" t="str">
        <f t="shared" ca="1" si="2"/>
        <v>Yes</v>
      </c>
      <c r="F31" s="67">
        <f t="shared" si="2"/>
        <v>24</v>
      </c>
      <c r="G31" s="67">
        <f t="shared" si="3"/>
        <v>24</v>
      </c>
      <c r="H31" s="67" t="str">
        <f t="shared" ca="1" si="3"/>
        <v>Yes</v>
      </c>
      <c r="I31" s="67">
        <f t="shared" si="3"/>
        <v>24</v>
      </c>
      <c r="K31" s="67">
        <v>31</v>
      </c>
      <c r="L31" s="67" t="str" cm="1">
        <f t="array" aca="1" ref="L31" ca="1">INDIRECT(ADDRESS($B$3,$K31,,,$B$2))</f>
        <v>Yes</v>
      </c>
      <c r="M31" s="365">
        <f>'BTL Calculator'!H26</f>
        <v>24</v>
      </c>
      <c r="N31" s="365">
        <f>'Deal lead sheet'!C32</f>
        <v>24</v>
      </c>
    </row>
    <row r="32" spans="1:14" x14ac:dyDescent="0.45">
      <c r="B32" s="381" t="s">
        <v>1096</v>
      </c>
      <c r="D32" s="67" t="e">
        <f>IF(G32=0,IF(H32=0,I32,IFERROR(H32,I32)),IFERROR(G32,IFERROR(H32,I32)))</f>
        <v>#N/A</v>
      </c>
      <c r="E32" s="67">
        <f t="shared" ca="1" si="2"/>
        <v>2243.3200000000002</v>
      </c>
      <c r="F32" s="67" t="e">
        <f t="shared" si="2"/>
        <v>#N/A</v>
      </c>
      <c r="G32" s="67" t="e">
        <f t="shared" si="3"/>
        <v>#N/A</v>
      </c>
      <c r="H32" s="67">
        <f t="shared" ca="1" si="3"/>
        <v>2243.3200000000002</v>
      </c>
      <c r="I32" s="67" t="e">
        <f t="shared" si="3"/>
        <v>#N/A</v>
      </c>
      <c r="K32" s="67">
        <v>32</v>
      </c>
      <c r="L32" s="67" cm="1">
        <f t="array" aca="1" ref="L32" ca="1">INDIRECT(ADDRESS($B$3,$K32,,,$B$2))</f>
        <v>2243.3200000000002</v>
      </c>
      <c r="M32" s="67" t="e">
        <f>RollupMonths</f>
        <v>#N/A</v>
      </c>
      <c r="N32" s="67" t="e">
        <f>'Deal lead sheet'!C34</f>
        <v>#N/A</v>
      </c>
    </row>
    <row r="33" spans="2:14" x14ac:dyDescent="0.45">
      <c r="B33" s="381" t="s">
        <v>1097</v>
      </c>
      <c r="D33" s="67" t="str">
        <f ca="1">IF(G33=0,IF(H33=0,I33,IFERROR(H33,I33)),IFERROR(G33,IFERROR(H33,I33)))</f>
        <v/>
      </c>
      <c r="E33" s="67" t="str">
        <f t="shared" ca="1" si="2"/>
        <v/>
      </c>
      <c r="F33" s="67" t="str">
        <f t="shared" ca="1" si="2"/>
        <v/>
      </c>
      <c r="G33" s="67">
        <f t="shared" si="3"/>
        <v>0</v>
      </c>
      <c r="H33" s="67" t="str">
        <f t="shared" ca="1" si="3"/>
        <v/>
      </c>
      <c r="I33" s="67" t="e">
        <f t="shared" si="3"/>
        <v>#N/A</v>
      </c>
      <c r="K33" s="67">
        <v>33</v>
      </c>
      <c r="L33" s="67" t="str" cm="1">
        <f t="array" aca="1" ref="L33" ca="1">INDIRECT(ADDRESS($B$3,$K33,,,$B$2))</f>
        <v/>
      </c>
      <c r="N33" s="365" t="e">
        <f>'Deal lead sheet'!C35</f>
        <v>#N/A</v>
      </c>
    </row>
    <row r="34" spans="2:14" x14ac:dyDescent="0.45">
      <c r="B34" s="555" t="s">
        <v>1098</v>
      </c>
      <c r="D34" s="67" t="str">
        <f t="shared" si="1"/>
        <v>1) Standard</v>
      </c>
      <c r="E34" s="67" t="e">
        <f t="shared" ca="1" si="2"/>
        <v>#REF!</v>
      </c>
      <c r="F34" s="67" t="str">
        <f t="shared" si="2"/>
        <v>1) Standard</v>
      </c>
      <c r="G34" s="67" t="str">
        <f t="shared" si="3"/>
        <v>1) Standard</v>
      </c>
      <c r="H34" s="67" t="e">
        <f t="shared" ca="1" si="3"/>
        <v>#REF!</v>
      </c>
      <c r="I34" s="67">
        <f t="shared" si="3"/>
        <v>0</v>
      </c>
      <c r="K34" s="67">
        <v>92</v>
      </c>
      <c r="L34" s="67" t="e" cm="1">
        <f t="array" aca="1" ref="L34" ca="1">INDEX('Product Data'!$B$9:$B$16,MATCH(INDIRECT(ADDRESS($B$3,$K34,,,$B$2)),'Product Data'!#REF!,0))</f>
        <v>#REF!</v>
      </c>
      <c r="M34" s="558" t="str">
        <f>'BTL Calculator'!G62</f>
        <v>1) Standard</v>
      </c>
    </row>
    <row r="35" spans="2:14" x14ac:dyDescent="0.45">
      <c r="B35" s="555" t="s">
        <v>1099</v>
      </c>
      <c r="D35" s="559" t="e">
        <f t="shared" si="1"/>
        <v>#REF!</v>
      </c>
      <c r="E35" s="67">
        <f t="shared" ca="1" si="2"/>
        <v>25.87</v>
      </c>
      <c r="F35" s="67" t="e">
        <f t="shared" si="2"/>
        <v>#REF!</v>
      </c>
      <c r="G35" s="67" t="e">
        <f t="shared" si="3"/>
        <v>#REF!</v>
      </c>
      <c r="H35" s="67">
        <f t="shared" ca="1" si="3"/>
        <v>25.87</v>
      </c>
      <c r="I35" s="67" t="e">
        <f t="shared" si="3"/>
        <v>#N/A</v>
      </c>
      <c r="K35" s="67">
        <v>34</v>
      </c>
      <c r="L35" s="67" cm="1">
        <f t="array" aca="1" ref="L35" ca="1">INDIRECT(ADDRESS($B$3,$K35,,,$B$2))/100</f>
        <v>25.87</v>
      </c>
      <c r="M35" s="67" t="e">
        <f>IF('BTL Calculator'!#REF!="",'BTL Calculator'!#REF!,'BTL Calculator'!#REF!)</f>
        <v>#REF!</v>
      </c>
      <c r="N35" s="67" t="e">
        <f>'Deal lead sheet'!C36*12</f>
        <v>#N/A</v>
      </c>
    </row>
    <row r="36" spans="2:14" x14ac:dyDescent="0.45">
      <c r="B36" s="560" t="s">
        <v>1100</v>
      </c>
      <c r="D36" s="559" t="e">
        <f t="shared" ca="1" si="1"/>
        <v>#VALUE!</v>
      </c>
      <c r="E36" s="67" t="e">
        <f t="shared" ca="1" si="2"/>
        <v>#VALUE!</v>
      </c>
      <c r="F36" s="67">
        <f t="shared" ca="1" si="2"/>
        <v>0</v>
      </c>
      <c r="G36" s="67">
        <f t="shared" si="3"/>
        <v>0</v>
      </c>
      <c r="H36" s="67" t="e">
        <f t="shared" ca="1" si="3"/>
        <v>#VALUE!</v>
      </c>
      <c r="I36" s="67" t="e">
        <f t="shared" si="3"/>
        <v>#N/A</v>
      </c>
      <c r="K36" s="67">
        <v>90</v>
      </c>
      <c r="L36" s="67" t="e" cm="1">
        <f t="array" aca="1" ref="L36" ca="1">INDIRECT(ADDRESS($B$3,$K36,,,$B$2))/100</f>
        <v>#VALUE!</v>
      </c>
      <c r="N36" s="561" t="e">
        <f>'Deal lead sheet'!C38</f>
        <v>#N/A</v>
      </c>
    </row>
    <row r="37" spans="2:14" x14ac:dyDescent="0.45">
      <c r="B37" s="555" t="s">
        <v>1101</v>
      </c>
      <c r="D37" s="559" t="e">
        <f t="shared" ref="D37:D42" ca="1" si="4">IF(G37=0,IF(H37=0,I37,IFERROR(H37,I37)),IFERROR(G37,IFERROR(H37,I37)))</f>
        <v>#VALUE!</v>
      </c>
      <c r="E37" s="67" t="e">
        <f t="shared" ca="1" si="2"/>
        <v>#VALUE!</v>
      </c>
      <c r="F37" s="67">
        <f t="shared" ca="1" si="2"/>
        <v>0</v>
      </c>
      <c r="G37" s="67">
        <f t="shared" si="3"/>
        <v>0</v>
      </c>
      <c r="H37" s="67" t="e">
        <f t="shared" ca="1" si="3"/>
        <v>#VALUE!</v>
      </c>
      <c r="I37" s="67">
        <f t="shared" si="3"/>
        <v>0</v>
      </c>
      <c r="K37" s="67">
        <v>35</v>
      </c>
      <c r="L37" s="67" t="e" cm="1">
        <f t="array" aca="1" ref="L37" ca="1">INDIRECT(ADDRESS($B$3,$K37,,,$B$2))/100</f>
        <v>#VALUE!</v>
      </c>
    </row>
    <row r="38" spans="2:14" x14ac:dyDescent="0.45">
      <c r="B38" s="555" t="s">
        <v>1102</v>
      </c>
      <c r="D38" s="67" t="str">
        <f t="shared" ca="1" si="4"/>
        <v/>
      </c>
      <c r="E38" s="67" t="str">
        <f t="shared" ca="1" si="2"/>
        <v/>
      </c>
      <c r="F38" s="67" t="str">
        <f t="shared" ca="1" si="2"/>
        <v/>
      </c>
      <c r="G38" s="67">
        <f t="shared" si="3"/>
        <v>0</v>
      </c>
      <c r="H38" s="67" t="str">
        <f t="shared" ca="1" si="3"/>
        <v/>
      </c>
      <c r="I38" s="67">
        <f t="shared" si="3"/>
        <v>0</v>
      </c>
      <c r="K38" s="67">
        <v>93</v>
      </c>
      <c r="L38" s="67" t="str" cm="1">
        <f t="array" aca="1" ref="L38" ca="1">INDIRECT(ADDRESS($B$3,$K38,,,$B$2))</f>
        <v/>
      </c>
    </row>
    <row r="39" spans="2:14" x14ac:dyDescent="0.45">
      <c r="B39" s="555" t="s">
        <v>1103</v>
      </c>
      <c r="D39" s="559">
        <f ca="1">IF(G39=0,IF(H39=0,I39,IFERROR(H39,I39)),IFERROR(G39,IFERROR(H39,I39)))</f>
        <v>0.02</v>
      </c>
      <c r="E39" s="67">
        <f t="shared" ca="1" si="2"/>
        <v>0.02</v>
      </c>
      <c r="F39" s="67">
        <f t="shared" ca="1" si="2"/>
        <v>0.02</v>
      </c>
      <c r="G39" s="67">
        <f t="shared" si="3"/>
        <v>0</v>
      </c>
      <c r="H39" s="67">
        <f t="shared" ca="1" si="3"/>
        <v>0.02</v>
      </c>
      <c r="I39" s="67">
        <f t="shared" ca="1" si="3"/>
        <v>0.02</v>
      </c>
      <c r="K39" s="67">
        <v>89</v>
      </c>
      <c r="L39" s="67" cm="1">
        <f t="array" aca="1" ref="L39" ca="1">INDIRECT(ADDRESS($B$3,$K39,,,$B$2))/100</f>
        <v>0.02</v>
      </c>
      <c r="N39" s="561">
        <f ca="1">'Deal lead sheet'!C40</f>
        <v>0.02</v>
      </c>
    </row>
    <row r="40" spans="2:14" x14ac:dyDescent="0.45">
      <c r="B40" s="381" t="s">
        <v>1104</v>
      </c>
      <c r="D40" s="559" t="e">
        <f t="shared" ca="1" si="4"/>
        <v>#VALUE!</v>
      </c>
      <c r="E40" s="67" t="e">
        <f t="shared" ca="1" si="2"/>
        <v>#VALUE!</v>
      </c>
      <c r="F40" s="67">
        <f t="shared" ca="1" si="2"/>
        <v>0</v>
      </c>
      <c r="G40" s="67">
        <f t="shared" si="3"/>
        <v>0</v>
      </c>
      <c r="H40" s="67" t="e">
        <f t="shared" ca="1" si="3"/>
        <v>#VALUE!</v>
      </c>
      <c r="I40" s="67">
        <f t="shared" si="3"/>
        <v>0</v>
      </c>
      <c r="K40" s="67">
        <v>36</v>
      </c>
      <c r="L40" s="67" t="e" cm="1">
        <f t="array" aca="1" ref="L40" ca="1">INDIRECT(ADDRESS($B$3,$K40,,,$B$2))/100</f>
        <v>#VALUE!</v>
      </c>
      <c r="M40" s="561">
        <f>'BTL Calculator'!H37</f>
        <v>0</v>
      </c>
      <c r="N40" s="561">
        <f>'Deal lead sheet'!C39</f>
        <v>0</v>
      </c>
    </row>
    <row r="41" spans="2:14" x14ac:dyDescent="0.45">
      <c r="B41" s="381" t="s">
        <v>1105</v>
      </c>
      <c r="D41" s="562" t="e">
        <f ca="1">IF(G41&gt;0,IFERROR(G41,IFERROR(H41,I41)),IF(H41&gt;0,IFERROR(H41,I41),I41))</f>
        <v>#N/A</v>
      </c>
      <c r="E41" s="67" t="e">
        <f t="shared" ca="1" si="2"/>
        <v>#N/A</v>
      </c>
      <c r="F41" s="67">
        <f t="shared" ca="1" si="2"/>
        <v>0</v>
      </c>
      <c r="G41" s="67">
        <f t="shared" si="3"/>
        <v>0</v>
      </c>
      <c r="H41" s="67" t="e">
        <f t="shared" ca="1" si="3"/>
        <v>#N/A</v>
      </c>
      <c r="I41" s="67">
        <f t="shared" si="3"/>
        <v>0</v>
      </c>
      <c r="K41" s="67">
        <v>37</v>
      </c>
      <c r="L41" s="563" t="e" cm="1">
        <f t="array" aca="1" ref="L41" ca="1">INDIRECT(ADDRESS($B$3,$K41,,,$B$2))/100*D27</f>
        <v>#N/A</v>
      </c>
      <c r="M41" s="67">
        <f>'BTL Calculator'!H40</f>
        <v>0</v>
      </c>
    </row>
    <row r="42" spans="2:14" x14ac:dyDescent="0.45">
      <c r="B42" s="555" t="s">
        <v>1106</v>
      </c>
      <c r="D42" s="67" t="str">
        <f t="shared" ca="1" si="4"/>
        <v>Yes</v>
      </c>
      <c r="E42" s="67" t="str">
        <f t="shared" ref="E42:F73" ca="1" si="5">IF(INDEX($L42:$N42,MATCH(E$5,$L$6:$N$6,0))&gt;0,IFERROR(INDEX($L42:$N42,MATCH(E$5,$L$6:$N$6,0)),INDEX($L42:$N42,MATCH(E$6,$L$6:$N$6,0))),IFERROR(INDEX($L42:$N42,MATCH(E$6,$L$6:$N$6,0)),INDEX($L42:$N42,MATCH(E$5,$L$6:$N$6,0))))</f>
        <v>Yes</v>
      </c>
      <c r="F42" s="67" t="str">
        <f t="shared" ca="1" si="5"/>
        <v>Yes</v>
      </c>
      <c r="G42" s="67">
        <f t="shared" si="3"/>
        <v>0</v>
      </c>
      <c r="H42" s="67" t="str">
        <f t="shared" ca="1" si="3"/>
        <v>Yes</v>
      </c>
      <c r="I42" s="67">
        <f t="shared" si="3"/>
        <v>0</v>
      </c>
      <c r="K42" s="67">
        <v>14</v>
      </c>
      <c r="L42" s="67" t="str" cm="1">
        <f t="array" aca="1" ref="L42" ca="1">INDIRECT(ADDRESS($B$3,$K42,,,$B$2))</f>
        <v>Yes</v>
      </c>
    </row>
    <row r="43" spans="2:14" x14ac:dyDescent="0.45">
      <c r="B43" s="381" t="s">
        <v>1107</v>
      </c>
      <c r="D43" s="564">
        <f t="shared" ca="1" si="1"/>
        <v>562000</v>
      </c>
      <c r="E43" s="67">
        <f t="shared" ca="1" si="5"/>
        <v>562000</v>
      </c>
      <c r="F43" s="67">
        <f t="shared" ca="1" si="5"/>
        <v>562000</v>
      </c>
      <c r="G43" s="67">
        <f t="shared" si="3"/>
        <v>0</v>
      </c>
      <c r="H43" s="67">
        <f t="shared" ca="1" si="3"/>
        <v>562000</v>
      </c>
      <c r="I43" s="67">
        <f t="shared" si="3"/>
        <v>0</v>
      </c>
      <c r="K43" s="67">
        <v>29</v>
      </c>
      <c r="L43" s="67" cm="1">
        <f t="array" aca="1" ref="L43" ca="1">INDIRECT(ADDRESS($B$3,$K43,,,$B$2))</f>
        <v>562000</v>
      </c>
    </row>
    <row r="44" spans="2:14" x14ac:dyDescent="0.45">
      <c r="B44" s="381" t="s">
        <v>1108</v>
      </c>
      <c r="D44" s="168" t="str">
        <f t="shared" ca="1" si="1"/>
        <v/>
      </c>
      <c r="E44" s="67" t="str">
        <f t="shared" ca="1" si="5"/>
        <v/>
      </c>
      <c r="F44" s="67" t="str">
        <f t="shared" ca="1" si="5"/>
        <v/>
      </c>
      <c r="G44" s="67">
        <f t="shared" si="3"/>
        <v>0</v>
      </c>
      <c r="H44" s="67" t="str">
        <f t="shared" ca="1" si="3"/>
        <v/>
      </c>
      <c r="I44" s="67">
        <f t="shared" si="3"/>
        <v>0</v>
      </c>
      <c r="K44" s="67">
        <v>30</v>
      </c>
      <c r="L44" s="67" t="str" cm="1">
        <f t="array" aca="1" ref="L44" ca="1">INDIRECT(ADDRESS($B$3,$K44,,,$B$2))</f>
        <v/>
      </c>
    </row>
    <row r="45" spans="2:14" x14ac:dyDescent="0.45">
      <c r="B45" s="381" t="s">
        <v>474</v>
      </c>
      <c r="D45" s="565">
        <f t="shared" ca="1" si="1"/>
        <v>0.13</v>
      </c>
      <c r="E45" s="67">
        <f t="shared" ca="1" si="5"/>
        <v>0.13</v>
      </c>
      <c r="F45" s="67">
        <f t="shared" ca="1" si="5"/>
        <v>0.13</v>
      </c>
      <c r="G45" s="67">
        <f t="shared" si="3"/>
        <v>0</v>
      </c>
      <c r="H45" s="67">
        <f t="shared" ca="1" si="3"/>
        <v>0.13</v>
      </c>
      <c r="I45" s="67">
        <f t="shared" si="3"/>
        <v>0</v>
      </c>
      <c r="K45" s="67">
        <v>91</v>
      </c>
      <c r="L45" s="67" cm="1">
        <f t="array" aca="1" ref="L45" ca="1">INDIRECT(ADDRESS($B$3,$K45,,,$B$2))/100</f>
        <v>0.13</v>
      </c>
    </row>
    <row r="46" spans="2:14" x14ac:dyDescent="0.45">
      <c r="B46" s="566" t="s">
        <v>1109</v>
      </c>
      <c r="C46" s="567"/>
      <c r="D46" s="67" t="e">
        <f ca="1">IF(G46=0,IF(H46=0,I46,IFERROR(H46,I46)),IFERROR(G46,IFERROR(H46,I46)))</f>
        <v>#VALUE!</v>
      </c>
      <c r="E46" s="67" t="e">
        <f t="shared" ca="1" si="5"/>
        <v>#VALUE!</v>
      </c>
      <c r="F46" s="67">
        <f t="shared" ca="1" si="5"/>
        <v>0</v>
      </c>
      <c r="G46" s="67">
        <f t="shared" si="3"/>
        <v>0</v>
      </c>
      <c r="H46" s="67" t="e">
        <f t="shared" ca="1" si="3"/>
        <v>#VALUE!</v>
      </c>
      <c r="I46" s="67">
        <f t="shared" si="3"/>
        <v>0</v>
      </c>
      <c r="L46" s="67" t="e" cm="1">
        <f t="array" aca="1" ref="L46" ca="1">INDIRECT(ADDRESS($B$3,$K46,,,$B$2))</f>
        <v>#VALUE!</v>
      </c>
    </row>
    <row r="47" spans="2:14" x14ac:dyDescent="0.45">
      <c r="B47" s="566" t="s">
        <v>1110</v>
      </c>
      <c r="C47" s="208"/>
      <c r="D47" s="67" t="e">
        <f ca="1">IF(G47=0,IF(H47=0,I47,IFERROR(H47,I47)),IFERROR(G47,IFERROR(H47,I47)))</f>
        <v>#VALUE!</v>
      </c>
      <c r="E47" s="67" t="e">
        <f t="shared" ca="1" si="5"/>
        <v>#VALUE!</v>
      </c>
      <c r="F47" s="67">
        <f t="shared" ca="1" si="5"/>
        <v>0</v>
      </c>
      <c r="G47" s="67">
        <f t="shared" si="3"/>
        <v>0</v>
      </c>
      <c r="H47" s="67" t="e">
        <f t="shared" ca="1" si="3"/>
        <v>#VALUE!</v>
      </c>
      <c r="I47" s="67">
        <f t="shared" si="3"/>
        <v>0</v>
      </c>
      <c r="L47" s="67" t="e" cm="1">
        <f t="array" aca="1" ref="L47" ca="1">INDIRECT(ADDRESS($B$3,$K47,,,$B$2))</f>
        <v>#VALUE!</v>
      </c>
    </row>
    <row r="48" spans="2:14" x14ac:dyDescent="0.45">
      <c r="B48" s="566" t="s">
        <v>1111</v>
      </c>
      <c r="C48" s="208"/>
      <c r="D48" s="67" t="e">
        <f ca="1">IF(G48=0,IF(H48=0,I48,IFERROR(H48,I48)),IFERROR(G48,IFERROR(H48,I48)))</f>
        <v>#VALUE!</v>
      </c>
      <c r="E48" s="67" t="e">
        <f t="shared" ca="1" si="5"/>
        <v>#VALUE!</v>
      </c>
      <c r="F48" s="67">
        <f t="shared" ca="1" si="5"/>
        <v>0</v>
      </c>
      <c r="G48" s="67">
        <f t="shared" si="3"/>
        <v>0</v>
      </c>
      <c r="H48" s="67" t="e">
        <f t="shared" ca="1" si="3"/>
        <v>#VALUE!</v>
      </c>
      <c r="I48" s="67">
        <f t="shared" si="3"/>
        <v>0</v>
      </c>
      <c r="L48" s="67" t="e" cm="1">
        <f t="array" aca="1" ref="L48" ca="1">INDIRECT(ADDRESS($B$3,$K48,,,$B$2))</f>
        <v>#VALUE!</v>
      </c>
    </row>
    <row r="49" spans="1:14" x14ac:dyDescent="0.45">
      <c r="A49" s="552" t="s">
        <v>1112</v>
      </c>
      <c r="B49" s="67" t="s">
        <v>1016</v>
      </c>
      <c r="C49" s="381"/>
      <c r="D49" s="67" t="str">
        <f ca="1">IF(G49=0,IF(H49=0,I49,IFERROR(H49,I49)),IFERROR(G49,IFERROR(H49,I49)))</f>
        <v/>
      </c>
      <c r="E49" s="67" t="str">
        <f t="shared" ca="1" si="5"/>
        <v/>
      </c>
      <c r="F49" s="67" t="str">
        <f t="shared" ca="1" si="5"/>
        <v/>
      </c>
      <c r="G49" s="67">
        <f t="shared" ref="G49:I68" si="6">INDEX($L49:$N49,MATCH(G$7,$L$6:$N$6,0))</f>
        <v>0</v>
      </c>
      <c r="H49" s="67" t="str">
        <f t="shared" ca="1" si="6"/>
        <v/>
      </c>
      <c r="I49" s="67">
        <f t="shared" si="6"/>
        <v>0</v>
      </c>
      <c r="K49" s="67">
        <v>10</v>
      </c>
      <c r="L49" s="67" t="str" cm="1">
        <f t="array" aca="1" ref="L49" ca="1">INDIRECT(ADDRESS($B$3,$K49,,,$B$2))</f>
        <v/>
      </c>
      <c r="N49" s="67">
        <f>'Deal lead sheet'!C23</f>
        <v>0</v>
      </c>
    </row>
    <row r="50" spans="1:14" x14ac:dyDescent="0.45">
      <c r="C50" s="381" t="s">
        <v>1113</v>
      </c>
      <c r="D50" s="67" t="str">
        <f t="shared" ref="D50:D78" ca="1" si="7">IF(G50=0,IF(H50=0,I50,IFERROR(H50,I50)),IFERROR(G50,IFERROR(H50,I50)))</f>
        <v/>
      </c>
      <c r="E50" s="67" t="str">
        <f t="shared" ca="1" si="5"/>
        <v/>
      </c>
      <c r="F50" s="67" t="str">
        <f t="shared" ca="1" si="5"/>
        <v/>
      </c>
      <c r="G50" s="67">
        <f t="shared" si="6"/>
        <v>0</v>
      </c>
      <c r="H50" s="67" t="str">
        <f t="shared" ca="1" si="6"/>
        <v/>
      </c>
      <c r="I50" s="67">
        <f t="shared" si="6"/>
        <v>0</v>
      </c>
      <c r="K50" s="67">
        <v>41</v>
      </c>
      <c r="L50" s="67" t="str" cm="1">
        <f t="array" aca="1" ref="L50" ca="1">INDIRECT(ADDRESS($B$3,$K50,,,$B$2))</f>
        <v/>
      </c>
    </row>
    <row r="51" spans="1:14" x14ac:dyDescent="0.45">
      <c r="C51" s="381" t="s">
        <v>1114</v>
      </c>
      <c r="D51" s="67" t="str">
        <f t="shared" ca="1" si="7"/>
        <v/>
      </c>
      <c r="E51" s="67" t="str">
        <f t="shared" ca="1" si="5"/>
        <v/>
      </c>
      <c r="F51" s="67" t="str">
        <f t="shared" ca="1" si="5"/>
        <v/>
      </c>
      <c r="G51" s="67">
        <f t="shared" si="6"/>
        <v>0</v>
      </c>
      <c r="H51" s="67" t="str">
        <f t="shared" ca="1" si="6"/>
        <v/>
      </c>
      <c r="I51" s="67">
        <f t="shared" si="6"/>
        <v>0</v>
      </c>
      <c r="K51" s="67">
        <v>43</v>
      </c>
      <c r="L51" s="67" t="str" cm="1">
        <f t="array" aca="1" ref="L51" ca="1">INDIRECT(ADDRESS($B$3,$K51,,,$B$2))</f>
        <v/>
      </c>
    </row>
    <row r="52" spans="1:14" x14ac:dyDescent="0.45">
      <c r="C52" s="381" t="s">
        <v>1115</v>
      </c>
      <c r="D52" s="67" t="str">
        <f t="shared" ca="1" si="7"/>
        <v/>
      </c>
      <c r="E52" s="67" t="str">
        <f t="shared" ca="1" si="5"/>
        <v/>
      </c>
      <c r="F52" s="67" t="str">
        <f t="shared" ca="1" si="5"/>
        <v/>
      </c>
      <c r="G52" s="67">
        <f t="shared" si="6"/>
        <v>0</v>
      </c>
      <c r="H52" s="67" t="str">
        <f t="shared" ca="1" si="6"/>
        <v/>
      </c>
      <c r="I52" s="67">
        <f t="shared" si="6"/>
        <v>0</v>
      </c>
      <c r="K52" s="67">
        <v>17</v>
      </c>
      <c r="L52" s="67" t="str" cm="1">
        <f t="array" aca="1" ref="L52" ca="1">INDIRECT(ADDRESS($B$3,$K52,,,$B$2))</f>
        <v/>
      </c>
    </row>
    <row r="53" spans="1:14" x14ac:dyDescent="0.45">
      <c r="C53" s="381" t="s">
        <v>1116</v>
      </c>
      <c r="D53" s="67" t="str">
        <f t="shared" ca="1" si="7"/>
        <v/>
      </c>
      <c r="E53" s="67" t="str">
        <f t="shared" ca="1" si="5"/>
        <v/>
      </c>
      <c r="F53" s="67" t="str">
        <f t="shared" ca="1" si="5"/>
        <v/>
      </c>
      <c r="G53" s="67">
        <f t="shared" si="6"/>
        <v>0</v>
      </c>
      <c r="H53" s="67" t="str">
        <f t="shared" ca="1" si="6"/>
        <v/>
      </c>
      <c r="I53" s="67">
        <f t="shared" si="6"/>
        <v>0</v>
      </c>
      <c r="K53" s="67">
        <v>45</v>
      </c>
      <c r="L53" s="67" t="str" cm="1">
        <f t="array" aca="1" ref="L53" ca="1">INDIRECT(ADDRESS($B$3,$K53,,,$B$2))</f>
        <v/>
      </c>
    </row>
    <row r="54" spans="1:14" x14ac:dyDescent="0.45">
      <c r="C54" s="381" t="s">
        <v>1117</v>
      </c>
      <c r="D54" s="67" t="str">
        <f t="shared" ca="1" si="7"/>
        <v>Yes</v>
      </c>
      <c r="E54" s="67" t="str">
        <f t="shared" ca="1" si="5"/>
        <v>Yes</v>
      </c>
      <c r="F54" s="67" t="str">
        <f t="shared" ca="1" si="5"/>
        <v>Yes</v>
      </c>
      <c r="G54" s="67">
        <f t="shared" si="6"/>
        <v>0</v>
      </c>
      <c r="H54" s="67" t="str">
        <f t="shared" ca="1" si="6"/>
        <v>Yes</v>
      </c>
      <c r="I54" s="67">
        <f t="shared" si="6"/>
        <v>0</v>
      </c>
      <c r="K54" s="67">
        <v>44</v>
      </c>
      <c r="L54" s="67" t="str" cm="1">
        <f t="array" aca="1" ref="L54" ca="1">INDIRECT(ADDRESS($B$3,$K54,,,$B$2))</f>
        <v>Yes</v>
      </c>
    </row>
    <row r="55" spans="1:14" x14ac:dyDescent="0.45">
      <c r="C55" s="381" t="s">
        <v>1118</v>
      </c>
      <c r="D55" s="67" t="str">
        <f t="shared" ca="1" si="7"/>
        <v/>
      </c>
      <c r="E55" s="67" t="str">
        <f t="shared" ca="1" si="5"/>
        <v/>
      </c>
      <c r="F55" s="67" t="str">
        <f t="shared" ca="1" si="5"/>
        <v/>
      </c>
      <c r="G55" s="67">
        <f t="shared" si="6"/>
        <v>0</v>
      </c>
      <c r="H55" s="67" t="str">
        <f t="shared" ca="1" si="6"/>
        <v/>
      </c>
      <c r="I55" s="67">
        <f t="shared" si="6"/>
        <v>0</v>
      </c>
      <c r="J55" s="67" t="s">
        <v>1090</v>
      </c>
      <c r="K55" s="67">
        <v>18</v>
      </c>
      <c r="L55" s="67" t="str" cm="1">
        <f t="array" aca="1" ref="L55" ca="1">INDIRECT(ADDRESS($B$3,$K55,,,$B$2))</f>
        <v/>
      </c>
    </row>
    <row r="56" spans="1:14" x14ac:dyDescent="0.45">
      <c r="C56" s="381" t="s">
        <v>1119</v>
      </c>
      <c r="D56" s="67" t="str">
        <f t="shared" ca="1" si="7"/>
        <v/>
      </c>
      <c r="E56" s="67" t="str">
        <f t="shared" ca="1" si="5"/>
        <v/>
      </c>
      <c r="F56" s="67" t="str">
        <f t="shared" ca="1" si="5"/>
        <v/>
      </c>
      <c r="G56" s="67">
        <f t="shared" si="6"/>
        <v>0</v>
      </c>
      <c r="H56" s="67" t="str">
        <f t="shared" ca="1" si="6"/>
        <v/>
      </c>
      <c r="I56" s="67">
        <f t="shared" si="6"/>
        <v>0</v>
      </c>
      <c r="K56" s="67">
        <v>46</v>
      </c>
      <c r="L56" s="67" t="str" cm="1">
        <f t="array" aca="1" ref="L56" ca="1">INDIRECT(ADDRESS($B$3,$K56,,,$B$2))</f>
        <v/>
      </c>
    </row>
    <row r="57" spans="1:14" x14ac:dyDescent="0.45">
      <c r="C57" s="381" t="s">
        <v>1120</v>
      </c>
      <c r="D57" s="67" t="str">
        <f t="shared" ca="1" si="7"/>
        <v/>
      </c>
      <c r="E57" s="67" t="str">
        <f t="shared" ca="1" si="5"/>
        <v/>
      </c>
      <c r="F57" s="67" t="str">
        <f t="shared" ca="1" si="5"/>
        <v/>
      </c>
      <c r="G57" s="67">
        <f t="shared" si="6"/>
        <v>0</v>
      </c>
      <c r="H57" s="67" t="str">
        <f t="shared" ca="1" si="6"/>
        <v/>
      </c>
      <c r="I57" s="67">
        <f t="shared" si="6"/>
        <v>0</v>
      </c>
      <c r="K57" s="67">
        <v>22</v>
      </c>
      <c r="L57" s="67" t="str" cm="1">
        <f t="array" aca="1" ref="L57" ca="1">INDIRECT(ADDRESS($B$3,$K57,,,$B$2))</f>
        <v/>
      </c>
    </row>
    <row r="58" spans="1:14" x14ac:dyDescent="0.45">
      <c r="C58" s="381" t="s">
        <v>1121</v>
      </c>
      <c r="D58" s="67" t="str">
        <f t="shared" ca="1" si="7"/>
        <v/>
      </c>
      <c r="E58" s="67" t="str">
        <f t="shared" ca="1" si="5"/>
        <v/>
      </c>
      <c r="F58" s="67" t="str">
        <f t="shared" ca="1" si="5"/>
        <v/>
      </c>
      <c r="G58" s="67">
        <f t="shared" si="6"/>
        <v>0</v>
      </c>
      <c r="H58" s="67" t="str">
        <f t="shared" ca="1" si="6"/>
        <v/>
      </c>
      <c r="I58" s="67">
        <f t="shared" si="6"/>
        <v>0</v>
      </c>
      <c r="K58" s="67">
        <v>21</v>
      </c>
      <c r="L58" s="67" t="str" cm="1">
        <f t="array" aca="1" ref="L58" ca="1">INDIRECT(ADDRESS($B$3,$K58,,,$B$2))</f>
        <v/>
      </c>
    </row>
    <row r="59" spans="1:14" x14ac:dyDescent="0.45">
      <c r="B59" s="67" t="s">
        <v>1019</v>
      </c>
      <c r="C59" s="381"/>
      <c r="D59" s="67" t="str">
        <f t="shared" ca="1" si="7"/>
        <v>0</v>
      </c>
      <c r="E59" s="67" t="str">
        <f t="shared" ca="1" si="5"/>
        <v>0</v>
      </c>
      <c r="F59" s="67" t="str">
        <f t="shared" ca="1" si="5"/>
        <v>0</v>
      </c>
      <c r="G59" s="67">
        <f t="shared" si="6"/>
        <v>0</v>
      </c>
      <c r="H59" s="67" t="str">
        <f t="shared" ca="1" si="6"/>
        <v>0</v>
      </c>
      <c r="I59" s="67" t="str">
        <f t="shared" ca="1" si="6"/>
        <v>0</v>
      </c>
      <c r="K59" s="67">
        <v>47</v>
      </c>
      <c r="L59" s="67" t="str" cm="1">
        <f t="array" aca="1" ref="L59" ca="1">INDIRECT(ADDRESS($B$3,$K59,,,$B$2))</f>
        <v>0</v>
      </c>
      <c r="N59" s="67" t="str">
        <f ca="1">'Deal lead sheet'!C24</f>
        <v>0</v>
      </c>
    </row>
    <row r="60" spans="1:14" x14ac:dyDescent="0.45">
      <c r="C60" s="381" t="s">
        <v>1113</v>
      </c>
      <c r="D60" s="67">
        <f t="shared" ca="1" si="7"/>
        <v>44587</v>
      </c>
      <c r="E60" s="67">
        <f t="shared" ca="1" si="5"/>
        <v>44587</v>
      </c>
      <c r="F60" s="67">
        <f t="shared" ca="1" si="5"/>
        <v>44587</v>
      </c>
      <c r="G60" s="67">
        <f t="shared" si="6"/>
        <v>0</v>
      </c>
      <c r="H60" s="67">
        <f t="shared" ca="1" si="6"/>
        <v>44587</v>
      </c>
      <c r="I60" s="67">
        <f t="shared" si="6"/>
        <v>0</v>
      </c>
      <c r="K60" s="67">
        <v>49</v>
      </c>
      <c r="L60" s="67" cm="1">
        <f t="array" aca="1" ref="L60" ca="1">INDIRECT(ADDRESS($B$3,$K60,,,$B$2))</f>
        <v>44587</v>
      </c>
    </row>
    <row r="61" spans="1:14" x14ac:dyDescent="0.45">
      <c r="C61" s="381" t="s">
        <v>1114</v>
      </c>
      <c r="D61" s="67" t="str">
        <f t="shared" ca="1" si="7"/>
        <v/>
      </c>
      <c r="E61" s="67" t="str">
        <f t="shared" ca="1" si="5"/>
        <v/>
      </c>
      <c r="F61" s="67" t="str">
        <f t="shared" ca="1" si="5"/>
        <v/>
      </c>
      <c r="G61" s="67">
        <f t="shared" si="6"/>
        <v>0</v>
      </c>
      <c r="H61" s="67" t="str">
        <f t="shared" ca="1" si="6"/>
        <v/>
      </c>
      <c r="I61" s="67">
        <f t="shared" si="6"/>
        <v>0</v>
      </c>
      <c r="K61" s="67">
        <v>48</v>
      </c>
      <c r="L61" s="67" t="str" cm="1">
        <f t="array" aca="1" ref="L61" ca="1">INDIRECT(ADDRESS($B$3,$K61,,,$B$2))</f>
        <v/>
      </c>
    </row>
    <row r="62" spans="1:14" x14ac:dyDescent="0.45">
      <c r="C62" s="381" t="s">
        <v>1115</v>
      </c>
      <c r="D62" s="67" t="str">
        <f t="shared" ca="1" si="7"/>
        <v/>
      </c>
      <c r="E62" s="67" t="str">
        <f t="shared" ca="1" si="5"/>
        <v/>
      </c>
      <c r="F62" s="67" t="str">
        <f t="shared" ca="1" si="5"/>
        <v/>
      </c>
      <c r="G62" s="67">
        <f t="shared" si="6"/>
        <v>0</v>
      </c>
      <c r="H62" s="67" t="str">
        <f t="shared" ca="1" si="6"/>
        <v/>
      </c>
      <c r="I62" s="67">
        <f t="shared" si="6"/>
        <v>0</v>
      </c>
      <c r="K62" s="67">
        <v>54</v>
      </c>
      <c r="L62" s="67" t="str" cm="1">
        <f t="array" aca="1" ref="L62" ca="1">INDIRECT(ADDRESS($B$3,$K62,,,$B$2))</f>
        <v/>
      </c>
    </row>
    <row r="63" spans="1:14" x14ac:dyDescent="0.45">
      <c r="C63" s="381" t="s">
        <v>1116</v>
      </c>
      <c r="D63" s="67">
        <f t="shared" ca="1" si="7"/>
        <v>549083</v>
      </c>
      <c r="E63" s="67">
        <f t="shared" ca="1" si="5"/>
        <v>549083</v>
      </c>
      <c r="F63" s="67">
        <f t="shared" ca="1" si="5"/>
        <v>549083</v>
      </c>
      <c r="G63" s="67">
        <f t="shared" si="6"/>
        <v>0</v>
      </c>
      <c r="H63" s="67">
        <f t="shared" ca="1" si="6"/>
        <v>549083</v>
      </c>
      <c r="I63" s="67">
        <f t="shared" si="6"/>
        <v>0</v>
      </c>
      <c r="K63" s="67">
        <v>55</v>
      </c>
      <c r="L63" s="67" cm="1">
        <f t="array" aca="1" ref="L63" ca="1">INDIRECT(ADDRESS($B$3,$K63,,,$B$2))</f>
        <v>549083</v>
      </c>
    </row>
    <row r="64" spans="1:14" x14ac:dyDescent="0.45">
      <c r="C64" s="381" t="s">
        <v>1117</v>
      </c>
      <c r="D64" s="67" t="str">
        <f t="shared" ca="1" si="7"/>
        <v/>
      </c>
      <c r="E64" s="67" t="str">
        <f t="shared" ca="1" si="5"/>
        <v/>
      </c>
      <c r="F64" s="67" t="str">
        <f t="shared" ca="1" si="5"/>
        <v/>
      </c>
      <c r="G64" s="67">
        <f t="shared" si="6"/>
        <v>0</v>
      </c>
      <c r="H64" s="67" t="str">
        <f t="shared" ca="1" si="6"/>
        <v/>
      </c>
      <c r="I64" s="67">
        <f t="shared" si="6"/>
        <v>0</v>
      </c>
      <c r="K64" s="67">
        <v>53</v>
      </c>
      <c r="L64" s="67" t="str" cm="1">
        <f t="array" aca="1" ref="L64" ca="1">INDIRECT(ADDRESS($B$3,$K64,,,$B$2))</f>
        <v/>
      </c>
    </row>
    <row r="65" spans="2:14" x14ac:dyDescent="0.45">
      <c r="C65" s="381" t="s">
        <v>1118</v>
      </c>
      <c r="D65" s="67" t="str">
        <f t="shared" ca="1" si="7"/>
        <v/>
      </c>
      <c r="E65" s="67" t="str">
        <f t="shared" ca="1" si="5"/>
        <v/>
      </c>
      <c r="F65" s="67" t="str">
        <f t="shared" ca="1" si="5"/>
        <v/>
      </c>
      <c r="G65" s="67">
        <f t="shared" si="6"/>
        <v>0</v>
      </c>
      <c r="H65" s="67" t="str">
        <f t="shared" ca="1" si="6"/>
        <v/>
      </c>
      <c r="I65" s="67">
        <f t="shared" si="6"/>
        <v>0</v>
      </c>
      <c r="K65" s="67">
        <v>52</v>
      </c>
      <c r="L65" s="67" t="str" cm="1">
        <f t="array" aca="1" ref="L65" ca="1">INDIRECT(ADDRESS($B$3,$K65,,,$B$2))</f>
        <v/>
      </c>
    </row>
    <row r="66" spans="2:14" x14ac:dyDescent="0.45">
      <c r="C66" s="381" t="s">
        <v>1119</v>
      </c>
      <c r="D66" s="67" t="str">
        <f t="shared" ca="1" si="7"/>
        <v/>
      </c>
      <c r="E66" s="67" t="str">
        <f t="shared" ca="1" si="5"/>
        <v/>
      </c>
      <c r="F66" s="67" t="str">
        <f t="shared" ca="1" si="5"/>
        <v/>
      </c>
      <c r="G66" s="67">
        <f t="shared" si="6"/>
        <v>0</v>
      </c>
      <c r="H66" s="67" t="str">
        <f t="shared" ca="1" si="6"/>
        <v/>
      </c>
      <c r="I66" s="67">
        <f t="shared" si="6"/>
        <v>0</v>
      </c>
      <c r="K66" s="67">
        <v>56</v>
      </c>
      <c r="L66" s="67" t="str" cm="1">
        <f t="array" aca="1" ref="L66" ca="1">INDIRECT(ADDRESS($B$3,$K66,,,$B$2))</f>
        <v/>
      </c>
    </row>
    <row r="67" spans="2:14" x14ac:dyDescent="0.45">
      <c r="C67" s="381" t="s">
        <v>1120</v>
      </c>
      <c r="D67" s="67" t="str">
        <f t="shared" ca="1" si="7"/>
        <v/>
      </c>
      <c r="E67" s="67" t="str">
        <f t="shared" ca="1" si="5"/>
        <v/>
      </c>
      <c r="F67" s="67" t="str">
        <f t="shared" ca="1" si="5"/>
        <v/>
      </c>
      <c r="G67" s="67">
        <f t="shared" si="6"/>
        <v>0</v>
      </c>
      <c r="H67" s="67" t="str">
        <f t="shared" ca="1" si="6"/>
        <v/>
      </c>
      <c r="I67" s="67">
        <f t="shared" si="6"/>
        <v>0</v>
      </c>
      <c r="K67" s="67">
        <v>51</v>
      </c>
      <c r="L67" s="67" t="str" cm="1">
        <f t="array" aca="1" ref="L67" ca="1">INDIRECT(ADDRESS($B$3,$K67,,,$B$2))</f>
        <v/>
      </c>
    </row>
    <row r="68" spans="2:14" x14ac:dyDescent="0.45">
      <c r="C68" s="381" t="s">
        <v>1121</v>
      </c>
      <c r="D68" s="67" t="str">
        <f t="shared" ca="1" si="7"/>
        <v/>
      </c>
      <c r="E68" s="67" t="str">
        <f t="shared" ca="1" si="5"/>
        <v/>
      </c>
      <c r="F68" s="67" t="str">
        <f t="shared" ca="1" si="5"/>
        <v/>
      </c>
      <c r="G68" s="67">
        <f t="shared" si="6"/>
        <v>0</v>
      </c>
      <c r="H68" s="67" t="str">
        <f t="shared" ca="1" si="6"/>
        <v/>
      </c>
      <c r="I68" s="67">
        <f t="shared" si="6"/>
        <v>0</v>
      </c>
      <c r="K68" s="67">
        <v>50</v>
      </c>
      <c r="L68" s="67" t="str" cm="1">
        <f t="array" aca="1" ref="L68" ca="1">INDIRECT(ADDRESS($B$3,$K68,,,$B$2))</f>
        <v/>
      </c>
    </row>
    <row r="69" spans="2:14" x14ac:dyDescent="0.45">
      <c r="B69" s="67" t="s">
        <v>1020</v>
      </c>
      <c r="C69" s="381"/>
      <c r="D69" s="67" t="str">
        <f t="shared" ca="1" si="7"/>
        <v>N/A</v>
      </c>
      <c r="E69" s="67" t="str">
        <f t="shared" ca="1" si="5"/>
        <v>N/A</v>
      </c>
      <c r="F69" s="67" t="str">
        <f t="shared" ca="1" si="5"/>
        <v>N/A</v>
      </c>
      <c r="G69" s="67">
        <f t="shared" ref="G69:I81" si="8">INDEX($L69:$N69,MATCH(G$7,$L$6:$N$6,0))</f>
        <v>0</v>
      </c>
      <c r="H69" s="67" t="str">
        <f t="shared" ca="1" si="8"/>
        <v>N/A</v>
      </c>
      <c r="I69" s="67" t="str">
        <f t="shared" ca="1" si="8"/>
        <v>N/A</v>
      </c>
      <c r="K69" s="67">
        <v>57</v>
      </c>
      <c r="L69" s="67" t="str" cm="1">
        <f t="array" aca="1" ref="L69" ca="1">INDIRECT(ADDRESS($B$3,$K69,,,$B$2))</f>
        <v>N/A</v>
      </c>
      <c r="N69" s="67" t="str">
        <f ca="1">'Deal lead sheet'!C25</f>
        <v>N/A</v>
      </c>
    </row>
    <row r="70" spans="2:14" x14ac:dyDescent="0.45">
      <c r="C70" s="381" t="s">
        <v>1113</v>
      </c>
      <c r="D70" s="67" t="str">
        <f t="shared" ca="1" si="7"/>
        <v/>
      </c>
      <c r="E70" s="67" t="str">
        <f t="shared" ca="1" si="5"/>
        <v/>
      </c>
      <c r="F70" s="67" t="str">
        <f t="shared" ca="1" si="5"/>
        <v/>
      </c>
      <c r="G70" s="67">
        <f t="shared" si="8"/>
        <v>0</v>
      </c>
      <c r="H70" s="67" t="str">
        <f t="shared" ca="1" si="8"/>
        <v/>
      </c>
      <c r="I70" s="67">
        <f t="shared" si="8"/>
        <v>0</v>
      </c>
      <c r="K70" s="67">
        <v>59</v>
      </c>
      <c r="L70" s="67" t="str" cm="1">
        <f t="array" aca="1" ref="L70" ca="1">INDIRECT(ADDRESS($B$3,$K70,,,$B$2))</f>
        <v/>
      </c>
    </row>
    <row r="71" spans="2:14" x14ac:dyDescent="0.45">
      <c r="C71" s="381" t="s">
        <v>1114</v>
      </c>
      <c r="D71" s="67" t="str">
        <f t="shared" ca="1" si="7"/>
        <v/>
      </c>
      <c r="E71" s="67" t="str">
        <f t="shared" ca="1" si="5"/>
        <v/>
      </c>
      <c r="F71" s="67" t="str">
        <f t="shared" ca="1" si="5"/>
        <v/>
      </c>
      <c r="G71" s="67">
        <f t="shared" si="8"/>
        <v>0</v>
      </c>
      <c r="H71" s="67" t="str">
        <f t="shared" ca="1" si="8"/>
        <v/>
      </c>
      <c r="I71" s="67">
        <f t="shared" si="8"/>
        <v>0</v>
      </c>
      <c r="K71" s="67">
        <v>58</v>
      </c>
      <c r="L71" s="67" t="str" cm="1">
        <f t="array" aca="1" ref="L71" ca="1">INDIRECT(ADDRESS($B$3,$K71,,,$B$2))</f>
        <v/>
      </c>
    </row>
    <row r="72" spans="2:14" x14ac:dyDescent="0.45">
      <c r="C72" s="381" t="s">
        <v>1115</v>
      </c>
      <c r="D72" s="67" t="str">
        <f t="shared" ca="1" si="7"/>
        <v>Bilal Ahmed</v>
      </c>
      <c r="E72" s="67" t="str">
        <f t="shared" ca="1" si="5"/>
        <v>Bilal Ahmed</v>
      </c>
      <c r="F72" s="67" t="str">
        <f t="shared" ca="1" si="5"/>
        <v>Bilal Ahmed</v>
      </c>
      <c r="G72" s="67">
        <f t="shared" si="8"/>
        <v>0</v>
      </c>
      <c r="H72" s="67" t="str">
        <f t="shared" ca="1" si="8"/>
        <v>Bilal Ahmed</v>
      </c>
      <c r="I72" s="67">
        <f t="shared" si="8"/>
        <v>0</v>
      </c>
      <c r="K72" s="67">
        <v>64</v>
      </c>
      <c r="L72" s="67" t="str" cm="1">
        <f t="array" aca="1" ref="L72" ca="1">INDIRECT(ADDRESS($B$3,$K72,,,$B$2))</f>
        <v>Bilal Ahmed</v>
      </c>
    </row>
    <row r="73" spans="2:14" x14ac:dyDescent="0.45">
      <c r="C73" s="381" t="s">
        <v>1116</v>
      </c>
      <c r="D73" s="67">
        <f t="shared" ca="1" si="7"/>
        <v>44602.677083333336</v>
      </c>
      <c r="E73" s="67">
        <f t="shared" ca="1" si="5"/>
        <v>44602.677083333336</v>
      </c>
      <c r="F73" s="67">
        <f t="shared" ca="1" si="5"/>
        <v>44602.677083333336</v>
      </c>
      <c r="G73" s="67">
        <f t="shared" si="8"/>
        <v>0</v>
      </c>
      <c r="H73" s="67">
        <f t="shared" ca="1" si="8"/>
        <v>44602.677083333336</v>
      </c>
      <c r="I73" s="67">
        <f t="shared" si="8"/>
        <v>0</v>
      </c>
      <c r="K73" s="67">
        <v>65</v>
      </c>
      <c r="L73" s="67" cm="1">
        <f t="array" aca="1" ref="L73" ca="1">INDIRECT(ADDRESS($B$3,$K73,,,$B$2))</f>
        <v>44602.677083333336</v>
      </c>
    </row>
    <row r="74" spans="2:14" x14ac:dyDescent="0.45">
      <c r="C74" s="381" t="s">
        <v>1117</v>
      </c>
      <c r="D74" s="67">
        <f t="shared" ca="1" si="7"/>
        <v>750000</v>
      </c>
      <c r="E74" s="67">
        <f t="shared" ref="E74:F111" ca="1" si="9">IF(INDEX($L74:$N74,MATCH(E$5,$L$6:$N$6,0))&gt;0,IFERROR(INDEX($L74:$N74,MATCH(E$5,$L$6:$N$6,0)),INDEX($L74:$N74,MATCH(E$6,$L$6:$N$6,0))),IFERROR(INDEX($L74:$N74,MATCH(E$6,$L$6:$N$6,0)),INDEX($L74:$N74,MATCH(E$5,$L$6:$N$6,0))))</f>
        <v>750000</v>
      </c>
      <c r="F74" s="67">
        <f t="shared" ca="1" si="9"/>
        <v>750000</v>
      </c>
      <c r="G74" s="67">
        <f t="shared" si="8"/>
        <v>0</v>
      </c>
      <c r="H74" s="67">
        <f t="shared" ca="1" si="8"/>
        <v>750000</v>
      </c>
      <c r="I74" s="67">
        <f t="shared" si="8"/>
        <v>0</v>
      </c>
      <c r="K74" s="67">
        <v>63</v>
      </c>
      <c r="L74" s="67" cm="1">
        <f t="array" aca="1" ref="L74" ca="1">INDIRECT(ADDRESS($B$3,$K74,,,$B$2))</f>
        <v>750000</v>
      </c>
    </row>
    <row r="75" spans="2:14" x14ac:dyDescent="0.45">
      <c r="C75" s="381" t="s">
        <v>1118</v>
      </c>
      <c r="D75" s="67" t="str">
        <f t="shared" ca="1" si="7"/>
        <v/>
      </c>
      <c r="E75" s="67" t="str">
        <f t="shared" ca="1" si="9"/>
        <v/>
      </c>
      <c r="F75" s="67" t="str">
        <f t="shared" ca="1" si="9"/>
        <v/>
      </c>
      <c r="G75" s="67">
        <f t="shared" si="8"/>
        <v>0</v>
      </c>
      <c r="H75" s="67" t="str">
        <f t="shared" ca="1" si="8"/>
        <v/>
      </c>
      <c r="I75" s="67">
        <f t="shared" si="8"/>
        <v>0</v>
      </c>
      <c r="K75" s="67">
        <v>62</v>
      </c>
      <c r="L75" s="67" t="str" cm="1">
        <f t="array" aca="1" ref="L75" ca="1">INDIRECT(ADDRESS($B$3,$K75,,,$B$2))</f>
        <v/>
      </c>
    </row>
    <row r="76" spans="2:14" x14ac:dyDescent="0.45">
      <c r="C76" s="381" t="s">
        <v>1119</v>
      </c>
      <c r="D76" s="67" t="str">
        <f t="shared" ca="1" si="7"/>
        <v/>
      </c>
      <c r="E76" s="67" t="str">
        <f t="shared" ca="1" si="9"/>
        <v/>
      </c>
      <c r="F76" s="67" t="str">
        <f t="shared" ca="1" si="9"/>
        <v/>
      </c>
      <c r="G76" s="67">
        <f t="shared" si="8"/>
        <v>0</v>
      </c>
      <c r="H76" s="67" t="str">
        <f t="shared" ca="1" si="8"/>
        <v/>
      </c>
      <c r="I76" s="67">
        <f t="shared" si="8"/>
        <v>0</v>
      </c>
      <c r="K76" s="67">
        <v>66</v>
      </c>
      <c r="L76" s="67" t="str" cm="1">
        <f t="array" aca="1" ref="L76" ca="1">INDIRECT(ADDRESS($B$3,$K76,,,$B$2))</f>
        <v/>
      </c>
    </row>
    <row r="77" spans="2:14" x14ac:dyDescent="0.45">
      <c r="C77" s="381" t="s">
        <v>1120</v>
      </c>
      <c r="D77" s="67" t="str">
        <f t="shared" ca="1" si="7"/>
        <v/>
      </c>
      <c r="E77" s="67" t="str">
        <f t="shared" ca="1" si="9"/>
        <v/>
      </c>
      <c r="F77" s="67" t="str">
        <f t="shared" ca="1" si="9"/>
        <v/>
      </c>
      <c r="G77" s="67">
        <f t="shared" si="8"/>
        <v>0</v>
      </c>
      <c r="H77" s="67" t="str">
        <f t="shared" ca="1" si="8"/>
        <v/>
      </c>
      <c r="I77" s="67">
        <f t="shared" si="8"/>
        <v>0</v>
      </c>
      <c r="K77" s="67">
        <v>61</v>
      </c>
      <c r="L77" s="67" t="str" cm="1">
        <f t="array" aca="1" ref="L77" ca="1">INDIRECT(ADDRESS($B$3,$K77,,,$B$2))</f>
        <v/>
      </c>
    </row>
    <row r="78" spans="2:14" x14ac:dyDescent="0.45">
      <c r="C78" s="381" t="s">
        <v>1121</v>
      </c>
      <c r="D78" s="67" t="str">
        <f t="shared" ca="1" si="7"/>
        <v/>
      </c>
      <c r="E78" s="67" t="str">
        <f t="shared" ca="1" si="9"/>
        <v/>
      </c>
      <c r="F78" s="67" t="str">
        <f t="shared" ca="1" si="9"/>
        <v/>
      </c>
      <c r="G78" s="67">
        <f t="shared" si="8"/>
        <v>0</v>
      </c>
      <c r="H78" s="67" t="str">
        <f t="shared" ca="1" si="8"/>
        <v/>
      </c>
      <c r="I78" s="67">
        <f t="shared" si="8"/>
        <v>0</v>
      </c>
      <c r="K78" s="67">
        <v>60</v>
      </c>
      <c r="L78" s="67" t="str" cm="1">
        <f t="array" aca="1" ref="L78" ca="1">INDIRECT(ADDRESS($B$3,$K78,,,$B$2))</f>
        <v/>
      </c>
    </row>
    <row r="79" spans="2:14" x14ac:dyDescent="0.45">
      <c r="B79" s="67" t="s">
        <v>1021</v>
      </c>
      <c r="C79" s="381"/>
      <c r="D79" s="67" t="str">
        <f t="shared" ref="D79:D105" ca="1" si="10">IF(G79=0,IF(H79=0,I79,IFERROR(H79,I79)),IFERROR(G79,IFERROR(H79,I79)))</f>
        <v/>
      </c>
      <c r="E79" s="67" t="str">
        <f t="shared" ca="1" si="9"/>
        <v/>
      </c>
      <c r="F79" s="67" t="str">
        <f t="shared" ca="1" si="9"/>
        <v/>
      </c>
      <c r="G79" s="67">
        <f t="shared" si="8"/>
        <v>0</v>
      </c>
      <c r="H79" s="67" t="str">
        <f t="shared" ca="1" si="8"/>
        <v/>
      </c>
      <c r="I79" s="67" t="str">
        <f t="shared" ca="1" si="8"/>
        <v/>
      </c>
      <c r="K79" s="67">
        <v>67</v>
      </c>
      <c r="L79" s="67" t="str" cm="1">
        <f t="array" aca="1" ref="L79" ca="1">INDIRECT(ADDRESS($B$3,$K79,,,$B$2))</f>
        <v/>
      </c>
      <c r="N79" s="67" t="str">
        <f ca="1">'Deal lead sheet'!C26</f>
        <v/>
      </c>
    </row>
    <row r="80" spans="2:14" x14ac:dyDescent="0.45">
      <c r="C80" s="381" t="s">
        <v>1113</v>
      </c>
      <c r="D80" s="67" t="str">
        <f t="shared" ca="1" si="10"/>
        <v/>
      </c>
      <c r="E80" s="67" t="str">
        <f t="shared" ca="1" si="9"/>
        <v/>
      </c>
      <c r="F80" s="67" t="str">
        <f t="shared" ca="1" si="9"/>
        <v/>
      </c>
      <c r="G80" s="67">
        <f t="shared" si="8"/>
        <v>0</v>
      </c>
      <c r="H80" s="67" t="str">
        <f t="shared" ca="1" si="8"/>
        <v/>
      </c>
      <c r="I80" s="67">
        <f t="shared" si="8"/>
        <v>0</v>
      </c>
      <c r="K80" s="67">
        <v>69</v>
      </c>
      <c r="L80" s="67" t="str" cm="1">
        <f t="array" aca="1" ref="L80" ca="1">INDIRECT(ADDRESS($B$3,$K80,,,$B$2))</f>
        <v/>
      </c>
    </row>
    <row r="81" spans="2:14" x14ac:dyDescent="0.45">
      <c r="C81" s="381" t="s">
        <v>1114</v>
      </c>
      <c r="D81" s="67" t="str">
        <f t="shared" ca="1" si="10"/>
        <v>Yes</v>
      </c>
      <c r="E81" s="67" t="str">
        <f t="shared" ca="1" si="9"/>
        <v>Yes</v>
      </c>
      <c r="F81" s="67" t="str">
        <f t="shared" ca="1" si="9"/>
        <v>Yes</v>
      </c>
      <c r="G81" s="67">
        <f t="shared" si="8"/>
        <v>0</v>
      </c>
      <c r="H81" s="67" t="str">
        <f t="shared" ca="1" si="8"/>
        <v>Yes</v>
      </c>
      <c r="I81" s="67">
        <f t="shared" si="8"/>
        <v>0</v>
      </c>
      <c r="K81" s="67">
        <v>68</v>
      </c>
      <c r="L81" s="67" t="str" cm="1">
        <f t="array" aca="1" ref="L81" ca="1">INDIRECT(ADDRESS($B$3,$K81,,,$B$2))</f>
        <v>Yes</v>
      </c>
    </row>
    <row r="82" spans="2:14" x14ac:dyDescent="0.45">
      <c r="C82" s="381" t="s">
        <v>1115</v>
      </c>
      <c r="D82" s="67" t="str">
        <f t="shared" ca="1" si="10"/>
        <v>120.1</v>
      </c>
      <c r="E82" s="67" t="str">
        <f t="shared" ca="1" si="9"/>
        <v>120.1</v>
      </c>
      <c r="F82" s="67" t="str">
        <f t="shared" ca="1" si="9"/>
        <v>120.1</v>
      </c>
      <c r="G82" s="67">
        <f t="shared" ref="G82:I108" si="11">INDEX($L82:$N82,MATCH(G$7,$L$6:$N$6,0))</f>
        <v>0</v>
      </c>
      <c r="H82" s="67" t="str">
        <f t="shared" ca="1" si="11"/>
        <v>120.1</v>
      </c>
      <c r="I82" s="67">
        <f t="shared" si="11"/>
        <v>0</v>
      </c>
      <c r="K82" s="67">
        <v>74</v>
      </c>
      <c r="L82" s="67" t="str" cm="1">
        <f t="array" aca="1" ref="L82" ca="1">INDIRECT(ADDRESS($B$3,$K82,,,$B$2))</f>
        <v>120.1</v>
      </c>
    </row>
    <row r="83" spans="2:14" x14ac:dyDescent="0.45">
      <c r="C83" s="381" t="s">
        <v>1116</v>
      </c>
      <c r="D83" s="67" t="str">
        <f t="shared" ca="1" si="10"/>
        <v>Refinance</v>
      </c>
      <c r="E83" s="67" t="str">
        <f t="shared" ca="1" si="9"/>
        <v>Refinance</v>
      </c>
      <c r="F83" s="67" t="str">
        <f t="shared" ca="1" si="9"/>
        <v>Refinance</v>
      </c>
      <c r="G83" s="67">
        <f t="shared" si="11"/>
        <v>0</v>
      </c>
      <c r="H83" s="67" t="str">
        <f t="shared" ca="1" si="11"/>
        <v>Refinance</v>
      </c>
      <c r="I83" s="67">
        <f t="shared" si="11"/>
        <v>0</v>
      </c>
      <c r="K83" s="67">
        <v>75</v>
      </c>
      <c r="L83" s="67" t="str" cm="1">
        <f t="array" aca="1" ref="L83" ca="1">INDIRECT(ADDRESS($B$3,$K83,,,$B$2))</f>
        <v>Refinance</v>
      </c>
    </row>
    <row r="84" spans="2:14" x14ac:dyDescent="0.45">
      <c r="C84" s="381" t="s">
        <v>1117</v>
      </c>
      <c r="D84" s="67" t="str">
        <f t="shared" ca="1" si="10"/>
        <v/>
      </c>
      <c r="E84" s="67" t="str">
        <f t="shared" ca="1" si="9"/>
        <v/>
      </c>
      <c r="F84" s="67" t="str">
        <f t="shared" ca="1" si="9"/>
        <v/>
      </c>
      <c r="G84" s="67">
        <f t="shared" si="11"/>
        <v>0</v>
      </c>
      <c r="H84" s="67" t="str">
        <f t="shared" ca="1" si="11"/>
        <v/>
      </c>
      <c r="I84" s="67">
        <f t="shared" si="11"/>
        <v>0</v>
      </c>
      <c r="K84" s="67">
        <v>73</v>
      </c>
      <c r="L84" s="67" t="str" cm="1">
        <f t="array" aca="1" ref="L84" ca="1">INDIRECT(ADDRESS($B$3,$K84,,,$B$2))</f>
        <v/>
      </c>
    </row>
    <row r="85" spans="2:14" x14ac:dyDescent="0.45">
      <c r="C85" s="381" t="s">
        <v>1118</v>
      </c>
      <c r="D85" s="67">
        <f t="shared" ca="1" si="10"/>
        <v>1200000</v>
      </c>
      <c r="E85" s="67">
        <f t="shared" ca="1" si="9"/>
        <v>1200000</v>
      </c>
      <c r="F85" s="67">
        <f t="shared" ca="1" si="9"/>
        <v>1200000</v>
      </c>
      <c r="G85" s="67">
        <f t="shared" si="11"/>
        <v>0</v>
      </c>
      <c r="H85" s="67">
        <f t="shared" ca="1" si="11"/>
        <v>1200000</v>
      </c>
      <c r="I85" s="67">
        <f t="shared" si="11"/>
        <v>0</v>
      </c>
      <c r="K85" s="67">
        <v>72</v>
      </c>
      <c r="L85" s="67" cm="1">
        <f t="array" aca="1" ref="L85" ca="1">INDIRECT(ADDRESS($B$3,$K85,,,$B$2))</f>
        <v>1200000</v>
      </c>
    </row>
    <row r="86" spans="2:14" x14ac:dyDescent="0.45">
      <c r="C86" s="381" t="s">
        <v>1119</v>
      </c>
      <c r="D86" s="67" t="str">
        <f t="shared" ca="1" si="10"/>
        <v xml:space="preserve">Canning Town Suites Limited </v>
      </c>
      <c r="E86" s="67" t="str">
        <f t="shared" ca="1" si="9"/>
        <v xml:space="preserve">Canning Town Suites Limited </v>
      </c>
      <c r="F86" s="67" t="str">
        <f t="shared" ca="1" si="9"/>
        <v xml:space="preserve">Canning Town Suites Limited </v>
      </c>
      <c r="G86" s="67">
        <f t="shared" si="11"/>
        <v>0</v>
      </c>
      <c r="H86" s="67" t="str">
        <f t="shared" ca="1" si="11"/>
        <v xml:space="preserve">Canning Town Suites Limited </v>
      </c>
      <c r="I86" s="67">
        <f t="shared" si="11"/>
        <v>0</v>
      </c>
      <c r="K86" s="67">
        <v>76</v>
      </c>
      <c r="L86" s="67" t="str" cm="1">
        <f t="array" aca="1" ref="L86" ca="1">INDIRECT(ADDRESS($B$3,$K86,,,$B$2))</f>
        <v xml:space="preserve">Canning Town Suites Limited </v>
      </c>
    </row>
    <row r="87" spans="2:14" x14ac:dyDescent="0.45">
      <c r="C87" s="381" t="s">
        <v>1120</v>
      </c>
      <c r="D87" s="67" t="str">
        <f t="shared" ca="1" si="10"/>
        <v/>
      </c>
      <c r="E87" s="67" t="str">
        <f t="shared" ca="1" si="9"/>
        <v/>
      </c>
      <c r="F87" s="67" t="str">
        <f t="shared" ca="1" si="9"/>
        <v/>
      </c>
      <c r="G87" s="67">
        <f t="shared" si="11"/>
        <v>0</v>
      </c>
      <c r="H87" s="67" t="str">
        <f t="shared" ca="1" si="11"/>
        <v/>
      </c>
      <c r="I87" s="67">
        <f t="shared" si="11"/>
        <v>0</v>
      </c>
      <c r="K87" s="67">
        <v>71</v>
      </c>
      <c r="L87" s="67" t="str" cm="1">
        <f t="array" aca="1" ref="L87" ca="1">INDIRECT(ADDRESS($B$3,$K87,,,$B$2))</f>
        <v/>
      </c>
    </row>
    <row r="88" spans="2:14" x14ac:dyDescent="0.45">
      <c r="C88" s="381" t="s">
        <v>1121</v>
      </c>
      <c r="D88" s="67" t="str">
        <f t="shared" ca="1" si="10"/>
        <v/>
      </c>
      <c r="E88" s="67" t="str">
        <f t="shared" ca="1" si="9"/>
        <v/>
      </c>
      <c r="F88" s="67" t="str">
        <f t="shared" ca="1" si="9"/>
        <v/>
      </c>
      <c r="G88" s="67">
        <f t="shared" si="11"/>
        <v>0</v>
      </c>
      <c r="H88" s="67" t="str">
        <f t="shared" ca="1" si="11"/>
        <v/>
      </c>
      <c r="I88" s="67">
        <f t="shared" si="11"/>
        <v>0</v>
      </c>
      <c r="K88" s="67">
        <v>70</v>
      </c>
      <c r="L88" s="67" t="str" cm="1">
        <f t="array" aca="1" ref="L88" ca="1">INDIRECT(ADDRESS($B$3,$K88,,,$B$2))</f>
        <v/>
      </c>
    </row>
    <row r="89" spans="2:14" x14ac:dyDescent="0.45">
      <c r="B89" s="67" t="s">
        <v>1022</v>
      </c>
      <c r="C89" s="381"/>
      <c r="D89" s="67" t="str">
        <f t="shared" ca="1" si="10"/>
        <v/>
      </c>
      <c r="E89" s="67" t="str">
        <f t="shared" ca="1" si="9"/>
        <v/>
      </c>
      <c r="F89" s="67" t="str">
        <f t="shared" ca="1" si="9"/>
        <v/>
      </c>
      <c r="G89" s="67">
        <f>INDEX($L89:$N89,MATCH(G$7,$L$6:$N$6,0))</f>
        <v>0</v>
      </c>
      <c r="H89" s="67" t="str">
        <f ca="1">INDEX($L89:$N89,MATCH(H$7,$L$6:$N$6,0))</f>
        <v/>
      </c>
      <c r="I89" s="67" t="str">
        <f ca="1">INDEX($L89:$N89,MATCH(I$7,$L$6:$N$6,0))</f>
        <v/>
      </c>
      <c r="K89" s="67">
        <v>77</v>
      </c>
      <c r="L89" s="67" t="str" cm="1">
        <f t="array" aca="1" ref="L89" ca="1">INDIRECT(ADDRESS($B$3,$K89,,,$B$2))</f>
        <v/>
      </c>
      <c r="N89" s="67" t="str">
        <f ca="1">'Deal lead sheet'!C27</f>
        <v/>
      </c>
    </row>
    <row r="90" spans="2:14" x14ac:dyDescent="0.45">
      <c r="C90" s="381" t="s">
        <v>1113</v>
      </c>
      <c r="D90" s="67" t="str">
        <f t="shared" ca="1" si="10"/>
        <v/>
      </c>
      <c r="E90" s="67" t="str">
        <f t="shared" ca="1" si="9"/>
        <v/>
      </c>
      <c r="F90" s="67" t="str">
        <f t="shared" ca="1" si="9"/>
        <v/>
      </c>
      <c r="G90" s="67">
        <f t="shared" si="11"/>
        <v>0</v>
      </c>
      <c r="H90" s="67" t="str">
        <f t="shared" ca="1" si="11"/>
        <v/>
      </c>
      <c r="I90" s="67">
        <f t="shared" si="11"/>
        <v>0</v>
      </c>
      <c r="K90" s="67">
        <v>81</v>
      </c>
      <c r="L90" s="67" t="str" cm="1">
        <f t="array" aca="1" ref="L90" ca="1">INDIRECT(ADDRESS($B$3,$K90,,,$B$2))</f>
        <v/>
      </c>
    </row>
    <row r="91" spans="2:14" x14ac:dyDescent="0.45">
      <c r="C91" s="381" t="s">
        <v>1114</v>
      </c>
      <c r="D91" s="67" t="str">
        <f t="shared" ca="1" si="10"/>
        <v/>
      </c>
      <c r="E91" s="67" t="str">
        <f t="shared" ca="1" si="9"/>
        <v/>
      </c>
      <c r="F91" s="67" t="str">
        <f t="shared" ca="1" si="9"/>
        <v/>
      </c>
      <c r="G91" s="67">
        <f t="shared" si="11"/>
        <v>0</v>
      </c>
      <c r="H91" s="67" t="str">
        <f t="shared" ca="1" si="11"/>
        <v/>
      </c>
      <c r="I91" s="67">
        <f t="shared" si="11"/>
        <v>0</v>
      </c>
      <c r="K91" s="67">
        <v>78</v>
      </c>
      <c r="L91" s="67" t="str" cm="1">
        <f t="array" aca="1" ref="L91" ca="1">INDIRECT(ADDRESS($B$3,$K91,,,$B$2))</f>
        <v/>
      </c>
    </row>
    <row r="92" spans="2:14" x14ac:dyDescent="0.45">
      <c r="C92" s="381" t="s">
        <v>1115</v>
      </c>
      <c r="D92" s="67" t="str">
        <f t="shared" ca="1" si="10"/>
        <v/>
      </c>
      <c r="E92" s="67" t="str">
        <f t="shared" ca="1" si="9"/>
        <v/>
      </c>
      <c r="F92" s="67" t="str">
        <f t="shared" ca="1" si="9"/>
        <v/>
      </c>
      <c r="G92" s="67">
        <f t="shared" si="11"/>
        <v>0</v>
      </c>
      <c r="H92" s="67" t="str">
        <f t="shared" ca="1" si="11"/>
        <v/>
      </c>
      <c r="I92" s="67">
        <f t="shared" si="11"/>
        <v>0</v>
      </c>
      <c r="K92" s="67">
        <v>84</v>
      </c>
      <c r="L92" s="67" t="str" cm="1">
        <f t="array" aca="1" ref="L92" ca="1">INDIRECT(ADDRESS($B$3,$K92,,,$B$2))</f>
        <v/>
      </c>
    </row>
    <row r="93" spans="2:14" x14ac:dyDescent="0.45">
      <c r="C93" s="381" t="s">
        <v>1116</v>
      </c>
      <c r="D93" s="67" t="str">
        <f t="shared" ca="1" si="10"/>
        <v/>
      </c>
      <c r="E93" s="67" t="str">
        <f t="shared" ca="1" si="9"/>
        <v/>
      </c>
      <c r="F93" s="67" t="str">
        <f t="shared" ca="1" si="9"/>
        <v/>
      </c>
      <c r="G93" s="67">
        <f t="shared" si="11"/>
        <v>0</v>
      </c>
      <c r="H93" s="67" t="str">
        <f t="shared" ca="1" si="11"/>
        <v/>
      </c>
      <c r="I93" s="67">
        <f t="shared" si="11"/>
        <v>0</v>
      </c>
      <c r="K93" s="67">
        <v>85</v>
      </c>
      <c r="L93" s="67" t="str" cm="1">
        <f t="array" aca="1" ref="L93" ca="1">INDIRECT(ADDRESS($B$3,$K93,,,$B$2))</f>
        <v/>
      </c>
    </row>
    <row r="94" spans="2:14" x14ac:dyDescent="0.45">
      <c r="C94" s="381" t="s">
        <v>1117</v>
      </c>
      <c r="D94" s="67" t="str">
        <f t="shared" ca="1" si="10"/>
        <v/>
      </c>
      <c r="E94" s="67" t="str">
        <f t="shared" ca="1" si="9"/>
        <v/>
      </c>
      <c r="F94" s="67" t="str">
        <f t="shared" ca="1" si="9"/>
        <v/>
      </c>
      <c r="G94" s="67">
        <f t="shared" si="11"/>
        <v>0</v>
      </c>
      <c r="H94" s="67" t="str">
        <f t="shared" ca="1" si="11"/>
        <v/>
      </c>
      <c r="I94" s="67">
        <f t="shared" si="11"/>
        <v>0</v>
      </c>
      <c r="K94" s="67">
        <v>83</v>
      </c>
      <c r="L94" s="67" t="str" cm="1">
        <f t="array" aca="1" ref="L94" ca="1">INDIRECT(ADDRESS($B$3,$K94,,,$B$2))</f>
        <v/>
      </c>
    </row>
    <row r="95" spans="2:14" x14ac:dyDescent="0.45">
      <c r="C95" s="381" t="s">
        <v>1118</v>
      </c>
      <c r="D95" s="67" t="str">
        <f t="shared" ca="1" si="10"/>
        <v/>
      </c>
      <c r="E95" s="67" t="str">
        <f t="shared" ca="1" si="9"/>
        <v/>
      </c>
      <c r="F95" s="67" t="str">
        <f t="shared" ca="1" si="9"/>
        <v/>
      </c>
      <c r="G95" s="67">
        <f t="shared" si="11"/>
        <v>0</v>
      </c>
      <c r="H95" s="67" t="str">
        <f t="shared" ca="1" si="11"/>
        <v/>
      </c>
      <c r="I95" s="67">
        <f t="shared" si="11"/>
        <v>0</v>
      </c>
      <c r="K95" s="67">
        <v>82</v>
      </c>
      <c r="L95" s="67" t="str" cm="1">
        <f t="array" aca="1" ref="L95" ca="1">INDIRECT(ADDRESS($B$3,$K95,,,$B$2))</f>
        <v/>
      </c>
    </row>
    <row r="96" spans="2:14" x14ac:dyDescent="0.45">
      <c r="C96" s="381" t="s">
        <v>1119</v>
      </c>
      <c r="D96" s="67" t="str">
        <f t="shared" ca="1" si="10"/>
        <v/>
      </c>
      <c r="E96" s="67" t="str">
        <f t="shared" ca="1" si="9"/>
        <v/>
      </c>
      <c r="F96" s="67" t="str">
        <f t="shared" ca="1" si="9"/>
        <v/>
      </c>
      <c r="G96" s="67">
        <f t="shared" si="11"/>
        <v>0</v>
      </c>
      <c r="H96" s="67" t="str">
        <f t="shared" ca="1" si="11"/>
        <v/>
      </c>
      <c r="I96" s="67">
        <f t="shared" si="11"/>
        <v>0</v>
      </c>
      <c r="K96" s="67">
        <v>86</v>
      </c>
      <c r="L96" s="67" t="str" cm="1">
        <f t="array" aca="1" ref="L96" ca="1">INDIRECT(ADDRESS($B$3,$K96,,,$B$2))</f>
        <v/>
      </c>
    </row>
    <row r="97" spans="2:14" x14ac:dyDescent="0.45">
      <c r="C97" s="381" t="s">
        <v>1120</v>
      </c>
      <c r="D97" s="67" t="str">
        <f t="shared" ca="1" si="10"/>
        <v/>
      </c>
      <c r="E97" s="67" t="str">
        <f t="shared" ca="1" si="9"/>
        <v/>
      </c>
      <c r="F97" s="67" t="str">
        <f t="shared" ca="1" si="9"/>
        <v/>
      </c>
      <c r="G97" s="67">
        <f t="shared" si="11"/>
        <v>0</v>
      </c>
      <c r="H97" s="67" t="str">
        <f t="shared" ca="1" si="11"/>
        <v/>
      </c>
      <c r="I97" s="67">
        <f t="shared" si="11"/>
        <v>0</v>
      </c>
      <c r="K97" s="67">
        <v>80</v>
      </c>
      <c r="L97" s="67" t="str" cm="1">
        <f t="array" aca="1" ref="L97" ca="1">INDIRECT(ADDRESS($B$3,$K97,,,$B$2))</f>
        <v/>
      </c>
    </row>
    <row r="98" spans="2:14" x14ac:dyDescent="0.45">
      <c r="C98" s="381" t="s">
        <v>1121</v>
      </c>
      <c r="D98" s="67" t="str">
        <f t="shared" ca="1" si="10"/>
        <v/>
      </c>
      <c r="E98" s="67" t="str">
        <f t="shared" ca="1" si="9"/>
        <v/>
      </c>
      <c r="F98" s="67" t="str">
        <f t="shared" ca="1" si="9"/>
        <v/>
      </c>
      <c r="G98" s="67">
        <f t="shared" si="11"/>
        <v>0</v>
      </c>
      <c r="H98" s="67" t="str">
        <f t="shared" ca="1" si="11"/>
        <v/>
      </c>
      <c r="I98" s="67">
        <f t="shared" si="11"/>
        <v>0</v>
      </c>
      <c r="K98" s="67">
        <v>79</v>
      </c>
      <c r="L98" s="67" t="str" cm="1">
        <f t="array" aca="1" ref="L98" ca="1">INDIRECT(ADDRESS($B$3,$K98,,,$B$2))</f>
        <v/>
      </c>
    </row>
    <row r="99" spans="2:14" x14ac:dyDescent="0.45">
      <c r="B99" s="67" t="s">
        <v>1122</v>
      </c>
      <c r="C99" s="381"/>
      <c r="D99" s="67" t="str">
        <f ca="1">D49&amp;D59&amp;D69&amp;D79&amp;D89</f>
        <v>0N/A</v>
      </c>
      <c r="E99" s="67" t="e">
        <f t="shared" ca="1" si="9"/>
        <v>#VALUE!</v>
      </c>
      <c r="F99" s="67">
        <f t="shared" ca="1" si="9"/>
        <v>0</v>
      </c>
      <c r="G99" s="67">
        <f t="shared" si="11"/>
        <v>0</v>
      </c>
      <c r="H99" s="67" t="e">
        <f t="shared" ca="1" si="11"/>
        <v>#VALUE!</v>
      </c>
      <c r="I99" s="67">
        <f t="shared" si="11"/>
        <v>0</v>
      </c>
      <c r="L99" s="67" t="e" cm="1">
        <f t="array" aca="1" ref="L99" ca="1">INDIRECT(ADDRESS($B$3,$K99,,,$B$2))</f>
        <v>#VALUE!</v>
      </c>
    </row>
    <row r="100" spans="2:14" x14ac:dyDescent="0.45">
      <c r="C100" s="381" t="s">
        <v>1123</v>
      </c>
      <c r="D100" s="67" t="str">
        <f t="shared" ca="1" si="10"/>
        <v/>
      </c>
      <c r="E100" s="67" t="str">
        <f t="shared" ca="1" si="9"/>
        <v/>
      </c>
      <c r="F100" s="67" t="str">
        <f t="shared" ca="1" si="9"/>
        <v/>
      </c>
      <c r="G100" s="67">
        <f t="shared" si="11"/>
        <v>0</v>
      </c>
      <c r="H100" s="67" t="str">
        <f t="shared" ca="1" si="11"/>
        <v/>
      </c>
      <c r="I100" s="67">
        <f t="shared" si="11"/>
        <v>0</v>
      </c>
      <c r="K100" s="67">
        <v>15</v>
      </c>
      <c r="L100" s="67" t="str" cm="1">
        <f t="array" aca="1" ref="L100" ca="1">INDIRECT(ADDRESS($B$3,$K100,,,$B$2))</f>
        <v/>
      </c>
      <c r="N100" s="67">
        <f>'Deal lead sheet'!C31</f>
        <v>0</v>
      </c>
    </row>
    <row r="101" spans="2:14" x14ac:dyDescent="0.45">
      <c r="C101" s="381" t="s">
        <v>1124</v>
      </c>
      <c r="D101" s="67" t="str">
        <f t="shared" ca="1" si="10"/>
        <v xml:space="preserve">Yes    05/06/53    </v>
      </c>
      <c r="E101" s="67" t="str">
        <f t="shared" ca="1" si="9"/>
        <v xml:space="preserve">Yes    05/06/53    </v>
      </c>
      <c r="F101" s="67" t="str">
        <f t="shared" ca="1" si="9"/>
        <v xml:space="preserve">Yes    05/06/53    </v>
      </c>
      <c r="G101" s="67">
        <f t="shared" si="11"/>
        <v>0</v>
      </c>
      <c r="H101" s="67" t="str">
        <f t="shared" ca="1" si="11"/>
        <v xml:space="preserve">Yes    05/06/53    </v>
      </c>
      <c r="I101" s="67">
        <f t="shared" si="11"/>
        <v>0</v>
      </c>
      <c r="K101" s="67" t="s">
        <v>1125</v>
      </c>
      <c r="L101" s="67" t="str">
        <f ca="1">TEXT(L54,"dd/mm/yy")&amp;"  "&amp;TEXT(L64,"dd/mm/yy")&amp;"  "&amp;TEXT(L74,"dd/mm/yy")&amp;"  "&amp;TEXT(L84,"dd/mm/yy")&amp;"  "&amp;TEXT(L94,"dd/mm/yy")</f>
        <v xml:space="preserve">Yes    05/06/53    </v>
      </c>
    </row>
    <row r="102" spans="2:14" x14ac:dyDescent="0.45">
      <c r="C102" s="381" t="s">
        <v>1126</v>
      </c>
      <c r="D102" s="67" t="str">
        <f t="shared" ca="1" si="10"/>
        <v>1200000</v>
      </c>
      <c r="E102" s="67" t="str">
        <f t="shared" ca="1" si="9"/>
        <v>1200000</v>
      </c>
      <c r="F102" s="67" t="str">
        <f t="shared" ca="1" si="9"/>
        <v>1200000</v>
      </c>
      <c r="G102" s="67">
        <f t="shared" si="11"/>
        <v>0</v>
      </c>
      <c r="H102" s="67" t="str">
        <f t="shared" ca="1" si="11"/>
        <v>1200000</v>
      </c>
      <c r="I102" s="67">
        <f t="shared" si="11"/>
        <v>0</v>
      </c>
      <c r="K102" s="67" t="s">
        <v>1125</v>
      </c>
      <c r="L102" s="67" t="str">
        <f ca="1">L55&amp;L65&amp;L75&amp;L85&amp;L95</f>
        <v>1200000</v>
      </c>
    </row>
    <row r="103" spans="2:14" x14ac:dyDescent="0.45">
      <c r="C103" s="381" t="s">
        <v>1119</v>
      </c>
      <c r="D103" s="67" t="str">
        <f t="shared" ca="1" si="10"/>
        <v xml:space="preserve">Canning Town Suites Limited </v>
      </c>
      <c r="E103" s="67" t="str">
        <f t="shared" ca="1" si="9"/>
        <v xml:space="preserve">Canning Town Suites Limited </v>
      </c>
      <c r="F103" s="67" t="str">
        <f t="shared" ca="1" si="9"/>
        <v xml:space="preserve">Canning Town Suites Limited </v>
      </c>
      <c r="G103" s="67">
        <f t="shared" si="11"/>
        <v>0</v>
      </c>
      <c r="H103" s="67" t="str">
        <f t="shared" ca="1" si="11"/>
        <v xml:space="preserve">Canning Town Suites Limited </v>
      </c>
      <c r="I103" s="67">
        <f t="shared" si="11"/>
        <v>0</v>
      </c>
      <c r="K103" s="67" t="s">
        <v>1125</v>
      </c>
      <c r="L103" s="67" t="str">
        <f ca="1">L56&amp;L66&amp;L76&amp;L86&amp;L96</f>
        <v xml:space="preserve">Canning Town Suites Limited </v>
      </c>
    </row>
    <row r="104" spans="2:14" x14ac:dyDescent="0.45">
      <c r="C104" s="381" t="s">
        <v>1127</v>
      </c>
      <c r="D104" s="67" t="str">
        <f t="shared" ca="1" si="10"/>
        <v>BTL sales pipeline</v>
      </c>
      <c r="E104" s="67" t="str">
        <f t="shared" ca="1" si="9"/>
        <v>BTL sales pipeline</v>
      </c>
      <c r="F104" s="67" t="str">
        <f t="shared" ca="1" si="9"/>
        <v>BTL sales pipeline</v>
      </c>
      <c r="G104" s="67">
        <f t="shared" si="11"/>
        <v>0</v>
      </c>
      <c r="H104" s="67" t="str">
        <f t="shared" ca="1" si="11"/>
        <v>BTL sales pipeline</v>
      </c>
      <c r="I104" s="67">
        <f t="shared" si="11"/>
        <v>0</v>
      </c>
      <c r="K104" s="67">
        <v>20</v>
      </c>
      <c r="L104" s="67" t="str" cm="1">
        <f t="array" aca="1" ref="L104" ca="1">INDIRECT(ADDRESS($B$3,$K104,,,$B$2))</f>
        <v>BTL sales pipeline</v>
      </c>
    </row>
    <row r="105" spans="2:14" x14ac:dyDescent="0.45">
      <c r="C105" s="381" t="s">
        <v>1128</v>
      </c>
      <c r="D105" s="67" t="str">
        <f t="shared" ca="1" si="10"/>
        <v/>
      </c>
      <c r="E105" s="67" t="str">
        <f t="shared" ca="1" si="9"/>
        <v/>
      </c>
      <c r="F105" s="67" t="str">
        <f t="shared" ca="1" si="9"/>
        <v/>
      </c>
      <c r="G105" s="67">
        <f t="shared" si="11"/>
        <v>0</v>
      </c>
      <c r="H105" s="67" t="str">
        <f t="shared" ca="1" si="11"/>
        <v/>
      </c>
      <c r="I105" s="67">
        <f t="shared" si="11"/>
        <v>0</v>
      </c>
      <c r="K105" s="67" t="s">
        <v>1125</v>
      </c>
      <c r="L105" s="67" t="str">
        <f ca="1">IF(MAX(L58,0)=0,"",L57&amp;" - "&amp;TEXT(L58,"##,##"))&amp;IF(MAX(L68,0)=0,"",L67&amp;" - "&amp;TEXT(L68,"##,##"))&amp;IF(MAX(L78,0)=0,"",L77&amp;" - "&amp;TEXT(L78,"##,##"))&amp;IF(MAX(L88,0)=0,"",L87&amp;" - "&amp;TEXT(L88,"##,##"))&amp;IF(MAX(L98,0)=0,"",L97&amp;" - "&amp;TEXT(L98,"##,##"))</f>
        <v/>
      </c>
    </row>
    <row r="106" spans="2:14" x14ac:dyDescent="0.45">
      <c r="B106" s="67" t="s">
        <v>1129</v>
      </c>
      <c r="C106" s="381" t="s">
        <v>1113</v>
      </c>
      <c r="D106" s="168">
        <f ca="1">IF(D90="",0,D90)+IF(D80="",0,D80)+IF(D70="",0,D70)+IF(D60="",0,D60)+IF(D50="",0,D50)</f>
        <v>44587</v>
      </c>
      <c r="E106" s="67">
        <f t="shared" ca="1" si="9"/>
        <v>44587</v>
      </c>
      <c r="F106" s="67">
        <f t="shared" ca="1" si="9"/>
        <v>44587</v>
      </c>
      <c r="G106" s="67">
        <f t="shared" si="11"/>
        <v>0</v>
      </c>
      <c r="H106" s="67">
        <f t="shared" ca="1" si="11"/>
        <v>44587</v>
      </c>
      <c r="I106" s="67">
        <f t="shared" si="11"/>
        <v>0</v>
      </c>
      <c r="K106" s="67" t="s">
        <v>1125</v>
      </c>
      <c r="L106" s="67">
        <f ca="1">MAX(L50,0)+MAX(L60,0)+MAX(L70,0)+MAX(L80,0)+MAX(L90,0)</f>
        <v>44587</v>
      </c>
    </row>
    <row r="107" spans="2:14" x14ac:dyDescent="0.45">
      <c r="C107" s="381" t="s">
        <v>1114</v>
      </c>
      <c r="D107" s="168" t="e">
        <f ca="1">IF(D91="",0,D91)+IF(D81="",0,D81)+IF(D71="",0,D71)+IF(D61="",0,D61)+IF(D51="",0,D51)</f>
        <v>#VALUE!</v>
      </c>
      <c r="E107" s="67">
        <f t="shared" ca="1" si="9"/>
        <v>0</v>
      </c>
      <c r="F107" s="67">
        <f t="shared" ca="1" si="9"/>
        <v>0</v>
      </c>
      <c r="G107" s="67">
        <f t="shared" si="11"/>
        <v>0</v>
      </c>
      <c r="H107" s="67">
        <f t="shared" ca="1" si="11"/>
        <v>0</v>
      </c>
      <c r="I107" s="67">
        <f t="shared" si="11"/>
        <v>0</v>
      </c>
      <c r="K107" s="67" t="s">
        <v>1125</v>
      </c>
      <c r="L107" s="67">
        <f ca="1">MAX(L51,0)+MAX(L61,0)+MAX(L71,0)+MAX(L81,0)+MAX(L91,0)</f>
        <v>0</v>
      </c>
    </row>
    <row r="108" spans="2:14" x14ac:dyDescent="0.45">
      <c r="C108" s="381" t="s">
        <v>1115</v>
      </c>
      <c r="D108" s="168" t="e">
        <f ca="1">IF(D92="",0,D92)+IF(D82="",0,D82)+IF(D72="",0,D72)+IF(D62="",0,D62)+IF(D52="",0,D52)</f>
        <v>#VALUE!</v>
      </c>
      <c r="E108" s="67">
        <f t="shared" ca="1" si="9"/>
        <v>0</v>
      </c>
      <c r="F108" s="67">
        <f t="shared" ca="1" si="9"/>
        <v>0</v>
      </c>
      <c r="G108" s="67">
        <f t="shared" si="11"/>
        <v>0</v>
      </c>
      <c r="H108" s="67">
        <f t="shared" ca="1" si="11"/>
        <v>0</v>
      </c>
      <c r="I108" s="67">
        <f t="shared" si="11"/>
        <v>0</v>
      </c>
      <c r="K108" s="67" t="s">
        <v>1125</v>
      </c>
      <c r="L108" s="67">
        <f ca="1">MAX(L52,0)+MAX(L62,0)+MAX(L72,0)+MAX(L82,0)+MAX(L92,0)</f>
        <v>0</v>
      </c>
    </row>
    <row r="109" spans="2:14" x14ac:dyDescent="0.45">
      <c r="C109" s="381" t="s">
        <v>1130</v>
      </c>
      <c r="D109" s="168" t="e">
        <f ca="1">IF(D92="",IF(D90="",0,D90),D92)+IF(D82="",IF(D80="",0,D80),D82)+IF(D72="",IF(D70="",0,D70),D72)+IF(D62="",IF(D60="",0,D60),D62)+IF(D52="",IF(D50="",0,D50),D52)</f>
        <v>#VALUE!</v>
      </c>
      <c r="E109" s="67">
        <f t="shared" ca="1" si="9"/>
        <v>44587</v>
      </c>
      <c r="F109" s="67">
        <f t="shared" ca="1" si="9"/>
        <v>44587</v>
      </c>
      <c r="G109" s="67">
        <f t="shared" ref="G109:I111" si="12">INDEX($L109:$N109,MATCH(G$7,$L$6:$N$6,0))</f>
        <v>0</v>
      </c>
      <c r="H109" s="67">
        <f t="shared" ca="1" si="12"/>
        <v>44587</v>
      </c>
      <c r="I109" s="67">
        <f t="shared" si="12"/>
        <v>0</v>
      </c>
      <c r="K109" s="67" t="s">
        <v>1125</v>
      </c>
      <c r="L109" s="67">
        <f ca="1">IF(MAX(L52,0)&gt;0,MAX(L52,0),MAX(L50,0))+IF(MAX(L62,0)&gt;0,MAX(L62,0),MAX(L60,0))+IF(MAX(L72,0)&gt;0,MAX(L72,0),MAX(L70,0))+IF(MAX(L82,0)&gt;0,MAX(L82,0),MAX(L80,0))+IF(MAX(L92,0)&gt;0,MAX(L92,0),MAX(L90,0))</f>
        <v>44587</v>
      </c>
      <c r="M109" s="67">
        <f>Property_Value</f>
        <v>0</v>
      </c>
    </row>
    <row r="110" spans="2:14" x14ac:dyDescent="0.45">
      <c r="C110" s="381" t="s">
        <v>1131</v>
      </c>
      <c r="D110" s="168" t="e">
        <f ca="1">IF(D93="",0,D93)+IF(D83="",0,D83)+IF(D73="",0,D73)+IF(D63="",0,D63)+IF(D53="",0,D53)</f>
        <v>#VALUE!</v>
      </c>
      <c r="E110" s="67">
        <f t="shared" ca="1" si="9"/>
        <v>593685.67708333337</v>
      </c>
      <c r="F110" s="67">
        <f t="shared" ca="1" si="9"/>
        <v>593685.67708333337</v>
      </c>
      <c r="G110" s="67">
        <f t="shared" si="12"/>
        <v>0</v>
      </c>
      <c r="H110" s="67">
        <f t="shared" ca="1" si="12"/>
        <v>593685.67708333337</v>
      </c>
      <c r="I110" s="67">
        <f t="shared" si="12"/>
        <v>0</v>
      </c>
      <c r="K110" s="67" t="s">
        <v>1125</v>
      </c>
      <c r="L110" s="67">
        <f ca="1">MAX(L53,0)+MAX(L63,0)+MAX(L73,0)+MAX(L83,0)+MAX(L93,0)</f>
        <v>593685.67708333337</v>
      </c>
    </row>
    <row r="111" spans="2:14" x14ac:dyDescent="0.45">
      <c r="C111" s="381" t="s">
        <v>1132</v>
      </c>
      <c r="D111" s="168">
        <f ca="1">IF(D98="",0,D98)+IF(D88="",0,D88)+IF(D78="",0,D78)+IF(D68="",0,D68)+IF(D58="",0,D58)</f>
        <v>0</v>
      </c>
      <c r="E111" s="67">
        <f t="shared" ca="1" si="9"/>
        <v>0</v>
      </c>
      <c r="F111" s="67">
        <f t="shared" ca="1" si="9"/>
        <v>0</v>
      </c>
      <c r="G111" s="67">
        <f t="shared" si="12"/>
        <v>0</v>
      </c>
      <c r="H111" s="67">
        <f t="shared" ca="1" si="12"/>
        <v>0</v>
      </c>
      <c r="I111" s="67">
        <f t="shared" si="12"/>
        <v>0</v>
      </c>
      <c r="K111" s="67" t="s">
        <v>1125</v>
      </c>
      <c r="L111" s="67">
        <f ca="1">MAX(L58,0)+MAX(L68,0)+MAX(L78,0)+MAX(L88,0)+MAX(L98,0)</f>
        <v>0</v>
      </c>
    </row>
    <row r="132" spans="1:2" x14ac:dyDescent="0.45">
      <c r="A132" s="552">
        <v>1</v>
      </c>
      <c r="B132" s="841" t="s">
        <v>1133</v>
      </c>
    </row>
    <row r="133" spans="1:2" x14ac:dyDescent="0.45">
      <c r="A133" s="552">
        <v>2</v>
      </c>
      <c r="B133" s="841" t="s">
        <v>1134</v>
      </c>
    </row>
    <row r="134" spans="1:2" x14ac:dyDescent="0.45">
      <c r="A134" s="552">
        <v>3</v>
      </c>
      <c r="B134" s="841" t="s">
        <v>1135</v>
      </c>
    </row>
    <row r="135" spans="1:2" x14ac:dyDescent="0.45">
      <c r="A135" s="552">
        <v>4</v>
      </c>
      <c r="B135" s="841" t="s">
        <v>1136</v>
      </c>
    </row>
    <row r="136" spans="1:2" x14ac:dyDescent="0.45">
      <c r="A136" s="552">
        <v>5</v>
      </c>
      <c r="B136" s="841" t="s">
        <v>1137</v>
      </c>
    </row>
    <row r="137" spans="1:2" x14ac:dyDescent="0.45">
      <c r="A137" s="552">
        <v>6</v>
      </c>
      <c r="B137" s="841" t="s">
        <v>1138</v>
      </c>
    </row>
    <row r="138" spans="1:2" x14ac:dyDescent="0.45">
      <c r="A138" s="552">
        <v>7</v>
      </c>
      <c r="B138" s="841" t="s">
        <v>161</v>
      </c>
    </row>
    <row r="139" spans="1:2" x14ac:dyDescent="0.45">
      <c r="A139" s="552">
        <v>8</v>
      </c>
      <c r="B139" s="841" t="s">
        <v>1139</v>
      </c>
    </row>
    <row r="140" spans="1:2" x14ac:dyDescent="0.45">
      <c r="A140" s="552">
        <v>9</v>
      </c>
      <c r="B140" s="841" t="s">
        <v>1140</v>
      </c>
    </row>
    <row r="141" spans="1:2" x14ac:dyDescent="0.45">
      <c r="A141" s="552">
        <v>10</v>
      </c>
      <c r="B141" s="841" t="s">
        <v>1141</v>
      </c>
    </row>
    <row r="142" spans="1:2" x14ac:dyDescent="0.45">
      <c r="A142" s="552">
        <v>11</v>
      </c>
      <c r="B142" s="841" t="s">
        <v>1142</v>
      </c>
    </row>
    <row r="143" spans="1:2" x14ac:dyDescent="0.45">
      <c r="A143" s="552">
        <v>12</v>
      </c>
      <c r="B143" s="841" t="s">
        <v>1143</v>
      </c>
    </row>
    <row r="144" spans="1:2" x14ac:dyDescent="0.45">
      <c r="A144" s="552">
        <v>13</v>
      </c>
      <c r="B144" s="841" t="s">
        <v>1144</v>
      </c>
    </row>
    <row r="145" spans="1:2" x14ac:dyDescent="0.45">
      <c r="A145" s="552">
        <v>14</v>
      </c>
      <c r="B145" s="841" t="s">
        <v>1145</v>
      </c>
    </row>
    <row r="146" spans="1:2" x14ac:dyDescent="0.45">
      <c r="A146" s="552">
        <v>15</v>
      </c>
      <c r="B146" s="841" t="s">
        <v>1146</v>
      </c>
    </row>
    <row r="147" spans="1:2" x14ac:dyDescent="0.45">
      <c r="A147" s="552">
        <v>16</v>
      </c>
      <c r="B147" s="841" t="s">
        <v>1147</v>
      </c>
    </row>
    <row r="148" spans="1:2" x14ac:dyDescent="0.45">
      <c r="A148" s="552">
        <v>17</v>
      </c>
      <c r="B148" s="841" t="s">
        <v>1148</v>
      </c>
    </row>
    <row r="149" spans="1:2" x14ac:dyDescent="0.45">
      <c r="A149" s="552">
        <v>18</v>
      </c>
      <c r="B149" s="841" t="s">
        <v>1149</v>
      </c>
    </row>
    <row r="150" spans="1:2" x14ac:dyDescent="0.45">
      <c r="A150" s="552">
        <v>19</v>
      </c>
      <c r="B150" s="841" t="s">
        <v>512</v>
      </c>
    </row>
    <row r="151" spans="1:2" x14ac:dyDescent="0.45">
      <c r="A151" s="552">
        <v>20</v>
      </c>
      <c r="B151" s="841" t="s">
        <v>1150</v>
      </c>
    </row>
    <row r="152" spans="1:2" x14ac:dyDescent="0.45">
      <c r="A152" s="552">
        <v>21</v>
      </c>
      <c r="B152" s="841" t="s">
        <v>1151</v>
      </c>
    </row>
    <row r="153" spans="1:2" x14ac:dyDescent="0.45">
      <c r="A153" s="552">
        <v>22</v>
      </c>
      <c r="B153" s="841" t="s">
        <v>1152</v>
      </c>
    </row>
    <row r="154" spans="1:2" x14ac:dyDescent="0.45">
      <c r="A154" s="552">
        <v>23</v>
      </c>
      <c r="B154" s="841" t="s">
        <v>1153</v>
      </c>
    </row>
    <row r="155" spans="1:2" x14ac:dyDescent="0.45">
      <c r="A155" s="552">
        <v>24</v>
      </c>
      <c r="B155" s="841" t="s">
        <v>1154</v>
      </c>
    </row>
    <row r="156" spans="1:2" x14ac:dyDescent="0.45">
      <c r="A156" s="552">
        <v>25</v>
      </c>
      <c r="B156" s="841" t="s">
        <v>1155</v>
      </c>
    </row>
    <row r="157" spans="1:2" x14ac:dyDescent="0.45">
      <c r="A157" s="552">
        <v>26</v>
      </c>
      <c r="B157" s="841" t="s">
        <v>1156</v>
      </c>
    </row>
    <row r="158" spans="1:2" x14ac:dyDescent="0.45">
      <c r="A158" s="552">
        <v>27</v>
      </c>
      <c r="B158" s="841" t="s">
        <v>1157</v>
      </c>
    </row>
    <row r="159" spans="1:2" x14ac:dyDescent="0.45">
      <c r="A159" s="552">
        <v>28</v>
      </c>
      <c r="B159" s="841" t="s">
        <v>1158</v>
      </c>
    </row>
    <row r="160" spans="1:2" x14ac:dyDescent="0.45">
      <c r="A160" s="552">
        <v>29</v>
      </c>
      <c r="B160" s="841" t="s">
        <v>1159</v>
      </c>
    </row>
    <row r="161" spans="1:2" x14ac:dyDescent="0.45">
      <c r="A161" s="552">
        <v>30</v>
      </c>
      <c r="B161" s="841" t="s">
        <v>1160</v>
      </c>
    </row>
    <row r="162" spans="1:2" x14ac:dyDescent="0.45">
      <c r="A162" s="552">
        <v>31</v>
      </c>
      <c r="B162" s="841" t="s">
        <v>1161</v>
      </c>
    </row>
    <row r="163" spans="1:2" x14ac:dyDescent="0.45">
      <c r="A163" s="552">
        <v>32</v>
      </c>
      <c r="B163" s="841" t="s">
        <v>1162</v>
      </c>
    </row>
    <row r="164" spans="1:2" x14ac:dyDescent="0.45">
      <c r="A164" s="552">
        <v>33</v>
      </c>
      <c r="B164" s="841" t="s">
        <v>1163</v>
      </c>
    </row>
    <row r="165" spans="1:2" x14ac:dyDescent="0.45">
      <c r="A165" s="552">
        <v>34</v>
      </c>
      <c r="B165" s="841" t="s">
        <v>1164</v>
      </c>
    </row>
    <row r="166" spans="1:2" x14ac:dyDescent="0.45">
      <c r="A166" s="552">
        <v>35</v>
      </c>
      <c r="B166" s="841" t="s">
        <v>1165</v>
      </c>
    </row>
    <row r="167" spans="1:2" x14ac:dyDescent="0.45">
      <c r="A167" s="552">
        <v>36</v>
      </c>
      <c r="B167" s="841" t="s">
        <v>1166</v>
      </c>
    </row>
    <row r="168" spans="1:2" x14ac:dyDescent="0.45">
      <c r="A168" s="552">
        <v>37</v>
      </c>
      <c r="B168" s="841" t="s">
        <v>1167</v>
      </c>
    </row>
    <row r="169" spans="1:2" x14ac:dyDescent="0.45">
      <c r="A169" s="552">
        <v>38</v>
      </c>
      <c r="B169" s="841" t="s">
        <v>1168</v>
      </c>
    </row>
    <row r="170" spans="1:2" x14ac:dyDescent="0.45">
      <c r="A170" s="552">
        <v>39</v>
      </c>
      <c r="B170" s="841" t="s">
        <v>1169</v>
      </c>
    </row>
    <row r="171" spans="1:2" x14ac:dyDescent="0.45">
      <c r="A171" s="552">
        <v>40</v>
      </c>
      <c r="B171" s="841" t="s">
        <v>1170</v>
      </c>
    </row>
    <row r="172" spans="1:2" x14ac:dyDescent="0.45">
      <c r="A172" s="552">
        <v>41</v>
      </c>
      <c r="B172" s="841" t="s">
        <v>1171</v>
      </c>
    </row>
    <row r="173" spans="1:2" x14ac:dyDescent="0.45">
      <c r="A173" s="552">
        <v>42</v>
      </c>
      <c r="B173" s="841" t="s">
        <v>1172</v>
      </c>
    </row>
    <row r="174" spans="1:2" x14ac:dyDescent="0.45">
      <c r="A174" s="552">
        <v>43</v>
      </c>
      <c r="B174" s="841" t="s">
        <v>1173</v>
      </c>
    </row>
    <row r="175" spans="1:2" x14ac:dyDescent="0.45">
      <c r="A175" s="552">
        <v>44</v>
      </c>
      <c r="B175" s="841" t="s">
        <v>1174</v>
      </c>
    </row>
    <row r="176" spans="1:2" x14ac:dyDescent="0.45">
      <c r="A176" s="552">
        <v>45</v>
      </c>
      <c r="B176" s="841" t="s">
        <v>1175</v>
      </c>
    </row>
    <row r="177" spans="1:2" x14ac:dyDescent="0.45">
      <c r="A177" s="552">
        <v>46</v>
      </c>
      <c r="B177" s="841" t="s">
        <v>1176</v>
      </c>
    </row>
    <row r="178" spans="1:2" x14ac:dyDescent="0.45">
      <c r="A178" s="552">
        <v>47</v>
      </c>
      <c r="B178" s="841" t="s">
        <v>1177</v>
      </c>
    </row>
    <row r="179" spans="1:2" x14ac:dyDescent="0.45">
      <c r="A179" s="552">
        <v>48</v>
      </c>
      <c r="B179" s="841" t="s">
        <v>1178</v>
      </c>
    </row>
    <row r="180" spans="1:2" x14ac:dyDescent="0.45">
      <c r="A180" s="552">
        <v>49</v>
      </c>
      <c r="B180" s="841" t="s">
        <v>1179</v>
      </c>
    </row>
    <row r="181" spans="1:2" x14ac:dyDescent="0.45">
      <c r="A181" s="552">
        <v>50</v>
      </c>
      <c r="B181" s="841" t="s">
        <v>1180</v>
      </c>
    </row>
    <row r="182" spans="1:2" x14ac:dyDescent="0.45">
      <c r="A182" s="552">
        <v>51</v>
      </c>
      <c r="B182" s="841" t="s">
        <v>1181</v>
      </c>
    </row>
    <row r="183" spans="1:2" x14ac:dyDescent="0.45">
      <c r="A183" s="552">
        <v>52</v>
      </c>
      <c r="B183" s="841" t="s">
        <v>1182</v>
      </c>
    </row>
    <row r="184" spans="1:2" x14ac:dyDescent="0.45">
      <c r="A184" s="552">
        <v>53</v>
      </c>
      <c r="B184" s="841" t="s">
        <v>1183</v>
      </c>
    </row>
    <row r="185" spans="1:2" x14ac:dyDescent="0.45">
      <c r="A185" s="552">
        <v>54</v>
      </c>
      <c r="B185" s="841" t="s">
        <v>1184</v>
      </c>
    </row>
    <row r="186" spans="1:2" x14ac:dyDescent="0.45">
      <c r="A186" s="552">
        <v>55</v>
      </c>
      <c r="B186" s="841" t="s">
        <v>1107</v>
      </c>
    </row>
    <row r="187" spans="1:2" x14ac:dyDescent="0.45">
      <c r="A187" s="552">
        <v>56</v>
      </c>
      <c r="B187" s="841" t="s">
        <v>1185</v>
      </c>
    </row>
    <row r="188" spans="1:2" x14ac:dyDescent="0.45">
      <c r="A188" s="552">
        <v>57</v>
      </c>
      <c r="B188" s="841" t="s">
        <v>1186</v>
      </c>
    </row>
    <row r="189" spans="1:2" x14ac:dyDescent="0.45">
      <c r="A189" s="552">
        <v>58</v>
      </c>
      <c r="B189" s="841" t="s">
        <v>1187</v>
      </c>
    </row>
    <row r="190" spans="1:2" x14ac:dyDescent="0.45">
      <c r="A190" s="552">
        <v>59</v>
      </c>
      <c r="B190" s="841" t="s">
        <v>1188</v>
      </c>
    </row>
    <row r="191" spans="1:2" x14ac:dyDescent="0.45">
      <c r="A191" s="552">
        <v>60</v>
      </c>
      <c r="B191" s="841" t="s">
        <v>1189</v>
      </c>
    </row>
    <row r="192" spans="1:2" x14ac:dyDescent="0.45">
      <c r="A192" s="552">
        <v>61</v>
      </c>
      <c r="B192" s="841" t="s">
        <v>1190</v>
      </c>
    </row>
    <row r="193" spans="1:2" x14ac:dyDescent="0.45">
      <c r="A193" s="552">
        <v>62</v>
      </c>
      <c r="B193" s="841" t="s">
        <v>1191</v>
      </c>
    </row>
    <row r="194" spans="1:2" x14ac:dyDescent="0.45">
      <c r="A194" s="552">
        <v>63</v>
      </c>
      <c r="B194" s="841" t="s">
        <v>1192</v>
      </c>
    </row>
    <row r="195" spans="1:2" x14ac:dyDescent="0.45">
      <c r="A195" s="552">
        <v>64</v>
      </c>
      <c r="B195" s="841" t="s">
        <v>1193</v>
      </c>
    </row>
    <row r="196" spans="1:2" x14ac:dyDescent="0.45">
      <c r="A196" s="552">
        <v>65</v>
      </c>
      <c r="B196" s="841" t="s">
        <v>1194</v>
      </c>
    </row>
    <row r="197" spans="1:2" x14ac:dyDescent="0.45">
      <c r="A197" s="552">
        <v>66</v>
      </c>
      <c r="B197" s="841" t="s">
        <v>1195</v>
      </c>
    </row>
    <row r="198" spans="1:2" x14ac:dyDescent="0.45">
      <c r="A198" s="552">
        <v>67</v>
      </c>
      <c r="B198" s="841" t="s">
        <v>1196</v>
      </c>
    </row>
    <row r="199" spans="1:2" x14ac:dyDescent="0.45">
      <c r="A199" s="552">
        <v>68</v>
      </c>
      <c r="B199" s="841" t="s">
        <v>1197</v>
      </c>
    </row>
    <row r="200" spans="1:2" x14ac:dyDescent="0.45">
      <c r="A200" s="552">
        <v>69</v>
      </c>
      <c r="B200" s="841" t="s">
        <v>1198</v>
      </c>
    </row>
    <row r="201" spans="1:2" x14ac:dyDescent="0.45">
      <c r="A201" s="552">
        <v>70</v>
      </c>
      <c r="B201" s="841" t="s">
        <v>1199</v>
      </c>
    </row>
    <row r="202" spans="1:2" x14ac:dyDescent="0.45">
      <c r="A202" s="552">
        <v>71</v>
      </c>
      <c r="B202" s="841" t="s">
        <v>1200</v>
      </c>
    </row>
    <row r="203" spans="1:2" x14ac:dyDescent="0.45">
      <c r="A203" s="552">
        <v>72</v>
      </c>
      <c r="B203" s="841" t="s">
        <v>1201</v>
      </c>
    </row>
    <row r="204" spans="1:2" x14ac:dyDescent="0.45">
      <c r="A204" s="552">
        <v>73</v>
      </c>
      <c r="B204" s="841" t="s">
        <v>1202</v>
      </c>
    </row>
    <row r="205" spans="1:2" x14ac:dyDescent="0.45">
      <c r="A205" s="552">
        <v>74</v>
      </c>
      <c r="B205" s="841" t="s">
        <v>1203</v>
      </c>
    </row>
    <row r="206" spans="1:2" x14ac:dyDescent="0.45">
      <c r="A206" s="552">
        <v>75</v>
      </c>
      <c r="B206" s="841" t="s">
        <v>1204</v>
      </c>
    </row>
    <row r="207" spans="1:2" x14ac:dyDescent="0.45">
      <c r="A207" s="552">
        <v>76</v>
      </c>
      <c r="B207" s="841" t="s">
        <v>1205</v>
      </c>
    </row>
    <row r="208" spans="1:2" x14ac:dyDescent="0.45">
      <c r="A208" s="552">
        <v>77</v>
      </c>
      <c r="B208" s="841" t="s">
        <v>1206</v>
      </c>
    </row>
    <row r="209" spans="1:2" x14ac:dyDescent="0.45">
      <c r="A209" s="552">
        <v>78</v>
      </c>
      <c r="B209" s="841" t="s">
        <v>1207</v>
      </c>
    </row>
    <row r="210" spans="1:2" x14ac:dyDescent="0.45">
      <c r="A210" s="552">
        <v>79</v>
      </c>
      <c r="B210" s="841" t="s">
        <v>1208</v>
      </c>
    </row>
    <row r="211" spans="1:2" x14ac:dyDescent="0.45">
      <c r="A211" s="552">
        <v>80</v>
      </c>
      <c r="B211" s="841" t="s">
        <v>1209</v>
      </c>
    </row>
    <row r="212" spans="1:2" x14ac:dyDescent="0.45">
      <c r="A212" s="552">
        <v>81</v>
      </c>
      <c r="B212" s="841" t="s">
        <v>452</v>
      </c>
    </row>
    <row r="213" spans="1:2" x14ac:dyDescent="0.45">
      <c r="A213" s="552">
        <v>82</v>
      </c>
      <c r="B213" s="841" t="s">
        <v>1210</v>
      </c>
    </row>
    <row r="214" spans="1:2" x14ac:dyDescent="0.45">
      <c r="A214" s="552">
        <v>83</v>
      </c>
      <c r="B214" s="841" t="s">
        <v>1211</v>
      </c>
    </row>
    <row r="215" spans="1:2" x14ac:dyDescent="0.45">
      <c r="A215" s="552">
        <v>84</v>
      </c>
      <c r="B215" s="841" t="s">
        <v>1212</v>
      </c>
    </row>
    <row r="216" spans="1:2" x14ac:dyDescent="0.45">
      <c r="A216" s="552">
        <v>85</v>
      </c>
      <c r="B216" s="841" t="s">
        <v>1213</v>
      </c>
    </row>
    <row r="217" spans="1:2" x14ac:dyDescent="0.45">
      <c r="A217" s="552">
        <v>86</v>
      </c>
      <c r="B217" s="841" t="s">
        <v>1214</v>
      </c>
    </row>
    <row r="218" spans="1:2" x14ac:dyDescent="0.45">
      <c r="A218" s="552">
        <v>87</v>
      </c>
      <c r="B218" s="841" t="s">
        <v>1215</v>
      </c>
    </row>
    <row r="219" spans="1:2" x14ac:dyDescent="0.45">
      <c r="A219" s="552">
        <v>88</v>
      </c>
      <c r="B219" s="841" t="s">
        <v>1216</v>
      </c>
    </row>
    <row r="220" spans="1:2" x14ac:dyDescent="0.45">
      <c r="A220" s="552">
        <v>89</v>
      </c>
      <c r="B220" s="841" t="s">
        <v>1217</v>
      </c>
    </row>
    <row r="221" spans="1:2" x14ac:dyDescent="0.45">
      <c r="A221" s="552">
        <v>90</v>
      </c>
      <c r="B221" s="841" t="s">
        <v>1218</v>
      </c>
    </row>
    <row r="222" spans="1:2" x14ac:dyDescent="0.45">
      <c r="A222" s="552">
        <v>91</v>
      </c>
      <c r="B222" s="841" t="s">
        <v>1219</v>
      </c>
    </row>
    <row r="223" spans="1:2" x14ac:dyDescent="0.45">
      <c r="A223" s="552">
        <v>92</v>
      </c>
      <c r="B223" s="841" t="s">
        <v>1220</v>
      </c>
    </row>
    <row r="224" spans="1:2" x14ac:dyDescent="0.45">
      <c r="A224" s="552">
        <v>93</v>
      </c>
      <c r="B224" s="841" t="s">
        <v>1221</v>
      </c>
    </row>
    <row r="225" spans="1:2" x14ac:dyDescent="0.45">
      <c r="A225" s="552">
        <v>94</v>
      </c>
      <c r="B225" s="841" t="s">
        <v>1222</v>
      </c>
    </row>
    <row r="226" spans="1:2" x14ac:dyDescent="0.45">
      <c r="A226" s="552">
        <v>95</v>
      </c>
      <c r="B226" s="841" t="s">
        <v>1223</v>
      </c>
    </row>
    <row r="227" spans="1:2" x14ac:dyDescent="0.45">
      <c r="A227" s="552">
        <v>96</v>
      </c>
      <c r="B227" s="841" t="s">
        <v>1224</v>
      </c>
    </row>
    <row r="228" spans="1:2" x14ac:dyDescent="0.45">
      <c r="A228" s="552">
        <v>97</v>
      </c>
      <c r="B228" s="841" t="s">
        <v>491</v>
      </c>
    </row>
    <row r="229" spans="1:2" x14ac:dyDescent="0.45">
      <c r="A229" s="552">
        <v>98</v>
      </c>
      <c r="B229" s="841" t="s">
        <v>1225</v>
      </c>
    </row>
    <row r="230" spans="1:2" x14ac:dyDescent="0.45">
      <c r="A230" s="552">
        <v>99</v>
      </c>
      <c r="B230" s="841" t="s">
        <v>1226</v>
      </c>
    </row>
    <row r="231" spans="1:2" x14ac:dyDescent="0.45">
      <c r="A231" s="552">
        <v>100</v>
      </c>
      <c r="B231" s="841" t="s">
        <v>1227</v>
      </c>
    </row>
    <row r="232" spans="1:2" x14ac:dyDescent="0.45">
      <c r="A232" s="552">
        <v>101</v>
      </c>
      <c r="B232" s="841" t="s">
        <v>1228</v>
      </c>
    </row>
    <row r="233" spans="1:2" x14ac:dyDescent="0.45">
      <c r="A233" s="552">
        <v>102</v>
      </c>
      <c r="B233" s="841" t="s">
        <v>1229</v>
      </c>
    </row>
    <row r="234" spans="1:2" x14ac:dyDescent="0.45">
      <c r="A234" s="552">
        <v>103</v>
      </c>
      <c r="B234" s="841" t="s">
        <v>1230</v>
      </c>
    </row>
    <row r="235" spans="1:2" x14ac:dyDescent="0.45">
      <c r="A235" s="552">
        <v>104</v>
      </c>
      <c r="B235" s="841" t="s">
        <v>1231</v>
      </c>
    </row>
    <row r="236" spans="1:2" x14ac:dyDescent="0.45">
      <c r="A236" s="552">
        <v>105</v>
      </c>
      <c r="B236" s="841" t="s">
        <v>1232</v>
      </c>
    </row>
    <row r="237" spans="1:2" x14ac:dyDescent="0.45">
      <c r="A237" s="552">
        <v>106</v>
      </c>
      <c r="B237" s="841" t="s">
        <v>1233</v>
      </c>
    </row>
    <row r="238" spans="1:2" x14ac:dyDescent="0.45">
      <c r="A238" s="552">
        <v>107</v>
      </c>
      <c r="B238" s="841" t="s">
        <v>1234</v>
      </c>
    </row>
    <row r="239" spans="1:2" x14ac:dyDescent="0.45">
      <c r="A239" s="552">
        <v>108</v>
      </c>
      <c r="B239" s="841" t="s">
        <v>1235</v>
      </c>
    </row>
    <row r="240" spans="1:2" x14ac:dyDescent="0.45">
      <c r="A240" s="552">
        <v>109</v>
      </c>
      <c r="B240" s="841" t="s">
        <v>1236</v>
      </c>
    </row>
    <row r="241" spans="1:2" x14ac:dyDescent="0.45">
      <c r="A241" s="552">
        <v>110</v>
      </c>
      <c r="B241" s="841" t="s">
        <v>1237</v>
      </c>
    </row>
    <row r="242" spans="1:2" x14ac:dyDescent="0.45">
      <c r="A242" s="552">
        <v>111</v>
      </c>
      <c r="B242" s="841" t="s">
        <v>1238</v>
      </c>
    </row>
    <row r="243" spans="1:2" x14ac:dyDescent="0.45">
      <c r="A243" s="552">
        <v>112</v>
      </c>
      <c r="B243" s="841" t="s">
        <v>1239</v>
      </c>
    </row>
    <row r="244" spans="1:2" x14ac:dyDescent="0.45">
      <c r="A244" s="552">
        <v>113</v>
      </c>
      <c r="B244" s="841" t="s">
        <v>1240</v>
      </c>
    </row>
    <row r="245" spans="1:2" x14ac:dyDescent="0.45">
      <c r="A245" s="552">
        <v>114</v>
      </c>
      <c r="B245" s="841" t="s">
        <v>1077</v>
      </c>
    </row>
    <row r="246" spans="1:2" x14ac:dyDescent="0.45">
      <c r="A246" s="552">
        <v>115</v>
      </c>
      <c r="B246" s="841" t="s">
        <v>1241</v>
      </c>
    </row>
    <row r="247" spans="1:2" x14ac:dyDescent="0.45">
      <c r="A247" s="552">
        <v>116</v>
      </c>
      <c r="B247" s="841" t="s">
        <v>1242</v>
      </c>
    </row>
    <row r="248" spans="1:2" x14ac:dyDescent="0.45">
      <c r="A248" s="552">
        <v>117</v>
      </c>
      <c r="B248" s="841" t="s">
        <v>1243</v>
      </c>
    </row>
    <row r="249" spans="1:2" x14ac:dyDescent="0.45">
      <c r="A249" s="552">
        <v>118</v>
      </c>
      <c r="B249" s="841" t="s">
        <v>1244</v>
      </c>
    </row>
    <row r="250" spans="1:2" x14ac:dyDescent="0.45">
      <c r="A250" s="552">
        <v>119</v>
      </c>
      <c r="B250" s="841" t="s">
        <v>1245</v>
      </c>
    </row>
    <row r="251" spans="1:2" x14ac:dyDescent="0.45">
      <c r="A251" s="552">
        <v>120</v>
      </c>
      <c r="B251" s="841" t="s">
        <v>1246</v>
      </c>
    </row>
    <row r="252" spans="1:2" x14ac:dyDescent="0.45">
      <c r="A252" s="552">
        <v>121</v>
      </c>
      <c r="B252" s="841" t="s">
        <v>1076</v>
      </c>
    </row>
    <row r="253" spans="1:2" x14ac:dyDescent="0.45">
      <c r="A253" s="552">
        <v>122</v>
      </c>
      <c r="B253" s="841" t="s">
        <v>1247</v>
      </c>
    </row>
    <row r="254" spans="1:2" x14ac:dyDescent="0.45">
      <c r="A254" s="552">
        <v>123</v>
      </c>
      <c r="B254" s="841" t="s">
        <v>1248</v>
      </c>
    </row>
    <row r="255" spans="1:2" x14ac:dyDescent="0.45">
      <c r="A255" s="552">
        <v>124</v>
      </c>
      <c r="B255" s="841" t="s">
        <v>1127</v>
      </c>
    </row>
    <row r="256" spans="1:2" x14ac:dyDescent="0.45">
      <c r="A256" s="552">
        <v>125</v>
      </c>
      <c r="B256" s="841" t="s">
        <v>1249</v>
      </c>
    </row>
    <row r="257" spans="1:2" x14ac:dyDescent="0.45">
      <c r="A257" s="552">
        <v>126</v>
      </c>
      <c r="B257" s="841" t="s">
        <v>1250</v>
      </c>
    </row>
    <row r="258" spans="1:2" x14ac:dyDescent="0.45">
      <c r="A258" s="552">
        <v>127</v>
      </c>
      <c r="B258" s="841" t="s">
        <v>293</v>
      </c>
    </row>
    <row r="259" spans="1:2" x14ac:dyDescent="0.45">
      <c r="A259" s="552">
        <v>128</v>
      </c>
      <c r="B259" s="841" t="s">
        <v>1251</v>
      </c>
    </row>
    <row r="260" spans="1:2" x14ac:dyDescent="0.45">
      <c r="A260" s="552">
        <v>129</v>
      </c>
      <c r="B260" s="841" t="s">
        <v>1252</v>
      </c>
    </row>
    <row r="261" spans="1:2" x14ac:dyDescent="0.45">
      <c r="A261" s="552">
        <v>130</v>
      </c>
      <c r="B261" s="841" t="s">
        <v>1253</v>
      </c>
    </row>
    <row r="262" spans="1:2" x14ac:dyDescent="0.45">
      <c r="A262" s="552">
        <v>131</v>
      </c>
      <c r="B262" s="841" t="s">
        <v>1254</v>
      </c>
    </row>
    <row r="263" spans="1:2" x14ac:dyDescent="0.45">
      <c r="A263" s="552">
        <v>132</v>
      </c>
      <c r="B263" s="841" t="s">
        <v>1255</v>
      </c>
    </row>
    <row r="264" spans="1:2" x14ac:dyDescent="0.45">
      <c r="A264" s="552">
        <v>133</v>
      </c>
      <c r="B264" s="841" t="s">
        <v>1256</v>
      </c>
    </row>
    <row r="265" spans="1:2" x14ac:dyDescent="0.45">
      <c r="A265" s="552">
        <v>134</v>
      </c>
      <c r="B265" s="841" t="s">
        <v>1257</v>
      </c>
    </row>
    <row r="266" spans="1:2" x14ac:dyDescent="0.45">
      <c r="A266" s="552">
        <v>135</v>
      </c>
      <c r="B266" s="841" t="s">
        <v>1258</v>
      </c>
    </row>
    <row r="267" spans="1:2" x14ac:dyDescent="0.45">
      <c r="A267" s="552">
        <v>136</v>
      </c>
      <c r="B267" s="841" t="s">
        <v>1259</v>
      </c>
    </row>
    <row r="268" spans="1:2" x14ac:dyDescent="0.45">
      <c r="A268" s="552">
        <v>137</v>
      </c>
      <c r="B268" s="841" t="s">
        <v>1260</v>
      </c>
    </row>
    <row r="269" spans="1:2" x14ac:dyDescent="0.45">
      <c r="A269" s="552">
        <v>138</v>
      </c>
      <c r="B269" s="841" t="s">
        <v>1261</v>
      </c>
    </row>
    <row r="270" spans="1:2" x14ac:dyDescent="0.45">
      <c r="A270" s="552">
        <v>139</v>
      </c>
      <c r="B270" s="841" t="s">
        <v>1262</v>
      </c>
    </row>
    <row r="271" spans="1:2" x14ac:dyDescent="0.45">
      <c r="A271" s="552">
        <v>140</v>
      </c>
      <c r="B271" s="841" t="s">
        <v>1263</v>
      </c>
    </row>
    <row r="272" spans="1:2" x14ac:dyDescent="0.45">
      <c r="A272" s="552">
        <v>141</v>
      </c>
      <c r="B272" s="841" t="s">
        <v>364</v>
      </c>
    </row>
    <row r="273" spans="1:2" x14ac:dyDescent="0.45">
      <c r="A273" s="552">
        <v>142</v>
      </c>
      <c r="B273" s="841" t="s">
        <v>1264</v>
      </c>
    </row>
    <row r="274" spans="1:2" x14ac:dyDescent="0.45">
      <c r="A274" s="552">
        <v>143</v>
      </c>
      <c r="B274" s="841" t="s">
        <v>1265</v>
      </c>
    </row>
    <row r="275" spans="1:2" x14ac:dyDescent="0.45">
      <c r="A275" s="552">
        <v>144</v>
      </c>
      <c r="B275" s="841" t="s">
        <v>1266</v>
      </c>
    </row>
    <row r="276" spans="1:2" x14ac:dyDescent="0.45">
      <c r="A276" s="552">
        <v>145</v>
      </c>
      <c r="B276" s="841" t="s">
        <v>1267</v>
      </c>
    </row>
    <row r="277" spans="1:2" x14ac:dyDescent="0.45">
      <c r="A277" s="552">
        <v>146</v>
      </c>
      <c r="B277" s="841" t="s">
        <v>1268</v>
      </c>
    </row>
    <row r="278" spans="1:2" x14ac:dyDescent="0.45">
      <c r="A278" s="552">
        <v>147</v>
      </c>
      <c r="B278" s="841" t="s">
        <v>1269</v>
      </c>
    </row>
    <row r="279" spans="1:2" x14ac:dyDescent="0.45">
      <c r="A279" s="552">
        <v>148</v>
      </c>
      <c r="B279" s="841" t="s">
        <v>1270</v>
      </c>
    </row>
    <row r="280" spans="1:2" x14ac:dyDescent="0.45">
      <c r="A280" s="552">
        <v>149</v>
      </c>
      <c r="B280" s="841" t="s">
        <v>1271</v>
      </c>
    </row>
    <row r="281" spans="1:2" x14ac:dyDescent="0.45">
      <c r="A281" s="552">
        <v>150</v>
      </c>
      <c r="B281" s="841" t="s">
        <v>1272</v>
      </c>
    </row>
    <row r="282" spans="1:2" x14ac:dyDescent="0.45">
      <c r="A282" s="552">
        <v>151</v>
      </c>
      <c r="B282" s="841" t="s">
        <v>1273</v>
      </c>
    </row>
    <row r="283" spans="1:2" x14ac:dyDescent="0.45">
      <c r="A283" s="552">
        <v>152</v>
      </c>
      <c r="B283" s="841" t="s">
        <v>1274</v>
      </c>
    </row>
    <row r="284" spans="1:2" x14ac:dyDescent="0.45">
      <c r="A284" s="552">
        <v>153</v>
      </c>
      <c r="B284" s="841" t="s">
        <v>1275</v>
      </c>
    </row>
    <row r="285" spans="1:2" x14ac:dyDescent="0.45">
      <c r="A285" s="552">
        <v>154</v>
      </c>
      <c r="B285" s="841" t="s">
        <v>1276</v>
      </c>
    </row>
    <row r="286" spans="1:2" x14ac:dyDescent="0.45">
      <c r="A286" s="552">
        <v>155</v>
      </c>
      <c r="B286" s="841" t="s">
        <v>1277</v>
      </c>
    </row>
    <row r="287" spans="1:2" x14ac:dyDescent="0.45">
      <c r="A287" s="552">
        <v>156</v>
      </c>
      <c r="B287" s="841" t="s">
        <v>1278</v>
      </c>
    </row>
    <row r="288" spans="1:2" x14ac:dyDescent="0.45">
      <c r="A288" s="552">
        <v>157</v>
      </c>
      <c r="B288" s="841" t="s">
        <v>1279</v>
      </c>
    </row>
    <row r="289" spans="1:2" x14ac:dyDescent="0.45">
      <c r="A289" s="552">
        <v>158</v>
      </c>
      <c r="B289" s="841" t="s">
        <v>1280</v>
      </c>
    </row>
    <row r="290" spans="1:2" x14ac:dyDescent="0.45">
      <c r="A290" s="552">
        <v>159</v>
      </c>
      <c r="B290" s="841" t="s">
        <v>1281</v>
      </c>
    </row>
    <row r="291" spans="1:2" x14ac:dyDescent="0.45">
      <c r="A291" s="552">
        <v>160</v>
      </c>
      <c r="B291" s="841" t="s">
        <v>1282</v>
      </c>
    </row>
    <row r="292" spans="1:2" x14ac:dyDescent="0.45">
      <c r="A292" s="552">
        <v>161</v>
      </c>
      <c r="B292" s="841" t="s">
        <v>1283</v>
      </c>
    </row>
    <row r="293" spans="1:2" x14ac:dyDescent="0.45">
      <c r="A293" s="552">
        <v>162</v>
      </c>
      <c r="B293" s="841" t="s">
        <v>1284</v>
      </c>
    </row>
    <row r="294" spans="1:2" x14ac:dyDescent="0.45">
      <c r="A294" s="552">
        <v>163</v>
      </c>
      <c r="B294" s="841" t="s">
        <v>1285</v>
      </c>
    </row>
    <row r="295" spans="1:2" x14ac:dyDescent="0.45">
      <c r="A295" s="552">
        <v>164</v>
      </c>
      <c r="B295" s="841" t="s">
        <v>1286</v>
      </c>
    </row>
    <row r="296" spans="1:2" x14ac:dyDescent="0.45">
      <c r="A296" s="552">
        <v>165</v>
      </c>
      <c r="B296" s="841" t="s">
        <v>1287</v>
      </c>
    </row>
    <row r="297" spans="1:2" x14ac:dyDescent="0.45">
      <c r="A297" s="552">
        <v>166</v>
      </c>
      <c r="B297" s="841" t="s">
        <v>1288</v>
      </c>
    </row>
    <row r="298" spans="1:2" x14ac:dyDescent="0.45">
      <c r="A298" s="552">
        <v>167</v>
      </c>
      <c r="B298" s="841" t="s">
        <v>1289</v>
      </c>
    </row>
    <row r="299" spans="1:2" x14ac:dyDescent="0.45">
      <c r="A299" s="552">
        <v>168</v>
      </c>
      <c r="B299" s="841" t="s">
        <v>1290</v>
      </c>
    </row>
    <row r="300" spans="1:2" x14ac:dyDescent="0.45">
      <c r="A300" s="552">
        <v>169</v>
      </c>
      <c r="B300" s="841" t="s">
        <v>1291</v>
      </c>
    </row>
    <row r="301" spans="1:2" x14ac:dyDescent="0.45">
      <c r="A301" s="552">
        <v>170</v>
      </c>
      <c r="B301" s="841" t="s">
        <v>1292</v>
      </c>
    </row>
    <row r="302" spans="1:2" x14ac:dyDescent="0.45">
      <c r="A302" s="552">
        <v>171</v>
      </c>
      <c r="B302" s="841" t="s">
        <v>1293</v>
      </c>
    </row>
    <row r="303" spans="1:2" x14ac:dyDescent="0.45">
      <c r="A303" s="552">
        <v>172</v>
      </c>
      <c r="B303" s="841" t="s">
        <v>1294</v>
      </c>
    </row>
    <row r="304" spans="1:2" x14ac:dyDescent="0.45">
      <c r="A304" s="552">
        <v>173</v>
      </c>
      <c r="B304" s="841" t="s">
        <v>1295</v>
      </c>
    </row>
    <row r="305" spans="1:2" x14ac:dyDescent="0.45">
      <c r="A305" s="552">
        <v>174</v>
      </c>
      <c r="B305" s="841" t="s">
        <v>1296</v>
      </c>
    </row>
    <row r="306" spans="1:2" x14ac:dyDescent="0.45">
      <c r="A306" s="552">
        <v>175</v>
      </c>
      <c r="B306" s="841" t="s">
        <v>1297</v>
      </c>
    </row>
    <row r="307" spans="1:2" x14ac:dyDescent="0.45">
      <c r="A307" s="552">
        <v>176</v>
      </c>
      <c r="B307" s="841" t="s">
        <v>1298</v>
      </c>
    </row>
    <row r="308" spans="1:2" x14ac:dyDescent="0.45">
      <c r="A308" s="552">
        <v>177</v>
      </c>
      <c r="B308" s="841" t="s">
        <v>1299</v>
      </c>
    </row>
    <row r="309" spans="1:2" x14ac:dyDescent="0.45">
      <c r="A309" s="552">
        <v>178</v>
      </c>
      <c r="B309" s="841" t="s">
        <v>1300</v>
      </c>
    </row>
    <row r="310" spans="1:2" x14ac:dyDescent="0.45">
      <c r="A310" s="552">
        <v>179</v>
      </c>
      <c r="B310" s="841" t="s">
        <v>1301</v>
      </c>
    </row>
    <row r="311" spans="1:2" x14ac:dyDescent="0.45">
      <c r="A311" s="552">
        <v>180</v>
      </c>
      <c r="B311" s="841" t="s">
        <v>1302</v>
      </c>
    </row>
    <row r="312" spans="1:2" x14ac:dyDescent="0.45">
      <c r="A312" s="552">
        <v>181</v>
      </c>
      <c r="B312" s="841" t="s">
        <v>1303</v>
      </c>
    </row>
    <row r="313" spans="1:2" x14ac:dyDescent="0.45">
      <c r="A313" s="552">
        <v>182</v>
      </c>
      <c r="B313" s="841" t="s">
        <v>1304</v>
      </c>
    </row>
    <row r="314" spans="1:2" x14ac:dyDescent="0.45">
      <c r="A314" s="552">
        <v>183</v>
      </c>
      <c r="B314" s="841" t="s">
        <v>1305</v>
      </c>
    </row>
    <row r="315" spans="1:2" x14ac:dyDescent="0.45">
      <c r="A315" s="552">
        <v>184</v>
      </c>
      <c r="B315" s="841" t="s">
        <v>1306</v>
      </c>
    </row>
    <row r="316" spans="1:2" x14ac:dyDescent="0.45">
      <c r="A316" s="552">
        <v>185</v>
      </c>
      <c r="B316" s="841" t="s">
        <v>1307</v>
      </c>
    </row>
    <row r="317" spans="1:2" x14ac:dyDescent="0.45">
      <c r="A317" s="552">
        <v>186</v>
      </c>
      <c r="B317" s="841" t="s">
        <v>1308</v>
      </c>
    </row>
    <row r="318" spans="1:2" x14ac:dyDescent="0.45">
      <c r="A318" s="552">
        <v>187</v>
      </c>
      <c r="B318" s="841" t="s">
        <v>1309</v>
      </c>
    </row>
    <row r="319" spans="1:2" x14ac:dyDescent="0.45">
      <c r="A319" s="552">
        <v>188</v>
      </c>
      <c r="B319" s="841" t="s">
        <v>1310</v>
      </c>
    </row>
    <row r="320" spans="1:2" x14ac:dyDescent="0.45">
      <c r="A320" s="552">
        <v>189</v>
      </c>
      <c r="B320" s="841" t="s">
        <v>1311</v>
      </c>
    </row>
    <row r="321" spans="1:2" x14ac:dyDescent="0.45">
      <c r="A321" s="552">
        <v>190</v>
      </c>
      <c r="B321" s="841" t="s">
        <v>1312</v>
      </c>
    </row>
    <row r="322" spans="1:2" x14ac:dyDescent="0.45">
      <c r="A322" s="552">
        <v>191</v>
      </c>
      <c r="B322" s="841" t="s">
        <v>1313</v>
      </c>
    </row>
    <row r="323" spans="1:2" x14ac:dyDescent="0.45">
      <c r="A323" s="552">
        <v>192</v>
      </c>
      <c r="B323" s="841" t="s">
        <v>1314</v>
      </c>
    </row>
    <row r="324" spans="1:2" x14ac:dyDescent="0.45">
      <c r="A324" s="552">
        <v>193</v>
      </c>
      <c r="B324" s="841" t="s">
        <v>1315</v>
      </c>
    </row>
    <row r="325" spans="1:2" x14ac:dyDescent="0.45">
      <c r="A325" s="552">
        <v>194</v>
      </c>
      <c r="B325" s="841" t="s">
        <v>1316</v>
      </c>
    </row>
    <row r="326" spans="1:2" x14ac:dyDescent="0.45">
      <c r="A326" s="552">
        <v>195</v>
      </c>
      <c r="B326" s="841" t="s">
        <v>1317</v>
      </c>
    </row>
    <row r="327" spans="1:2" x14ac:dyDescent="0.45">
      <c r="A327" s="552">
        <v>196</v>
      </c>
      <c r="B327" s="841" t="s">
        <v>1318</v>
      </c>
    </row>
    <row r="328" spans="1:2" x14ac:dyDescent="0.45">
      <c r="A328" s="552">
        <v>197</v>
      </c>
      <c r="B328" s="841" t="s">
        <v>1319</v>
      </c>
    </row>
    <row r="329" spans="1:2" x14ac:dyDescent="0.45">
      <c r="A329" s="552">
        <v>198</v>
      </c>
      <c r="B329" s="841" t="s">
        <v>1320</v>
      </c>
    </row>
    <row r="330" spans="1:2" x14ac:dyDescent="0.45">
      <c r="A330" s="552">
        <v>199</v>
      </c>
      <c r="B330" s="841" t="s">
        <v>1321</v>
      </c>
    </row>
    <row r="331" spans="1:2" x14ac:dyDescent="0.45">
      <c r="A331" s="552">
        <v>200</v>
      </c>
      <c r="B331" s="841" t="s">
        <v>1322</v>
      </c>
    </row>
    <row r="332" spans="1:2" x14ac:dyDescent="0.45">
      <c r="A332" s="552">
        <v>201</v>
      </c>
      <c r="B332" s="841" t="s">
        <v>1323</v>
      </c>
    </row>
    <row r="333" spans="1:2" x14ac:dyDescent="0.45">
      <c r="A333" s="552">
        <v>202</v>
      </c>
      <c r="B333" s="841" t="s">
        <v>1324</v>
      </c>
    </row>
    <row r="334" spans="1:2" x14ac:dyDescent="0.45">
      <c r="A334" s="552">
        <v>203</v>
      </c>
      <c r="B334" s="841" t="s">
        <v>1325</v>
      </c>
    </row>
    <row r="335" spans="1:2" x14ac:dyDescent="0.45">
      <c r="A335" s="552">
        <v>204</v>
      </c>
      <c r="B335" s="841" t="s">
        <v>1326</v>
      </c>
    </row>
    <row r="336" spans="1:2" x14ac:dyDescent="0.45">
      <c r="A336" s="552">
        <v>205</v>
      </c>
      <c r="B336" s="841" t="s">
        <v>1327</v>
      </c>
    </row>
    <row r="337" spans="1:2" x14ac:dyDescent="0.45">
      <c r="A337" s="552">
        <v>206</v>
      </c>
      <c r="B337" s="841" t="s">
        <v>1328</v>
      </c>
    </row>
    <row r="338" spans="1:2" x14ac:dyDescent="0.45">
      <c r="A338" s="552">
        <v>207</v>
      </c>
      <c r="B338" s="841" t="s">
        <v>1329</v>
      </c>
    </row>
    <row r="339" spans="1:2" x14ac:dyDescent="0.45">
      <c r="A339" s="552">
        <v>208</v>
      </c>
      <c r="B339" s="841" t="s">
        <v>1330</v>
      </c>
    </row>
    <row r="340" spans="1:2" x14ac:dyDescent="0.45">
      <c r="A340" s="552">
        <v>209</v>
      </c>
      <c r="B340" s="841" t="s">
        <v>1331</v>
      </c>
    </row>
    <row r="341" spans="1:2" x14ac:dyDescent="0.45">
      <c r="A341" s="552">
        <v>210</v>
      </c>
      <c r="B341" s="841" t="s">
        <v>1332</v>
      </c>
    </row>
    <row r="342" spans="1:2" x14ac:dyDescent="0.45">
      <c r="A342" s="552">
        <v>211</v>
      </c>
      <c r="B342" s="841" t="s">
        <v>163</v>
      </c>
    </row>
    <row r="343" spans="1:2" x14ac:dyDescent="0.45">
      <c r="A343" s="552">
        <v>212</v>
      </c>
      <c r="B343" s="841" t="s">
        <v>1079</v>
      </c>
    </row>
    <row r="344" spans="1:2" x14ac:dyDescent="0.45">
      <c r="A344" s="552">
        <v>213</v>
      </c>
      <c r="B344" s="841" t="s">
        <v>1333</v>
      </c>
    </row>
    <row r="345" spans="1:2" x14ac:dyDescent="0.45">
      <c r="A345" s="552">
        <v>214</v>
      </c>
      <c r="B345" s="841" t="s">
        <v>1334</v>
      </c>
    </row>
    <row r="346" spans="1:2" x14ac:dyDescent="0.45">
      <c r="A346" s="552">
        <v>215</v>
      </c>
      <c r="B346" s="841" t="s">
        <v>1335</v>
      </c>
    </row>
    <row r="347" spans="1:2" x14ac:dyDescent="0.45">
      <c r="A347" s="552">
        <v>216</v>
      </c>
      <c r="B347" s="841" t="s">
        <v>1336</v>
      </c>
    </row>
    <row r="348" spans="1:2" x14ac:dyDescent="0.45">
      <c r="A348" s="552">
        <v>217</v>
      </c>
      <c r="B348" s="841" t="s">
        <v>1337</v>
      </c>
    </row>
    <row r="349" spans="1:2" x14ac:dyDescent="0.45">
      <c r="A349" s="552">
        <v>218</v>
      </c>
      <c r="B349" s="841" t="s">
        <v>1338</v>
      </c>
    </row>
    <row r="350" spans="1:2" x14ac:dyDescent="0.45">
      <c r="A350" s="552">
        <v>219</v>
      </c>
      <c r="B350" s="841" t="s">
        <v>1339</v>
      </c>
    </row>
    <row r="351" spans="1:2" x14ac:dyDescent="0.45">
      <c r="A351" s="552">
        <v>220</v>
      </c>
      <c r="B351" s="841" t="s">
        <v>1340</v>
      </c>
    </row>
    <row r="352" spans="1:2" x14ac:dyDescent="0.45">
      <c r="A352" s="552">
        <v>221</v>
      </c>
      <c r="B352" s="841" t="s">
        <v>1341</v>
      </c>
    </row>
    <row r="353" spans="1:2" x14ac:dyDescent="0.45">
      <c r="A353" s="552">
        <v>222</v>
      </c>
      <c r="B353" s="841" t="s">
        <v>1342</v>
      </c>
    </row>
    <row r="354" spans="1:2" x14ac:dyDescent="0.45">
      <c r="A354" s="552">
        <v>223</v>
      </c>
      <c r="B354" s="841" t="s">
        <v>1343</v>
      </c>
    </row>
    <row r="355" spans="1:2" x14ac:dyDescent="0.45">
      <c r="A355" s="552">
        <v>224</v>
      </c>
      <c r="B355" s="841" t="s">
        <v>1344</v>
      </c>
    </row>
    <row r="356" spans="1:2" x14ac:dyDescent="0.45">
      <c r="A356" s="552">
        <v>225</v>
      </c>
      <c r="B356" s="841" t="s">
        <v>1345</v>
      </c>
    </row>
    <row r="357" spans="1:2" x14ac:dyDescent="0.45">
      <c r="A357" s="552">
        <v>226</v>
      </c>
      <c r="B357" s="841" t="s">
        <v>1346</v>
      </c>
    </row>
    <row r="358" spans="1:2" x14ac:dyDescent="0.45">
      <c r="A358" s="552">
        <v>227</v>
      </c>
      <c r="B358" s="841" t="s">
        <v>1347</v>
      </c>
    </row>
    <row r="359" spans="1:2" x14ac:dyDescent="0.45">
      <c r="A359" s="552">
        <v>228</v>
      </c>
      <c r="B359" s="841" t="s">
        <v>1348</v>
      </c>
    </row>
    <row r="360" spans="1:2" x14ac:dyDescent="0.45">
      <c r="A360" s="552">
        <v>229</v>
      </c>
      <c r="B360" s="841" t="s">
        <v>1349</v>
      </c>
    </row>
    <row r="361" spans="1:2" x14ac:dyDescent="0.45">
      <c r="A361" s="552">
        <v>230</v>
      </c>
      <c r="B361" s="841" t="s">
        <v>1350</v>
      </c>
    </row>
    <row r="362" spans="1:2" x14ac:dyDescent="0.45">
      <c r="A362" s="552">
        <v>231</v>
      </c>
      <c r="B362" s="841" t="s">
        <v>1351</v>
      </c>
    </row>
    <row r="363" spans="1:2" x14ac:dyDescent="0.45">
      <c r="A363" s="552">
        <v>232</v>
      </c>
      <c r="B363" s="841" t="s">
        <v>1352</v>
      </c>
    </row>
    <row r="364" spans="1:2" x14ac:dyDescent="0.45">
      <c r="A364" s="552">
        <v>233</v>
      </c>
      <c r="B364" s="841" t="s">
        <v>1353</v>
      </c>
    </row>
    <row r="365" spans="1:2" x14ac:dyDescent="0.45">
      <c r="A365" s="552">
        <v>234</v>
      </c>
      <c r="B365" s="841" t="s">
        <v>1354</v>
      </c>
    </row>
    <row r="366" spans="1:2" x14ac:dyDescent="0.45">
      <c r="A366" s="552">
        <v>235</v>
      </c>
      <c r="B366" s="841" t="s">
        <v>1355</v>
      </c>
    </row>
    <row r="367" spans="1:2" x14ac:dyDescent="0.45">
      <c r="A367" s="552">
        <v>236</v>
      </c>
      <c r="B367" s="841" t="s">
        <v>1356</v>
      </c>
    </row>
    <row r="368" spans="1:2" x14ac:dyDescent="0.45">
      <c r="A368" s="552">
        <v>237</v>
      </c>
      <c r="B368" s="841" t="s">
        <v>1357</v>
      </c>
    </row>
    <row r="369" spans="1:2" x14ac:dyDescent="0.45">
      <c r="A369" s="552">
        <v>238</v>
      </c>
      <c r="B369" s="841" t="s">
        <v>1358</v>
      </c>
    </row>
    <row r="370" spans="1:2" x14ac:dyDescent="0.45">
      <c r="A370" s="552">
        <v>239</v>
      </c>
      <c r="B370" s="841" t="s">
        <v>1359</v>
      </c>
    </row>
    <row r="371" spans="1:2" x14ac:dyDescent="0.45">
      <c r="A371" s="552">
        <v>240</v>
      </c>
      <c r="B371" s="841" t="s">
        <v>1360</v>
      </c>
    </row>
    <row r="372" spans="1:2" x14ac:dyDescent="0.45">
      <c r="A372" s="552">
        <v>241</v>
      </c>
      <c r="B372" s="841" t="s">
        <v>1361</v>
      </c>
    </row>
    <row r="373" spans="1:2" x14ac:dyDescent="0.45">
      <c r="A373" s="552">
        <v>242</v>
      </c>
      <c r="B373" s="841" t="s">
        <v>1362</v>
      </c>
    </row>
    <row r="374" spans="1:2" x14ac:dyDescent="0.45">
      <c r="A374" s="552">
        <v>243</v>
      </c>
      <c r="B374" s="841" t="s">
        <v>1363</v>
      </c>
    </row>
    <row r="375" spans="1:2" x14ac:dyDescent="0.45">
      <c r="A375" s="552">
        <v>244</v>
      </c>
      <c r="B375" s="841" t="s">
        <v>1364</v>
      </c>
    </row>
    <row r="376" spans="1:2" x14ac:dyDescent="0.45">
      <c r="A376" s="552">
        <v>245</v>
      </c>
      <c r="B376" s="841" t="s">
        <v>1365</v>
      </c>
    </row>
    <row r="377" spans="1:2" x14ac:dyDescent="0.45">
      <c r="A377" s="552">
        <v>246</v>
      </c>
      <c r="B377" s="841" t="s">
        <v>1108</v>
      </c>
    </row>
    <row r="378" spans="1:2" x14ac:dyDescent="0.45">
      <c r="A378" s="552">
        <v>247</v>
      </c>
      <c r="B378" s="841" t="s">
        <v>1366</v>
      </c>
    </row>
    <row r="379" spans="1:2" x14ac:dyDescent="0.45">
      <c r="A379" s="552">
        <v>248</v>
      </c>
      <c r="B379" s="841" t="s">
        <v>1367</v>
      </c>
    </row>
    <row r="380" spans="1:2" x14ac:dyDescent="0.45">
      <c r="A380" s="552">
        <v>249</v>
      </c>
      <c r="B380" s="841" t="s">
        <v>1368</v>
      </c>
    </row>
    <row r="381" spans="1:2" x14ac:dyDescent="0.45">
      <c r="A381" s="552">
        <v>250</v>
      </c>
      <c r="B381" s="841" t="s">
        <v>1369</v>
      </c>
    </row>
    <row r="382" spans="1:2" x14ac:dyDescent="0.45">
      <c r="A382" s="552">
        <v>251</v>
      </c>
      <c r="B382" s="841" t="s">
        <v>1370</v>
      </c>
    </row>
    <row r="383" spans="1:2" x14ac:dyDescent="0.45">
      <c r="A383" s="552">
        <v>252</v>
      </c>
      <c r="B383" s="841" t="s">
        <v>1371</v>
      </c>
    </row>
    <row r="384" spans="1:2" x14ac:dyDescent="0.45">
      <c r="A384" s="552">
        <v>253</v>
      </c>
      <c r="B384" s="841" t="s">
        <v>1372</v>
      </c>
    </row>
    <row r="385" spans="1:2" x14ac:dyDescent="0.45">
      <c r="A385" s="552">
        <v>254</v>
      </c>
      <c r="B385" s="841" t="s">
        <v>1373</v>
      </c>
    </row>
    <row r="386" spans="1:2" x14ac:dyDescent="0.45">
      <c r="A386" s="552">
        <v>255</v>
      </c>
      <c r="B386" s="841" t="s">
        <v>1374</v>
      </c>
    </row>
    <row r="387" spans="1:2" x14ac:dyDescent="0.45">
      <c r="A387" s="552">
        <v>256</v>
      </c>
      <c r="B387" s="841" t="s">
        <v>1375</v>
      </c>
    </row>
    <row r="388" spans="1:2" x14ac:dyDescent="0.45">
      <c r="A388" s="552">
        <v>257</v>
      </c>
      <c r="B388" s="841" t="s">
        <v>1376</v>
      </c>
    </row>
    <row r="389" spans="1:2" x14ac:dyDescent="0.45">
      <c r="A389" s="552">
        <v>258</v>
      </c>
      <c r="B389" s="841" t="s">
        <v>1377</v>
      </c>
    </row>
    <row r="390" spans="1:2" x14ac:dyDescent="0.45">
      <c r="A390" s="552">
        <v>259</v>
      </c>
      <c r="B390" s="841" t="s">
        <v>1378</v>
      </c>
    </row>
    <row r="391" spans="1:2" x14ac:dyDescent="0.45">
      <c r="A391" s="552">
        <v>260</v>
      </c>
      <c r="B391" s="841" t="s">
        <v>1379</v>
      </c>
    </row>
    <row r="392" spans="1:2" x14ac:dyDescent="0.45">
      <c r="A392" s="552">
        <v>261</v>
      </c>
      <c r="B392" s="841" t="s">
        <v>1380</v>
      </c>
    </row>
    <row r="393" spans="1:2" x14ac:dyDescent="0.45">
      <c r="A393" s="552">
        <v>262</v>
      </c>
      <c r="B393" s="841" t="s">
        <v>1381</v>
      </c>
    </row>
    <row r="394" spans="1:2" x14ac:dyDescent="0.45">
      <c r="A394" s="552">
        <v>263</v>
      </c>
      <c r="B394" s="841" t="s">
        <v>1382</v>
      </c>
    </row>
    <row r="395" spans="1:2" x14ac:dyDescent="0.45">
      <c r="A395" s="552">
        <v>264</v>
      </c>
      <c r="B395" s="841" t="s">
        <v>1383</v>
      </c>
    </row>
    <row r="396" spans="1:2" x14ac:dyDescent="0.45">
      <c r="A396" s="552">
        <v>265</v>
      </c>
      <c r="B396" s="841" t="s">
        <v>1384</v>
      </c>
    </row>
    <row r="397" spans="1:2" x14ac:dyDescent="0.45">
      <c r="A397" s="552">
        <v>266</v>
      </c>
      <c r="B397" s="841" t="s">
        <v>1385</v>
      </c>
    </row>
    <row r="398" spans="1:2" x14ac:dyDescent="0.45">
      <c r="A398" s="552">
        <v>267</v>
      </c>
      <c r="B398" s="841" t="s">
        <v>1386</v>
      </c>
    </row>
    <row r="399" spans="1:2" x14ac:dyDescent="0.45">
      <c r="A399" s="552">
        <v>268</v>
      </c>
      <c r="B399" s="841" t="s">
        <v>1387</v>
      </c>
    </row>
    <row r="400" spans="1:2" x14ac:dyDescent="0.45">
      <c r="A400" s="552">
        <v>269</v>
      </c>
      <c r="B400" s="841" t="s">
        <v>1388</v>
      </c>
    </row>
  </sheetData>
  <mergeCells count="1">
    <mergeCell ref="K1:L1"/>
  </mergeCells>
  <dataValidations count="1">
    <dataValidation type="list" allowBlank="1" showInputMessage="1" showErrorMessage="1" sqref="B24 B42" xr:uid="{A3C836F1-FB89-4565-A8BB-888540093F76}">
      <formula1>#REF!</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FB7E9-68F5-4066-85A0-E2A3DA8953D2}">
  <sheetPr codeName="Sheet22"/>
  <dimension ref="A1:JI178"/>
  <sheetViews>
    <sheetView topLeftCell="A109" workbookViewId="0">
      <selection activeCell="K386" sqref="K386"/>
    </sheetView>
  </sheetViews>
  <sheetFormatPr defaultRowHeight="15" x14ac:dyDescent="0.25"/>
  <cols>
    <col min="1" max="1" width="11.140625" style="841" customWidth="1"/>
    <col min="2" max="2" width="54.140625" style="841" customWidth="1"/>
    <col min="3" max="3" width="11.28515625" style="841" customWidth="1"/>
    <col min="4" max="4" width="22.5703125" style="841" customWidth="1"/>
    <col min="5" max="5" width="30.5703125" style="841" customWidth="1"/>
    <col min="6" max="6" width="20.140625" style="841" customWidth="1"/>
    <col min="7" max="7" width="6" style="841" customWidth="1"/>
    <col min="8" max="8" width="26.140625" style="841" customWidth="1"/>
    <col min="9" max="9" width="28.7109375" style="841" customWidth="1"/>
    <col min="10" max="10" width="18.5703125" style="841" customWidth="1"/>
    <col min="11" max="11" width="37.42578125" style="841" customWidth="1"/>
    <col min="12" max="12" width="16.140625" style="841" customWidth="1"/>
    <col min="13" max="13" width="22.5703125" style="841" customWidth="1"/>
    <col min="14" max="14" width="13.7109375" style="841" customWidth="1"/>
    <col min="15" max="15" width="53.7109375" style="841" customWidth="1"/>
    <col min="16" max="16" width="21.85546875" style="841" customWidth="1"/>
    <col min="17" max="17" width="14.5703125" style="841" customWidth="1"/>
    <col min="18" max="18" width="26.5703125" style="841" customWidth="1"/>
    <col min="19" max="19" width="8" style="841" customWidth="1"/>
    <col min="20" max="20" width="15.85546875" style="841" customWidth="1"/>
    <col min="21" max="21" width="22.5703125" style="841" customWidth="1"/>
    <col min="22" max="22" width="23.140625" style="841" customWidth="1"/>
    <col min="23" max="23" width="16.7109375" style="841" customWidth="1"/>
    <col min="24" max="24" width="15.85546875" style="841" customWidth="1"/>
    <col min="25" max="25" width="25.85546875" style="841" customWidth="1"/>
    <col min="26" max="26" width="12.28515625" style="841" customWidth="1"/>
    <col min="27" max="27" width="17.42578125" style="841" customWidth="1"/>
    <col min="28" max="28" width="19" style="841" customWidth="1"/>
    <col min="29" max="29" width="32.7109375" style="841" customWidth="1"/>
    <col min="30" max="30" width="26.5703125" style="841" customWidth="1"/>
    <col min="31" max="31" width="17.7109375" style="841" customWidth="1"/>
    <col min="32" max="32" width="21.42578125" style="841" customWidth="1"/>
    <col min="33" max="34" width="26.5703125" style="841" customWidth="1"/>
    <col min="35" max="35" width="16.140625" style="841" customWidth="1"/>
    <col min="36" max="36" width="17.140625" style="841" customWidth="1"/>
    <col min="37" max="37" width="14.7109375" style="841" customWidth="1"/>
    <col min="38" max="38" width="8.7109375" style="841" customWidth="1"/>
    <col min="39" max="39" width="14.85546875" style="841" customWidth="1"/>
    <col min="40" max="40" width="21.7109375" style="841" customWidth="1"/>
    <col min="41" max="41" width="17.85546875" style="841" customWidth="1"/>
    <col min="42" max="42" width="25.85546875" style="841" customWidth="1"/>
    <col min="43" max="43" width="22.28515625" style="841" customWidth="1"/>
    <col min="44" max="44" width="20.85546875" style="841" customWidth="1"/>
    <col min="45" max="45" width="25.85546875" style="841" customWidth="1"/>
    <col min="46" max="46" width="17.85546875" style="841" customWidth="1"/>
    <col min="47" max="47" width="10.42578125" style="841" customWidth="1"/>
    <col min="48" max="48" width="35" style="841" customWidth="1"/>
    <col min="49" max="49" width="18.85546875" style="841" customWidth="1"/>
    <col min="50" max="50" width="26.5703125" style="841" customWidth="1"/>
    <col min="51" max="51" width="16.140625" style="841" customWidth="1"/>
    <col min="52" max="52" width="13.28515625" style="841" customWidth="1"/>
    <col min="53" max="53" width="16.85546875" style="841" customWidth="1"/>
    <col min="54" max="54" width="18.28515625" style="841" customWidth="1"/>
    <col min="55" max="55" width="15.140625" style="841" customWidth="1"/>
    <col min="56" max="56" width="9.42578125" style="841" customWidth="1"/>
    <col min="57" max="57" width="17.5703125" style="841" customWidth="1"/>
    <col min="58" max="58" width="8" style="841" customWidth="1"/>
    <col min="59" max="59" width="18.28515625" style="841" customWidth="1"/>
    <col min="60" max="60" width="16.140625" style="841" customWidth="1"/>
    <col min="61" max="61" width="12.7109375" style="841" customWidth="1"/>
    <col min="62" max="62" width="21.140625" style="841" customWidth="1"/>
    <col min="63" max="63" width="23.140625" style="841" customWidth="1"/>
    <col min="64" max="64" width="21.5703125" style="841" customWidth="1"/>
    <col min="65" max="65" width="15.42578125" style="841" customWidth="1"/>
    <col min="66" max="66" width="17.5703125" style="841" customWidth="1"/>
    <col min="67" max="67" width="12.5703125" style="841" customWidth="1"/>
    <col min="68" max="68" width="17.28515625" style="841" customWidth="1"/>
    <col min="69" max="69" width="25.85546875" style="841" customWidth="1"/>
    <col min="70" max="70" width="17.85546875" style="841" customWidth="1"/>
    <col min="71" max="71" width="9.42578125" style="841" customWidth="1"/>
    <col min="72" max="72" width="15.85546875" style="841" customWidth="1"/>
    <col min="73" max="73" width="17.85546875" style="841" customWidth="1"/>
    <col min="74" max="74" width="10.28515625" style="841" customWidth="1"/>
    <col min="75" max="75" width="16.7109375" style="841" customWidth="1"/>
    <col min="76" max="76" width="67" style="841" customWidth="1"/>
    <col min="77" max="77" width="18.28515625" style="841" customWidth="1"/>
    <col min="78" max="78" width="9.42578125" style="841" customWidth="1"/>
    <col min="79" max="79" width="16.5703125" style="841" customWidth="1"/>
    <col min="80" max="80" width="21.140625" style="841" customWidth="1"/>
    <col min="81" max="81" width="11.85546875" style="841" customWidth="1"/>
    <col min="82" max="82" width="16.140625" style="841" customWidth="1"/>
    <col min="83" max="83" width="12.7109375" style="841" customWidth="1"/>
    <col min="84" max="84" width="18" style="841" customWidth="1"/>
    <col min="85" max="85" width="18.28515625" style="841" customWidth="1"/>
    <col min="86" max="86" width="11.28515625" style="841" customWidth="1"/>
    <col min="87" max="87" width="26.140625" style="841" customWidth="1"/>
    <col min="88" max="88" width="22.28515625" style="841" customWidth="1"/>
    <col min="89" max="89" width="22.85546875" style="841" customWidth="1"/>
    <col min="90" max="90" width="16.140625" style="841" customWidth="1"/>
    <col min="91" max="91" width="22.28515625" style="841" customWidth="1"/>
    <col min="92" max="92" width="18" style="841" customWidth="1"/>
    <col min="93" max="93" width="9.42578125" style="841" customWidth="1"/>
    <col min="94" max="94" width="111.5703125" style="841" customWidth="1"/>
    <col min="95" max="95" width="12.7109375" style="841" customWidth="1"/>
    <col min="96" max="96" width="14.5703125" style="841" customWidth="1"/>
    <col min="97" max="97" width="8.5703125" style="841" customWidth="1"/>
    <col min="98" max="98" width="11.28515625" style="841" customWidth="1"/>
    <col min="99" max="99" width="18.140625" style="841" customWidth="1"/>
    <col min="100" max="100" width="18.28515625" style="841" customWidth="1"/>
    <col min="101" max="101" width="21.140625" style="841" customWidth="1"/>
    <col min="102" max="102" width="14.5703125" style="841" customWidth="1"/>
    <col min="103" max="103" width="12.7109375" style="841" customWidth="1"/>
    <col min="104" max="104" width="25.85546875" style="841" customWidth="1"/>
    <col min="105" max="105" width="21.140625" style="841" customWidth="1"/>
    <col min="106" max="106" width="18.28515625" style="841" customWidth="1"/>
    <col min="107" max="107" width="11.28515625" style="841" customWidth="1"/>
    <col min="108" max="108" width="17.5703125" style="841" customWidth="1"/>
    <col min="109" max="109" width="18.42578125" style="841" customWidth="1"/>
    <col min="110" max="110" width="23.28515625" style="841" customWidth="1"/>
    <col min="111" max="111" width="11.28515625" style="841" customWidth="1"/>
    <col min="112" max="112" width="18.42578125" style="841" customWidth="1"/>
    <col min="113" max="113" width="33.140625" style="841" customWidth="1"/>
    <col min="114" max="114" width="135.5703125" style="841" customWidth="1"/>
    <col min="115" max="115" width="14.5703125" style="841" customWidth="1"/>
    <col min="116" max="116" width="15.42578125" style="841" customWidth="1"/>
    <col min="117" max="117" width="13.85546875" style="841" customWidth="1"/>
    <col min="118" max="118" width="17.85546875" style="841" customWidth="1"/>
    <col min="119" max="119" width="10.140625" style="841" customWidth="1"/>
    <col min="120" max="120" width="9.42578125" style="841" customWidth="1"/>
    <col min="121" max="121" width="7" style="841" customWidth="1"/>
    <col min="122" max="122" width="16.140625" style="841" customWidth="1"/>
    <col min="123" max="123" width="27.140625" style="841" customWidth="1"/>
    <col min="124" max="124" width="7" style="841" customWidth="1"/>
    <col min="125" max="125" width="13.85546875" style="841" customWidth="1"/>
    <col min="126" max="126" width="17.140625" style="841" customWidth="1"/>
    <col min="127" max="127" width="10.42578125" style="841" customWidth="1"/>
    <col min="128" max="128" width="23" style="841" customWidth="1"/>
    <col min="129" max="129" width="19" style="841" customWidth="1"/>
    <col min="130" max="130" width="12.7109375" style="841" customWidth="1"/>
    <col min="131" max="131" width="11.28515625" style="841" customWidth="1"/>
    <col min="132" max="132" width="19" style="841" customWidth="1"/>
    <col min="133" max="133" width="13.85546875" style="841" customWidth="1"/>
    <col min="134" max="134" width="24.42578125" style="841" customWidth="1"/>
    <col min="135" max="135" width="33.28515625" style="841" customWidth="1"/>
    <col min="136" max="136" width="21.5703125" style="841" customWidth="1"/>
    <col min="137" max="137" width="18.5703125" style="841" customWidth="1"/>
    <col min="138" max="138" width="24" style="841" customWidth="1"/>
    <col min="139" max="139" width="12.7109375" style="841" customWidth="1"/>
    <col min="140" max="140" width="13.85546875" style="841" customWidth="1"/>
    <col min="141" max="141" width="4.85546875" style="841" customWidth="1"/>
    <col min="142" max="142" width="18.7109375" style="841" customWidth="1"/>
    <col min="143" max="143" width="17.28515625" style="841" customWidth="1"/>
    <col min="144" max="144" width="22.28515625" style="841" customWidth="1"/>
    <col min="145" max="145" width="15.85546875" style="841" customWidth="1"/>
    <col min="146" max="147" width="18.5703125" style="841" customWidth="1"/>
    <col min="148" max="148" width="25.28515625" style="841" customWidth="1"/>
    <col min="149" max="149" width="10.42578125" style="841" customWidth="1"/>
    <col min="150" max="150" width="18.7109375" style="841" customWidth="1"/>
    <col min="151" max="151" width="25.5703125" style="841" customWidth="1"/>
    <col min="152" max="152" width="22.28515625" style="841" customWidth="1"/>
    <col min="153" max="153" width="37.5703125" style="841" customWidth="1"/>
    <col min="154" max="154" width="13.7109375" style="841" customWidth="1"/>
    <col min="155" max="156" width="15.42578125" style="841" customWidth="1"/>
    <col min="157" max="157" width="16.5703125" style="841" customWidth="1"/>
    <col min="158" max="158" width="32.42578125" style="841" customWidth="1"/>
    <col min="159" max="159" width="37.5703125" style="841" customWidth="1"/>
    <col min="160" max="160" width="24.28515625" style="841" customWidth="1"/>
    <col min="161" max="161" width="18.7109375" style="841" customWidth="1"/>
    <col min="162" max="162" width="18.5703125" style="841" customWidth="1"/>
    <col min="163" max="163" width="37.140625" style="841" customWidth="1"/>
    <col min="164" max="165" width="22.28515625" style="841" customWidth="1"/>
    <col min="166" max="166" width="15.85546875" style="841" customWidth="1"/>
    <col min="167" max="167" width="37.5703125" style="841" customWidth="1"/>
    <col min="168" max="168" width="20.140625" style="841" customWidth="1"/>
    <col min="169" max="169" width="47.42578125" style="841" customWidth="1"/>
    <col min="170" max="170" width="24.28515625" style="841" customWidth="1"/>
    <col min="171" max="171" width="21.140625" style="841" customWidth="1"/>
    <col min="172" max="172" width="15.42578125" style="841" customWidth="1"/>
    <col min="173" max="173" width="6.5703125" style="841" customWidth="1"/>
    <col min="174" max="174" width="24.7109375" style="841" customWidth="1"/>
    <col min="175" max="175" width="37.5703125" style="841" customWidth="1"/>
    <col min="176" max="176" width="12.5703125" style="841" customWidth="1"/>
    <col min="177" max="177" width="35.42578125" style="841" customWidth="1"/>
    <col min="178" max="178" width="20.140625" style="841" customWidth="1"/>
    <col min="179" max="179" width="15.85546875" style="841" customWidth="1"/>
    <col min="180" max="181" width="24.28515625" style="841" customWidth="1"/>
    <col min="182" max="182" width="20.140625" style="841" customWidth="1"/>
    <col min="183" max="183" width="24.28515625" style="841" customWidth="1"/>
    <col min="184" max="184" width="26.7109375" style="841" customWidth="1"/>
    <col min="185" max="185" width="15.85546875" style="841" customWidth="1"/>
    <col min="186" max="186" width="36.7109375" style="841" customWidth="1"/>
    <col min="187" max="187" width="24.28515625" style="841" customWidth="1"/>
    <col min="188" max="188" width="19" style="841" customWidth="1"/>
    <col min="189" max="189" width="18" style="841" customWidth="1"/>
    <col min="190" max="190" width="15.28515625" style="841" customWidth="1"/>
    <col min="191" max="191" width="16.85546875" style="841" customWidth="1"/>
    <col min="192" max="192" width="28" style="841" customWidth="1"/>
    <col min="193" max="193" width="23.28515625" style="841" customWidth="1"/>
    <col min="194" max="194" width="19.42578125" style="841" customWidth="1"/>
    <col min="195" max="195" width="24.28515625" style="841" customWidth="1"/>
    <col min="196" max="196" width="19.7109375" style="841" customWidth="1"/>
    <col min="197" max="197" width="22.28515625" style="841" customWidth="1"/>
    <col min="198" max="198" width="24.28515625" style="841" customWidth="1"/>
    <col min="199" max="199" width="15.85546875" style="841" customWidth="1"/>
    <col min="200" max="200" width="15.42578125" style="841" customWidth="1"/>
    <col min="201" max="201" width="14.42578125" style="841" customWidth="1"/>
    <col min="202" max="202" width="22.28515625" style="841" customWidth="1"/>
    <col min="203" max="203" width="16.5703125" style="841" customWidth="1"/>
    <col min="204" max="204" width="13.28515625" style="841" customWidth="1"/>
    <col min="205" max="205" width="15.85546875" style="841" customWidth="1"/>
    <col min="206" max="206" width="34.28515625" style="841" customWidth="1"/>
    <col min="207" max="207" width="17.7109375" style="841" customWidth="1"/>
    <col min="208" max="208" width="13" style="841" customWidth="1"/>
    <col min="209" max="209" width="28" style="841" customWidth="1"/>
    <col min="210" max="210" width="22.28515625" style="841" customWidth="1"/>
    <col min="211" max="211" width="9.85546875" style="841" customWidth="1"/>
    <col min="212" max="212" width="127" style="841" customWidth="1"/>
    <col min="213" max="213" width="22" style="841" customWidth="1"/>
    <col min="214" max="214" width="28" style="841" customWidth="1"/>
    <col min="215" max="215" width="22.28515625" style="841" customWidth="1"/>
    <col min="216" max="216" width="19.7109375" style="841" customWidth="1"/>
    <col min="217" max="217" width="36.5703125" style="841" customWidth="1"/>
    <col min="218" max="218" width="22.28515625" style="841" customWidth="1"/>
    <col min="219" max="219" width="8" style="841" customWidth="1"/>
    <col min="220" max="220" width="7.42578125" style="841" customWidth="1"/>
    <col min="221" max="221" width="18.5703125" style="841" customWidth="1"/>
    <col min="222" max="222" width="16.85546875" style="841" customWidth="1"/>
    <col min="223" max="223" width="28.28515625" style="841" customWidth="1"/>
    <col min="224" max="224" width="17.5703125" style="841" customWidth="1"/>
    <col min="225" max="225" width="6.5703125" style="841" customWidth="1"/>
    <col min="226" max="226" width="28" style="841" customWidth="1"/>
    <col min="227" max="227" width="20.85546875" style="841" customWidth="1"/>
    <col min="228" max="228" width="28" style="841" customWidth="1"/>
    <col min="229" max="229" width="28.28515625" style="841" customWidth="1"/>
    <col min="230" max="232" width="22.28515625" style="841" customWidth="1"/>
    <col min="233" max="233" width="28.28515625" style="841" customWidth="1"/>
    <col min="234" max="234" width="14.28515625" style="841" customWidth="1"/>
    <col min="235" max="235" width="27.5703125" style="841" customWidth="1"/>
    <col min="236" max="236" width="73.28515625" style="841" customWidth="1"/>
    <col min="237" max="237" width="16.85546875" style="841" customWidth="1"/>
    <col min="238" max="239" width="29.28515625" style="841" customWidth="1"/>
    <col min="240" max="240" width="22.7109375" style="841" customWidth="1"/>
    <col min="241" max="241" width="14.28515625" style="841" customWidth="1"/>
    <col min="242" max="242" width="22.28515625" style="841" customWidth="1"/>
    <col min="243" max="243" width="28.28515625" style="841" customWidth="1"/>
    <col min="244" max="244" width="37.5703125" style="841" customWidth="1"/>
    <col min="245" max="245" width="14.5703125" style="841" customWidth="1"/>
    <col min="246" max="246" width="17.140625" style="841" customWidth="1"/>
    <col min="247" max="247" width="28.42578125" style="841" customWidth="1"/>
    <col min="248" max="248" width="22.28515625" style="841" customWidth="1"/>
    <col min="249" max="249" width="17.140625" style="841" customWidth="1"/>
    <col min="250" max="250" width="18.28515625" style="841" customWidth="1"/>
    <col min="251" max="251" width="14.5703125" style="841" customWidth="1"/>
    <col min="252" max="252" width="20.28515625" style="841" customWidth="1"/>
    <col min="253" max="253" width="13" style="841" customWidth="1"/>
    <col min="254" max="254" width="22.28515625" style="841" customWidth="1"/>
    <col min="255" max="255" width="30.7109375" style="841" customWidth="1"/>
    <col min="256" max="256" width="28.42578125" style="841" customWidth="1"/>
    <col min="257" max="257" width="100.42578125" style="841" customWidth="1"/>
    <col min="258" max="258" width="15.5703125" style="841" customWidth="1"/>
    <col min="259" max="259" width="9.140625" style="841" customWidth="1"/>
    <col min="260" max="260" width="68.140625" style="841" customWidth="1"/>
    <col min="261" max="261" width="24.7109375" style="841" customWidth="1"/>
    <col min="262" max="262" width="77.42578125" style="841" customWidth="1"/>
    <col min="263" max="263" width="16.7109375" style="841" customWidth="1"/>
    <col min="264" max="264" width="12.85546875" style="841" customWidth="1"/>
    <col min="265" max="265" width="26.85546875" style="841" customWidth="1"/>
    <col min="266" max="266" width="20.5703125" style="841" customWidth="1"/>
    <col min="267" max="267" width="52.7109375" style="841" customWidth="1"/>
    <col min="268" max="268" width="20" style="841" customWidth="1"/>
    <col min="269" max="269" width="69.7109375" style="841" customWidth="1"/>
    <col min="270" max="16384" width="9.140625" style="841"/>
  </cols>
  <sheetData>
    <row r="1" spans="1:269" x14ac:dyDescent="0.25">
      <c r="A1" s="841" t="s">
        <v>1133</v>
      </c>
      <c r="B1" s="841" t="s">
        <v>1134</v>
      </c>
      <c r="C1" s="841" t="s">
        <v>1135</v>
      </c>
      <c r="D1" s="841" t="s">
        <v>1136</v>
      </c>
      <c r="E1" s="841" t="s">
        <v>1137</v>
      </c>
      <c r="F1" s="841" t="s">
        <v>1138</v>
      </c>
      <c r="G1" s="841" t="s">
        <v>161</v>
      </c>
      <c r="H1" s="841" t="s">
        <v>1139</v>
      </c>
      <c r="I1" s="841" t="s">
        <v>1140</v>
      </c>
      <c r="J1" s="841" t="s">
        <v>1141</v>
      </c>
      <c r="K1" s="841" t="s">
        <v>1142</v>
      </c>
      <c r="L1" s="841" t="s">
        <v>1143</v>
      </c>
      <c r="M1" s="841" t="s">
        <v>1144</v>
      </c>
      <c r="N1" s="841" t="s">
        <v>1145</v>
      </c>
      <c r="O1" s="841" t="s">
        <v>1146</v>
      </c>
      <c r="P1" s="841" t="s">
        <v>1147</v>
      </c>
      <c r="Q1" s="841" t="s">
        <v>1148</v>
      </c>
      <c r="R1" s="841" t="s">
        <v>1149</v>
      </c>
      <c r="S1" s="841" t="s">
        <v>512</v>
      </c>
      <c r="T1" s="841" t="s">
        <v>1150</v>
      </c>
      <c r="U1" s="841" t="s">
        <v>1151</v>
      </c>
      <c r="V1" s="841" t="s">
        <v>1152</v>
      </c>
      <c r="W1" s="841" t="s">
        <v>1153</v>
      </c>
      <c r="X1" s="841" t="s">
        <v>1154</v>
      </c>
      <c r="Y1" s="841" t="s">
        <v>1155</v>
      </c>
      <c r="Z1" s="841" t="s">
        <v>1156</v>
      </c>
      <c r="AA1" s="841" t="s">
        <v>1157</v>
      </c>
      <c r="AB1" s="841" t="s">
        <v>1158</v>
      </c>
      <c r="AC1" s="841" t="s">
        <v>1159</v>
      </c>
      <c r="AD1" s="841" t="s">
        <v>1160</v>
      </c>
      <c r="AE1" s="841" t="s">
        <v>1161</v>
      </c>
      <c r="AF1" s="841" t="s">
        <v>1162</v>
      </c>
      <c r="AG1" s="841" t="s">
        <v>1163</v>
      </c>
      <c r="AH1" s="841" t="s">
        <v>1164</v>
      </c>
      <c r="AI1" s="841" t="s">
        <v>1165</v>
      </c>
      <c r="AJ1" s="841" t="s">
        <v>1166</v>
      </c>
      <c r="AK1" s="841" t="s">
        <v>1167</v>
      </c>
      <c r="AL1" s="841" t="s">
        <v>1168</v>
      </c>
      <c r="AM1" s="841" t="s">
        <v>1169</v>
      </c>
      <c r="AN1" s="841" t="s">
        <v>1170</v>
      </c>
      <c r="AO1" s="841" t="s">
        <v>1171</v>
      </c>
      <c r="AP1" s="841" t="s">
        <v>1172</v>
      </c>
      <c r="AQ1" s="841" t="s">
        <v>1173</v>
      </c>
      <c r="AR1" s="841" t="s">
        <v>1174</v>
      </c>
      <c r="AS1" s="841" t="s">
        <v>1175</v>
      </c>
      <c r="AT1" s="841" t="s">
        <v>1176</v>
      </c>
      <c r="AU1" s="841" t="s">
        <v>1177</v>
      </c>
      <c r="AV1" s="841" t="s">
        <v>1178</v>
      </c>
      <c r="AW1" s="841" t="s">
        <v>1179</v>
      </c>
      <c r="AX1" s="841" t="s">
        <v>1180</v>
      </c>
      <c r="AY1" s="841" t="s">
        <v>1181</v>
      </c>
      <c r="AZ1" s="841" t="s">
        <v>1182</v>
      </c>
      <c r="BA1" s="841" t="s">
        <v>1183</v>
      </c>
      <c r="BB1" s="841" t="s">
        <v>1184</v>
      </c>
      <c r="BC1" s="841" t="s">
        <v>1107</v>
      </c>
      <c r="BD1" s="841" t="s">
        <v>1185</v>
      </c>
      <c r="BE1" s="841" t="s">
        <v>1186</v>
      </c>
      <c r="BF1" s="841" t="s">
        <v>1187</v>
      </c>
      <c r="BG1" s="841" t="s">
        <v>1188</v>
      </c>
      <c r="BH1" s="841" t="s">
        <v>1189</v>
      </c>
      <c r="BI1" s="841" t="s">
        <v>1190</v>
      </c>
      <c r="BJ1" s="841" t="s">
        <v>1191</v>
      </c>
      <c r="BK1" s="841" t="s">
        <v>1192</v>
      </c>
      <c r="BL1" s="841" t="s">
        <v>1193</v>
      </c>
      <c r="BM1" s="841" t="s">
        <v>1194</v>
      </c>
      <c r="BN1" s="841" t="s">
        <v>1195</v>
      </c>
      <c r="BO1" s="841" t="s">
        <v>1196</v>
      </c>
      <c r="BP1" s="841" t="s">
        <v>1197</v>
      </c>
      <c r="BQ1" s="841" t="s">
        <v>1198</v>
      </c>
      <c r="BR1" s="841" t="s">
        <v>1199</v>
      </c>
      <c r="BS1" s="841" t="s">
        <v>1200</v>
      </c>
      <c r="BT1" s="841" t="s">
        <v>1201</v>
      </c>
      <c r="BU1" s="841" t="s">
        <v>1202</v>
      </c>
      <c r="BV1" s="841" t="s">
        <v>1203</v>
      </c>
      <c r="BW1" s="841" t="s">
        <v>1204</v>
      </c>
      <c r="BX1" s="841" t="s">
        <v>1205</v>
      </c>
      <c r="BY1" s="841" t="s">
        <v>1206</v>
      </c>
      <c r="BZ1" s="841" t="s">
        <v>1207</v>
      </c>
      <c r="CA1" s="841" t="s">
        <v>1208</v>
      </c>
      <c r="CB1" s="841" t="s">
        <v>1209</v>
      </c>
      <c r="CC1" s="841" t="s">
        <v>452</v>
      </c>
      <c r="CD1" s="841" t="s">
        <v>1210</v>
      </c>
      <c r="CE1" s="841" t="s">
        <v>1211</v>
      </c>
      <c r="CF1" s="841" t="s">
        <v>1212</v>
      </c>
      <c r="CG1" s="841" t="s">
        <v>1213</v>
      </c>
      <c r="CH1" s="841" t="s">
        <v>1214</v>
      </c>
      <c r="CI1" s="841" t="s">
        <v>1215</v>
      </c>
      <c r="CJ1" s="841" t="s">
        <v>1216</v>
      </c>
      <c r="CK1" s="841" t="s">
        <v>1217</v>
      </c>
      <c r="CL1" s="841" t="s">
        <v>1218</v>
      </c>
      <c r="CM1" s="841" t="s">
        <v>1219</v>
      </c>
      <c r="CN1" s="841" t="s">
        <v>1220</v>
      </c>
      <c r="CO1" s="841" t="s">
        <v>1221</v>
      </c>
      <c r="CP1" s="841" t="s">
        <v>1222</v>
      </c>
      <c r="CQ1" s="841" t="s">
        <v>1223</v>
      </c>
      <c r="CR1" s="841" t="s">
        <v>1224</v>
      </c>
      <c r="CS1" s="841" t="s">
        <v>491</v>
      </c>
      <c r="CT1" s="841" t="s">
        <v>1225</v>
      </c>
      <c r="CU1" s="841" t="s">
        <v>1226</v>
      </c>
      <c r="CV1" s="841" t="s">
        <v>1227</v>
      </c>
      <c r="CW1" s="841" t="s">
        <v>1228</v>
      </c>
      <c r="CX1" s="841" t="s">
        <v>1229</v>
      </c>
      <c r="CY1" s="841" t="s">
        <v>1230</v>
      </c>
      <c r="CZ1" s="841" t="s">
        <v>1231</v>
      </c>
      <c r="DA1" s="841" t="s">
        <v>1232</v>
      </c>
      <c r="DB1" s="841" t="s">
        <v>1233</v>
      </c>
      <c r="DC1" s="841" t="s">
        <v>1234</v>
      </c>
      <c r="DD1" s="841" t="s">
        <v>1235</v>
      </c>
      <c r="DE1" s="841" t="s">
        <v>1236</v>
      </c>
      <c r="DF1" s="841" t="s">
        <v>1237</v>
      </c>
      <c r="DG1" s="841" t="s">
        <v>1238</v>
      </c>
      <c r="DH1" s="841" t="s">
        <v>1239</v>
      </c>
      <c r="DI1" s="841" t="s">
        <v>1240</v>
      </c>
      <c r="DJ1" s="841" t="s">
        <v>1077</v>
      </c>
      <c r="DK1" s="841" t="s">
        <v>1241</v>
      </c>
      <c r="DL1" s="841" t="s">
        <v>1242</v>
      </c>
      <c r="DM1" s="841" t="s">
        <v>1243</v>
      </c>
      <c r="DN1" s="841" t="s">
        <v>1244</v>
      </c>
      <c r="DO1" s="841" t="s">
        <v>1245</v>
      </c>
      <c r="DP1" s="841" t="s">
        <v>1246</v>
      </c>
      <c r="DQ1" s="841" t="s">
        <v>1076</v>
      </c>
      <c r="DR1" s="841" t="s">
        <v>1247</v>
      </c>
      <c r="DS1" s="841" t="s">
        <v>1248</v>
      </c>
      <c r="DT1" s="841" t="s">
        <v>1127</v>
      </c>
      <c r="DU1" s="841" t="s">
        <v>1249</v>
      </c>
      <c r="DV1" s="841" t="s">
        <v>1250</v>
      </c>
      <c r="DW1" s="841" t="s">
        <v>293</v>
      </c>
      <c r="DX1" s="841" t="s">
        <v>1251</v>
      </c>
      <c r="DY1" s="841" t="s">
        <v>1252</v>
      </c>
      <c r="DZ1" s="841" t="s">
        <v>1253</v>
      </c>
      <c r="EA1" s="841" t="s">
        <v>1254</v>
      </c>
      <c r="EB1" s="841" t="s">
        <v>1255</v>
      </c>
      <c r="EC1" s="841" t="s">
        <v>1256</v>
      </c>
      <c r="ED1" s="841" t="s">
        <v>1257</v>
      </c>
      <c r="EE1" s="841" t="s">
        <v>1258</v>
      </c>
      <c r="EF1" s="841" t="s">
        <v>1259</v>
      </c>
      <c r="EG1" s="841" t="s">
        <v>1260</v>
      </c>
      <c r="EH1" s="841" t="s">
        <v>1261</v>
      </c>
      <c r="EI1" s="841" t="s">
        <v>1262</v>
      </c>
      <c r="EJ1" s="841" t="s">
        <v>1263</v>
      </c>
      <c r="EK1" s="841" t="s">
        <v>364</v>
      </c>
      <c r="EL1" s="841" t="s">
        <v>1264</v>
      </c>
      <c r="EM1" s="841" t="s">
        <v>1265</v>
      </c>
      <c r="EN1" s="841" t="s">
        <v>1266</v>
      </c>
      <c r="EO1" s="841" t="s">
        <v>1267</v>
      </c>
      <c r="EP1" s="841" t="s">
        <v>1268</v>
      </c>
      <c r="EQ1" s="841" t="s">
        <v>1269</v>
      </c>
      <c r="ER1" s="841" t="s">
        <v>1270</v>
      </c>
      <c r="ES1" s="841" t="s">
        <v>1271</v>
      </c>
      <c r="ET1" s="841" t="s">
        <v>1272</v>
      </c>
      <c r="EU1" s="841" t="s">
        <v>1273</v>
      </c>
      <c r="EV1" s="841" t="s">
        <v>1274</v>
      </c>
      <c r="EW1" s="841" t="s">
        <v>1275</v>
      </c>
      <c r="EX1" s="841" t="s">
        <v>1276</v>
      </c>
      <c r="EY1" s="841" t="s">
        <v>1277</v>
      </c>
      <c r="EZ1" s="841" t="s">
        <v>1278</v>
      </c>
      <c r="FA1" s="841" t="s">
        <v>1279</v>
      </c>
      <c r="FB1" s="841" t="s">
        <v>1280</v>
      </c>
      <c r="FC1" s="841" t="s">
        <v>1281</v>
      </c>
      <c r="FD1" s="841" t="s">
        <v>1282</v>
      </c>
      <c r="FE1" s="841" t="s">
        <v>1283</v>
      </c>
      <c r="FF1" s="841" t="s">
        <v>1284</v>
      </c>
      <c r="FG1" s="841" t="s">
        <v>1285</v>
      </c>
      <c r="FH1" s="841" t="s">
        <v>1286</v>
      </c>
      <c r="FI1" s="841" t="s">
        <v>1287</v>
      </c>
      <c r="FJ1" s="841" t="s">
        <v>1288</v>
      </c>
      <c r="FK1" s="841" t="s">
        <v>1289</v>
      </c>
      <c r="FL1" s="841" t="s">
        <v>1290</v>
      </c>
      <c r="FM1" s="841" t="s">
        <v>1291</v>
      </c>
      <c r="FN1" s="841" t="s">
        <v>1292</v>
      </c>
      <c r="FO1" s="841" t="s">
        <v>1293</v>
      </c>
      <c r="FP1" s="841" t="s">
        <v>1294</v>
      </c>
      <c r="FQ1" s="841" t="s">
        <v>1295</v>
      </c>
      <c r="FR1" s="841" t="s">
        <v>1296</v>
      </c>
      <c r="FS1" s="841" t="s">
        <v>1297</v>
      </c>
      <c r="FT1" s="841" t="s">
        <v>1298</v>
      </c>
      <c r="FU1" s="841" t="s">
        <v>1299</v>
      </c>
      <c r="FV1" s="841" t="s">
        <v>1300</v>
      </c>
      <c r="FW1" s="841" t="s">
        <v>1301</v>
      </c>
      <c r="FX1" s="841" t="s">
        <v>1302</v>
      </c>
      <c r="FY1" s="841" t="s">
        <v>1303</v>
      </c>
      <c r="FZ1" s="841" t="s">
        <v>1304</v>
      </c>
      <c r="GA1" s="841" t="s">
        <v>1305</v>
      </c>
      <c r="GB1" s="841" t="s">
        <v>1306</v>
      </c>
      <c r="GC1" s="841" t="s">
        <v>1307</v>
      </c>
      <c r="GD1" s="841" t="s">
        <v>1308</v>
      </c>
      <c r="GE1" s="841" t="s">
        <v>1309</v>
      </c>
      <c r="GF1" s="841" t="s">
        <v>1310</v>
      </c>
      <c r="GG1" s="841" t="s">
        <v>1311</v>
      </c>
      <c r="GH1" s="841" t="s">
        <v>1312</v>
      </c>
      <c r="GI1" s="841" t="s">
        <v>1313</v>
      </c>
      <c r="GJ1" s="841" t="s">
        <v>1314</v>
      </c>
      <c r="GK1" s="841" t="s">
        <v>1315</v>
      </c>
      <c r="GL1" s="841" t="s">
        <v>1316</v>
      </c>
      <c r="GM1" s="841" t="s">
        <v>1317</v>
      </c>
      <c r="GN1" s="841" t="s">
        <v>1318</v>
      </c>
      <c r="GO1" s="841" t="s">
        <v>1319</v>
      </c>
      <c r="GP1" s="841" t="s">
        <v>1320</v>
      </c>
      <c r="GQ1" s="841" t="s">
        <v>1321</v>
      </c>
      <c r="GR1" s="841" t="s">
        <v>1322</v>
      </c>
      <c r="GS1" s="841" t="s">
        <v>1323</v>
      </c>
      <c r="GT1" s="841" t="s">
        <v>1324</v>
      </c>
      <c r="GU1" s="841" t="s">
        <v>1325</v>
      </c>
      <c r="GV1" s="841" t="s">
        <v>1326</v>
      </c>
      <c r="GW1" s="841" t="s">
        <v>1327</v>
      </c>
      <c r="GX1" s="841" t="s">
        <v>1328</v>
      </c>
      <c r="GY1" s="841" t="s">
        <v>1329</v>
      </c>
      <c r="GZ1" s="841" t="s">
        <v>1330</v>
      </c>
      <c r="HA1" s="841" t="s">
        <v>1331</v>
      </c>
      <c r="HB1" s="841" t="s">
        <v>1332</v>
      </c>
      <c r="HC1" s="841" t="s">
        <v>163</v>
      </c>
      <c r="HD1" s="841" t="s">
        <v>1079</v>
      </c>
      <c r="HE1" s="841" t="s">
        <v>1333</v>
      </c>
      <c r="HF1" s="841" t="s">
        <v>1334</v>
      </c>
      <c r="HG1" s="841" t="s">
        <v>1335</v>
      </c>
      <c r="HH1" s="841" t="s">
        <v>1336</v>
      </c>
      <c r="HI1" s="841" t="s">
        <v>1337</v>
      </c>
      <c r="HJ1" s="841" t="s">
        <v>1338</v>
      </c>
      <c r="HK1" s="841" t="s">
        <v>1339</v>
      </c>
      <c r="HL1" s="841" t="s">
        <v>1340</v>
      </c>
      <c r="HM1" s="841" t="s">
        <v>1341</v>
      </c>
      <c r="HN1" s="841" t="s">
        <v>1342</v>
      </c>
      <c r="HO1" s="841" t="s">
        <v>1343</v>
      </c>
      <c r="HP1" s="841" t="s">
        <v>1344</v>
      </c>
      <c r="HQ1" s="841" t="s">
        <v>1345</v>
      </c>
      <c r="HR1" s="841" t="s">
        <v>1346</v>
      </c>
      <c r="HS1" s="841" t="s">
        <v>1347</v>
      </c>
      <c r="HT1" s="841" t="s">
        <v>1348</v>
      </c>
      <c r="HU1" s="841" t="s">
        <v>1349</v>
      </c>
      <c r="HV1" s="841" t="s">
        <v>1350</v>
      </c>
      <c r="HW1" s="841" t="s">
        <v>1351</v>
      </c>
      <c r="HX1" s="841" t="s">
        <v>1352</v>
      </c>
      <c r="HY1" s="841" t="s">
        <v>1353</v>
      </c>
      <c r="HZ1" s="841" t="s">
        <v>1354</v>
      </c>
      <c r="IA1" s="841" t="s">
        <v>1355</v>
      </c>
      <c r="IB1" s="841" t="s">
        <v>1356</v>
      </c>
      <c r="IC1" s="841" t="s">
        <v>1357</v>
      </c>
      <c r="ID1" s="841" t="s">
        <v>1358</v>
      </c>
      <c r="IE1" s="841" t="s">
        <v>1359</v>
      </c>
      <c r="IF1" s="841" t="s">
        <v>1360</v>
      </c>
      <c r="IG1" s="841" t="s">
        <v>1361</v>
      </c>
      <c r="IH1" s="841" t="s">
        <v>1362</v>
      </c>
      <c r="II1" s="841" t="s">
        <v>1363</v>
      </c>
      <c r="IJ1" s="841" t="s">
        <v>1364</v>
      </c>
      <c r="IK1" s="841" t="s">
        <v>1365</v>
      </c>
      <c r="IL1" s="841" t="s">
        <v>1108</v>
      </c>
      <c r="IM1" s="841" t="s">
        <v>1366</v>
      </c>
      <c r="IN1" s="841" t="s">
        <v>1367</v>
      </c>
      <c r="IO1" s="841" t="s">
        <v>1368</v>
      </c>
      <c r="IP1" s="841" t="s">
        <v>1369</v>
      </c>
      <c r="IQ1" s="841" t="s">
        <v>1370</v>
      </c>
      <c r="IR1" s="841" t="s">
        <v>1371</v>
      </c>
      <c r="IS1" s="841" t="s">
        <v>1372</v>
      </c>
      <c r="IT1" s="841" t="s">
        <v>1373</v>
      </c>
      <c r="IU1" s="841" t="s">
        <v>1374</v>
      </c>
      <c r="IV1" s="841" t="s">
        <v>1375</v>
      </c>
      <c r="IW1" s="841" t="s">
        <v>1376</v>
      </c>
      <c r="IX1" s="841" t="s">
        <v>1377</v>
      </c>
      <c r="IY1" s="841" t="s">
        <v>1378</v>
      </c>
      <c r="IZ1" s="841" t="s">
        <v>1379</v>
      </c>
      <c r="JA1" s="841" t="s">
        <v>1380</v>
      </c>
      <c r="JB1" s="841" t="s">
        <v>1381</v>
      </c>
      <c r="JC1" s="841" t="s">
        <v>1382</v>
      </c>
      <c r="JD1" s="841" t="s">
        <v>1383</v>
      </c>
      <c r="JE1" s="841" t="s">
        <v>1384</v>
      </c>
      <c r="JF1" s="841" t="s">
        <v>1385</v>
      </c>
      <c r="JG1" s="841" t="s">
        <v>1386</v>
      </c>
      <c r="JH1" s="841" t="s">
        <v>1387</v>
      </c>
      <c r="JI1" s="841" t="s">
        <v>1388</v>
      </c>
    </row>
    <row r="2" spans="1:269" x14ac:dyDescent="0.25">
      <c r="A2" s="841" t="s">
        <v>1389</v>
      </c>
      <c r="B2" s="841" t="s">
        <v>353</v>
      </c>
      <c r="C2" s="841" t="s">
        <v>353</v>
      </c>
      <c r="D2" s="841" t="s">
        <v>353</v>
      </c>
      <c r="E2" s="841" t="s">
        <v>353</v>
      </c>
      <c r="F2" s="841" t="s">
        <v>353</v>
      </c>
      <c r="G2" s="841" t="s">
        <v>353</v>
      </c>
      <c r="H2" s="841" t="s">
        <v>353</v>
      </c>
      <c r="I2" s="841" t="s">
        <v>353</v>
      </c>
      <c r="J2" s="841" t="s">
        <v>353</v>
      </c>
      <c r="K2" s="841" t="s">
        <v>353</v>
      </c>
      <c r="L2" s="842">
        <v>44608.502083333333</v>
      </c>
      <c r="M2" s="841" t="s">
        <v>353</v>
      </c>
      <c r="N2" s="841" t="s">
        <v>353</v>
      </c>
      <c r="O2" s="841" t="s">
        <v>353</v>
      </c>
      <c r="P2" s="841" t="s">
        <v>353</v>
      </c>
      <c r="Q2" s="841" t="s">
        <v>353</v>
      </c>
      <c r="R2" s="841" t="s">
        <v>353</v>
      </c>
      <c r="S2" s="841" t="s">
        <v>353</v>
      </c>
      <c r="T2" s="841" t="s">
        <v>1390</v>
      </c>
      <c r="U2" s="841" t="s">
        <v>353</v>
      </c>
      <c r="V2" s="841" t="s">
        <v>353</v>
      </c>
      <c r="W2" s="841" t="s">
        <v>353</v>
      </c>
      <c r="X2" s="841" t="s">
        <v>353</v>
      </c>
      <c r="Y2" s="841" t="s">
        <v>353</v>
      </c>
      <c r="Z2" s="841" t="s">
        <v>353</v>
      </c>
      <c r="AA2" s="841" t="s">
        <v>353</v>
      </c>
      <c r="AB2" s="841" t="s">
        <v>353</v>
      </c>
      <c r="AC2" s="841" t="s">
        <v>353</v>
      </c>
      <c r="AD2" s="841" t="s">
        <v>353</v>
      </c>
      <c r="AE2" s="841" t="s">
        <v>353</v>
      </c>
      <c r="AF2" s="841" t="s">
        <v>353</v>
      </c>
      <c r="AG2" s="841" t="s">
        <v>353</v>
      </c>
      <c r="AH2" s="841" t="s">
        <v>353</v>
      </c>
      <c r="AI2" s="841" t="s">
        <v>353</v>
      </c>
      <c r="AJ2" s="841" t="s">
        <v>353</v>
      </c>
      <c r="AK2" s="841" t="s">
        <v>353</v>
      </c>
      <c r="AL2" s="841" t="s">
        <v>353</v>
      </c>
      <c r="AM2" s="841" t="s">
        <v>353</v>
      </c>
      <c r="AN2" s="841" t="s">
        <v>353</v>
      </c>
      <c r="AO2" s="841" t="s">
        <v>353</v>
      </c>
      <c r="AP2" s="841" t="s">
        <v>353</v>
      </c>
      <c r="AQ2" s="841" t="s">
        <v>353</v>
      </c>
      <c r="AR2" s="841" t="s">
        <v>353</v>
      </c>
      <c r="AS2" s="841" t="s">
        <v>353</v>
      </c>
      <c r="AT2" s="841" t="s">
        <v>353</v>
      </c>
      <c r="AU2" s="841" t="s">
        <v>353</v>
      </c>
      <c r="AV2" s="841" t="s">
        <v>353</v>
      </c>
      <c r="AW2" s="841" t="s">
        <v>353</v>
      </c>
      <c r="AX2" s="841" t="s">
        <v>353</v>
      </c>
      <c r="AY2" s="841" t="s">
        <v>353</v>
      </c>
      <c r="AZ2" s="841" t="s">
        <v>353</v>
      </c>
      <c r="BA2" s="841" t="s">
        <v>353</v>
      </c>
      <c r="BB2" s="841" t="s">
        <v>353</v>
      </c>
      <c r="BC2" s="841" t="s">
        <v>353</v>
      </c>
      <c r="BD2" s="841" t="s">
        <v>353</v>
      </c>
      <c r="BE2" s="841" t="s">
        <v>353</v>
      </c>
      <c r="BF2" s="841" t="s">
        <v>353</v>
      </c>
      <c r="BG2" s="841" t="s">
        <v>353</v>
      </c>
      <c r="BH2" s="841" t="s">
        <v>353</v>
      </c>
      <c r="BI2" s="841" t="s">
        <v>353</v>
      </c>
      <c r="BJ2" s="841" t="s">
        <v>353</v>
      </c>
      <c r="BK2" s="841" t="s">
        <v>353</v>
      </c>
      <c r="BL2" s="841" t="s">
        <v>353</v>
      </c>
      <c r="BM2" s="842">
        <v>44620.496527777781</v>
      </c>
      <c r="BN2" s="841" t="s">
        <v>353</v>
      </c>
      <c r="BO2" s="841" t="s">
        <v>353</v>
      </c>
      <c r="BP2" s="841" t="s">
        <v>353</v>
      </c>
      <c r="BQ2" s="841" t="s">
        <v>353</v>
      </c>
      <c r="BR2" s="841" t="s">
        <v>353</v>
      </c>
      <c r="BS2" s="841" t="s">
        <v>353</v>
      </c>
      <c r="BT2" s="841">
        <v>1939500</v>
      </c>
      <c r="BU2" s="841" t="s">
        <v>353</v>
      </c>
      <c r="BV2" s="841" t="s">
        <v>353</v>
      </c>
      <c r="BW2" s="841" t="s">
        <v>353</v>
      </c>
      <c r="BX2" s="841" t="s">
        <v>353</v>
      </c>
      <c r="BY2" s="841" t="s">
        <v>353</v>
      </c>
      <c r="BZ2" s="841" t="s">
        <v>353</v>
      </c>
      <c r="CA2" s="841" t="s">
        <v>353</v>
      </c>
      <c r="CB2" s="841" t="s">
        <v>353</v>
      </c>
      <c r="CC2" s="841" t="s">
        <v>353</v>
      </c>
      <c r="CD2" s="841" t="s">
        <v>353</v>
      </c>
      <c r="CE2" s="841" t="s">
        <v>353</v>
      </c>
      <c r="CF2" s="841" t="s">
        <v>353</v>
      </c>
      <c r="CG2" s="841" t="s">
        <v>353</v>
      </c>
      <c r="CH2" s="841" t="s">
        <v>353</v>
      </c>
      <c r="CI2" s="841" t="s">
        <v>353</v>
      </c>
      <c r="CJ2" s="841" t="s">
        <v>353</v>
      </c>
      <c r="CK2" s="841" t="s">
        <v>353</v>
      </c>
      <c r="CL2" s="841" t="s">
        <v>353</v>
      </c>
      <c r="CM2" s="841" t="s">
        <v>353</v>
      </c>
      <c r="CN2" s="841" t="s">
        <v>353</v>
      </c>
      <c r="CO2" s="841" t="s">
        <v>353</v>
      </c>
      <c r="CP2" s="841" t="s">
        <v>353</v>
      </c>
      <c r="CQ2" s="841" t="s">
        <v>353</v>
      </c>
      <c r="CR2" s="841" t="s">
        <v>353</v>
      </c>
      <c r="CS2" s="841" t="s">
        <v>353</v>
      </c>
      <c r="CT2" s="841" t="s">
        <v>353</v>
      </c>
      <c r="CU2" s="841" t="s">
        <v>1391</v>
      </c>
      <c r="CV2" s="841" t="s">
        <v>353</v>
      </c>
      <c r="CW2" s="841" t="s">
        <v>353</v>
      </c>
      <c r="CX2" s="841" t="s">
        <v>353</v>
      </c>
      <c r="CY2" s="841" t="s">
        <v>353</v>
      </c>
      <c r="CZ2" s="841" t="s">
        <v>353</v>
      </c>
      <c r="DA2" s="841" t="s">
        <v>353</v>
      </c>
      <c r="DB2" s="841" t="s">
        <v>353</v>
      </c>
      <c r="DC2" s="841" t="s">
        <v>353</v>
      </c>
      <c r="DD2" s="841" t="s">
        <v>353</v>
      </c>
      <c r="DE2" s="841" t="s">
        <v>353</v>
      </c>
      <c r="DF2" s="841" t="s">
        <v>353</v>
      </c>
      <c r="DG2" s="841" t="s">
        <v>353</v>
      </c>
      <c r="DH2" s="841" t="s">
        <v>353</v>
      </c>
      <c r="DI2" s="841" t="s">
        <v>353</v>
      </c>
      <c r="DJ2" s="841" t="s">
        <v>353</v>
      </c>
      <c r="DK2" s="841" t="s">
        <v>353</v>
      </c>
      <c r="DL2" s="842">
        <v>44608.496527777781</v>
      </c>
      <c r="DM2" s="841" t="s">
        <v>353</v>
      </c>
      <c r="DN2" s="841" t="s">
        <v>353</v>
      </c>
      <c r="DO2" s="841" t="s">
        <v>353</v>
      </c>
      <c r="DP2" s="841" t="s">
        <v>353</v>
      </c>
      <c r="DQ2" s="841" t="s">
        <v>1392</v>
      </c>
      <c r="DR2" s="841" t="s">
        <v>353</v>
      </c>
      <c r="DS2" s="841" t="s">
        <v>353</v>
      </c>
      <c r="DT2" s="841" t="s">
        <v>353</v>
      </c>
      <c r="DU2" s="841" t="s">
        <v>353</v>
      </c>
      <c r="DV2" s="841" t="s">
        <v>353</v>
      </c>
      <c r="DW2" s="841" t="s">
        <v>353</v>
      </c>
      <c r="DX2" s="841" t="s">
        <v>353</v>
      </c>
      <c r="DY2" s="841" t="s">
        <v>353</v>
      </c>
      <c r="DZ2" s="841" t="s">
        <v>353</v>
      </c>
      <c r="EA2" s="841" t="s">
        <v>353</v>
      </c>
      <c r="EB2" s="841" t="s">
        <v>353</v>
      </c>
      <c r="EC2" s="841" t="s">
        <v>353</v>
      </c>
      <c r="ED2" s="841" t="s">
        <v>353</v>
      </c>
      <c r="EE2" s="841" t="s">
        <v>353</v>
      </c>
      <c r="EF2" s="841" t="s">
        <v>353</v>
      </c>
      <c r="EG2" s="841" t="s">
        <v>353</v>
      </c>
      <c r="EH2" s="841" t="s">
        <v>353</v>
      </c>
      <c r="EI2" s="841" t="s">
        <v>353</v>
      </c>
      <c r="EJ2" s="841" t="s">
        <v>353</v>
      </c>
      <c r="EK2" s="841" t="s">
        <v>353</v>
      </c>
      <c r="EL2" s="841" t="s">
        <v>353</v>
      </c>
      <c r="EM2" s="841" t="s">
        <v>353</v>
      </c>
      <c r="EN2" s="841" t="s">
        <v>353</v>
      </c>
      <c r="EO2" s="841" t="s">
        <v>353</v>
      </c>
      <c r="EP2" s="841" t="s">
        <v>353</v>
      </c>
      <c r="EQ2" s="841" t="s">
        <v>353</v>
      </c>
      <c r="ER2" s="841" t="s">
        <v>353</v>
      </c>
      <c r="ES2" s="841" t="s">
        <v>353</v>
      </c>
      <c r="ET2" s="841" t="s">
        <v>1393</v>
      </c>
      <c r="EU2" s="841" t="s">
        <v>353</v>
      </c>
      <c r="EV2" s="841" t="s">
        <v>353</v>
      </c>
      <c r="EW2" s="841" t="s">
        <v>353</v>
      </c>
      <c r="EX2" s="841" t="s">
        <v>353</v>
      </c>
      <c r="EY2" s="841" t="s">
        <v>353</v>
      </c>
      <c r="EZ2" s="841" t="s">
        <v>353</v>
      </c>
      <c r="FA2" s="841" t="s">
        <v>353</v>
      </c>
      <c r="FB2" s="841" t="s">
        <v>353</v>
      </c>
      <c r="FC2" s="841" t="s">
        <v>353</v>
      </c>
      <c r="FD2" s="841" t="s">
        <v>353</v>
      </c>
      <c r="FE2" s="842">
        <v>44608.502083333333</v>
      </c>
      <c r="FF2" s="841" t="s">
        <v>353</v>
      </c>
      <c r="FG2" s="841" t="s">
        <v>353</v>
      </c>
      <c r="FH2" s="841" t="s">
        <v>353</v>
      </c>
      <c r="FI2" s="841" t="s">
        <v>353</v>
      </c>
      <c r="FJ2" s="841" t="s">
        <v>353</v>
      </c>
      <c r="FK2" s="841" t="s">
        <v>353</v>
      </c>
      <c r="FL2" s="841" t="s">
        <v>353</v>
      </c>
      <c r="FM2" s="841" t="s">
        <v>353</v>
      </c>
      <c r="FN2" s="841" t="s">
        <v>353</v>
      </c>
      <c r="FO2" s="841" t="s">
        <v>353</v>
      </c>
      <c r="FP2" s="841" t="s">
        <v>353</v>
      </c>
      <c r="FQ2" s="841" t="s">
        <v>353</v>
      </c>
      <c r="FR2" s="841" t="s">
        <v>353</v>
      </c>
      <c r="FS2" s="841" t="s">
        <v>353</v>
      </c>
      <c r="FT2" s="841" t="s">
        <v>353</v>
      </c>
      <c r="FU2" s="841" t="s">
        <v>1394</v>
      </c>
      <c r="FV2" s="841" t="s">
        <v>353</v>
      </c>
      <c r="FW2" s="841" t="s">
        <v>353</v>
      </c>
      <c r="FX2" s="841" t="s">
        <v>353</v>
      </c>
      <c r="FY2" s="841" t="s">
        <v>353</v>
      </c>
      <c r="FZ2" s="841" t="s">
        <v>353</v>
      </c>
      <c r="GA2" s="841" t="s">
        <v>353</v>
      </c>
      <c r="GB2" s="841">
        <v>1</v>
      </c>
      <c r="GC2" s="841" t="s">
        <v>353</v>
      </c>
      <c r="GD2" s="841" t="s">
        <v>1395</v>
      </c>
      <c r="GE2" s="841" t="s">
        <v>353</v>
      </c>
      <c r="GF2" s="841" t="s">
        <v>353</v>
      </c>
      <c r="GG2" s="841" t="s">
        <v>353</v>
      </c>
      <c r="GH2" s="841" t="s">
        <v>353</v>
      </c>
      <c r="GI2" s="841" t="s">
        <v>353</v>
      </c>
      <c r="GJ2" s="841" t="s">
        <v>353</v>
      </c>
      <c r="GK2" s="841" t="s">
        <v>353</v>
      </c>
      <c r="GL2" s="841" t="s">
        <v>1396</v>
      </c>
      <c r="GM2" s="841" t="s">
        <v>353</v>
      </c>
      <c r="GN2" s="841" t="s">
        <v>353</v>
      </c>
      <c r="GO2" s="841" t="s">
        <v>353</v>
      </c>
      <c r="GP2" s="841" t="s">
        <v>353</v>
      </c>
      <c r="GQ2" s="841" t="s">
        <v>353</v>
      </c>
      <c r="GR2" s="841" t="s">
        <v>353</v>
      </c>
      <c r="GS2" s="841" t="s">
        <v>353</v>
      </c>
      <c r="GT2" s="841" t="s">
        <v>353</v>
      </c>
      <c r="GU2" s="841" t="s">
        <v>353</v>
      </c>
      <c r="GV2" s="841" t="s">
        <v>1076</v>
      </c>
      <c r="GW2" s="841" t="s">
        <v>353</v>
      </c>
      <c r="GX2" s="841" t="s">
        <v>353</v>
      </c>
      <c r="GY2" s="841" t="s">
        <v>353</v>
      </c>
      <c r="GZ2" s="841" t="s">
        <v>353</v>
      </c>
      <c r="HA2" s="841" t="s">
        <v>353</v>
      </c>
      <c r="HB2" s="841" t="s">
        <v>353</v>
      </c>
      <c r="HC2" s="841" t="s">
        <v>353</v>
      </c>
      <c r="HD2" s="841" t="s">
        <v>1397</v>
      </c>
      <c r="HE2" s="841" t="s">
        <v>353</v>
      </c>
      <c r="HF2" s="841" t="s">
        <v>353</v>
      </c>
      <c r="HG2" s="841" t="s">
        <v>353</v>
      </c>
      <c r="HH2" s="841" t="s">
        <v>353</v>
      </c>
      <c r="HI2" s="841" t="s">
        <v>353</v>
      </c>
      <c r="HJ2" s="841" t="s">
        <v>353</v>
      </c>
      <c r="HK2" s="841" t="s">
        <v>353</v>
      </c>
      <c r="HL2" s="841" t="s">
        <v>353</v>
      </c>
      <c r="HM2" s="841" t="s">
        <v>353</v>
      </c>
      <c r="HN2" s="841" t="s">
        <v>353</v>
      </c>
      <c r="HO2" s="841" t="s">
        <v>353</v>
      </c>
      <c r="HP2" s="841" t="s">
        <v>353</v>
      </c>
      <c r="HQ2" s="841" t="s">
        <v>353</v>
      </c>
      <c r="HR2" s="841" t="s">
        <v>353</v>
      </c>
      <c r="HS2" s="841" t="s">
        <v>353</v>
      </c>
      <c r="HT2" s="841" t="s">
        <v>353</v>
      </c>
      <c r="HU2" s="841" t="s">
        <v>353</v>
      </c>
      <c r="HV2" s="841" t="s">
        <v>353</v>
      </c>
      <c r="HW2" s="841" t="s">
        <v>353</v>
      </c>
      <c r="HX2" s="841" t="s">
        <v>353</v>
      </c>
      <c r="HY2" s="841" t="s">
        <v>353</v>
      </c>
      <c r="HZ2" s="841" t="s">
        <v>353</v>
      </c>
      <c r="IA2" s="841" t="s">
        <v>353</v>
      </c>
      <c r="IB2" s="841" t="s">
        <v>353</v>
      </c>
      <c r="IC2" s="841" t="s">
        <v>353</v>
      </c>
      <c r="ID2" s="841" t="s">
        <v>353</v>
      </c>
      <c r="IE2" s="841" t="s">
        <v>353</v>
      </c>
      <c r="IF2" s="841" t="s">
        <v>353</v>
      </c>
      <c r="IG2" s="841" t="s">
        <v>353</v>
      </c>
      <c r="IH2" s="841" t="s">
        <v>353</v>
      </c>
      <c r="II2" s="841" t="s">
        <v>353</v>
      </c>
      <c r="IJ2" s="841" t="s">
        <v>353</v>
      </c>
      <c r="IK2" s="841" t="s">
        <v>353</v>
      </c>
      <c r="IL2" s="841" t="s">
        <v>353</v>
      </c>
      <c r="IM2" s="841" t="s">
        <v>353</v>
      </c>
      <c r="IN2" s="841" t="s">
        <v>353</v>
      </c>
      <c r="IO2" s="841" t="s">
        <v>353</v>
      </c>
      <c r="IP2" s="841" t="s">
        <v>353</v>
      </c>
      <c r="IQ2" s="841" t="s">
        <v>353</v>
      </c>
      <c r="IR2" s="841" t="s">
        <v>353</v>
      </c>
      <c r="IS2" s="841" t="s">
        <v>353</v>
      </c>
      <c r="IT2" s="841" t="s">
        <v>353</v>
      </c>
      <c r="IU2" s="841" t="s">
        <v>353</v>
      </c>
      <c r="IV2" s="841" t="s">
        <v>353</v>
      </c>
      <c r="IW2" s="841" t="s">
        <v>353</v>
      </c>
      <c r="IX2" s="841" t="s">
        <v>353</v>
      </c>
      <c r="IY2" s="841" t="s">
        <v>353</v>
      </c>
      <c r="IZ2" s="841" t="s">
        <v>353</v>
      </c>
      <c r="JA2" s="841" t="s">
        <v>353</v>
      </c>
      <c r="JB2" s="841" t="s">
        <v>353</v>
      </c>
      <c r="JC2" s="841" t="s">
        <v>353</v>
      </c>
      <c r="JD2" s="841" t="s">
        <v>353</v>
      </c>
      <c r="JE2" s="841" t="s">
        <v>353</v>
      </c>
      <c r="JF2" s="841" t="s">
        <v>1398</v>
      </c>
      <c r="JG2" s="841" t="s">
        <v>1399</v>
      </c>
      <c r="JH2" s="841" t="s">
        <v>1400</v>
      </c>
      <c r="JI2" s="841" t="s">
        <v>1401</v>
      </c>
    </row>
    <row r="3" spans="1:269" x14ac:dyDescent="0.25">
      <c r="A3" s="841" t="s">
        <v>1402</v>
      </c>
      <c r="B3" s="841" t="s">
        <v>353</v>
      </c>
      <c r="C3" s="841" t="s">
        <v>1403</v>
      </c>
      <c r="D3" s="841" t="s">
        <v>353</v>
      </c>
      <c r="E3" s="841" t="s">
        <v>353</v>
      </c>
      <c r="F3" s="841" t="s">
        <v>353</v>
      </c>
      <c r="G3" s="841" t="s">
        <v>1404</v>
      </c>
      <c r="H3" s="841" t="s">
        <v>353</v>
      </c>
      <c r="I3" s="841" t="s">
        <v>353</v>
      </c>
      <c r="J3" s="841" t="s">
        <v>353</v>
      </c>
      <c r="K3" s="841" t="s">
        <v>353</v>
      </c>
      <c r="L3" s="842">
        <v>44608.523611111108</v>
      </c>
      <c r="M3" s="841" t="s">
        <v>353</v>
      </c>
      <c r="N3" s="841" t="s">
        <v>353</v>
      </c>
      <c r="O3" s="841" t="s">
        <v>353</v>
      </c>
      <c r="P3" s="841" t="s">
        <v>353</v>
      </c>
      <c r="Q3" s="841" t="s">
        <v>353</v>
      </c>
      <c r="R3" s="841" t="s">
        <v>353</v>
      </c>
      <c r="S3" s="841" t="s">
        <v>67</v>
      </c>
      <c r="T3" s="841" t="s">
        <v>1390</v>
      </c>
      <c r="U3" s="841" t="s">
        <v>353</v>
      </c>
      <c r="V3" s="841" t="s">
        <v>353</v>
      </c>
      <c r="W3" s="841" t="s">
        <v>353</v>
      </c>
      <c r="X3" s="841" t="s">
        <v>1405</v>
      </c>
      <c r="Y3" s="841" t="s">
        <v>353</v>
      </c>
      <c r="Z3" s="841" t="s">
        <v>353</v>
      </c>
      <c r="AA3" s="841" t="s">
        <v>353</v>
      </c>
      <c r="AB3" s="841" t="s">
        <v>353</v>
      </c>
      <c r="AC3" s="841" t="s">
        <v>353</v>
      </c>
      <c r="AD3" s="841" t="s">
        <v>353</v>
      </c>
      <c r="AE3" s="841" t="s">
        <v>353</v>
      </c>
      <c r="AF3" s="841" t="s">
        <v>353</v>
      </c>
      <c r="AG3" s="841" t="s">
        <v>353</v>
      </c>
      <c r="AH3" s="841">
        <v>2000</v>
      </c>
      <c r="AI3" s="841" t="s">
        <v>1406</v>
      </c>
      <c r="AJ3" s="841" t="s">
        <v>353</v>
      </c>
      <c r="AK3" s="841" t="s">
        <v>353</v>
      </c>
      <c r="AL3" s="841" t="s">
        <v>353</v>
      </c>
      <c r="AM3" s="841" t="s">
        <v>353</v>
      </c>
      <c r="AN3" s="841" t="s">
        <v>353</v>
      </c>
      <c r="AO3" s="841" t="s">
        <v>353</v>
      </c>
      <c r="AP3" s="841" t="s">
        <v>353</v>
      </c>
      <c r="AQ3" s="841" t="s">
        <v>353</v>
      </c>
      <c r="AR3" s="841" t="s">
        <v>353</v>
      </c>
      <c r="AS3" s="841" t="s">
        <v>353</v>
      </c>
      <c r="AT3" s="841" t="s">
        <v>353</v>
      </c>
      <c r="AU3" s="841" t="s">
        <v>353</v>
      </c>
      <c r="AV3" s="841" t="s">
        <v>353</v>
      </c>
      <c r="AW3" s="841" t="s">
        <v>353</v>
      </c>
      <c r="AX3" s="841" t="s">
        <v>353</v>
      </c>
      <c r="AY3" s="841" t="s">
        <v>353</v>
      </c>
      <c r="AZ3" s="841" t="s">
        <v>353</v>
      </c>
      <c r="BA3" s="841" t="s">
        <v>353</v>
      </c>
      <c r="BB3" s="841" t="s">
        <v>353</v>
      </c>
      <c r="BC3" s="841" t="s">
        <v>353</v>
      </c>
      <c r="BD3" s="841" t="s">
        <v>353</v>
      </c>
      <c r="BE3" s="841" t="s">
        <v>353</v>
      </c>
      <c r="BF3" s="841" t="s">
        <v>353</v>
      </c>
      <c r="BG3" s="841" t="s">
        <v>353</v>
      </c>
      <c r="BH3" s="841" t="s">
        <v>353</v>
      </c>
      <c r="BI3" s="841" t="s">
        <v>353</v>
      </c>
      <c r="BJ3" s="841" t="s">
        <v>353</v>
      </c>
      <c r="BK3" s="841" t="s">
        <v>353</v>
      </c>
      <c r="BL3" s="841" t="s">
        <v>1407</v>
      </c>
      <c r="BM3" s="842">
        <v>44620.395833333336</v>
      </c>
      <c r="BN3" s="841" t="s">
        <v>353</v>
      </c>
      <c r="BO3" s="841" t="s">
        <v>353</v>
      </c>
      <c r="BP3" s="841" t="s">
        <v>353</v>
      </c>
      <c r="BQ3" s="841" t="s">
        <v>353</v>
      </c>
      <c r="BR3" s="841" t="s">
        <v>353</v>
      </c>
      <c r="BS3" s="841" t="s">
        <v>353</v>
      </c>
      <c r="BT3" s="841">
        <v>480000</v>
      </c>
      <c r="BU3" s="841" t="s">
        <v>353</v>
      </c>
      <c r="BV3" s="841" t="s">
        <v>1408</v>
      </c>
      <c r="BW3" s="841" t="s">
        <v>353</v>
      </c>
      <c r="BX3" s="841" t="s">
        <v>1409</v>
      </c>
      <c r="BY3" s="841" t="s">
        <v>353</v>
      </c>
      <c r="BZ3" s="841" t="s">
        <v>353</v>
      </c>
      <c r="CA3" s="841" t="s">
        <v>353</v>
      </c>
      <c r="CB3" s="841" t="s">
        <v>353</v>
      </c>
      <c r="CC3" s="841" t="s">
        <v>353</v>
      </c>
      <c r="CD3" s="841" t="s">
        <v>353</v>
      </c>
      <c r="CE3" s="841" t="s">
        <v>353</v>
      </c>
      <c r="CF3" s="841" t="s">
        <v>353</v>
      </c>
      <c r="CG3" s="841" t="s">
        <v>353</v>
      </c>
      <c r="CH3" s="841" t="s">
        <v>353</v>
      </c>
      <c r="CI3" s="841" t="s">
        <v>353</v>
      </c>
      <c r="CJ3" s="841" t="s">
        <v>353</v>
      </c>
      <c r="CK3" s="841">
        <v>0</v>
      </c>
      <c r="CL3" s="841" t="s">
        <v>353</v>
      </c>
      <c r="CM3" s="841">
        <v>2</v>
      </c>
      <c r="CN3" s="841" t="s">
        <v>353</v>
      </c>
      <c r="CO3" s="841" t="s">
        <v>353</v>
      </c>
      <c r="CP3" s="841" t="s">
        <v>1410</v>
      </c>
      <c r="CQ3" s="841" t="s">
        <v>353</v>
      </c>
      <c r="CR3" s="841" t="s">
        <v>353</v>
      </c>
      <c r="CS3" s="841" t="s">
        <v>353</v>
      </c>
      <c r="CT3" s="841" t="s">
        <v>353</v>
      </c>
      <c r="CU3" s="841" t="s">
        <v>1391</v>
      </c>
      <c r="CV3" s="841" t="s">
        <v>353</v>
      </c>
      <c r="CW3" s="841" t="s">
        <v>353</v>
      </c>
      <c r="CX3" s="841" t="s">
        <v>353</v>
      </c>
      <c r="CY3" s="841" t="s">
        <v>353</v>
      </c>
      <c r="CZ3" s="841" t="s">
        <v>353</v>
      </c>
      <c r="DA3" s="841" t="s">
        <v>353</v>
      </c>
      <c r="DB3" s="841" t="s">
        <v>353</v>
      </c>
      <c r="DC3" s="841" t="s">
        <v>353</v>
      </c>
      <c r="DD3" s="841" t="s">
        <v>353</v>
      </c>
      <c r="DE3" s="841" t="s">
        <v>353</v>
      </c>
      <c r="DF3" s="841" t="s">
        <v>353</v>
      </c>
      <c r="DG3" s="841" t="s">
        <v>353</v>
      </c>
      <c r="DH3" s="841" t="s">
        <v>353</v>
      </c>
      <c r="DI3" s="841" t="s">
        <v>353</v>
      </c>
      <c r="DJ3" s="841" t="s">
        <v>1411</v>
      </c>
      <c r="DK3" s="841" t="s">
        <v>353</v>
      </c>
      <c r="DL3" s="842">
        <v>44608.395833333336</v>
      </c>
      <c r="DM3" s="841" t="s">
        <v>353</v>
      </c>
      <c r="DN3" s="841" t="s">
        <v>353</v>
      </c>
      <c r="DO3" s="841" t="s">
        <v>673</v>
      </c>
      <c r="DP3" s="841" t="s">
        <v>1412</v>
      </c>
      <c r="DQ3" s="841" t="s">
        <v>673</v>
      </c>
      <c r="DR3" s="841">
        <v>480000</v>
      </c>
      <c r="DS3" s="841" t="s">
        <v>353</v>
      </c>
      <c r="DT3" s="841" t="s">
        <v>353</v>
      </c>
      <c r="DU3" s="841" t="s">
        <v>353</v>
      </c>
      <c r="DV3" s="841" t="s">
        <v>353</v>
      </c>
      <c r="DW3" s="841" t="s">
        <v>353</v>
      </c>
      <c r="DX3" s="841" t="s">
        <v>353</v>
      </c>
      <c r="DY3" s="841" t="s">
        <v>353</v>
      </c>
      <c r="DZ3" s="841" t="s">
        <v>353</v>
      </c>
      <c r="EA3" s="841" t="s">
        <v>353</v>
      </c>
      <c r="EB3" s="841" t="s">
        <v>353</v>
      </c>
      <c r="EC3" s="841" t="s">
        <v>353</v>
      </c>
      <c r="ED3" s="841" t="s">
        <v>353</v>
      </c>
      <c r="EE3" s="841" t="s">
        <v>353</v>
      </c>
      <c r="EF3" s="841" t="s">
        <v>353</v>
      </c>
      <c r="EG3" s="841" t="s">
        <v>353</v>
      </c>
      <c r="EH3" s="841" t="s">
        <v>353</v>
      </c>
      <c r="EI3" s="841" t="s">
        <v>353</v>
      </c>
      <c r="EJ3" s="841" t="s">
        <v>353</v>
      </c>
      <c r="EK3" s="841" t="s">
        <v>1413</v>
      </c>
      <c r="EL3" s="841" t="s">
        <v>353</v>
      </c>
      <c r="EM3" s="841" t="s">
        <v>353</v>
      </c>
      <c r="EN3" s="841" t="s">
        <v>353</v>
      </c>
      <c r="EO3" s="841" t="s">
        <v>353</v>
      </c>
      <c r="EP3" s="841" t="s">
        <v>353</v>
      </c>
      <c r="EQ3" s="841" t="s">
        <v>353</v>
      </c>
      <c r="ER3" s="841" t="s">
        <v>353</v>
      </c>
      <c r="ES3" s="841" t="s">
        <v>353</v>
      </c>
      <c r="ET3" s="841" t="s">
        <v>1414</v>
      </c>
      <c r="EU3" s="841" t="s">
        <v>353</v>
      </c>
      <c r="EV3" s="841" t="s">
        <v>353</v>
      </c>
      <c r="EW3" s="841" t="s">
        <v>353</v>
      </c>
      <c r="EX3" s="841" t="s">
        <v>353</v>
      </c>
      <c r="EY3" s="842">
        <v>44608.523611111108</v>
      </c>
      <c r="EZ3" s="842">
        <v>44613.333333333336</v>
      </c>
      <c r="FA3" s="841" t="s">
        <v>353</v>
      </c>
      <c r="FB3" s="841" t="s">
        <v>353</v>
      </c>
      <c r="FC3" s="841" t="s">
        <v>353</v>
      </c>
      <c r="FD3" s="841" t="s">
        <v>353</v>
      </c>
      <c r="FE3" s="842">
        <v>44608.395833333336</v>
      </c>
      <c r="FF3" s="841" t="s">
        <v>353</v>
      </c>
      <c r="FG3" s="841" t="s">
        <v>353</v>
      </c>
      <c r="FH3" s="841" t="s">
        <v>353</v>
      </c>
      <c r="FI3" s="841" t="s">
        <v>353</v>
      </c>
      <c r="FJ3" s="841" t="s">
        <v>353</v>
      </c>
      <c r="FK3" s="841" t="s">
        <v>353</v>
      </c>
      <c r="FL3" s="841" t="s">
        <v>353</v>
      </c>
      <c r="FM3" s="841" t="s">
        <v>353</v>
      </c>
      <c r="FN3" s="841" t="s">
        <v>353</v>
      </c>
      <c r="FO3" s="841" t="s">
        <v>1415</v>
      </c>
      <c r="FP3" s="841" t="s">
        <v>353</v>
      </c>
      <c r="FQ3" s="841" t="s">
        <v>353</v>
      </c>
      <c r="FR3" s="841" t="s">
        <v>353</v>
      </c>
      <c r="FS3" s="841" t="s">
        <v>353</v>
      </c>
      <c r="FT3" s="841" t="s">
        <v>353</v>
      </c>
      <c r="FU3" s="841" t="s">
        <v>1416</v>
      </c>
      <c r="FV3" s="841" t="s">
        <v>353</v>
      </c>
      <c r="FW3" s="841" t="s">
        <v>353</v>
      </c>
      <c r="FX3" s="841" t="s">
        <v>353</v>
      </c>
      <c r="FY3" s="841" t="s">
        <v>353</v>
      </c>
      <c r="FZ3" s="841" t="s">
        <v>353</v>
      </c>
      <c r="GA3" s="841" t="s">
        <v>353</v>
      </c>
      <c r="GB3" s="841">
        <v>1</v>
      </c>
      <c r="GC3" s="841" t="s">
        <v>353</v>
      </c>
      <c r="GD3" s="841" t="s">
        <v>1417</v>
      </c>
      <c r="GE3" s="841" t="s">
        <v>353</v>
      </c>
      <c r="GF3" s="841" t="s">
        <v>353</v>
      </c>
      <c r="GG3" s="841" t="s">
        <v>353</v>
      </c>
      <c r="GH3" s="841" t="s">
        <v>353</v>
      </c>
      <c r="GI3" s="841" t="s">
        <v>353</v>
      </c>
      <c r="GJ3" s="841" t="s">
        <v>353</v>
      </c>
      <c r="GK3" s="841" t="s">
        <v>353</v>
      </c>
      <c r="GL3" s="841" t="s">
        <v>1418</v>
      </c>
      <c r="GM3" s="841" t="s">
        <v>353</v>
      </c>
      <c r="GN3" s="841" t="s">
        <v>353</v>
      </c>
      <c r="GO3" s="841" t="s">
        <v>353</v>
      </c>
      <c r="GP3" s="841" t="s">
        <v>353</v>
      </c>
      <c r="GQ3" s="841" t="s">
        <v>353</v>
      </c>
      <c r="GR3" s="841" t="s">
        <v>353</v>
      </c>
      <c r="GS3" s="841" t="s">
        <v>1408</v>
      </c>
      <c r="GT3" s="841" t="s">
        <v>353</v>
      </c>
      <c r="GU3" s="841" t="s">
        <v>353</v>
      </c>
      <c r="GV3" s="841" t="s">
        <v>1419</v>
      </c>
      <c r="GW3" s="841" t="s">
        <v>353</v>
      </c>
      <c r="GX3" s="841" t="s">
        <v>353</v>
      </c>
      <c r="GY3" s="841" t="s">
        <v>353</v>
      </c>
      <c r="GZ3" s="841" t="s">
        <v>1420</v>
      </c>
      <c r="HA3" s="841" t="s">
        <v>353</v>
      </c>
      <c r="HB3" s="841" t="s">
        <v>353</v>
      </c>
      <c r="HC3" s="841" t="s">
        <v>1421</v>
      </c>
      <c r="HD3" s="841" t="s">
        <v>1410</v>
      </c>
      <c r="HE3" s="841" t="s">
        <v>353</v>
      </c>
      <c r="HF3" s="841" t="s">
        <v>353</v>
      </c>
      <c r="HG3" s="841" t="s">
        <v>353</v>
      </c>
      <c r="HH3" s="841" t="s">
        <v>353</v>
      </c>
      <c r="HI3" s="841" t="s">
        <v>1422</v>
      </c>
      <c r="HJ3" s="841" t="s">
        <v>353</v>
      </c>
      <c r="HK3" s="841" t="s">
        <v>353</v>
      </c>
      <c r="HL3" s="841" t="s">
        <v>353</v>
      </c>
      <c r="HM3" s="841" t="s">
        <v>1423</v>
      </c>
      <c r="HN3" s="841" t="s">
        <v>353</v>
      </c>
      <c r="HO3" s="841" t="s">
        <v>353</v>
      </c>
      <c r="HP3" s="841" t="s">
        <v>353</v>
      </c>
      <c r="HQ3" s="841" t="s">
        <v>353</v>
      </c>
      <c r="HR3" s="841" t="s">
        <v>353</v>
      </c>
      <c r="HS3" s="841" t="s">
        <v>353</v>
      </c>
      <c r="HT3" s="841" t="s">
        <v>353</v>
      </c>
      <c r="HU3" s="841" t="s">
        <v>353</v>
      </c>
      <c r="HV3" s="841" t="s">
        <v>353</v>
      </c>
      <c r="HW3" s="841">
        <v>480000</v>
      </c>
      <c r="HX3" s="841" t="s">
        <v>353</v>
      </c>
      <c r="HY3" s="841" t="s">
        <v>353</v>
      </c>
      <c r="HZ3" s="841" t="s">
        <v>353</v>
      </c>
      <c r="IA3" s="841" t="s">
        <v>353</v>
      </c>
      <c r="IB3" s="841" t="s">
        <v>1424</v>
      </c>
      <c r="IC3" s="841" t="s">
        <v>353</v>
      </c>
      <c r="ID3" s="841" t="s">
        <v>353</v>
      </c>
      <c r="IE3" s="841" t="s">
        <v>353</v>
      </c>
      <c r="IF3" s="841" t="s">
        <v>353</v>
      </c>
      <c r="IG3" s="841" t="s">
        <v>353</v>
      </c>
      <c r="IH3" s="841" t="s">
        <v>353</v>
      </c>
      <c r="II3" s="841" t="s">
        <v>353</v>
      </c>
      <c r="IJ3" s="841">
        <v>156</v>
      </c>
      <c r="IK3" s="841" t="s">
        <v>353</v>
      </c>
      <c r="IL3" s="841" t="s">
        <v>353</v>
      </c>
      <c r="IM3" s="841" t="s">
        <v>353</v>
      </c>
      <c r="IN3" s="841" t="s">
        <v>353</v>
      </c>
      <c r="IO3" s="841" t="s">
        <v>353</v>
      </c>
      <c r="IP3" s="841" t="s">
        <v>353</v>
      </c>
      <c r="IQ3" s="841" t="s">
        <v>353</v>
      </c>
      <c r="IR3" s="841" t="s">
        <v>353</v>
      </c>
      <c r="IS3" s="841" t="s">
        <v>353</v>
      </c>
      <c r="IT3" s="841" t="s">
        <v>353</v>
      </c>
      <c r="IU3" s="841" t="s">
        <v>353</v>
      </c>
      <c r="IV3" s="841" t="s">
        <v>353</v>
      </c>
      <c r="IW3" s="841" t="s">
        <v>353</v>
      </c>
      <c r="IX3" s="841" t="s">
        <v>353</v>
      </c>
      <c r="IY3" s="841" t="s">
        <v>353</v>
      </c>
      <c r="IZ3" s="841" t="s">
        <v>353</v>
      </c>
      <c r="JA3" s="841" t="s">
        <v>353</v>
      </c>
      <c r="JB3" s="841" t="s">
        <v>353</v>
      </c>
      <c r="JC3" s="841" t="s">
        <v>353</v>
      </c>
      <c r="JD3" s="841" t="s">
        <v>353</v>
      </c>
      <c r="JE3" s="841" t="s">
        <v>353</v>
      </c>
      <c r="JF3" s="841" t="s">
        <v>353</v>
      </c>
      <c r="JG3" s="841" t="s">
        <v>353</v>
      </c>
      <c r="JH3" s="841" t="s">
        <v>1425</v>
      </c>
      <c r="JI3" s="841" t="s">
        <v>1426</v>
      </c>
    </row>
    <row r="4" spans="1:269" x14ac:dyDescent="0.25">
      <c r="A4" s="841" t="s">
        <v>1427</v>
      </c>
      <c r="B4" s="841" t="s">
        <v>353</v>
      </c>
      <c r="C4" s="841" t="s">
        <v>353</v>
      </c>
      <c r="D4" s="841" t="s">
        <v>353</v>
      </c>
      <c r="E4" s="841" t="s">
        <v>353</v>
      </c>
      <c r="F4" s="841" t="s">
        <v>353</v>
      </c>
      <c r="G4" s="841" t="s">
        <v>1428</v>
      </c>
      <c r="H4" s="841" t="s">
        <v>353</v>
      </c>
      <c r="I4" s="841" t="s">
        <v>353</v>
      </c>
      <c r="J4" s="841" t="s">
        <v>353</v>
      </c>
      <c r="K4" s="841" t="s">
        <v>353</v>
      </c>
      <c r="L4" s="842">
        <v>44608.470138888886</v>
      </c>
      <c r="M4" s="841" t="s">
        <v>353</v>
      </c>
      <c r="N4" s="841" t="s">
        <v>353</v>
      </c>
      <c r="O4" s="841" t="s">
        <v>353</v>
      </c>
      <c r="P4" s="841" t="s">
        <v>353</v>
      </c>
      <c r="Q4" s="841" t="s">
        <v>353</v>
      </c>
      <c r="R4" s="841" t="s">
        <v>353</v>
      </c>
      <c r="S4" s="841" t="s">
        <v>67</v>
      </c>
      <c r="T4" s="841" t="s">
        <v>1390</v>
      </c>
      <c r="U4" s="841" t="s">
        <v>353</v>
      </c>
      <c r="V4" s="841" t="s">
        <v>353</v>
      </c>
      <c r="W4" s="841" t="s">
        <v>353</v>
      </c>
      <c r="X4" s="841" t="s">
        <v>353</v>
      </c>
      <c r="Y4" s="841" t="s">
        <v>353</v>
      </c>
      <c r="Z4" s="841" t="s">
        <v>353</v>
      </c>
      <c r="AA4" s="841" t="s">
        <v>353</v>
      </c>
      <c r="AB4" s="841" t="s">
        <v>353</v>
      </c>
      <c r="AC4" s="841">
        <v>53600</v>
      </c>
      <c r="AD4" s="841" t="s">
        <v>353</v>
      </c>
      <c r="AE4" s="841" t="s">
        <v>353</v>
      </c>
      <c r="AF4" s="841" t="s">
        <v>353</v>
      </c>
      <c r="AG4" s="841" t="s">
        <v>353</v>
      </c>
      <c r="AH4" s="841" t="s">
        <v>353</v>
      </c>
      <c r="AI4" s="841" t="s">
        <v>1406</v>
      </c>
      <c r="AJ4" s="841" t="s">
        <v>353</v>
      </c>
      <c r="AK4" s="841">
        <v>75</v>
      </c>
      <c r="AL4" s="841" t="s">
        <v>353</v>
      </c>
      <c r="AM4" s="841" t="s">
        <v>353</v>
      </c>
      <c r="AN4" s="841" t="s">
        <v>353</v>
      </c>
      <c r="AO4" s="841" t="s">
        <v>353</v>
      </c>
      <c r="AP4" s="841" t="s">
        <v>353</v>
      </c>
      <c r="AQ4" s="841" t="s">
        <v>353</v>
      </c>
      <c r="AR4" s="841" t="s">
        <v>353</v>
      </c>
      <c r="AS4" s="841" t="s">
        <v>353</v>
      </c>
      <c r="AT4" s="841" t="s">
        <v>353</v>
      </c>
      <c r="AU4" s="841" t="s">
        <v>353</v>
      </c>
      <c r="AV4" s="841" t="s">
        <v>353</v>
      </c>
      <c r="AW4" s="841" t="s">
        <v>353</v>
      </c>
      <c r="AX4" s="841" t="s">
        <v>353</v>
      </c>
      <c r="AY4" s="841" t="s">
        <v>353</v>
      </c>
      <c r="AZ4" s="841" t="s">
        <v>353</v>
      </c>
      <c r="BA4" s="841" t="s">
        <v>353</v>
      </c>
      <c r="BB4" s="841" t="s">
        <v>353</v>
      </c>
      <c r="BC4" s="841">
        <v>263310</v>
      </c>
      <c r="BD4" s="841" t="s">
        <v>353</v>
      </c>
      <c r="BE4" s="841" t="s">
        <v>353</v>
      </c>
      <c r="BF4" s="841" t="s">
        <v>353</v>
      </c>
      <c r="BG4" s="841" t="s">
        <v>353</v>
      </c>
      <c r="BH4" s="841" t="s">
        <v>353</v>
      </c>
      <c r="BI4" s="841" t="s">
        <v>353</v>
      </c>
      <c r="BJ4" s="841" t="s">
        <v>353</v>
      </c>
      <c r="BK4" s="841" t="s">
        <v>353</v>
      </c>
      <c r="BL4" s="841" t="s">
        <v>1429</v>
      </c>
      <c r="BM4" s="842">
        <v>44620.724305555559</v>
      </c>
      <c r="BN4" s="841" t="s">
        <v>353</v>
      </c>
      <c r="BO4" s="841" t="s">
        <v>353</v>
      </c>
      <c r="BP4" s="841" t="s">
        <v>353</v>
      </c>
      <c r="BQ4" s="841" t="s">
        <v>353</v>
      </c>
      <c r="BR4" s="841" t="s">
        <v>353</v>
      </c>
      <c r="BS4" s="841" t="s">
        <v>353</v>
      </c>
      <c r="BT4" s="841">
        <v>268000</v>
      </c>
      <c r="BU4" s="841" t="s">
        <v>353</v>
      </c>
      <c r="BV4" s="841" t="s">
        <v>1430</v>
      </c>
      <c r="BW4" s="841" t="s">
        <v>353</v>
      </c>
      <c r="BX4" s="841" t="s">
        <v>1431</v>
      </c>
      <c r="BY4" s="841" t="s">
        <v>353</v>
      </c>
      <c r="BZ4" s="841" t="s">
        <v>353</v>
      </c>
      <c r="CA4" s="841" t="s">
        <v>353</v>
      </c>
      <c r="CB4" s="841" t="s">
        <v>353</v>
      </c>
      <c r="CC4" s="841" t="s">
        <v>353</v>
      </c>
      <c r="CD4" s="841" t="s">
        <v>353</v>
      </c>
      <c r="CE4" s="841" t="s">
        <v>353</v>
      </c>
      <c r="CF4" s="841" t="s">
        <v>353</v>
      </c>
      <c r="CG4" s="841" t="s">
        <v>353</v>
      </c>
      <c r="CH4" s="841" t="s">
        <v>353</v>
      </c>
      <c r="CI4" s="841" t="s">
        <v>353</v>
      </c>
      <c r="CJ4" s="841" t="s">
        <v>353</v>
      </c>
      <c r="CK4" s="841">
        <v>0</v>
      </c>
      <c r="CL4" s="841">
        <v>149950</v>
      </c>
      <c r="CM4" s="841">
        <v>1</v>
      </c>
      <c r="CN4" s="841" t="s">
        <v>353</v>
      </c>
      <c r="CO4" s="841" t="s">
        <v>353</v>
      </c>
      <c r="CP4" s="841" t="s">
        <v>1432</v>
      </c>
      <c r="CQ4" s="841" t="s">
        <v>353</v>
      </c>
      <c r="CR4" s="841" t="s">
        <v>353</v>
      </c>
      <c r="CS4" s="841" t="s">
        <v>353</v>
      </c>
      <c r="CT4" s="841" t="s">
        <v>353</v>
      </c>
      <c r="CU4" s="841" t="s">
        <v>1391</v>
      </c>
      <c r="CV4" s="841" t="s">
        <v>353</v>
      </c>
      <c r="CW4" s="841" t="s">
        <v>353</v>
      </c>
      <c r="CX4" s="841" t="s">
        <v>353</v>
      </c>
      <c r="CY4" s="841" t="s">
        <v>353</v>
      </c>
      <c r="CZ4" s="841" t="s">
        <v>353</v>
      </c>
      <c r="DA4" s="841" t="s">
        <v>353</v>
      </c>
      <c r="DB4" s="841" t="s">
        <v>353</v>
      </c>
      <c r="DC4" s="841" t="s">
        <v>353</v>
      </c>
      <c r="DD4" s="841" t="s">
        <v>353</v>
      </c>
      <c r="DE4" s="841" t="s">
        <v>353</v>
      </c>
      <c r="DF4" s="841" t="s">
        <v>353</v>
      </c>
      <c r="DG4" s="841" t="s">
        <v>353</v>
      </c>
      <c r="DH4" s="841" t="s">
        <v>353</v>
      </c>
      <c r="DI4" s="841" t="s">
        <v>353</v>
      </c>
      <c r="DJ4" s="841" t="s">
        <v>1433</v>
      </c>
      <c r="DK4" s="841" t="s">
        <v>353</v>
      </c>
      <c r="DL4" s="842">
        <v>44607.724305555559</v>
      </c>
      <c r="DM4" s="841" t="s">
        <v>353</v>
      </c>
      <c r="DN4" s="841" t="s">
        <v>353</v>
      </c>
      <c r="DO4" s="841" t="s">
        <v>673</v>
      </c>
      <c r="DP4" s="841" t="s">
        <v>1412</v>
      </c>
      <c r="DQ4" s="841" t="s">
        <v>1434</v>
      </c>
      <c r="DR4" s="841">
        <v>208346</v>
      </c>
      <c r="DS4" s="841" t="s">
        <v>353</v>
      </c>
      <c r="DT4" s="841" t="s">
        <v>353</v>
      </c>
      <c r="DU4" s="841" t="s">
        <v>353</v>
      </c>
      <c r="DV4" s="841" t="s">
        <v>353</v>
      </c>
      <c r="DW4" s="841">
        <v>268000</v>
      </c>
      <c r="DX4" s="841" t="s">
        <v>353</v>
      </c>
      <c r="DY4" s="841" t="s">
        <v>353</v>
      </c>
      <c r="DZ4" s="841" t="s">
        <v>353</v>
      </c>
      <c r="EA4" s="841" t="s">
        <v>353</v>
      </c>
      <c r="EB4" s="841" t="s">
        <v>353</v>
      </c>
      <c r="EC4" s="841" t="s">
        <v>353</v>
      </c>
      <c r="ED4" s="841" t="s">
        <v>353</v>
      </c>
      <c r="EE4" s="841" t="s">
        <v>353</v>
      </c>
      <c r="EF4" s="841" t="s">
        <v>353</v>
      </c>
      <c r="EG4" s="841" t="s">
        <v>353</v>
      </c>
      <c r="EH4" s="841" t="s">
        <v>353</v>
      </c>
      <c r="EI4" s="841" t="s">
        <v>353</v>
      </c>
      <c r="EJ4" s="841" t="s">
        <v>353</v>
      </c>
      <c r="EK4" s="841" t="s">
        <v>353</v>
      </c>
      <c r="EL4" s="841" t="s">
        <v>1435</v>
      </c>
      <c r="EM4" s="841" t="s">
        <v>353</v>
      </c>
      <c r="EN4" s="841" t="s">
        <v>353</v>
      </c>
      <c r="EO4" s="841" t="s">
        <v>353</v>
      </c>
      <c r="EP4" s="841" t="s">
        <v>353</v>
      </c>
      <c r="EQ4" s="841" t="s">
        <v>353</v>
      </c>
      <c r="ER4" s="841" t="s">
        <v>353</v>
      </c>
      <c r="ES4" s="841" t="s">
        <v>353</v>
      </c>
      <c r="ET4" s="841" t="s">
        <v>1436</v>
      </c>
      <c r="EU4" s="841" t="s">
        <v>353</v>
      </c>
      <c r="EV4" s="841" t="s">
        <v>353</v>
      </c>
      <c r="EW4" s="841" t="s">
        <v>353</v>
      </c>
      <c r="EX4" s="841" t="s">
        <v>353</v>
      </c>
      <c r="EY4" s="842">
        <v>44608.470138888886</v>
      </c>
      <c r="EZ4" s="841" t="s">
        <v>353</v>
      </c>
      <c r="FA4" s="841" t="s">
        <v>353</v>
      </c>
      <c r="FB4" s="841" t="s">
        <v>353</v>
      </c>
      <c r="FC4" s="841" t="s">
        <v>353</v>
      </c>
      <c r="FD4" s="841" t="s">
        <v>353</v>
      </c>
      <c r="FE4" s="842">
        <v>44607.724999999999</v>
      </c>
      <c r="FF4" s="841" t="s">
        <v>353</v>
      </c>
      <c r="FG4" s="841" t="s">
        <v>353</v>
      </c>
      <c r="FH4" s="841" t="s">
        <v>353</v>
      </c>
      <c r="FI4" s="841" t="s">
        <v>353</v>
      </c>
      <c r="FJ4" s="841" t="s">
        <v>353</v>
      </c>
      <c r="FK4" s="841" t="s">
        <v>353</v>
      </c>
      <c r="FL4" s="841" t="s">
        <v>353</v>
      </c>
      <c r="FM4" s="841" t="s">
        <v>353</v>
      </c>
      <c r="FN4" s="841" t="s">
        <v>353</v>
      </c>
      <c r="FO4" s="841" t="s">
        <v>353</v>
      </c>
      <c r="FP4" s="841" t="s">
        <v>353</v>
      </c>
      <c r="FQ4" s="841" t="s">
        <v>353</v>
      </c>
      <c r="FR4" s="841" t="s">
        <v>353</v>
      </c>
      <c r="FS4" s="841" t="s">
        <v>353</v>
      </c>
      <c r="FT4" s="841" t="s">
        <v>353</v>
      </c>
      <c r="FU4" s="841" t="s">
        <v>1416</v>
      </c>
      <c r="FV4" s="841" t="s">
        <v>353</v>
      </c>
      <c r="FW4" s="841" t="s">
        <v>353</v>
      </c>
      <c r="FX4" s="841" t="s">
        <v>353</v>
      </c>
      <c r="FY4" s="841" t="s">
        <v>353</v>
      </c>
      <c r="FZ4" s="841" t="s">
        <v>353</v>
      </c>
      <c r="GA4" s="841" t="s">
        <v>353</v>
      </c>
      <c r="GB4" s="841">
        <v>1</v>
      </c>
      <c r="GC4" s="841" t="s">
        <v>353</v>
      </c>
      <c r="GD4" s="841" t="s">
        <v>1417</v>
      </c>
      <c r="GE4" s="841" t="s">
        <v>353</v>
      </c>
      <c r="GF4" s="841" t="s">
        <v>353</v>
      </c>
      <c r="GG4" s="841" t="s">
        <v>353</v>
      </c>
      <c r="GH4" s="841">
        <v>53600</v>
      </c>
      <c r="GI4" s="841" t="s">
        <v>353</v>
      </c>
      <c r="GJ4" s="841" t="s">
        <v>353</v>
      </c>
      <c r="GK4" s="841" t="s">
        <v>353</v>
      </c>
      <c r="GL4" s="841" t="s">
        <v>1437</v>
      </c>
      <c r="GM4" s="841" t="s">
        <v>353</v>
      </c>
      <c r="GN4" s="841" t="s">
        <v>353</v>
      </c>
      <c r="GO4" s="841" t="s">
        <v>353</v>
      </c>
      <c r="GP4" s="841" t="s">
        <v>353</v>
      </c>
      <c r="GQ4" s="841" t="s">
        <v>353</v>
      </c>
      <c r="GR4" s="841" t="s">
        <v>353</v>
      </c>
      <c r="GS4" s="841" t="s">
        <v>1430</v>
      </c>
      <c r="GT4" s="841" t="s">
        <v>353</v>
      </c>
      <c r="GU4" s="841" t="s">
        <v>353</v>
      </c>
      <c r="GV4" s="841" t="s">
        <v>1076</v>
      </c>
      <c r="GW4" s="841" t="s">
        <v>353</v>
      </c>
      <c r="GX4" s="841" t="s">
        <v>353</v>
      </c>
      <c r="GY4" s="841">
        <v>24</v>
      </c>
      <c r="GZ4" s="841" t="s">
        <v>1420</v>
      </c>
      <c r="HA4" s="841" t="s">
        <v>353</v>
      </c>
      <c r="HB4" s="841" t="s">
        <v>353</v>
      </c>
      <c r="HC4" s="841" t="s">
        <v>1421</v>
      </c>
      <c r="HD4" s="841" t="s">
        <v>1438</v>
      </c>
      <c r="HE4" s="841" t="s">
        <v>353</v>
      </c>
      <c r="HF4" s="841" t="s">
        <v>353</v>
      </c>
      <c r="HG4" s="841" t="s">
        <v>353</v>
      </c>
      <c r="HH4" s="841" t="s">
        <v>353</v>
      </c>
      <c r="HI4" s="841" t="s">
        <v>1439</v>
      </c>
      <c r="HJ4" s="841" t="s">
        <v>353</v>
      </c>
      <c r="HK4" s="841">
        <v>268000</v>
      </c>
      <c r="HL4" s="841" t="s">
        <v>353</v>
      </c>
      <c r="HM4" s="841" t="s">
        <v>353</v>
      </c>
      <c r="HN4" s="841" t="s">
        <v>353</v>
      </c>
      <c r="HO4" s="841" t="s">
        <v>353</v>
      </c>
      <c r="HP4" s="841">
        <v>15517.2</v>
      </c>
      <c r="HQ4" s="841" t="s">
        <v>353</v>
      </c>
      <c r="HR4" s="841" t="s">
        <v>353</v>
      </c>
      <c r="HS4" s="841" t="s">
        <v>353</v>
      </c>
      <c r="HT4" s="841" t="s">
        <v>353</v>
      </c>
      <c r="HU4" s="841" t="s">
        <v>353</v>
      </c>
      <c r="HV4" s="841" t="s">
        <v>353</v>
      </c>
      <c r="HW4" s="841" t="s">
        <v>353</v>
      </c>
      <c r="HX4" s="841" t="s">
        <v>353</v>
      </c>
      <c r="HY4" s="841" t="s">
        <v>353</v>
      </c>
      <c r="HZ4" s="841" t="s">
        <v>353</v>
      </c>
      <c r="IA4" s="841" t="s">
        <v>353</v>
      </c>
      <c r="IB4" s="841" t="s">
        <v>1440</v>
      </c>
      <c r="IC4" s="841" t="s">
        <v>353</v>
      </c>
      <c r="ID4" s="841" t="s">
        <v>353</v>
      </c>
      <c r="IE4" s="841" t="s">
        <v>353</v>
      </c>
      <c r="IF4" s="841" t="s">
        <v>353</v>
      </c>
      <c r="IG4" s="841" t="s">
        <v>353</v>
      </c>
      <c r="IH4" s="841" t="s">
        <v>353</v>
      </c>
      <c r="II4" s="841" t="s">
        <v>353</v>
      </c>
      <c r="IJ4" s="841" t="s">
        <v>353</v>
      </c>
      <c r="IK4" s="841" t="s">
        <v>353</v>
      </c>
      <c r="IL4" s="841" t="s">
        <v>353</v>
      </c>
      <c r="IM4" s="841" t="s">
        <v>353</v>
      </c>
      <c r="IN4" s="841" t="s">
        <v>353</v>
      </c>
      <c r="IO4" s="841" t="s">
        <v>353</v>
      </c>
      <c r="IP4" s="841" t="s">
        <v>353</v>
      </c>
      <c r="IQ4" s="841" t="s">
        <v>353</v>
      </c>
      <c r="IR4" s="841" t="s">
        <v>353</v>
      </c>
      <c r="IS4" s="841" t="s">
        <v>353</v>
      </c>
      <c r="IT4" s="841" t="s">
        <v>353</v>
      </c>
      <c r="IU4" s="841" t="s">
        <v>353</v>
      </c>
      <c r="IV4" s="841" t="s">
        <v>353</v>
      </c>
      <c r="IW4" s="841" t="s">
        <v>1441</v>
      </c>
      <c r="IX4" s="841" t="s">
        <v>353</v>
      </c>
      <c r="IY4" s="841" t="s">
        <v>353</v>
      </c>
      <c r="IZ4" s="841" t="s">
        <v>353</v>
      </c>
      <c r="JA4" s="841">
        <v>268000</v>
      </c>
      <c r="JB4" s="841" t="s">
        <v>353</v>
      </c>
      <c r="JC4" s="841" t="s">
        <v>353</v>
      </c>
      <c r="JD4" s="841" t="s">
        <v>1413</v>
      </c>
      <c r="JE4" s="841" t="s">
        <v>353</v>
      </c>
      <c r="JF4" s="841" t="s">
        <v>1442</v>
      </c>
      <c r="JG4" s="841" t="s">
        <v>1443</v>
      </c>
      <c r="JH4" s="841" t="s">
        <v>1444</v>
      </c>
      <c r="JI4" s="841" t="s">
        <v>1445</v>
      </c>
    </row>
    <row r="5" spans="1:269" x14ac:dyDescent="0.25">
      <c r="A5" s="841" t="s">
        <v>1446</v>
      </c>
      <c r="B5" s="841" t="s">
        <v>353</v>
      </c>
      <c r="C5" s="841" t="s">
        <v>353</v>
      </c>
      <c r="D5" s="841" t="s">
        <v>353</v>
      </c>
      <c r="E5" s="841" t="s">
        <v>353</v>
      </c>
      <c r="F5" s="841" t="s">
        <v>353</v>
      </c>
      <c r="G5" s="841" t="s">
        <v>1447</v>
      </c>
      <c r="H5" s="841" t="s">
        <v>353</v>
      </c>
      <c r="I5" s="841" t="s">
        <v>353</v>
      </c>
      <c r="J5" s="841" t="s">
        <v>353</v>
      </c>
      <c r="K5" s="841" t="s">
        <v>353</v>
      </c>
      <c r="L5" s="842">
        <v>44607.529166666667</v>
      </c>
      <c r="M5" s="841" t="s">
        <v>353</v>
      </c>
      <c r="N5" s="841" t="s">
        <v>353</v>
      </c>
      <c r="O5" s="841" t="s">
        <v>353</v>
      </c>
      <c r="P5" s="841" t="s">
        <v>353</v>
      </c>
      <c r="Q5" s="841" t="s">
        <v>353</v>
      </c>
      <c r="R5" s="841" t="s">
        <v>353</v>
      </c>
      <c r="S5" s="841" t="s">
        <v>64</v>
      </c>
      <c r="T5" s="841" t="s">
        <v>1390</v>
      </c>
      <c r="U5" s="841" t="s">
        <v>353</v>
      </c>
      <c r="V5" s="841" t="s">
        <v>353</v>
      </c>
      <c r="W5" s="841" t="s">
        <v>353</v>
      </c>
      <c r="X5" s="841" t="s">
        <v>353</v>
      </c>
      <c r="Y5" s="841" t="s">
        <v>353</v>
      </c>
      <c r="Z5" s="841" t="s">
        <v>353</v>
      </c>
      <c r="AA5" s="841" t="s">
        <v>353</v>
      </c>
      <c r="AB5" s="841" t="s">
        <v>353</v>
      </c>
      <c r="AC5" s="841">
        <v>350000</v>
      </c>
      <c r="AD5" s="841" t="s">
        <v>353</v>
      </c>
      <c r="AE5" s="841" t="s">
        <v>353</v>
      </c>
      <c r="AF5" s="841" t="s">
        <v>353</v>
      </c>
      <c r="AG5" s="841" t="s">
        <v>353</v>
      </c>
      <c r="AH5" s="841" t="s">
        <v>353</v>
      </c>
      <c r="AI5" s="841" t="s">
        <v>1406</v>
      </c>
      <c r="AJ5" s="841" t="s">
        <v>353</v>
      </c>
      <c r="AK5" s="841">
        <v>50</v>
      </c>
      <c r="AL5" s="841" t="s">
        <v>353</v>
      </c>
      <c r="AM5" s="841" t="s">
        <v>353</v>
      </c>
      <c r="AN5" s="841" t="s">
        <v>353</v>
      </c>
      <c r="AO5" s="841" t="s">
        <v>353</v>
      </c>
      <c r="AP5" s="841" t="s">
        <v>353</v>
      </c>
      <c r="AQ5" s="841" t="s">
        <v>353</v>
      </c>
      <c r="AR5" s="841" t="s">
        <v>353</v>
      </c>
      <c r="AS5" s="841" t="s">
        <v>353</v>
      </c>
      <c r="AT5" s="841" t="s">
        <v>353</v>
      </c>
      <c r="AU5" s="841" t="s">
        <v>353</v>
      </c>
      <c r="AV5" s="841" t="s">
        <v>353</v>
      </c>
      <c r="AW5" s="841" t="s">
        <v>353</v>
      </c>
      <c r="AX5" s="841" t="s">
        <v>353</v>
      </c>
      <c r="AY5" s="841" t="s">
        <v>353</v>
      </c>
      <c r="AZ5" s="841" t="s">
        <v>353</v>
      </c>
      <c r="BA5" s="841" t="s">
        <v>353</v>
      </c>
      <c r="BB5" s="841" t="s">
        <v>353</v>
      </c>
      <c r="BC5" s="841">
        <v>1719375</v>
      </c>
      <c r="BD5" s="841" t="s">
        <v>353</v>
      </c>
      <c r="BE5" s="841" t="s">
        <v>353</v>
      </c>
      <c r="BF5" s="841" t="s">
        <v>353</v>
      </c>
      <c r="BG5" s="841" t="s">
        <v>353</v>
      </c>
      <c r="BH5" s="841" t="s">
        <v>353</v>
      </c>
      <c r="BI5" s="841" t="s">
        <v>353</v>
      </c>
      <c r="BJ5" s="841" t="s">
        <v>353</v>
      </c>
      <c r="BK5" s="841" t="s">
        <v>353</v>
      </c>
      <c r="BL5" s="841" t="s">
        <v>1448</v>
      </c>
      <c r="BM5" s="842">
        <v>44620.500694444447</v>
      </c>
      <c r="BN5" s="841" t="s">
        <v>353</v>
      </c>
      <c r="BO5" s="841" t="s">
        <v>353</v>
      </c>
      <c r="BP5" s="841" t="s">
        <v>353</v>
      </c>
      <c r="BQ5" s="841" t="s">
        <v>353</v>
      </c>
      <c r="BR5" s="841" t="s">
        <v>353</v>
      </c>
      <c r="BS5" s="841" t="s">
        <v>353</v>
      </c>
      <c r="BT5" s="841">
        <v>1750000</v>
      </c>
      <c r="BU5" s="841" t="s">
        <v>353</v>
      </c>
      <c r="BV5" s="841" t="s">
        <v>1449</v>
      </c>
      <c r="BW5" s="841" t="s">
        <v>353</v>
      </c>
      <c r="BX5" s="841" t="s">
        <v>353</v>
      </c>
      <c r="BY5" s="841" t="s">
        <v>353</v>
      </c>
      <c r="BZ5" s="841" t="s">
        <v>353</v>
      </c>
      <c r="CA5" s="841" t="s">
        <v>353</v>
      </c>
      <c r="CB5" s="841" t="s">
        <v>353</v>
      </c>
      <c r="CC5" s="841" t="s">
        <v>353</v>
      </c>
      <c r="CD5" s="841" t="s">
        <v>353</v>
      </c>
      <c r="CE5" s="841" t="s">
        <v>353</v>
      </c>
      <c r="CF5" s="841" t="s">
        <v>353</v>
      </c>
      <c r="CG5" s="841" t="s">
        <v>353</v>
      </c>
      <c r="CH5" s="841" t="s">
        <v>353</v>
      </c>
      <c r="CI5" s="841" t="s">
        <v>353</v>
      </c>
      <c r="CJ5" s="841" t="s">
        <v>353</v>
      </c>
      <c r="CK5" s="841" t="s">
        <v>353</v>
      </c>
      <c r="CL5" s="841" t="s">
        <v>353</v>
      </c>
      <c r="CM5" s="841" t="s">
        <v>353</v>
      </c>
      <c r="CN5" s="841" t="s">
        <v>353</v>
      </c>
      <c r="CO5" s="841" t="s">
        <v>353</v>
      </c>
      <c r="CP5" s="841" t="s">
        <v>1450</v>
      </c>
      <c r="CQ5" s="841" t="s">
        <v>353</v>
      </c>
      <c r="CR5" s="841" t="s">
        <v>353</v>
      </c>
      <c r="CS5" s="841" t="s">
        <v>353</v>
      </c>
      <c r="CT5" s="841" t="s">
        <v>353</v>
      </c>
      <c r="CU5" s="841" t="s">
        <v>1391</v>
      </c>
      <c r="CV5" s="841" t="s">
        <v>353</v>
      </c>
      <c r="CW5" s="841" t="s">
        <v>353</v>
      </c>
      <c r="CX5" s="841" t="s">
        <v>353</v>
      </c>
      <c r="CY5" s="841" t="s">
        <v>353</v>
      </c>
      <c r="CZ5" s="841" t="s">
        <v>353</v>
      </c>
      <c r="DA5" s="841" t="s">
        <v>353</v>
      </c>
      <c r="DB5" s="841" t="s">
        <v>353</v>
      </c>
      <c r="DC5" s="841" t="s">
        <v>353</v>
      </c>
      <c r="DD5" s="841" t="s">
        <v>353</v>
      </c>
      <c r="DE5" s="841" t="s">
        <v>353</v>
      </c>
      <c r="DF5" s="841" t="s">
        <v>353</v>
      </c>
      <c r="DG5" s="841" t="s">
        <v>353</v>
      </c>
      <c r="DH5" s="841" t="s">
        <v>353</v>
      </c>
      <c r="DI5" s="841" t="s">
        <v>353</v>
      </c>
      <c r="DJ5" s="841" t="s">
        <v>353</v>
      </c>
      <c r="DK5" s="841" t="s">
        <v>353</v>
      </c>
      <c r="DL5" s="842">
        <v>44607.500694444447</v>
      </c>
      <c r="DM5" s="841" t="s">
        <v>353</v>
      </c>
      <c r="DN5" s="841" t="s">
        <v>353</v>
      </c>
      <c r="DO5" s="841" t="s">
        <v>353</v>
      </c>
      <c r="DP5" s="841" t="s">
        <v>353</v>
      </c>
      <c r="DQ5" s="841" t="s">
        <v>1451</v>
      </c>
      <c r="DR5" s="841" t="s">
        <v>353</v>
      </c>
      <c r="DS5" s="841" t="s">
        <v>353</v>
      </c>
      <c r="DT5" s="841" t="s">
        <v>353</v>
      </c>
      <c r="DU5" s="841" t="s">
        <v>353</v>
      </c>
      <c r="DV5" s="841" t="s">
        <v>353</v>
      </c>
      <c r="DW5" s="841">
        <v>1750000</v>
      </c>
      <c r="DX5" s="841" t="s">
        <v>353</v>
      </c>
      <c r="DY5" s="841" t="s">
        <v>353</v>
      </c>
      <c r="DZ5" s="841" t="s">
        <v>353</v>
      </c>
      <c r="EA5" s="841" t="s">
        <v>353</v>
      </c>
      <c r="EB5" s="841" t="s">
        <v>353</v>
      </c>
      <c r="EC5" s="841" t="s">
        <v>353</v>
      </c>
      <c r="ED5" s="841" t="s">
        <v>353</v>
      </c>
      <c r="EE5" s="841" t="s">
        <v>353</v>
      </c>
      <c r="EF5" s="841" t="s">
        <v>353</v>
      </c>
      <c r="EG5" s="841" t="s">
        <v>353</v>
      </c>
      <c r="EH5" s="841" t="s">
        <v>353</v>
      </c>
      <c r="EI5" s="841" t="s">
        <v>353</v>
      </c>
      <c r="EJ5" s="841" t="s">
        <v>353</v>
      </c>
      <c r="EK5" s="841" t="s">
        <v>353</v>
      </c>
      <c r="EL5" s="841" t="s">
        <v>353</v>
      </c>
      <c r="EM5" s="841" t="s">
        <v>353</v>
      </c>
      <c r="EN5" s="841" t="s">
        <v>353</v>
      </c>
      <c r="EO5" s="841" t="s">
        <v>353</v>
      </c>
      <c r="EP5" s="841" t="s">
        <v>353</v>
      </c>
      <c r="EQ5" s="841" t="s">
        <v>353</v>
      </c>
      <c r="ER5" s="841" t="s">
        <v>353</v>
      </c>
      <c r="ES5" s="841" t="s">
        <v>353</v>
      </c>
      <c r="ET5" s="841" t="s">
        <v>1452</v>
      </c>
      <c r="EU5" s="841" t="s">
        <v>353</v>
      </c>
      <c r="EV5" s="841" t="s">
        <v>353</v>
      </c>
      <c r="EW5" s="841" t="s">
        <v>353</v>
      </c>
      <c r="EX5" s="841" t="s">
        <v>353</v>
      </c>
      <c r="EY5" s="841" t="s">
        <v>353</v>
      </c>
      <c r="EZ5" s="841" t="s">
        <v>353</v>
      </c>
      <c r="FA5" s="841" t="s">
        <v>353</v>
      </c>
      <c r="FB5" s="841" t="s">
        <v>353</v>
      </c>
      <c r="FC5" s="841" t="s">
        <v>353</v>
      </c>
      <c r="FD5" s="841" t="s">
        <v>353</v>
      </c>
      <c r="FE5" s="842">
        <v>44607.500694444447</v>
      </c>
      <c r="FF5" s="841" t="s">
        <v>353</v>
      </c>
      <c r="FG5" s="841" t="s">
        <v>353</v>
      </c>
      <c r="FH5" s="841" t="s">
        <v>353</v>
      </c>
      <c r="FI5" s="841" t="s">
        <v>353</v>
      </c>
      <c r="FJ5" s="841" t="s">
        <v>353</v>
      </c>
      <c r="FK5" s="841" t="s">
        <v>353</v>
      </c>
      <c r="FL5" s="841" t="s">
        <v>353</v>
      </c>
      <c r="FM5" s="841" t="s">
        <v>353</v>
      </c>
      <c r="FN5" s="841" t="s">
        <v>353</v>
      </c>
      <c r="FO5" s="841" t="s">
        <v>353</v>
      </c>
      <c r="FP5" s="841" t="s">
        <v>353</v>
      </c>
      <c r="FQ5" s="841" t="s">
        <v>353</v>
      </c>
      <c r="FR5" s="841" t="s">
        <v>353</v>
      </c>
      <c r="FS5" s="841" t="s">
        <v>353</v>
      </c>
      <c r="FT5" s="841" t="s">
        <v>353</v>
      </c>
      <c r="FU5" s="841" t="s">
        <v>1416</v>
      </c>
      <c r="FV5" s="841" t="s">
        <v>353</v>
      </c>
      <c r="FW5" s="841" t="s">
        <v>353</v>
      </c>
      <c r="FX5" s="841" t="s">
        <v>353</v>
      </c>
      <c r="FY5" s="841" t="s">
        <v>353</v>
      </c>
      <c r="FZ5" s="841" t="s">
        <v>353</v>
      </c>
      <c r="GA5" s="841" t="s">
        <v>353</v>
      </c>
      <c r="GB5" s="841">
        <v>1</v>
      </c>
      <c r="GC5" s="841" t="s">
        <v>353</v>
      </c>
      <c r="GD5" s="841" t="s">
        <v>1417</v>
      </c>
      <c r="GE5" s="841" t="s">
        <v>353</v>
      </c>
      <c r="GF5" s="841" t="s">
        <v>353</v>
      </c>
      <c r="GG5" s="841" t="s">
        <v>353</v>
      </c>
      <c r="GH5" s="841">
        <v>350000</v>
      </c>
      <c r="GI5" s="841" t="s">
        <v>353</v>
      </c>
      <c r="GJ5" s="841" t="s">
        <v>353</v>
      </c>
      <c r="GK5" s="841" t="s">
        <v>353</v>
      </c>
      <c r="GL5" s="841" t="s">
        <v>1453</v>
      </c>
      <c r="GM5" s="841" t="s">
        <v>353</v>
      </c>
      <c r="GN5" s="841" t="s">
        <v>353</v>
      </c>
      <c r="GO5" s="841" t="s">
        <v>353</v>
      </c>
      <c r="GP5" s="841" t="s">
        <v>353</v>
      </c>
      <c r="GQ5" s="841" t="s">
        <v>353</v>
      </c>
      <c r="GR5" s="841" t="s">
        <v>353</v>
      </c>
      <c r="GS5" s="841" t="s">
        <v>1449</v>
      </c>
      <c r="GT5" s="841" t="s">
        <v>353</v>
      </c>
      <c r="GU5" s="841" t="s">
        <v>353</v>
      </c>
      <c r="GV5" s="841" t="s">
        <v>1076</v>
      </c>
      <c r="GW5" s="841" t="s">
        <v>353</v>
      </c>
      <c r="GX5" s="841" t="s">
        <v>353</v>
      </c>
      <c r="GY5" s="841" t="s">
        <v>353</v>
      </c>
      <c r="GZ5" s="841" t="s">
        <v>1420</v>
      </c>
      <c r="HA5" s="841" t="s">
        <v>353</v>
      </c>
      <c r="HB5" s="841" t="s">
        <v>353</v>
      </c>
      <c r="HC5" s="841" t="s">
        <v>1421</v>
      </c>
      <c r="HD5" s="841" t="s">
        <v>1454</v>
      </c>
      <c r="HE5" s="841" t="s">
        <v>353</v>
      </c>
      <c r="HF5" s="841" t="s">
        <v>353</v>
      </c>
      <c r="HG5" s="841" t="s">
        <v>353</v>
      </c>
      <c r="HH5" s="841" t="s">
        <v>353</v>
      </c>
      <c r="HI5" s="841" t="s">
        <v>1422</v>
      </c>
      <c r="HJ5" s="841" t="s">
        <v>353</v>
      </c>
      <c r="HK5" s="841">
        <v>1750000</v>
      </c>
      <c r="HL5" s="841" t="s">
        <v>353</v>
      </c>
      <c r="HM5" s="841" t="s">
        <v>353</v>
      </c>
      <c r="HN5" s="841" t="s">
        <v>353</v>
      </c>
      <c r="HO5" s="841" t="s">
        <v>353</v>
      </c>
      <c r="HP5" s="841">
        <v>92575</v>
      </c>
      <c r="HQ5" s="841" t="s">
        <v>353</v>
      </c>
      <c r="HR5" s="841" t="s">
        <v>353</v>
      </c>
      <c r="HS5" s="841" t="s">
        <v>353</v>
      </c>
      <c r="HT5" s="841" t="s">
        <v>353</v>
      </c>
      <c r="HU5" s="841" t="s">
        <v>353</v>
      </c>
      <c r="HV5" s="841" t="s">
        <v>353</v>
      </c>
      <c r="HW5" s="841">
        <v>3500000</v>
      </c>
      <c r="HX5" s="841" t="s">
        <v>353</v>
      </c>
      <c r="HY5" s="841" t="s">
        <v>353</v>
      </c>
      <c r="HZ5" s="841" t="s">
        <v>353</v>
      </c>
      <c r="IA5" s="841" t="s">
        <v>353</v>
      </c>
      <c r="IB5" s="841" t="s">
        <v>1455</v>
      </c>
      <c r="IC5" s="841" t="s">
        <v>353</v>
      </c>
      <c r="ID5" s="841" t="s">
        <v>353</v>
      </c>
      <c r="IE5" s="841" t="s">
        <v>353</v>
      </c>
      <c r="IF5" s="841" t="s">
        <v>353</v>
      </c>
      <c r="IG5" s="841" t="s">
        <v>353</v>
      </c>
      <c r="IH5" s="841" t="s">
        <v>353</v>
      </c>
      <c r="II5" s="841" t="s">
        <v>353</v>
      </c>
      <c r="IJ5" s="841" t="s">
        <v>353</v>
      </c>
      <c r="IK5" s="841" t="s">
        <v>353</v>
      </c>
      <c r="IL5" s="841" t="s">
        <v>353</v>
      </c>
      <c r="IM5" s="841" t="s">
        <v>353</v>
      </c>
      <c r="IN5" s="841" t="s">
        <v>353</v>
      </c>
      <c r="IO5" s="841" t="s">
        <v>353</v>
      </c>
      <c r="IP5" s="841" t="s">
        <v>353</v>
      </c>
      <c r="IQ5" s="841" t="s">
        <v>353</v>
      </c>
      <c r="IR5" s="841" t="s">
        <v>353</v>
      </c>
      <c r="IS5" s="841" t="s">
        <v>353</v>
      </c>
      <c r="IT5" s="841" t="s">
        <v>353</v>
      </c>
      <c r="IU5" s="841" t="s">
        <v>353</v>
      </c>
      <c r="IV5" s="841" t="s">
        <v>353</v>
      </c>
      <c r="IW5" s="841" t="s">
        <v>353</v>
      </c>
      <c r="IX5" s="841" t="s">
        <v>353</v>
      </c>
      <c r="IY5" s="841" t="s">
        <v>353</v>
      </c>
      <c r="IZ5" s="841" t="s">
        <v>353</v>
      </c>
      <c r="JA5" s="841">
        <v>1750000</v>
      </c>
      <c r="JB5" s="841" t="s">
        <v>353</v>
      </c>
      <c r="JC5" s="841" t="s">
        <v>353</v>
      </c>
      <c r="JD5" s="841" t="s">
        <v>1456</v>
      </c>
      <c r="JE5" s="841" t="s">
        <v>353</v>
      </c>
      <c r="JF5" s="841" t="s">
        <v>1457</v>
      </c>
      <c r="JG5" s="841" t="s">
        <v>1458</v>
      </c>
      <c r="JH5" s="841" t="s">
        <v>1459</v>
      </c>
      <c r="JI5" s="841" t="s">
        <v>1460</v>
      </c>
    </row>
    <row r="6" spans="1:269" x14ac:dyDescent="0.25">
      <c r="A6" s="841" t="s">
        <v>1461</v>
      </c>
      <c r="B6" s="841" t="s">
        <v>353</v>
      </c>
      <c r="C6" s="841" t="s">
        <v>353</v>
      </c>
      <c r="D6" s="841" t="s">
        <v>353</v>
      </c>
      <c r="E6" s="841" t="s">
        <v>353</v>
      </c>
      <c r="F6" s="841" t="s">
        <v>1405</v>
      </c>
      <c r="G6" s="841" t="s">
        <v>1462</v>
      </c>
      <c r="H6" s="841" t="s">
        <v>353</v>
      </c>
      <c r="I6" s="841" t="s">
        <v>353</v>
      </c>
      <c r="J6" s="841" t="s">
        <v>353</v>
      </c>
      <c r="K6" s="841" t="s">
        <v>353</v>
      </c>
      <c r="L6" s="842">
        <v>44608.420138888891</v>
      </c>
      <c r="M6" s="841" t="s">
        <v>353</v>
      </c>
      <c r="N6" s="841" t="s">
        <v>353</v>
      </c>
      <c r="O6" s="841" t="s">
        <v>353</v>
      </c>
      <c r="P6" s="841" t="s">
        <v>33</v>
      </c>
      <c r="Q6" s="841" t="s">
        <v>353</v>
      </c>
      <c r="R6" s="841" t="s">
        <v>353</v>
      </c>
      <c r="S6" s="841" t="s">
        <v>67</v>
      </c>
      <c r="T6" s="841" t="s">
        <v>1390</v>
      </c>
      <c r="U6" s="841" t="s">
        <v>353</v>
      </c>
      <c r="V6" s="841" t="s">
        <v>353</v>
      </c>
      <c r="W6" s="841" t="s">
        <v>353</v>
      </c>
      <c r="X6" s="841" t="s">
        <v>353</v>
      </c>
      <c r="Y6" s="841" t="s">
        <v>353</v>
      </c>
      <c r="Z6" s="841" t="s">
        <v>353</v>
      </c>
      <c r="AA6" s="841" t="s">
        <v>33</v>
      </c>
      <c r="AB6" s="841" t="s">
        <v>353</v>
      </c>
      <c r="AC6" s="841">
        <v>75000</v>
      </c>
      <c r="AD6" s="841" t="s">
        <v>353</v>
      </c>
      <c r="AE6" s="841" t="s">
        <v>33</v>
      </c>
      <c r="AF6" s="841" t="s">
        <v>353</v>
      </c>
      <c r="AG6" s="841" t="s">
        <v>353</v>
      </c>
      <c r="AH6" s="841" t="s">
        <v>353</v>
      </c>
      <c r="AI6" s="841" t="s">
        <v>353</v>
      </c>
      <c r="AJ6" s="841" t="s">
        <v>353</v>
      </c>
      <c r="AK6" s="841">
        <v>43</v>
      </c>
      <c r="AL6" s="841" t="s">
        <v>353</v>
      </c>
      <c r="AM6" s="841" t="s">
        <v>353</v>
      </c>
      <c r="AN6" s="841" t="s">
        <v>353</v>
      </c>
      <c r="AO6" s="841" t="s">
        <v>353</v>
      </c>
      <c r="AP6" s="841" t="s">
        <v>353</v>
      </c>
      <c r="AQ6" s="841" t="s">
        <v>353</v>
      </c>
      <c r="AR6" s="841" t="s">
        <v>33</v>
      </c>
      <c r="AS6" s="841" t="s">
        <v>353</v>
      </c>
      <c r="AT6" s="841" t="s">
        <v>353</v>
      </c>
      <c r="AU6" s="841" t="s">
        <v>353</v>
      </c>
      <c r="AV6" s="841" t="s">
        <v>353</v>
      </c>
      <c r="AW6" s="843">
        <v>44608</v>
      </c>
      <c r="AX6" s="841" t="s">
        <v>353</v>
      </c>
      <c r="AY6" s="841" t="s">
        <v>353</v>
      </c>
      <c r="AZ6" s="841" t="s">
        <v>353</v>
      </c>
      <c r="BA6" s="841" t="s">
        <v>353</v>
      </c>
      <c r="BB6" s="841" t="s">
        <v>353</v>
      </c>
      <c r="BC6" s="841">
        <v>145204</v>
      </c>
      <c r="BD6" s="841" t="s">
        <v>353</v>
      </c>
      <c r="BE6" s="841" t="s">
        <v>353</v>
      </c>
      <c r="BF6" s="841" t="s">
        <v>353</v>
      </c>
      <c r="BG6" s="841" t="s">
        <v>353</v>
      </c>
      <c r="BH6" s="841" t="s">
        <v>353</v>
      </c>
      <c r="BI6" s="841" t="s">
        <v>353</v>
      </c>
      <c r="BJ6" s="841" t="s">
        <v>353</v>
      </c>
      <c r="BK6" s="841" t="s">
        <v>353</v>
      </c>
      <c r="BL6" s="841" t="s">
        <v>353</v>
      </c>
      <c r="BM6" s="842">
        <v>44620.5</v>
      </c>
      <c r="BN6" s="841" t="s">
        <v>353</v>
      </c>
      <c r="BO6" s="841" t="s">
        <v>353</v>
      </c>
      <c r="BP6" s="841" t="s">
        <v>353</v>
      </c>
      <c r="BQ6" s="841" t="s">
        <v>353</v>
      </c>
      <c r="BR6" s="841" t="s">
        <v>353</v>
      </c>
      <c r="BS6" s="841" t="s">
        <v>353</v>
      </c>
      <c r="BT6" s="841">
        <v>150000</v>
      </c>
      <c r="BU6" s="841" t="s">
        <v>353</v>
      </c>
      <c r="BV6" s="841" t="s">
        <v>1463</v>
      </c>
      <c r="BW6" s="841" t="s">
        <v>353</v>
      </c>
      <c r="BX6" s="841" t="s">
        <v>353</v>
      </c>
      <c r="BY6" s="841" t="s">
        <v>353</v>
      </c>
      <c r="BZ6" s="841" t="s">
        <v>353</v>
      </c>
      <c r="CA6" s="841" t="s">
        <v>353</v>
      </c>
      <c r="CB6" s="841" t="s">
        <v>353</v>
      </c>
      <c r="CC6" s="841" t="s">
        <v>353</v>
      </c>
      <c r="CD6" s="841" t="s">
        <v>353</v>
      </c>
      <c r="CE6" s="841" t="s">
        <v>353</v>
      </c>
      <c r="CF6" s="841" t="s">
        <v>353</v>
      </c>
      <c r="CG6" s="841" t="s">
        <v>353</v>
      </c>
      <c r="CH6" s="841" t="s">
        <v>353</v>
      </c>
      <c r="CI6" s="841" t="s">
        <v>33</v>
      </c>
      <c r="CJ6" s="841" t="s">
        <v>353</v>
      </c>
      <c r="CK6" s="841">
        <v>0</v>
      </c>
      <c r="CL6" s="841" t="s">
        <v>353</v>
      </c>
      <c r="CM6" s="841">
        <v>1</v>
      </c>
      <c r="CN6" s="841" t="s">
        <v>353</v>
      </c>
      <c r="CO6" s="841" t="s">
        <v>353</v>
      </c>
      <c r="CP6" s="841" t="s">
        <v>1464</v>
      </c>
      <c r="CQ6" s="841" t="s">
        <v>353</v>
      </c>
      <c r="CR6" s="841" t="s">
        <v>353</v>
      </c>
      <c r="CS6" s="841" t="s">
        <v>353</v>
      </c>
      <c r="CT6" s="841" t="s">
        <v>353</v>
      </c>
      <c r="CU6" s="841" t="s">
        <v>1391</v>
      </c>
      <c r="CV6" s="841" t="s">
        <v>353</v>
      </c>
      <c r="CW6" s="841" t="s">
        <v>353</v>
      </c>
      <c r="CX6" s="841" t="s">
        <v>353</v>
      </c>
      <c r="CY6" s="841" t="s">
        <v>353</v>
      </c>
      <c r="CZ6" s="841" t="s">
        <v>353</v>
      </c>
      <c r="DA6" s="841" t="s">
        <v>353</v>
      </c>
      <c r="DB6" s="841" t="s">
        <v>353</v>
      </c>
      <c r="DC6" s="841" t="s">
        <v>353</v>
      </c>
      <c r="DD6" s="841" t="s">
        <v>353</v>
      </c>
      <c r="DE6" s="841" t="s">
        <v>353</v>
      </c>
      <c r="DF6" s="841">
        <v>33</v>
      </c>
      <c r="DG6" s="841" t="s">
        <v>353</v>
      </c>
      <c r="DH6" s="841" t="s">
        <v>353</v>
      </c>
      <c r="DI6" s="841" t="s">
        <v>353</v>
      </c>
      <c r="DJ6" s="841" t="s">
        <v>1465</v>
      </c>
      <c r="DK6" s="841" t="s">
        <v>353</v>
      </c>
      <c r="DL6" s="842">
        <v>44607.5</v>
      </c>
      <c r="DM6" s="841" t="s">
        <v>353</v>
      </c>
      <c r="DN6" s="841" t="s">
        <v>33</v>
      </c>
      <c r="DO6" s="841" t="s">
        <v>353</v>
      </c>
      <c r="DP6" s="841" t="s">
        <v>353</v>
      </c>
      <c r="DQ6" s="841" t="s">
        <v>673</v>
      </c>
      <c r="DR6" s="841" t="s">
        <v>353</v>
      </c>
      <c r="DS6" s="841">
        <v>33</v>
      </c>
      <c r="DT6" s="841" t="s">
        <v>353</v>
      </c>
      <c r="DU6" s="841" t="s">
        <v>353</v>
      </c>
      <c r="DV6" s="841" t="s">
        <v>353</v>
      </c>
      <c r="DW6" s="841">
        <v>150000</v>
      </c>
      <c r="DX6" s="841" t="s">
        <v>33</v>
      </c>
      <c r="DY6" s="841" t="s">
        <v>353</v>
      </c>
      <c r="DZ6" s="841" t="s">
        <v>353</v>
      </c>
      <c r="EA6" s="841" t="s">
        <v>353</v>
      </c>
      <c r="EB6" s="841" t="s">
        <v>353</v>
      </c>
      <c r="EC6" s="841" t="s">
        <v>353</v>
      </c>
      <c r="ED6" s="841" t="s">
        <v>353</v>
      </c>
      <c r="EE6" s="841" t="s">
        <v>353</v>
      </c>
      <c r="EF6" s="841" t="s">
        <v>353</v>
      </c>
      <c r="EG6" s="841" t="s">
        <v>353</v>
      </c>
      <c r="EH6" s="841" t="s">
        <v>353</v>
      </c>
      <c r="EI6" s="841">
        <v>26055</v>
      </c>
      <c r="EJ6" s="841" t="s">
        <v>353</v>
      </c>
      <c r="EK6" s="841" t="s">
        <v>353</v>
      </c>
      <c r="EL6" s="841" t="s">
        <v>1435</v>
      </c>
      <c r="EM6" s="841" t="s">
        <v>353</v>
      </c>
      <c r="EN6" s="841" t="s">
        <v>353</v>
      </c>
      <c r="EO6" s="841" t="s">
        <v>353</v>
      </c>
      <c r="EP6" s="841" t="s">
        <v>353</v>
      </c>
      <c r="EQ6" s="841" t="s">
        <v>353</v>
      </c>
      <c r="ER6" s="841" t="s">
        <v>353</v>
      </c>
      <c r="ES6" s="841" t="s">
        <v>33</v>
      </c>
      <c r="ET6" s="841" t="s">
        <v>1466</v>
      </c>
      <c r="EU6" s="841" t="s">
        <v>353</v>
      </c>
      <c r="EV6" s="841" t="s">
        <v>353</v>
      </c>
      <c r="EW6" s="841" t="s">
        <v>353</v>
      </c>
      <c r="EX6" s="841" t="s">
        <v>33</v>
      </c>
      <c r="EY6" s="842">
        <v>44608.420138888891</v>
      </c>
      <c r="EZ6" s="841" t="s">
        <v>353</v>
      </c>
      <c r="FA6" s="841" t="s">
        <v>353</v>
      </c>
      <c r="FB6" s="841" t="s">
        <v>353</v>
      </c>
      <c r="FC6" s="841" t="s">
        <v>353</v>
      </c>
      <c r="FD6" s="841" t="s">
        <v>353</v>
      </c>
      <c r="FE6" s="842">
        <v>44607.500694444447</v>
      </c>
      <c r="FF6" s="841" t="s">
        <v>353</v>
      </c>
      <c r="FG6" s="841" t="s">
        <v>353</v>
      </c>
      <c r="FH6" s="841" t="s">
        <v>353</v>
      </c>
      <c r="FI6" s="841" t="s">
        <v>353</v>
      </c>
      <c r="FJ6" s="841" t="s">
        <v>353</v>
      </c>
      <c r="FK6" s="841" t="s">
        <v>353</v>
      </c>
      <c r="FL6" s="841" t="s">
        <v>353</v>
      </c>
      <c r="FM6" s="841" t="s">
        <v>353</v>
      </c>
      <c r="FN6" s="841" t="s">
        <v>353</v>
      </c>
      <c r="FO6" s="841" t="s">
        <v>353</v>
      </c>
      <c r="FP6" s="841" t="s">
        <v>353</v>
      </c>
      <c r="FQ6" s="841" t="s">
        <v>353</v>
      </c>
      <c r="FR6" s="841" t="s">
        <v>353</v>
      </c>
      <c r="FS6" s="841" t="s">
        <v>353</v>
      </c>
      <c r="FT6" s="841" t="s">
        <v>353</v>
      </c>
      <c r="FU6" s="841" t="s">
        <v>1467</v>
      </c>
      <c r="FV6" s="841" t="s">
        <v>353</v>
      </c>
      <c r="FW6" s="841" t="s">
        <v>353</v>
      </c>
      <c r="FX6" s="841" t="s">
        <v>353</v>
      </c>
      <c r="FY6" s="841" t="s">
        <v>353</v>
      </c>
      <c r="FZ6" s="841" t="s">
        <v>353</v>
      </c>
      <c r="GA6" s="841" t="s">
        <v>353</v>
      </c>
      <c r="GB6" s="841">
        <v>1</v>
      </c>
      <c r="GC6" s="841" t="s">
        <v>353</v>
      </c>
      <c r="GD6" s="841" t="s">
        <v>1395</v>
      </c>
      <c r="GE6" s="841" t="s">
        <v>353</v>
      </c>
      <c r="GF6" s="841" t="s">
        <v>353</v>
      </c>
      <c r="GG6" s="841" t="s">
        <v>353</v>
      </c>
      <c r="GH6" s="841">
        <v>75000</v>
      </c>
      <c r="GI6" s="841" t="s">
        <v>353</v>
      </c>
      <c r="GJ6" s="841" t="s">
        <v>353</v>
      </c>
      <c r="GK6" s="841" t="s">
        <v>353</v>
      </c>
      <c r="GL6" s="841" t="s">
        <v>1468</v>
      </c>
      <c r="GM6" s="841" t="s">
        <v>353</v>
      </c>
      <c r="GN6" s="841" t="s">
        <v>353</v>
      </c>
      <c r="GO6" s="841" t="s">
        <v>353</v>
      </c>
      <c r="GP6" s="841" t="s">
        <v>353</v>
      </c>
      <c r="GQ6" s="841" t="s">
        <v>353</v>
      </c>
      <c r="GR6" s="841" t="s">
        <v>353</v>
      </c>
      <c r="GS6" s="841" t="s">
        <v>1463</v>
      </c>
      <c r="GT6" s="841" t="s">
        <v>353</v>
      </c>
      <c r="GU6" s="841" t="s">
        <v>353</v>
      </c>
      <c r="GV6" s="841" t="s">
        <v>1419</v>
      </c>
      <c r="GW6" s="841" t="s">
        <v>353</v>
      </c>
      <c r="GX6" s="841" t="s">
        <v>353</v>
      </c>
      <c r="GY6" s="841">
        <v>36</v>
      </c>
      <c r="GZ6" s="841" t="s">
        <v>1420</v>
      </c>
      <c r="HA6" s="841" t="s">
        <v>353</v>
      </c>
      <c r="HB6" s="841" t="s">
        <v>353</v>
      </c>
      <c r="HC6" s="841" t="s">
        <v>1421</v>
      </c>
      <c r="HD6" s="841" t="s">
        <v>1469</v>
      </c>
      <c r="HE6" s="841">
        <v>1500</v>
      </c>
      <c r="HF6" s="841" t="s">
        <v>353</v>
      </c>
      <c r="HG6" s="841" t="s">
        <v>353</v>
      </c>
      <c r="HH6" s="841" t="s">
        <v>353</v>
      </c>
      <c r="HI6" s="841" t="s">
        <v>1422</v>
      </c>
      <c r="HJ6" s="841" t="s">
        <v>353</v>
      </c>
      <c r="HK6" s="841">
        <v>150000</v>
      </c>
      <c r="HL6" s="841" t="s">
        <v>353</v>
      </c>
      <c r="HM6" s="841" t="s">
        <v>353</v>
      </c>
      <c r="HN6" s="841" t="s">
        <v>353</v>
      </c>
      <c r="HO6" s="841" t="s">
        <v>353</v>
      </c>
      <c r="HP6" s="841">
        <v>8685</v>
      </c>
      <c r="HQ6" s="841" t="s">
        <v>353</v>
      </c>
      <c r="HR6" s="841" t="s">
        <v>353</v>
      </c>
      <c r="HS6" s="841" t="s">
        <v>353</v>
      </c>
      <c r="HT6" s="841" t="s">
        <v>353</v>
      </c>
      <c r="HU6" s="841" t="s">
        <v>353</v>
      </c>
      <c r="HV6" s="841" t="s">
        <v>353</v>
      </c>
      <c r="HW6" s="841" t="s">
        <v>353</v>
      </c>
      <c r="HX6" s="841" t="s">
        <v>353</v>
      </c>
      <c r="HY6" s="841" t="s">
        <v>353</v>
      </c>
      <c r="HZ6" s="841" t="s">
        <v>353</v>
      </c>
      <c r="IA6" s="841" t="s">
        <v>353</v>
      </c>
      <c r="IB6" s="841" t="s">
        <v>1424</v>
      </c>
      <c r="IC6" s="841" t="s">
        <v>353</v>
      </c>
      <c r="ID6" s="841" t="s">
        <v>353</v>
      </c>
      <c r="IE6" s="841" t="s">
        <v>353</v>
      </c>
      <c r="IF6" s="841" t="s">
        <v>353</v>
      </c>
      <c r="IG6" s="841" t="s">
        <v>353</v>
      </c>
      <c r="IH6" s="841" t="s">
        <v>353</v>
      </c>
      <c r="II6" s="841" t="s">
        <v>353</v>
      </c>
      <c r="IJ6" s="841" t="s">
        <v>353</v>
      </c>
      <c r="IK6" s="841" t="s">
        <v>353</v>
      </c>
      <c r="IL6" s="841">
        <v>147829</v>
      </c>
      <c r="IM6" s="841" t="s">
        <v>353</v>
      </c>
      <c r="IN6" s="841" t="s">
        <v>353</v>
      </c>
      <c r="IO6" s="841" t="s">
        <v>353</v>
      </c>
      <c r="IP6" s="841" t="s">
        <v>353</v>
      </c>
      <c r="IQ6" s="841" t="s">
        <v>353</v>
      </c>
      <c r="IR6" s="841">
        <v>3</v>
      </c>
      <c r="IS6" s="841" t="s">
        <v>33</v>
      </c>
      <c r="IT6" s="841" t="s">
        <v>353</v>
      </c>
      <c r="IU6" s="841" t="s">
        <v>353</v>
      </c>
      <c r="IV6" s="841" t="s">
        <v>353</v>
      </c>
      <c r="IW6" s="841" t="s">
        <v>353</v>
      </c>
      <c r="IX6" s="841" t="s">
        <v>353</v>
      </c>
      <c r="IY6" s="841" t="s">
        <v>353</v>
      </c>
      <c r="IZ6" s="841" t="s">
        <v>353</v>
      </c>
      <c r="JA6" s="841">
        <v>150000</v>
      </c>
      <c r="JB6" s="841" t="s">
        <v>353</v>
      </c>
      <c r="JC6" s="841" t="s">
        <v>353</v>
      </c>
      <c r="JD6" s="841" t="s">
        <v>1413</v>
      </c>
      <c r="JE6" s="841" t="s">
        <v>33</v>
      </c>
      <c r="JF6" s="841" t="s">
        <v>1470</v>
      </c>
      <c r="JG6" s="841" t="s">
        <v>1471</v>
      </c>
      <c r="JH6" s="841" t="s">
        <v>1472</v>
      </c>
      <c r="JI6" s="841" t="s">
        <v>1473</v>
      </c>
    </row>
    <row r="7" spans="1:269" x14ac:dyDescent="0.25">
      <c r="A7" s="841" t="s">
        <v>1474</v>
      </c>
      <c r="B7" s="841" t="s">
        <v>353</v>
      </c>
      <c r="C7" s="841" t="s">
        <v>353</v>
      </c>
      <c r="D7" s="841" t="s">
        <v>353</v>
      </c>
      <c r="E7" s="841" t="s">
        <v>353</v>
      </c>
      <c r="F7" s="841" t="s">
        <v>353</v>
      </c>
      <c r="G7" s="841" t="s">
        <v>1475</v>
      </c>
      <c r="H7" s="841" t="s">
        <v>353</v>
      </c>
      <c r="I7" s="841" t="s">
        <v>353</v>
      </c>
      <c r="J7" s="841" t="s">
        <v>353</v>
      </c>
      <c r="K7" s="841" t="s">
        <v>353</v>
      </c>
      <c r="L7" s="842">
        <v>44608.381944444445</v>
      </c>
      <c r="M7" s="841" t="s">
        <v>353</v>
      </c>
      <c r="N7" s="841" t="s">
        <v>353</v>
      </c>
      <c r="O7" s="841" t="s">
        <v>353</v>
      </c>
      <c r="P7" s="841" t="s">
        <v>353</v>
      </c>
      <c r="Q7" s="841" t="s">
        <v>353</v>
      </c>
      <c r="R7" s="841" t="s">
        <v>353</v>
      </c>
      <c r="S7" s="841" t="s">
        <v>61</v>
      </c>
      <c r="T7" s="841" t="s">
        <v>1390</v>
      </c>
      <c r="U7" s="841" t="s">
        <v>353</v>
      </c>
      <c r="V7" s="841" t="s">
        <v>353</v>
      </c>
      <c r="W7" s="841" t="s">
        <v>353</v>
      </c>
      <c r="X7" s="841" t="s">
        <v>353</v>
      </c>
      <c r="Y7" s="841" t="s">
        <v>353</v>
      </c>
      <c r="Z7" s="841" t="s">
        <v>353</v>
      </c>
      <c r="AA7" s="841" t="s">
        <v>353</v>
      </c>
      <c r="AB7" s="841" t="s">
        <v>353</v>
      </c>
      <c r="AC7" s="841">
        <v>101200</v>
      </c>
      <c r="AD7" s="841" t="s">
        <v>353</v>
      </c>
      <c r="AE7" s="841" t="s">
        <v>33</v>
      </c>
      <c r="AF7" s="841" t="s">
        <v>353</v>
      </c>
      <c r="AG7" s="841" t="s">
        <v>353</v>
      </c>
      <c r="AH7" s="841" t="s">
        <v>353</v>
      </c>
      <c r="AI7" s="841" t="s">
        <v>1406</v>
      </c>
      <c r="AJ7" s="841" t="s">
        <v>353</v>
      </c>
      <c r="AK7" s="841">
        <v>75</v>
      </c>
      <c r="AL7" s="841" t="s">
        <v>353</v>
      </c>
      <c r="AM7" s="841" t="s">
        <v>353</v>
      </c>
      <c r="AN7" s="841" t="s">
        <v>353</v>
      </c>
      <c r="AO7" s="841" t="s">
        <v>353</v>
      </c>
      <c r="AP7" s="841" t="s">
        <v>353</v>
      </c>
      <c r="AQ7" s="841" t="s">
        <v>353</v>
      </c>
      <c r="AR7" s="841" t="s">
        <v>353</v>
      </c>
      <c r="AS7" s="841" t="s">
        <v>353</v>
      </c>
      <c r="AT7" s="841" t="s">
        <v>353</v>
      </c>
      <c r="AU7" s="841" t="s">
        <v>353</v>
      </c>
      <c r="AV7" s="841" t="s">
        <v>353</v>
      </c>
      <c r="AW7" s="841" t="s">
        <v>353</v>
      </c>
      <c r="AX7" s="841" t="s">
        <v>353</v>
      </c>
      <c r="AY7" s="841" t="s">
        <v>353</v>
      </c>
      <c r="AZ7" s="841" t="s">
        <v>353</v>
      </c>
      <c r="BA7" s="841" t="s">
        <v>353</v>
      </c>
      <c r="BB7" s="841" t="s">
        <v>353</v>
      </c>
      <c r="BC7" s="841">
        <v>675000</v>
      </c>
      <c r="BD7" s="841" t="s">
        <v>353</v>
      </c>
      <c r="BE7" s="841" t="s">
        <v>353</v>
      </c>
      <c r="BF7" s="841" t="s">
        <v>353</v>
      </c>
      <c r="BG7" s="841" t="s">
        <v>353</v>
      </c>
      <c r="BH7" s="841" t="s">
        <v>353</v>
      </c>
      <c r="BI7" s="841" t="s">
        <v>353</v>
      </c>
      <c r="BJ7" s="841" t="s">
        <v>353</v>
      </c>
      <c r="BK7" s="841" t="s">
        <v>353</v>
      </c>
      <c r="BL7" s="841" t="s">
        <v>1476</v>
      </c>
      <c r="BM7" s="842">
        <v>44620.474305555559</v>
      </c>
      <c r="BN7" s="841" t="s">
        <v>353</v>
      </c>
      <c r="BO7" s="841" t="s">
        <v>353</v>
      </c>
      <c r="BP7" s="841" t="s">
        <v>353</v>
      </c>
      <c r="BQ7" s="841" t="s">
        <v>353</v>
      </c>
      <c r="BR7" s="841" t="s">
        <v>353</v>
      </c>
      <c r="BS7" s="841" t="s">
        <v>353</v>
      </c>
      <c r="BT7" s="841">
        <v>502000</v>
      </c>
      <c r="BU7" s="841" t="s">
        <v>353</v>
      </c>
      <c r="BV7" s="841" t="s">
        <v>1477</v>
      </c>
      <c r="BW7" s="841" t="s">
        <v>353</v>
      </c>
      <c r="BX7" s="841" t="s">
        <v>1478</v>
      </c>
      <c r="BY7" s="841" t="s">
        <v>353</v>
      </c>
      <c r="BZ7" s="841" t="s">
        <v>353</v>
      </c>
      <c r="CA7" s="841" t="s">
        <v>353</v>
      </c>
      <c r="CB7" s="841" t="s">
        <v>353</v>
      </c>
      <c r="CC7" s="841" t="s">
        <v>353</v>
      </c>
      <c r="CD7" s="841" t="s">
        <v>353</v>
      </c>
      <c r="CE7" s="841" t="s">
        <v>353</v>
      </c>
      <c r="CF7" s="841" t="s">
        <v>353</v>
      </c>
      <c r="CG7" s="841" t="s">
        <v>353</v>
      </c>
      <c r="CH7" s="841" t="s">
        <v>353</v>
      </c>
      <c r="CI7" s="841" t="s">
        <v>353</v>
      </c>
      <c r="CJ7" s="841" t="s">
        <v>353</v>
      </c>
      <c r="CK7" s="841">
        <v>3</v>
      </c>
      <c r="CL7" s="841" t="s">
        <v>353</v>
      </c>
      <c r="CM7" s="841">
        <v>4</v>
      </c>
      <c r="CN7" s="841" t="s">
        <v>353</v>
      </c>
      <c r="CO7" s="841" t="s">
        <v>353</v>
      </c>
      <c r="CP7" s="841" t="s">
        <v>1479</v>
      </c>
      <c r="CQ7" s="841" t="s">
        <v>353</v>
      </c>
      <c r="CR7" s="841" t="s">
        <v>353</v>
      </c>
      <c r="CS7" s="841" t="s">
        <v>353</v>
      </c>
      <c r="CT7" s="841" t="s">
        <v>353</v>
      </c>
      <c r="CU7" s="841" t="s">
        <v>1391</v>
      </c>
      <c r="CV7" s="841" t="s">
        <v>353</v>
      </c>
      <c r="CW7" s="841" t="s">
        <v>353</v>
      </c>
      <c r="CX7" s="841" t="s">
        <v>353</v>
      </c>
      <c r="CY7" s="841" t="s">
        <v>353</v>
      </c>
      <c r="CZ7" s="841" t="s">
        <v>353</v>
      </c>
      <c r="DA7" s="841" t="s">
        <v>353</v>
      </c>
      <c r="DB7" s="841" t="s">
        <v>353</v>
      </c>
      <c r="DC7" s="841" t="s">
        <v>353</v>
      </c>
      <c r="DD7" s="841" t="s">
        <v>353</v>
      </c>
      <c r="DE7" s="841" t="s">
        <v>353</v>
      </c>
      <c r="DF7" s="841" t="s">
        <v>353</v>
      </c>
      <c r="DG7" s="841" t="s">
        <v>353</v>
      </c>
      <c r="DH7" s="841" t="s">
        <v>353</v>
      </c>
      <c r="DI7" s="841" t="s">
        <v>353</v>
      </c>
      <c r="DJ7" s="841" t="s">
        <v>1480</v>
      </c>
      <c r="DK7" s="841" t="s">
        <v>353</v>
      </c>
      <c r="DL7" s="842">
        <v>44607.474305555559</v>
      </c>
      <c r="DM7" s="841" t="s">
        <v>353</v>
      </c>
      <c r="DN7" s="841" t="s">
        <v>353</v>
      </c>
      <c r="DO7" s="841" t="s">
        <v>673</v>
      </c>
      <c r="DP7" s="841" t="s">
        <v>1481</v>
      </c>
      <c r="DQ7" s="841" t="s">
        <v>1482</v>
      </c>
      <c r="DR7" s="841" t="s">
        <v>353</v>
      </c>
      <c r="DS7" s="841" t="s">
        <v>353</v>
      </c>
      <c r="DT7" s="841" t="s">
        <v>353</v>
      </c>
      <c r="DU7" s="841" t="s">
        <v>353</v>
      </c>
      <c r="DV7" s="841" t="s">
        <v>353</v>
      </c>
      <c r="DW7" s="841">
        <v>506000</v>
      </c>
      <c r="DX7" s="841" t="s">
        <v>353</v>
      </c>
      <c r="DY7" s="841" t="s">
        <v>353</v>
      </c>
      <c r="DZ7" s="841" t="s">
        <v>353</v>
      </c>
      <c r="EA7" s="841" t="s">
        <v>353</v>
      </c>
      <c r="EB7" s="841" t="s">
        <v>353</v>
      </c>
      <c r="EC7" s="841" t="s">
        <v>353</v>
      </c>
      <c r="ED7" s="841" t="s">
        <v>353</v>
      </c>
      <c r="EE7" s="841" t="s">
        <v>353</v>
      </c>
      <c r="EF7" s="841" t="s">
        <v>353</v>
      </c>
      <c r="EG7" s="841" t="s">
        <v>353</v>
      </c>
      <c r="EH7" s="841" t="s">
        <v>353</v>
      </c>
      <c r="EI7" s="841" t="s">
        <v>353</v>
      </c>
      <c r="EJ7" s="841" t="s">
        <v>353</v>
      </c>
      <c r="EK7" s="841" t="s">
        <v>353</v>
      </c>
      <c r="EL7" s="841" t="s">
        <v>353</v>
      </c>
      <c r="EM7" s="841" t="s">
        <v>353</v>
      </c>
      <c r="EN7" s="841" t="s">
        <v>353</v>
      </c>
      <c r="EO7" s="841" t="s">
        <v>353</v>
      </c>
      <c r="EP7" s="841" t="s">
        <v>353</v>
      </c>
      <c r="EQ7" s="841" t="s">
        <v>353</v>
      </c>
      <c r="ER7" s="841" t="s">
        <v>353</v>
      </c>
      <c r="ES7" s="841" t="s">
        <v>33</v>
      </c>
      <c r="ET7" s="841" t="s">
        <v>1483</v>
      </c>
      <c r="EU7" s="841" t="s">
        <v>353</v>
      </c>
      <c r="EV7" s="841" t="s">
        <v>353</v>
      </c>
      <c r="EW7" s="841" t="s">
        <v>353</v>
      </c>
      <c r="EX7" s="841" t="s">
        <v>353</v>
      </c>
      <c r="EY7" s="842">
        <v>44608.381944444445</v>
      </c>
      <c r="EZ7" s="841" t="s">
        <v>353</v>
      </c>
      <c r="FA7" s="841" t="s">
        <v>353</v>
      </c>
      <c r="FB7" s="841" t="s">
        <v>353</v>
      </c>
      <c r="FC7" s="841" t="s">
        <v>353</v>
      </c>
      <c r="FD7" s="841" t="s">
        <v>353</v>
      </c>
      <c r="FE7" s="842">
        <v>44607.475694444445</v>
      </c>
      <c r="FF7" s="841" t="s">
        <v>353</v>
      </c>
      <c r="FG7" s="841" t="s">
        <v>1484</v>
      </c>
      <c r="FH7" s="841" t="s">
        <v>353</v>
      </c>
      <c r="FI7" s="841" t="s">
        <v>353</v>
      </c>
      <c r="FJ7" s="841" t="s">
        <v>353</v>
      </c>
      <c r="FK7" s="841" t="s">
        <v>353</v>
      </c>
      <c r="FL7" s="841" t="s">
        <v>353</v>
      </c>
      <c r="FM7" s="841" t="s">
        <v>353</v>
      </c>
      <c r="FN7" s="841" t="s">
        <v>353</v>
      </c>
      <c r="FO7" s="841" t="s">
        <v>353</v>
      </c>
      <c r="FP7" s="841" t="s">
        <v>353</v>
      </c>
      <c r="FQ7" s="841" t="s">
        <v>353</v>
      </c>
      <c r="FR7" s="841" t="s">
        <v>353</v>
      </c>
      <c r="FS7" s="841" t="s">
        <v>353</v>
      </c>
      <c r="FT7" s="841" t="s">
        <v>353</v>
      </c>
      <c r="FU7" s="841" t="s">
        <v>1416</v>
      </c>
      <c r="FV7" s="841" t="s">
        <v>353</v>
      </c>
      <c r="FW7" s="841" t="s">
        <v>353</v>
      </c>
      <c r="FX7" s="841" t="s">
        <v>353</v>
      </c>
      <c r="FY7" s="841" t="s">
        <v>353</v>
      </c>
      <c r="FZ7" s="841" t="s">
        <v>353</v>
      </c>
      <c r="GA7" s="841" t="s">
        <v>353</v>
      </c>
      <c r="GB7" s="841">
        <v>1</v>
      </c>
      <c r="GC7" s="841" t="s">
        <v>353</v>
      </c>
      <c r="GD7" s="841" t="s">
        <v>1395</v>
      </c>
      <c r="GE7" s="841" t="s">
        <v>353</v>
      </c>
      <c r="GF7" s="841" t="s">
        <v>353</v>
      </c>
      <c r="GG7" s="841" t="s">
        <v>353</v>
      </c>
      <c r="GH7" s="841">
        <v>101200</v>
      </c>
      <c r="GI7" s="841" t="s">
        <v>353</v>
      </c>
      <c r="GJ7" s="841" t="s">
        <v>353</v>
      </c>
      <c r="GK7" s="841" t="s">
        <v>353</v>
      </c>
      <c r="GL7" s="841" t="s">
        <v>1485</v>
      </c>
      <c r="GM7" s="841" t="s">
        <v>353</v>
      </c>
      <c r="GN7" s="841" t="s">
        <v>353</v>
      </c>
      <c r="GO7" s="841" t="s">
        <v>353</v>
      </c>
      <c r="GP7" s="841" t="s">
        <v>353</v>
      </c>
      <c r="GQ7" s="841" t="s">
        <v>353</v>
      </c>
      <c r="GR7" s="842">
        <v>44608.381944444445</v>
      </c>
      <c r="GS7" s="841" t="s">
        <v>1477</v>
      </c>
      <c r="GT7" s="841" t="s">
        <v>353</v>
      </c>
      <c r="GU7" s="841" t="s">
        <v>353</v>
      </c>
      <c r="GV7" s="841" t="s">
        <v>1076</v>
      </c>
      <c r="GW7" s="841" t="s">
        <v>353</v>
      </c>
      <c r="GX7" s="841" t="s">
        <v>353</v>
      </c>
      <c r="GY7" s="841">
        <v>24</v>
      </c>
      <c r="GZ7" s="841" t="s">
        <v>1486</v>
      </c>
      <c r="HA7" s="841" t="s">
        <v>353</v>
      </c>
      <c r="HB7" s="841" t="s">
        <v>353</v>
      </c>
      <c r="HC7" s="841" t="s">
        <v>1421</v>
      </c>
      <c r="HD7" s="841" t="s">
        <v>1487</v>
      </c>
      <c r="HE7" s="841" t="s">
        <v>353</v>
      </c>
      <c r="HF7" s="841" t="s">
        <v>353</v>
      </c>
      <c r="HG7" s="841" t="s">
        <v>353</v>
      </c>
      <c r="HH7" s="841" t="s">
        <v>353</v>
      </c>
      <c r="HI7" s="841" t="s">
        <v>1422</v>
      </c>
      <c r="HJ7" s="841" t="s">
        <v>353</v>
      </c>
      <c r="HK7" s="841">
        <v>506000</v>
      </c>
      <c r="HL7" s="841" t="s">
        <v>353</v>
      </c>
      <c r="HM7" s="841" t="s">
        <v>353</v>
      </c>
      <c r="HN7" s="841" t="s">
        <v>353</v>
      </c>
      <c r="HO7" s="841" t="s">
        <v>353</v>
      </c>
      <c r="HP7" s="841">
        <v>24237.4</v>
      </c>
      <c r="HQ7" s="841" t="s">
        <v>353</v>
      </c>
      <c r="HR7" s="841" t="s">
        <v>353</v>
      </c>
      <c r="HS7" s="841" t="s">
        <v>353</v>
      </c>
      <c r="HT7" s="841" t="s">
        <v>353</v>
      </c>
      <c r="HU7" s="841" t="s">
        <v>353</v>
      </c>
      <c r="HV7" s="841" t="s">
        <v>353</v>
      </c>
      <c r="HW7" s="841">
        <v>675000</v>
      </c>
      <c r="HX7" s="841" t="s">
        <v>353</v>
      </c>
      <c r="HY7" s="841" t="s">
        <v>353</v>
      </c>
      <c r="HZ7" s="841" t="s">
        <v>353</v>
      </c>
      <c r="IA7" s="841" t="s">
        <v>353</v>
      </c>
      <c r="IB7" s="841" t="s">
        <v>1424</v>
      </c>
      <c r="IC7" s="843">
        <v>44607</v>
      </c>
      <c r="ID7" s="841" t="s">
        <v>353</v>
      </c>
      <c r="IE7" s="841" t="s">
        <v>353</v>
      </c>
      <c r="IF7" s="841" t="s">
        <v>353</v>
      </c>
      <c r="IG7" s="841" t="s">
        <v>353</v>
      </c>
      <c r="IH7" s="841" t="s">
        <v>353</v>
      </c>
      <c r="II7" s="841" t="s">
        <v>353</v>
      </c>
      <c r="IJ7" s="841" t="s">
        <v>353</v>
      </c>
      <c r="IK7" s="841" t="s">
        <v>353</v>
      </c>
      <c r="IL7" s="841" t="s">
        <v>353</v>
      </c>
      <c r="IM7" s="841" t="s">
        <v>353</v>
      </c>
      <c r="IN7" s="841" t="s">
        <v>353</v>
      </c>
      <c r="IO7" s="841" t="s">
        <v>353</v>
      </c>
      <c r="IP7" s="841" t="s">
        <v>353</v>
      </c>
      <c r="IQ7" s="841" t="s">
        <v>353</v>
      </c>
      <c r="IR7" s="841" t="s">
        <v>353</v>
      </c>
      <c r="IS7" s="841" t="s">
        <v>33</v>
      </c>
      <c r="IT7" s="841" t="s">
        <v>353</v>
      </c>
      <c r="IU7" s="841" t="s">
        <v>353</v>
      </c>
      <c r="IV7" s="841" t="s">
        <v>353</v>
      </c>
      <c r="IW7" s="841" t="s">
        <v>353</v>
      </c>
      <c r="IX7" s="841" t="s">
        <v>353</v>
      </c>
      <c r="IY7" s="841" t="s">
        <v>353</v>
      </c>
      <c r="IZ7" s="841" t="s">
        <v>353</v>
      </c>
      <c r="JA7" s="841">
        <v>506000</v>
      </c>
      <c r="JB7" s="841" t="s">
        <v>353</v>
      </c>
      <c r="JC7" s="841" t="s">
        <v>353</v>
      </c>
      <c r="JD7" s="841" t="s">
        <v>1488</v>
      </c>
      <c r="JE7" s="841" t="s">
        <v>353</v>
      </c>
      <c r="JF7" s="841" t="s">
        <v>1489</v>
      </c>
      <c r="JG7" s="841" t="s">
        <v>1490</v>
      </c>
      <c r="JH7" s="841" t="s">
        <v>1491</v>
      </c>
      <c r="JI7" s="841" t="s">
        <v>1492</v>
      </c>
    </row>
    <row r="8" spans="1:269" x14ac:dyDescent="0.25">
      <c r="A8" s="841" t="s">
        <v>1493</v>
      </c>
      <c r="B8" s="841" t="s">
        <v>353</v>
      </c>
      <c r="C8" s="841" t="s">
        <v>353</v>
      </c>
      <c r="D8" s="841" t="s">
        <v>353</v>
      </c>
      <c r="E8" s="841" t="s">
        <v>353</v>
      </c>
      <c r="F8" s="841" t="s">
        <v>353</v>
      </c>
      <c r="G8" s="841" t="s">
        <v>353</v>
      </c>
      <c r="H8" s="841" t="s">
        <v>353</v>
      </c>
      <c r="I8" s="841" t="s">
        <v>353</v>
      </c>
      <c r="J8" s="841" t="s">
        <v>353</v>
      </c>
      <c r="K8" s="841" t="s">
        <v>353</v>
      </c>
      <c r="L8" s="842">
        <v>44607.453472222223</v>
      </c>
      <c r="M8" s="841" t="s">
        <v>353</v>
      </c>
      <c r="N8" s="841" t="s">
        <v>353</v>
      </c>
      <c r="O8" s="841" t="s">
        <v>353</v>
      </c>
      <c r="P8" s="841" t="s">
        <v>353</v>
      </c>
      <c r="Q8" s="841" t="s">
        <v>353</v>
      </c>
      <c r="R8" s="841" t="s">
        <v>353</v>
      </c>
      <c r="S8" s="841" t="s">
        <v>353</v>
      </c>
      <c r="T8" s="841" t="s">
        <v>1390</v>
      </c>
      <c r="U8" s="841" t="s">
        <v>353</v>
      </c>
      <c r="V8" s="841" t="s">
        <v>353</v>
      </c>
      <c r="W8" s="841" t="s">
        <v>353</v>
      </c>
      <c r="X8" s="841" t="s">
        <v>353</v>
      </c>
      <c r="Y8" s="841" t="s">
        <v>353</v>
      </c>
      <c r="Z8" s="841" t="s">
        <v>353</v>
      </c>
      <c r="AA8" s="841" t="s">
        <v>353</v>
      </c>
      <c r="AB8" s="841" t="s">
        <v>353</v>
      </c>
      <c r="AC8" s="841" t="s">
        <v>353</v>
      </c>
      <c r="AD8" s="841" t="s">
        <v>353</v>
      </c>
      <c r="AE8" s="841" t="s">
        <v>353</v>
      </c>
      <c r="AF8" s="841" t="s">
        <v>353</v>
      </c>
      <c r="AG8" s="841" t="s">
        <v>353</v>
      </c>
      <c r="AH8" s="841" t="s">
        <v>353</v>
      </c>
      <c r="AI8" s="841" t="s">
        <v>353</v>
      </c>
      <c r="AJ8" s="841" t="s">
        <v>353</v>
      </c>
      <c r="AK8" s="841" t="s">
        <v>353</v>
      </c>
      <c r="AL8" s="841" t="s">
        <v>353</v>
      </c>
      <c r="AM8" s="841" t="s">
        <v>353</v>
      </c>
      <c r="AN8" s="841" t="s">
        <v>353</v>
      </c>
      <c r="AO8" s="841" t="s">
        <v>353</v>
      </c>
      <c r="AP8" s="841" t="s">
        <v>353</v>
      </c>
      <c r="AQ8" s="841" t="s">
        <v>353</v>
      </c>
      <c r="AR8" s="841" t="s">
        <v>353</v>
      </c>
      <c r="AS8" s="841" t="s">
        <v>353</v>
      </c>
      <c r="AT8" s="841" t="s">
        <v>353</v>
      </c>
      <c r="AU8" s="841" t="s">
        <v>353</v>
      </c>
      <c r="AV8" s="841" t="s">
        <v>353</v>
      </c>
      <c r="AW8" s="841" t="s">
        <v>353</v>
      </c>
      <c r="AX8" s="841" t="s">
        <v>353</v>
      </c>
      <c r="AY8" s="841" t="s">
        <v>353</v>
      </c>
      <c r="AZ8" s="841" t="s">
        <v>353</v>
      </c>
      <c r="BA8" s="841" t="s">
        <v>353</v>
      </c>
      <c r="BB8" s="841" t="s">
        <v>353</v>
      </c>
      <c r="BC8" s="841" t="s">
        <v>353</v>
      </c>
      <c r="BD8" s="841" t="s">
        <v>353</v>
      </c>
      <c r="BE8" s="841" t="s">
        <v>353</v>
      </c>
      <c r="BF8" s="841" t="s">
        <v>353</v>
      </c>
      <c r="BG8" s="841" t="s">
        <v>353</v>
      </c>
      <c r="BH8" s="841" t="s">
        <v>353</v>
      </c>
      <c r="BI8" s="841" t="s">
        <v>353</v>
      </c>
      <c r="BJ8" s="841" t="s">
        <v>353</v>
      </c>
      <c r="BK8" s="841" t="s">
        <v>353</v>
      </c>
      <c r="BL8" s="841" t="s">
        <v>1494</v>
      </c>
      <c r="BM8" s="842">
        <v>44620.742361111108</v>
      </c>
      <c r="BN8" s="841" t="s">
        <v>353</v>
      </c>
      <c r="BO8" s="841" t="s">
        <v>353</v>
      </c>
      <c r="BP8" s="841" t="s">
        <v>353</v>
      </c>
      <c r="BQ8" s="841" t="s">
        <v>353</v>
      </c>
      <c r="BR8" s="841" t="s">
        <v>353</v>
      </c>
      <c r="BS8" s="841" t="s">
        <v>353</v>
      </c>
      <c r="BT8" s="841">
        <v>176000</v>
      </c>
      <c r="BU8" s="841" t="s">
        <v>353</v>
      </c>
      <c r="BV8" s="841" t="s">
        <v>353</v>
      </c>
      <c r="BW8" s="841" t="s">
        <v>353</v>
      </c>
      <c r="BX8" s="841" t="s">
        <v>353</v>
      </c>
      <c r="BY8" s="841" t="s">
        <v>353</v>
      </c>
      <c r="BZ8" s="841" t="s">
        <v>353</v>
      </c>
      <c r="CA8" s="841" t="s">
        <v>353</v>
      </c>
      <c r="CB8" s="841" t="s">
        <v>353</v>
      </c>
      <c r="CC8" s="841" t="s">
        <v>353</v>
      </c>
      <c r="CD8" s="841" t="s">
        <v>353</v>
      </c>
      <c r="CE8" s="841" t="s">
        <v>353</v>
      </c>
      <c r="CF8" s="841" t="s">
        <v>353</v>
      </c>
      <c r="CG8" s="841" t="s">
        <v>353</v>
      </c>
      <c r="CH8" s="841" t="s">
        <v>353</v>
      </c>
      <c r="CI8" s="841" t="s">
        <v>353</v>
      </c>
      <c r="CJ8" s="841" t="s">
        <v>353</v>
      </c>
      <c r="CK8" s="841">
        <v>15</v>
      </c>
      <c r="CL8" s="841" t="s">
        <v>353</v>
      </c>
      <c r="CM8" s="841">
        <v>16</v>
      </c>
      <c r="CN8" s="841" t="s">
        <v>353</v>
      </c>
      <c r="CO8" s="841" t="s">
        <v>353</v>
      </c>
      <c r="CP8" s="841" t="s">
        <v>1495</v>
      </c>
      <c r="CQ8" s="841" t="s">
        <v>353</v>
      </c>
      <c r="CR8" s="841" t="s">
        <v>353</v>
      </c>
      <c r="CS8" s="841" t="s">
        <v>353</v>
      </c>
      <c r="CT8" s="841" t="s">
        <v>353</v>
      </c>
      <c r="CU8" s="841" t="s">
        <v>1391</v>
      </c>
      <c r="CV8" s="841" t="s">
        <v>353</v>
      </c>
      <c r="CW8" s="841" t="s">
        <v>353</v>
      </c>
      <c r="CX8" s="841" t="s">
        <v>353</v>
      </c>
      <c r="CY8" s="841" t="s">
        <v>353</v>
      </c>
      <c r="CZ8" s="841" t="s">
        <v>353</v>
      </c>
      <c r="DA8" s="841" t="s">
        <v>353</v>
      </c>
      <c r="DB8" s="841" t="s">
        <v>353</v>
      </c>
      <c r="DC8" s="841" t="s">
        <v>353</v>
      </c>
      <c r="DD8" s="841" t="s">
        <v>353</v>
      </c>
      <c r="DE8" s="841" t="s">
        <v>353</v>
      </c>
      <c r="DF8" s="841" t="s">
        <v>353</v>
      </c>
      <c r="DG8" s="841" t="s">
        <v>353</v>
      </c>
      <c r="DH8" s="841" t="s">
        <v>353</v>
      </c>
      <c r="DI8" s="841" t="s">
        <v>353</v>
      </c>
      <c r="DJ8" s="841" t="s">
        <v>353</v>
      </c>
      <c r="DK8" s="841" t="s">
        <v>353</v>
      </c>
      <c r="DL8" s="842">
        <v>44606.742361111108</v>
      </c>
      <c r="DM8" s="841" t="s">
        <v>353</v>
      </c>
      <c r="DN8" s="841" t="s">
        <v>353</v>
      </c>
      <c r="DO8" s="841" t="s">
        <v>353</v>
      </c>
      <c r="DP8" s="841" t="s">
        <v>353</v>
      </c>
      <c r="DQ8" s="841" t="s">
        <v>1482</v>
      </c>
      <c r="DR8" s="841" t="s">
        <v>353</v>
      </c>
      <c r="DS8" s="841" t="s">
        <v>353</v>
      </c>
      <c r="DT8" s="841" t="s">
        <v>353</v>
      </c>
      <c r="DU8" s="841" t="s">
        <v>353</v>
      </c>
      <c r="DV8" s="841" t="s">
        <v>353</v>
      </c>
      <c r="DW8" s="841" t="s">
        <v>353</v>
      </c>
      <c r="DX8" s="841" t="s">
        <v>353</v>
      </c>
      <c r="DY8" s="841" t="s">
        <v>353</v>
      </c>
      <c r="DZ8" s="841" t="s">
        <v>353</v>
      </c>
      <c r="EA8" s="841" t="s">
        <v>353</v>
      </c>
      <c r="EB8" s="841" t="s">
        <v>353</v>
      </c>
      <c r="EC8" s="841" t="s">
        <v>353</v>
      </c>
      <c r="ED8" s="841" t="s">
        <v>353</v>
      </c>
      <c r="EE8" s="841" t="s">
        <v>353</v>
      </c>
      <c r="EF8" s="841" t="s">
        <v>353</v>
      </c>
      <c r="EG8" s="841" t="s">
        <v>353</v>
      </c>
      <c r="EH8" s="841" t="s">
        <v>353</v>
      </c>
      <c r="EI8" s="841" t="s">
        <v>353</v>
      </c>
      <c r="EJ8" s="841" t="s">
        <v>353</v>
      </c>
      <c r="EK8" s="841" t="s">
        <v>353</v>
      </c>
      <c r="EL8" s="841" t="s">
        <v>353</v>
      </c>
      <c r="EM8" s="841" t="s">
        <v>353</v>
      </c>
      <c r="EN8" s="841" t="s">
        <v>353</v>
      </c>
      <c r="EO8" s="841" t="s">
        <v>353</v>
      </c>
      <c r="EP8" s="841" t="s">
        <v>353</v>
      </c>
      <c r="EQ8" s="841" t="s">
        <v>353</v>
      </c>
      <c r="ER8" s="841" t="s">
        <v>353</v>
      </c>
      <c r="ES8" s="841" t="s">
        <v>353</v>
      </c>
      <c r="ET8" s="841" t="s">
        <v>1496</v>
      </c>
      <c r="EU8" s="841" t="s">
        <v>353</v>
      </c>
      <c r="EV8" s="841" t="s">
        <v>353</v>
      </c>
      <c r="EW8" s="841" t="s">
        <v>353</v>
      </c>
      <c r="EX8" s="841" t="s">
        <v>353</v>
      </c>
      <c r="EY8" s="842">
        <v>44606.477083333331</v>
      </c>
      <c r="EZ8" s="842">
        <v>44627.625</v>
      </c>
      <c r="FA8" s="841" t="s">
        <v>353</v>
      </c>
      <c r="FB8" s="841" t="s">
        <v>353</v>
      </c>
      <c r="FC8" s="841" t="s">
        <v>353</v>
      </c>
      <c r="FD8" s="841" t="s">
        <v>353</v>
      </c>
      <c r="FE8" s="842">
        <v>44606.743055555555</v>
      </c>
      <c r="FF8" s="841" t="s">
        <v>353</v>
      </c>
      <c r="FG8" s="841" t="s">
        <v>353</v>
      </c>
      <c r="FH8" s="841" t="s">
        <v>353</v>
      </c>
      <c r="FI8" s="841" t="s">
        <v>353</v>
      </c>
      <c r="FJ8" s="841" t="s">
        <v>353</v>
      </c>
      <c r="FK8" s="841" t="s">
        <v>353</v>
      </c>
      <c r="FL8" s="841" t="s">
        <v>353</v>
      </c>
      <c r="FM8" s="841" t="s">
        <v>353</v>
      </c>
      <c r="FN8" s="841" t="s">
        <v>353</v>
      </c>
      <c r="FO8" s="841" t="s">
        <v>353</v>
      </c>
      <c r="FP8" s="841" t="s">
        <v>353</v>
      </c>
      <c r="FQ8" s="841" t="s">
        <v>353</v>
      </c>
      <c r="FR8" s="841" t="s">
        <v>353</v>
      </c>
      <c r="FS8" s="841" t="s">
        <v>353</v>
      </c>
      <c r="FT8" s="841" t="s">
        <v>353</v>
      </c>
      <c r="FU8" s="841" t="s">
        <v>1394</v>
      </c>
      <c r="FV8" s="841" t="s">
        <v>353</v>
      </c>
      <c r="FW8" s="841" t="s">
        <v>353</v>
      </c>
      <c r="FX8" s="841" t="s">
        <v>353</v>
      </c>
      <c r="FY8" s="841" t="s">
        <v>353</v>
      </c>
      <c r="FZ8" s="841" t="s">
        <v>353</v>
      </c>
      <c r="GA8" s="841" t="s">
        <v>353</v>
      </c>
      <c r="GB8" s="841">
        <v>1</v>
      </c>
      <c r="GC8" s="841" t="s">
        <v>353</v>
      </c>
      <c r="GD8" s="841" t="s">
        <v>1395</v>
      </c>
      <c r="GE8" s="841" t="s">
        <v>353</v>
      </c>
      <c r="GF8" s="841" t="s">
        <v>353</v>
      </c>
      <c r="GG8" s="841" t="s">
        <v>353</v>
      </c>
      <c r="GH8" s="841" t="s">
        <v>353</v>
      </c>
      <c r="GI8" s="841" t="s">
        <v>353</v>
      </c>
      <c r="GJ8" s="841" t="s">
        <v>353</v>
      </c>
      <c r="GK8" s="841" t="s">
        <v>353</v>
      </c>
      <c r="GL8" s="841" t="s">
        <v>1497</v>
      </c>
      <c r="GM8" s="841" t="s">
        <v>353</v>
      </c>
      <c r="GN8" s="841" t="s">
        <v>353</v>
      </c>
      <c r="GO8" s="841" t="s">
        <v>353</v>
      </c>
      <c r="GP8" s="841" t="s">
        <v>353</v>
      </c>
      <c r="GQ8" s="841" t="s">
        <v>353</v>
      </c>
      <c r="GR8" s="842">
        <v>44606.477083333331</v>
      </c>
      <c r="GS8" s="841" t="s">
        <v>353</v>
      </c>
      <c r="GT8" s="841" t="s">
        <v>353</v>
      </c>
      <c r="GU8" s="841" t="s">
        <v>353</v>
      </c>
      <c r="GV8" s="841" t="s">
        <v>1419</v>
      </c>
      <c r="GW8" s="841" t="s">
        <v>353</v>
      </c>
      <c r="GX8" s="841" t="s">
        <v>353</v>
      </c>
      <c r="GY8" s="841" t="s">
        <v>353</v>
      </c>
      <c r="GZ8" s="841" t="s">
        <v>353</v>
      </c>
      <c r="HA8" s="841" t="s">
        <v>353</v>
      </c>
      <c r="HB8" s="841" t="s">
        <v>353</v>
      </c>
      <c r="HC8" s="841" t="s">
        <v>353</v>
      </c>
      <c r="HD8" s="841" t="s">
        <v>1498</v>
      </c>
      <c r="HE8" s="841" t="s">
        <v>353</v>
      </c>
      <c r="HF8" s="841" t="s">
        <v>353</v>
      </c>
      <c r="HG8" s="841" t="s">
        <v>353</v>
      </c>
      <c r="HH8" s="841" t="s">
        <v>353</v>
      </c>
      <c r="HI8" s="841" t="s">
        <v>353</v>
      </c>
      <c r="HJ8" s="841" t="s">
        <v>353</v>
      </c>
      <c r="HK8" s="841" t="s">
        <v>353</v>
      </c>
      <c r="HL8" s="841" t="s">
        <v>353</v>
      </c>
      <c r="HM8" s="841" t="s">
        <v>353</v>
      </c>
      <c r="HN8" s="841" t="s">
        <v>353</v>
      </c>
      <c r="HO8" s="841" t="s">
        <v>353</v>
      </c>
      <c r="HP8" s="841" t="s">
        <v>353</v>
      </c>
      <c r="HQ8" s="841" t="s">
        <v>353</v>
      </c>
      <c r="HR8" s="841" t="s">
        <v>353</v>
      </c>
      <c r="HS8" s="841" t="s">
        <v>353</v>
      </c>
      <c r="HT8" s="841" t="s">
        <v>353</v>
      </c>
      <c r="HU8" s="841" t="s">
        <v>353</v>
      </c>
      <c r="HV8" s="841" t="s">
        <v>353</v>
      </c>
      <c r="HW8" s="841" t="s">
        <v>353</v>
      </c>
      <c r="HX8" s="841" t="s">
        <v>353</v>
      </c>
      <c r="HY8" s="841" t="s">
        <v>353</v>
      </c>
      <c r="HZ8" s="841" t="s">
        <v>353</v>
      </c>
      <c r="IA8" s="841" t="s">
        <v>353</v>
      </c>
      <c r="IB8" s="841" t="s">
        <v>353</v>
      </c>
      <c r="IC8" s="841" t="s">
        <v>353</v>
      </c>
      <c r="ID8" s="841" t="s">
        <v>353</v>
      </c>
      <c r="IE8" s="841" t="s">
        <v>353</v>
      </c>
      <c r="IF8" s="841" t="s">
        <v>353</v>
      </c>
      <c r="IG8" s="841" t="s">
        <v>353</v>
      </c>
      <c r="IH8" s="841" t="s">
        <v>353</v>
      </c>
      <c r="II8" s="841" t="s">
        <v>353</v>
      </c>
      <c r="IJ8" s="841" t="s">
        <v>353</v>
      </c>
      <c r="IK8" s="841" t="s">
        <v>353</v>
      </c>
      <c r="IL8" s="841" t="s">
        <v>353</v>
      </c>
      <c r="IM8" s="841" t="s">
        <v>353</v>
      </c>
      <c r="IN8" s="841" t="s">
        <v>353</v>
      </c>
      <c r="IO8" s="841" t="s">
        <v>353</v>
      </c>
      <c r="IP8" s="841" t="s">
        <v>353</v>
      </c>
      <c r="IQ8" s="841" t="s">
        <v>353</v>
      </c>
      <c r="IR8" s="841" t="s">
        <v>353</v>
      </c>
      <c r="IS8" s="841" t="s">
        <v>353</v>
      </c>
      <c r="IT8" s="841" t="s">
        <v>353</v>
      </c>
      <c r="IU8" s="841" t="s">
        <v>353</v>
      </c>
      <c r="IV8" s="841" t="s">
        <v>353</v>
      </c>
      <c r="IW8" s="841" t="s">
        <v>353</v>
      </c>
      <c r="IX8" s="841" t="s">
        <v>353</v>
      </c>
      <c r="IY8" s="841" t="s">
        <v>353</v>
      </c>
      <c r="IZ8" s="841" t="s">
        <v>353</v>
      </c>
      <c r="JA8" s="841" t="s">
        <v>353</v>
      </c>
      <c r="JB8" s="841" t="s">
        <v>353</v>
      </c>
      <c r="JC8" s="841" t="s">
        <v>353</v>
      </c>
      <c r="JD8" s="841" t="s">
        <v>353</v>
      </c>
      <c r="JE8" s="841" t="s">
        <v>353</v>
      </c>
      <c r="JF8" s="841" t="s">
        <v>1499</v>
      </c>
      <c r="JG8" s="841" t="s">
        <v>1500</v>
      </c>
      <c r="JH8" s="841" t="s">
        <v>1501</v>
      </c>
      <c r="JI8" s="841" t="s">
        <v>1502</v>
      </c>
    </row>
    <row r="9" spans="1:269" x14ac:dyDescent="0.25">
      <c r="A9" s="841" t="s">
        <v>1503</v>
      </c>
      <c r="B9" s="841" t="s">
        <v>353</v>
      </c>
      <c r="C9" s="841" t="s">
        <v>353</v>
      </c>
      <c r="D9" s="841" t="s">
        <v>353</v>
      </c>
      <c r="E9" s="841" t="s">
        <v>353</v>
      </c>
      <c r="F9" s="841" t="s">
        <v>353</v>
      </c>
      <c r="G9" s="841" t="s">
        <v>353</v>
      </c>
      <c r="H9" s="841" t="s">
        <v>353</v>
      </c>
      <c r="I9" s="841" t="s">
        <v>353</v>
      </c>
      <c r="J9" s="841" t="s">
        <v>353</v>
      </c>
      <c r="K9" s="841" t="s">
        <v>353</v>
      </c>
      <c r="L9" s="842">
        <v>44606.713194444441</v>
      </c>
      <c r="M9" s="841" t="s">
        <v>353</v>
      </c>
      <c r="N9" s="841" t="s">
        <v>353</v>
      </c>
      <c r="O9" s="841" t="s">
        <v>353</v>
      </c>
      <c r="P9" s="841" t="s">
        <v>353</v>
      </c>
      <c r="Q9" s="841" t="s">
        <v>353</v>
      </c>
      <c r="R9" s="841" t="s">
        <v>353</v>
      </c>
      <c r="S9" s="841" t="s">
        <v>353</v>
      </c>
      <c r="T9" s="841" t="s">
        <v>1390</v>
      </c>
      <c r="U9" s="841" t="s">
        <v>353</v>
      </c>
      <c r="V9" s="841" t="s">
        <v>353</v>
      </c>
      <c r="W9" s="841" t="s">
        <v>353</v>
      </c>
      <c r="X9" s="841" t="s">
        <v>353</v>
      </c>
      <c r="Y9" s="841" t="s">
        <v>353</v>
      </c>
      <c r="Z9" s="841" t="s">
        <v>353</v>
      </c>
      <c r="AA9" s="841" t="s">
        <v>353</v>
      </c>
      <c r="AB9" s="841" t="s">
        <v>353</v>
      </c>
      <c r="AC9" s="841" t="s">
        <v>353</v>
      </c>
      <c r="AD9" s="841" t="s">
        <v>353</v>
      </c>
      <c r="AE9" s="841" t="s">
        <v>353</v>
      </c>
      <c r="AF9" s="841" t="s">
        <v>353</v>
      </c>
      <c r="AG9" s="841" t="s">
        <v>353</v>
      </c>
      <c r="AH9" s="841" t="s">
        <v>353</v>
      </c>
      <c r="AI9" s="841" t="s">
        <v>353</v>
      </c>
      <c r="AJ9" s="841" t="s">
        <v>353</v>
      </c>
      <c r="AK9" s="841" t="s">
        <v>353</v>
      </c>
      <c r="AL9" s="841" t="s">
        <v>353</v>
      </c>
      <c r="AM9" s="841" t="s">
        <v>353</v>
      </c>
      <c r="AN9" s="841" t="s">
        <v>353</v>
      </c>
      <c r="AO9" s="841" t="s">
        <v>353</v>
      </c>
      <c r="AP9" s="841" t="s">
        <v>353</v>
      </c>
      <c r="AQ9" s="841" t="s">
        <v>353</v>
      </c>
      <c r="AR9" s="841" t="s">
        <v>353</v>
      </c>
      <c r="AS9" s="841" t="s">
        <v>353</v>
      </c>
      <c r="AT9" s="841" t="s">
        <v>353</v>
      </c>
      <c r="AU9" s="841" t="s">
        <v>353</v>
      </c>
      <c r="AV9" s="841" t="s">
        <v>353</v>
      </c>
      <c r="AW9" s="841" t="s">
        <v>353</v>
      </c>
      <c r="AX9" s="841" t="s">
        <v>353</v>
      </c>
      <c r="AY9" s="841" t="s">
        <v>353</v>
      </c>
      <c r="AZ9" s="841" t="s">
        <v>353</v>
      </c>
      <c r="BA9" s="841" t="s">
        <v>353</v>
      </c>
      <c r="BB9" s="841" t="s">
        <v>353</v>
      </c>
      <c r="BC9" s="841" t="s">
        <v>353</v>
      </c>
      <c r="BD9" s="841" t="s">
        <v>353</v>
      </c>
      <c r="BE9" s="841" t="s">
        <v>353</v>
      </c>
      <c r="BF9" s="841" t="s">
        <v>353</v>
      </c>
      <c r="BG9" s="841" t="s">
        <v>353</v>
      </c>
      <c r="BH9" s="841" t="s">
        <v>353</v>
      </c>
      <c r="BI9" s="841" t="s">
        <v>353</v>
      </c>
      <c r="BJ9" s="841" t="s">
        <v>353</v>
      </c>
      <c r="BK9" s="841" t="s">
        <v>353</v>
      </c>
      <c r="BL9" s="841" t="s">
        <v>1504</v>
      </c>
      <c r="BM9" s="842">
        <v>44620.708333333336</v>
      </c>
      <c r="BN9" s="841" t="s">
        <v>353</v>
      </c>
      <c r="BO9" s="841" t="s">
        <v>353</v>
      </c>
      <c r="BP9" s="841" t="s">
        <v>353</v>
      </c>
      <c r="BQ9" s="841" t="s">
        <v>353</v>
      </c>
      <c r="BR9" s="841" t="s">
        <v>353</v>
      </c>
      <c r="BS9" s="841" t="s">
        <v>353</v>
      </c>
      <c r="BT9" s="841">
        <v>157000</v>
      </c>
      <c r="BU9" s="841" t="s">
        <v>353</v>
      </c>
      <c r="BV9" s="841" t="s">
        <v>353</v>
      </c>
      <c r="BW9" s="841" t="s">
        <v>353</v>
      </c>
      <c r="BX9" s="841" t="s">
        <v>353</v>
      </c>
      <c r="BY9" s="841" t="s">
        <v>353</v>
      </c>
      <c r="BZ9" s="841" t="s">
        <v>353</v>
      </c>
      <c r="CA9" s="841" t="s">
        <v>353</v>
      </c>
      <c r="CB9" s="841" t="s">
        <v>353</v>
      </c>
      <c r="CC9" s="841" t="s">
        <v>353</v>
      </c>
      <c r="CD9" s="841" t="s">
        <v>353</v>
      </c>
      <c r="CE9" s="841" t="s">
        <v>353</v>
      </c>
      <c r="CF9" s="841" t="s">
        <v>353</v>
      </c>
      <c r="CG9" s="841" t="s">
        <v>353</v>
      </c>
      <c r="CH9" s="841" t="s">
        <v>353</v>
      </c>
      <c r="CI9" s="841" t="s">
        <v>353</v>
      </c>
      <c r="CJ9" s="841" t="s">
        <v>353</v>
      </c>
      <c r="CK9" s="841">
        <v>0</v>
      </c>
      <c r="CL9" s="841" t="s">
        <v>353</v>
      </c>
      <c r="CM9" s="841">
        <v>2</v>
      </c>
      <c r="CN9" s="841" t="s">
        <v>353</v>
      </c>
      <c r="CO9" s="841" t="s">
        <v>353</v>
      </c>
      <c r="CP9" s="841" t="s">
        <v>353</v>
      </c>
      <c r="CQ9" s="841" t="s">
        <v>353</v>
      </c>
      <c r="CR9" s="841" t="s">
        <v>353</v>
      </c>
      <c r="CS9" s="841" t="s">
        <v>353</v>
      </c>
      <c r="CT9" s="841" t="s">
        <v>353</v>
      </c>
      <c r="CU9" s="841" t="s">
        <v>1391</v>
      </c>
      <c r="CV9" s="841" t="s">
        <v>353</v>
      </c>
      <c r="CW9" s="841" t="s">
        <v>353</v>
      </c>
      <c r="CX9" s="841" t="s">
        <v>353</v>
      </c>
      <c r="CY9" s="841" t="s">
        <v>353</v>
      </c>
      <c r="CZ9" s="841" t="s">
        <v>353</v>
      </c>
      <c r="DA9" s="841" t="s">
        <v>353</v>
      </c>
      <c r="DB9" s="841" t="s">
        <v>353</v>
      </c>
      <c r="DC9" s="841" t="s">
        <v>353</v>
      </c>
      <c r="DD9" s="841" t="s">
        <v>353</v>
      </c>
      <c r="DE9" s="841" t="s">
        <v>353</v>
      </c>
      <c r="DF9" s="841" t="s">
        <v>353</v>
      </c>
      <c r="DG9" s="841" t="s">
        <v>353</v>
      </c>
      <c r="DH9" s="841" t="s">
        <v>353</v>
      </c>
      <c r="DI9" s="841" t="s">
        <v>353</v>
      </c>
      <c r="DJ9" s="841" t="s">
        <v>353</v>
      </c>
      <c r="DK9" s="841" t="s">
        <v>353</v>
      </c>
      <c r="DL9" s="842">
        <v>44606.708333333336</v>
      </c>
      <c r="DM9" s="841" t="s">
        <v>353</v>
      </c>
      <c r="DN9" s="841" t="s">
        <v>353</v>
      </c>
      <c r="DO9" s="841" t="s">
        <v>353</v>
      </c>
      <c r="DP9" s="841" t="s">
        <v>353</v>
      </c>
      <c r="DQ9" s="841" t="s">
        <v>673</v>
      </c>
      <c r="DR9" s="841" t="s">
        <v>353</v>
      </c>
      <c r="DS9" s="841" t="s">
        <v>353</v>
      </c>
      <c r="DT9" s="841" t="s">
        <v>353</v>
      </c>
      <c r="DU9" s="841" t="s">
        <v>353</v>
      </c>
      <c r="DV9" s="841" t="s">
        <v>353</v>
      </c>
      <c r="DW9" s="841" t="s">
        <v>353</v>
      </c>
      <c r="DX9" s="841" t="s">
        <v>353</v>
      </c>
      <c r="DY9" s="841" t="s">
        <v>353</v>
      </c>
      <c r="DZ9" s="841" t="s">
        <v>353</v>
      </c>
      <c r="EA9" s="841" t="s">
        <v>353</v>
      </c>
      <c r="EB9" s="841" t="s">
        <v>353</v>
      </c>
      <c r="EC9" s="841" t="s">
        <v>353</v>
      </c>
      <c r="ED9" s="841" t="s">
        <v>353</v>
      </c>
      <c r="EE9" s="841" t="s">
        <v>353</v>
      </c>
      <c r="EF9" s="841" t="s">
        <v>353</v>
      </c>
      <c r="EG9" s="841" t="s">
        <v>353</v>
      </c>
      <c r="EH9" s="841" t="s">
        <v>353</v>
      </c>
      <c r="EI9" s="841" t="s">
        <v>353</v>
      </c>
      <c r="EJ9" s="841" t="s">
        <v>353</v>
      </c>
      <c r="EK9" s="841" t="s">
        <v>353</v>
      </c>
      <c r="EL9" s="841" t="s">
        <v>353</v>
      </c>
      <c r="EM9" s="841" t="s">
        <v>353</v>
      </c>
      <c r="EN9" s="841" t="s">
        <v>353</v>
      </c>
      <c r="EO9" s="841" t="s">
        <v>353</v>
      </c>
      <c r="EP9" s="841" t="s">
        <v>353</v>
      </c>
      <c r="EQ9" s="841" t="s">
        <v>353</v>
      </c>
      <c r="ER9" s="841" t="s">
        <v>353</v>
      </c>
      <c r="ES9" s="841" t="s">
        <v>353</v>
      </c>
      <c r="ET9" s="841" t="s">
        <v>1414</v>
      </c>
      <c r="EU9" s="841" t="s">
        <v>353</v>
      </c>
      <c r="EV9" s="841" t="s">
        <v>353</v>
      </c>
      <c r="EW9" s="841" t="s">
        <v>353</v>
      </c>
      <c r="EX9" s="841" t="s">
        <v>353</v>
      </c>
      <c r="EY9" s="842">
        <v>44606.713194444441</v>
      </c>
      <c r="EZ9" s="842">
        <v>44609.333333333336</v>
      </c>
      <c r="FA9" s="841" t="s">
        <v>353</v>
      </c>
      <c r="FB9" s="841" t="s">
        <v>353</v>
      </c>
      <c r="FC9" s="841" t="s">
        <v>353</v>
      </c>
      <c r="FD9" s="841" t="s">
        <v>353</v>
      </c>
      <c r="FE9" s="842">
        <v>44606.708333333336</v>
      </c>
      <c r="FF9" s="841" t="s">
        <v>353</v>
      </c>
      <c r="FG9" s="841" t="s">
        <v>353</v>
      </c>
      <c r="FH9" s="841" t="s">
        <v>353</v>
      </c>
      <c r="FI9" s="841" t="s">
        <v>353</v>
      </c>
      <c r="FJ9" s="841" t="s">
        <v>353</v>
      </c>
      <c r="FK9" s="841" t="s">
        <v>353</v>
      </c>
      <c r="FL9" s="841" t="s">
        <v>353</v>
      </c>
      <c r="FM9" s="841" t="s">
        <v>353</v>
      </c>
      <c r="FN9" s="841" t="s">
        <v>353</v>
      </c>
      <c r="FO9" s="841" t="s">
        <v>353</v>
      </c>
      <c r="FP9" s="841" t="s">
        <v>353</v>
      </c>
      <c r="FQ9" s="841" t="s">
        <v>353</v>
      </c>
      <c r="FR9" s="841" t="s">
        <v>353</v>
      </c>
      <c r="FS9" s="841" t="s">
        <v>353</v>
      </c>
      <c r="FT9" s="841" t="s">
        <v>353</v>
      </c>
      <c r="FU9" s="841" t="s">
        <v>1394</v>
      </c>
      <c r="FV9" s="841" t="s">
        <v>353</v>
      </c>
      <c r="FW9" s="841" t="s">
        <v>353</v>
      </c>
      <c r="FX9" s="841" t="s">
        <v>353</v>
      </c>
      <c r="FY9" s="841" t="s">
        <v>353</v>
      </c>
      <c r="FZ9" s="841" t="s">
        <v>353</v>
      </c>
      <c r="GA9" s="841" t="s">
        <v>353</v>
      </c>
      <c r="GB9" s="841">
        <v>1</v>
      </c>
      <c r="GC9" s="841" t="s">
        <v>353</v>
      </c>
      <c r="GD9" s="841" t="s">
        <v>1417</v>
      </c>
      <c r="GE9" s="841" t="s">
        <v>353</v>
      </c>
      <c r="GF9" s="841" t="s">
        <v>353</v>
      </c>
      <c r="GG9" s="841" t="s">
        <v>353</v>
      </c>
      <c r="GH9" s="841" t="s">
        <v>353</v>
      </c>
      <c r="GI9" s="841" t="s">
        <v>353</v>
      </c>
      <c r="GJ9" s="841" t="s">
        <v>353</v>
      </c>
      <c r="GK9" s="841" t="s">
        <v>353</v>
      </c>
      <c r="GL9" s="841" t="s">
        <v>1505</v>
      </c>
      <c r="GM9" s="841" t="s">
        <v>353</v>
      </c>
      <c r="GN9" s="841" t="s">
        <v>353</v>
      </c>
      <c r="GO9" s="841" t="s">
        <v>353</v>
      </c>
      <c r="GP9" s="841" t="s">
        <v>353</v>
      </c>
      <c r="GQ9" s="841" t="s">
        <v>353</v>
      </c>
      <c r="GR9" s="841" t="s">
        <v>353</v>
      </c>
      <c r="GS9" s="841" t="s">
        <v>353</v>
      </c>
      <c r="GT9" s="841" t="s">
        <v>353</v>
      </c>
      <c r="GU9" s="841" t="s">
        <v>353</v>
      </c>
      <c r="GV9" s="841" t="s">
        <v>1419</v>
      </c>
      <c r="GW9" s="841" t="s">
        <v>353</v>
      </c>
      <c r="GX9" s="841" t="s">
        <v>353</v>
      </c>
      <c r="GY9" s="841" t="s">
        <v>353</v>
      </c>
      <c r="GZ9" s="841" t="s">
        <v>353</v>
      </c>
      <c r="HA9" s="841" t="s">
        <v>353</v>
      </c>
      <c r="HB9" s="841" t="s">
        <v>353</v>
      </c>
      <c r="HC9" s="841" t="s">
        <v>353</v>
      </c>
      <c r="HD9" s="841" t="s">
        <v>1506</v>
      </c>
      <c r="HE9" s="841" t="s">
        <v>353</v>
      </c>
      <c r="HF9" s="841" t="s">
        <v>353</v>
      </c>
      <c r="HG9" s="841" t="s">
        <v>353</v>
      </c>
      <c r="HH9" s="841" t="s">
        <v>353</v>
      </c>
      <c r="HI9" s="841" t="s">
        <v>353</v>
      </c>
      <c r="HJ9" s="841" t="s">
        <v>353</v>
      </c>
      <c r="HK9" s="841" t="s">
        <v>353</v>
      </c>
      <c r="HL9" s="841" t="s">
        <v>353</v>
      </c>
      <c r="HM9" s="841" t="s">
        <v>353</v>
      </c>
      <c r="HN9" s="841" t="s">
        <v>353</v>
      </c>
      <c r="HO9" s="841" t="s">
        <v>353</v>
      </c>
      <c r="HP9" s="841" t="s">
        <v>353</v>
      </c>
      <c r="HQ9" s="841" t="s">
        <v>353</v>
      </c>
      <c r="HR9" s="841" t="s">
        <v>353</v>
      </c>
      <c r="HS9" s="841" t="s">
        <v>353</v>
      </c>
      <c r="HT9" s="841" t="s">
        <v>353</v>
      </c>
      <c r="HU9" s="841" t="s">
        <v>353</v>
      </c>
      <c r="HV9" s="841" t="s">
        <v>353</v>
      </c>
      <c r="HW9" s="841" t="s">
        <v>353</v>
      </c>
      <c r="HX9" s="841" t="s">
        <v>353</v>
      </c>
      <c r="HY9" s="841" t="s">
        <v>353</v>
      </c>
      <c r="HZ9" s="841" t="s">
        <v>353</v>
      </c>
      <c r="IA9" s="841" t="s">
        <v>353</v>
      </c>
      <c r="IB9" s="841" t="s">
        <v>353</v>
      </c>
      <c r="IC9" s="841" t="s">
        <v>353</v>
      </c>
      <c r="ID9" s="841" t="s">
        <v>353</v>
      </c>
      <c r="IE9" s="841" t="s">
        <v>353</v>
      </c>
      <c r="IF9" s="841" t="s">
        <v>353</v>
      </c>
      <c r="IG9" s="841" t="s">
        <v>353</v>
      </c>
      <c r="IH9" s="841" t="s">
        <v>353</v>
      </c>
      <c r="II9" s="841" t="s">
        <v>353</v>
      </c>
      <c r="IJ9" s="841" t="s">
        <v>353</v>
      </c>
      <c r="IK9" s="841" t="s">
        <v>353</v>
      </c>
      <c r="IL9" s="841" t="s">
        <v>353</v>
      </c>
      <c r="IM9" s="841" t="s">
        <v>353</v>
      </c>
      <c r="IN9" s="841" t="s">
        <v>353</v>
      </c>
      <c r="IO9" s="841" t="s">
        <v>353</v>
      </c>
      <c r="IP9" s="841" t="s">
        <v>353</v>
      </c>
      <c r="IQ9" s="841" t="s">
        <v>353</v>
      </c>
      <c r="IR9" s="841" t="s">
        <v>353</v>
      </c>
      <c r="IS9" s="841" t="s">
        <v>353</v>
      </c>
      <c r="IT9" s="841" t="s">
        <v>353</v>
      </c>
      <c r="IU9" s="841" t="s">
        <v>353</v>
      </c>
      <c r="IV9" s="841" t="s">
        <v>353</v>
      </c>
      <c r="IW9" s="841" t="s">
        <v>353</v>
      </c>
      <c r="IX9" s="841" t="s">
        <v>353</v>
      </c>
      <c r="IY9" s="841" t="s">
        <v>353</v>
      </c>
      <c r="IZ9" s="841" t="s">
        <v>353</v>
      </c>
      <c r="JA9" s="841" t="s">
        <v>353</v>
      </c>
      <c r="JB9" s="841" t="s">
        <v>353</v>
      </c>
      <c r="JC9" s="841" t="s">
        <v>353</v>
      </c>
      <c r="JD9" s="841" t="s">
        <v>353</v>
      </c>
      <c r="JE9" s="841" t="s">
        <v>353</v>
      </c>
      <c r="JF9" s="841" t="s">
        <v>353</v>
      </c>
      <c r="JG9" s="841" t="s">
        <v>353</v>
      </c>
      <c r="JH9" s="841" t="s">
        <v>1507</v>
      </c>
      <c r="JI9" s="841" t="s">
        <v>1508</v>
      </c>
    </row>
    <row r="10" spans="1:269" x14ac:dyDescent="0.25">
      <c r="A10" s="841" t="s">
        <v>1509</v>
      </c>
      <c r="B10" s="841" t="s">
        <v>353</v>
      </c>
      <c r="C10" s="841" t="s">
        <v>353</v>
      </c>
      <c r="D10" s="841" t="s">
        <v>353</v>
      </c>
      <c r="E10" s="841" t="s">
        <v>353</v>
      </c>
      <c r="F10" s="841" t="s">
        <v>353</v>
      </c>
      <c r="G10" s="841" t="s">
        <v>353</v>
      </c>
      <c r="H10" s="841" t="s">
        <v>353</v>
      </c>
      <c r="I10" s="841" t="s">
        <v>353</v>
      </c>
      <c r="J10" s="841" t="s">
        <v>353</v>
      </c>
      <c r="K10" s="841" t="s">
        <v>353</v>
      </c>
      <c r="L10" s="842">
        <v>44606.700694444444</v>
      </c>
      <c r="M10" s="841" t="s">
        <v>353</v>
      </c>
      <c r="N10" s="841" t="s">
        <v>353</v>
      </c>
      <c r="O10" s="841" t="s">
        <v>353</v>
      </c>
      <c r="P10" s="841" t="s">
        <v>353</v>
      </c>
      <c r="Q10" s="841" t="s">
        <v>353</v>
      </c>
      <c r="R10" s="841" t="s">
        <v>353</v>
      </c>
      <c r="S10" s="841" t="s">
        <v>353</v>
      </c>
      <c r="T10" s="841" t="s">
        <v>1390</v>
      </c>
      <c r="U10" s="841" t="s">
        <v>353</v>
      </c>
      <c r="V10" s="841" t="s">
        <v>353</v>
      </c>
      <c r="W10" s="841" t="s">
        <v>353</v>
      </c>
      <c r="X10" s="841" t="s">
        <v>353</v>
      </c>
      <c r="Y10" s="841" t="s">
        <v>353</v>
      </c>
      <c r="Z10" s="841" t="s">
        <v>353</v>
      </c>
      <c r="AA10" s="841" t="s">
        <v>353</v>
      </c>
      <c r="AB10" s="841" t="s">
        <v>353</v>
      </c>
      <c r="AC10" s="841">
        <v>27000</v>
      </c>
      <c r="AD10" s="841" t="s">
        <v>353</v>
      </c>
      <c r="AE10" s="841" t="s">
        <v>353</v>
      </c>
      <c r="AF10" s="841" t="s">
        <v>353</v>
      </c>
      <c r="AG10" s="841" t="s">
        <v>353</v>
      </c>
      <c r="AH10" s="841" t="s">
        <v>353</v>
      </c>
      <c r="AI10" s="841" t="s">
        <v>1406</v>
      </c>
      <c r="AJ10" s="841" t="s">
        <v>353</v>
      </c>
      <c r="AK10" s="841" t="s">
        <v>353</v>
      </c>
      <c r="AL10" s="841" t="s">
        <v>353</v>
      </c>
      <c r="AM10" s="841" t="s">
        <v>353</v>
      </c>
      <c r="AN10" s="841" t="s">
        <v>353</v>
      </c>
      <c r="AO10" s="841" t="s">
        <v>353</v>
      </c>
      <c r="AP10" s="841" t="s">
        <v>353</v>
      </c>
      <c r="AQ10" s="841" t="s">
        <v>353</v>
      </c>
      <c r="AR10" s="841" t="s">
        <v>353</v>
      </c>
      <c r="AS10" s="841" t="s">
        <v>353</v>
      </c>
      <c r="AT10" s="841" t="s">
        <v>353</v>
      </c>
      <c r="AU10" s="841" t="s">
        <v>353</v>
      </c>
      <c r="AV10" s="841" t="s">
        <v>353</v>
      </c>
      <c r="AW10" s="841" t="s">
        <v>353</v>
      </c>
      <c r="AX10" s="841" t="s">
        <v>353</v>
      </c>
      <c r="AY10" s="841" t="s">
        <v>353</v>
      </c>
      <c r="AZ10" s="841" t="s">
        <v>353</v>
      </c>
      <c r="BA10" s="841" t="s">
        <v>353</v>
      </c>
      <c r="BB10" s="841" t="s">
        <v>353</v>
      </c>
      <c r="BC10" s="841" t="s">
        <v>353</v>
      </c>
      <c r="BD10" s="841" t="s">
        <v>353</v>
      </c>
      <c r="BE10" s="841" t="s">
        <v>353</v>
      </c>
      <c r="BF10" s="841" t="s">
        <v>353</v>
      </c>
      <c r="BG10" s="841" t="s">
        <v>353</v>
      </c>
      <c r="BH10" s="841" t="s">
        <v>353</v>
      </c>
      <c r="BI10" s="841" t="s">
        <v>353</v>
      </c>
      <c r="BJ10" s="841" t="s">
        <v>353</v>
      </c>
      <c r="BK10" s="841" t="s">
        <v>353</v>
      </c>
      <c r="BL10" s="841" t="s">
        <v>1510</v>
      </c>
      <c r="BM10" s="842">
        <v>44620.699305555558</v>
      </c>
      <c r="BN10" s="841" t="s">
        <v>353</v>
      </c>
      <c r="BO10" s="841" t="s">
        <v>353</v>
      </c>
      <c r="BP10" s="841" t="s">
        <v>353</v>
      </c>
      <c r="BQ10" s="841" t="s">
        <v>353</v>
      </c>
      <c r="BR10" s="841" t="s">
        <v>353</v>
      </c>
      <c r="BS10" s="841" t="s">
        <v>353</v>
      </c>
      <c r="BT10" s="841">
        <v>270000</v>
      </c>
      <c r="BU10" s="841" t="s">
        <v>353</v>
      </c>
      <c r="BV10" s="841" t="s">
        <v>353</v>
      </c>
      <c r="BW10" s="841" t="s">
        <v>353</v>
      </c>
      <c r="BX10" s="841" t="s">
        <v>353</v>
      </c>
      <c r="BY10" s="841" t="s">
        <v>353</v>
      </c>
      <c r="BZ10" s="841" t="s">
        <v>353</v>
      </c>
      <c r="CA10" s="841" t="s">
        <v>353</v>
      </c>
      <c r="CB10" s="841" t="s">
        <v>353</v>
      </c>
      <c r="CC10" s="841" t="s">
        <v>353</v>
      </c>
      <c r="CD10" s="841" t="s">
        <v>353</v>
      </c>
      <c r="CE10" s="841" t="s">
        <v>353</v>
      </c>
      <c r="CF10" s="841" t="s">
        <v>353</v>
      </c>
      <c r="CG10" s="841" t="s">
        <v>353</v>
      </c>
      <c r="CH10" s="841" t="s">
        <v>353</v>
      </c>
      <c r="CI10" s="841" t="s">
        <v>353</v>
      </c>
      <c r="CJ10" s="841" t="s">
        <v>353</v>
      </c>
      <c r="CK10" s="841" t="s">
        <v>353</v>
      </c>
      <c r="CL10" s="841" t="s">
        <v>353</v>
      </c>
      <c r="CM10" s="841" t="s">
        <v>353</v>
      </c>
      <c r="CN10" s="841" t="s">
        <v>353</v>
      </c>
      <c r="CO10" s="841" t="s">
        <v>353</v>
      </c>
      <c r="CP10" s="841" t="s">
        <v>353</v>
      </c>
      <c r="CQ10" s="841" t="s">
        <v>353</v>
      </c>
      <c r="CR10" s="841" t="s">
        <v>353</v>
      </c>
      <c r="CS10" s="841" t="s">
        <v>353</v>
      </c>
      <c r="CT10" s="841" t="s">
        <v>353</v>
      </c>
      <c r="CU10" s="841" t="s">
        <v>1391</v>
      </c>
      <c r="CV10" s="841" t="s">
        <v>353</v>
      </c>
      <c r="CW10" s="841" t="s">
        <v>353</v>
      </c>
      <c r="CX10" s="841" t="s">
        <v>353</v>
      </c>
      <c r="CY10" s="841" t="s">
        <v>353</v>
      </c>
      <c r="CZ10" s="841" t="s">
        <v>353</v>
      </c>
      <c r="DA10" s="841" t="s">
        <v>353</v>
      </c>
      <c r="DB10" s="841" t="s">
        <v>353</v>
      </c>
      <c r="DC10" s="841" t="s">
        <v>353</v>
      </c>
      <c r="DD10" s="841" t="s">
        <v>353</v>
      </c>
      <c r="DE10" s="841" t="s">
        <v>353</v>
      </c>
      <c r="DF10" s="841" t="s">
        <v>353</v>
      </c>
      <c r="DG10" s="841" t="s">
        <v>353</v>
      </c>
      <c r="DH10" s="841" t="s">
        <v>353</v>
      </c>
      <c r="DI10" s="841" t="s">
        <v>353</v>
      </c>
      <c r="DJ10" s="841" t="s">
        <v>1511</v>
      </c>
      <c r="DK10" s="841" t="s">
        <v>353</v>
      </c>
      <c r="DL10" s="842">
        <v>44606.699305555558</v>
      </c>
      <c r="DM10" s="841" t="s">
        <v>353</v>
      </c>
      <c r="DN10" s="841" t="s">
        <v>353</v>
      </c>
      <c r="DO10" s="841" t="s">
        <v>353</v>
      </c>
      <c r="DP10" s="841" t="s">
        <v>353</v>
      </c>
      <c r="DQ10" s="841" t="s">
        <v>1434</v>
      </c>
      <c r="DR10" s="841" t="s">
        <v>353</v>
      </c>
      <c r="DS10" s="841" t="s">
        <v>353</v>
      </c>
      <c r="DT10" s="841" t="s">
        <v>353</v>
      </c>
      <c r="DU10" s="841" t="s">
        <v>353</v>
      </c>
      <c r="DV10" s="841" t="s">
        <v>353</v>
      </c>
      <c r="DW10" s="841">
        <v>270000</v>
      </c>
      <c r="DX10" s="841" t="s">
        <v>353</v>
      </c>
      <c r="DY10" s="841" t="s">
        <v>353</v>
      </c>
      <c r="DZ10" s="841" t="s">
        <v>353</v>
      </c>
      <c r="EA10" s="841" t="s">
        <v>353</v>
      </c>
      <c r="EB10" s="841" t="s">
        <v>353</v>
      </c>
      <c r="EC10" s="841" t="s">
        <v>353</v>
      </c>
      <c r="ED10" s="841" t="s">
        <v>353</v>
      </c>
      <c r="EE10" s="841" t="s">
        <v>353</v>
      </c>
      <c r="EF10" s="841" t="s">
        <v>353</v>
      </c>
      <c r="EG10" s="841" t="s">
        <v>353</v>
      </c>
      <c r="EH10" s="841" t="s">
        <v>353</v>
      </c>
      <c r="EI10" s="841" t="s">
        <v>353</v>
      </c>
      <c r="EJ10" s="841" t="s">
        <v>353</v>
      </c>
      <c r="EK10" s="841" t="s">
        <v>353</v>
      </c>
      <c r="EL10" s="841" t="s">
        <v>353</v>
      </c>
      <c r="EM10" s="841" t="s">
        <v>353</v>
      </c>
      <c r="EN10" s="841" t="s">
        <v>353</v>
      </c>
      <c r="EO10" s="841" t="s">
        <v>353</v>
      </c>
      <c r="EP10" s="841" t="s">
        <v>353</v>
      </c>
      <c r="EQ10" s="841" t="s">
        <v>353</v>
      </c>
      <c r="ER10" s="841" t="s">
        <v>353</v>
      </c>
      <c r="ES10" s="841" t="s">
        <v>353</v>
      </c>
      <c r="ET10" s="841" t="s">
        <v>1512</v>
      </c>
      <c r="EU10" s="841" t="s">
        <v>353</v>
      </c>
      <c r="EV10" s="841" t="s">
        <v>353</v>
      </c>
      <c r="EW10" s="841" t="s">
        <v>353</v>
      </c>
      <c r="EX10" s="841" t="s">
        <v>353</v>
      </c>
      <c r="EY10" s="841" t="s">
        <v>353</v>
      </c>
      <c r="EZ10" s="841" t="s">
        <v>353</v>
      </c>
      <c r="FA10" s="841" t="s">
        <v>353</v>
      </c>
      <c r="FB10" s="841" t="s">
        <v>353</v>
      </c>
      <c r="FC10" s="841" t="s">
        <v>353</v>
      </c>
      <c r="FD10" s="841" t="s">
        <v>353</v>
      </c>
      <c r="FE10" s="842">
        <v>44606.7</v>
      </c>
      <c r="FF10" s="841" t="s">
        <v>353</v>
      </c>
      <c r="FG10" s="841" t="s">
        <v>353</v>
      </c>
      <c r="FH10" s="841" t="s">
        <v>353</v>
      </c>
      <c r="FI10" s="841" t="s">
        <v>353</v>
      </c>
      <c r="FJ10" s="841" t="s">
        <v>353</v>
      </c>
      <c r="FK10" s="841" t="s">
        <v>353</v>
      </c>
      <c r="FL10" s="841" t="s">
        <v>353</v>
      </c>
      <c r="FM10" s="841" t="s">
        <v>353</v>
      </c>
      <c r="FN10" s="841" t="s">
        <v>353</v>
      </c>
      <c r="FO10" s="841" t="s">
        <v>353</v>
      </c>
      <c r="FP10" s="841" t="s">
        <v>353</v>
      </c>
      <c r="FQ10" s="841" t="s">
        <v>353</v>
      </c>
      <c r="FR10" s="841" t="s">
        <v>353</v>
      </c>
      <c r="FS10" s="841" t="s">
        <v>353</v>
      </c>
      <c r="FT10" s="841" t="s">
        <v>353</v>
      </c>
      <c r="FU10" s="841" t="s">
        <v>1394</v>
      </c>
      <c r="FV10" s="841" t="s">
        <v>353</v>
      </c>
      <c r="FW10" s="841" t="s">
        <v>353</v>
      </c>
      <c r="FX10" s="841" t="s">
        <v>353</v>
      </c>
      <c r="FY10" s="841" t="s">
        <v>353</v>
      </c>
      <c r="FZ10" s="841" t="s">
        <v>353</v>
      </c>
      <c r="GA10" s="841" t="s">
        <v>353</v>
      </c>
      <c r="GB10" s="841">
        <v>1</v>
      </c>
      <c r="GC10" s="841" t="s">
        <v>353</v>
      </c>
      <c r="GD10" s="841" t="s">
        <v>1417</v>
      </c>
      <c r="GE10" s="841" t="s">
        <v>353</v>
      </c>
      <c r="GF10" s="841" t="s">
        <v>353</v>
      </c>
      <c r="GG10" s="841" t="s">
        <v>353</v>
      </c>
      <c r="GH10" s="841">
        <v>27000</v>
      </c>
      <c r="GI10" s="841" t="s">
        <v>353</v>
      </c>
      <c r="GJ10" s="841" t="s">
        <v>353</v>
      </c>
      <c r="GK10" s="841" t="s">
        <v>353</v>
      </c>
      <c r="GL10" s="841" t="s">
        <v>1437</v>
      </c>
      <c r="GM10" s="841" t="s">
        <v>353</v>
      </c>
      <c r="GN10" s="841" t="s">
        <v>353</v>
      </c>
      <c r="GO10" s="841" t="s">
        <v>353</v>
      </c>
      <c r="GP10" s="841" t="s">
        <v>353</v>
      </c>
      <c r="GQ10" s="841" t="s">
        <v>353</v>
      </c>
      <c r="GR10" s="841" t="s">
        <v>353</v>
      </c>
      <c r="GS10" s="841" t="s">
        <v>353</v>
      </c>
      <c r="GT10" s="841" t="s">
        <v>353</v>
      </c>
      <c r="GU10" s="841" t="s">
        <v>353</v>
      </c>
      <c r="GV10" s="841" t="s">
        <v>1419</v>
      </c>
      <c r="GW10" s="841" t="s">
        <v>353</v>
      </c>
      <c r="GX10" s="841" t="s">
        <v>353</v>
      </c>
      <c r="GY10" s="841" t="s">
        <v>353</v>
      </c>
      <c r="GZ10" s="841" t="s">
        <v>353</v>
      </c>
      <c r="HA10" s="841" t="s">
        <v>353</v>
      </c>
      <c r="HB10" s="841" t="s">
        <v>353</v>
      </c>
      <c r="HC10" s="841" t="s">
        <v>353</v>
      </c>
      <c r="HD10" s="841" t="s">
        <v>1513</v>
      </c>
      <c r="HE10" s="841" t="s">
        <v>353</v>
      </c>
      <c r="HF10" s="841" t="s">
        <v>353</v>
      </c>
      <c r="HG10" s="841" t="s">
        <v>353</v>
      </c>
      <c r="HH10" s="841" t="s">
        <v>353</v>
      </c>
      <c r="HI10" s="841" t="s">
        <v>353</v>
      </c>
      <c r="HJ10" s="841" t="s">
        <v>353</v>
      </c>
      <c r="HK10" s="841">
        <v>270000</v>
      </c>
      <c r="HL10" s="841" t="s">
        <v>353</v>
      </c>
      <c r="HM10" s="841" t="s">
        <v>353</v>
      </c>
      <c r="HN10" s="841" t="s">
        <v>353</v>
      </c>
      <c r="HO10" s="841" t="s">
        <v>353</v>
      </c>
      <c r="HP10" s="841" t="s">
        <v>353</v>
      </c>
      <c r="HQ10" s="841" t="s">
        <v>353</v>
      </c>
      <c r="HR10" s="841" t="s">
        <v>353</v>
      </c>
      <c r="HS10" s="841" t="s">
        <v>353</v>
      </c>
      <c r="HT10" s="841" t="s">
        <v>353</v>
      </c>
      <c r="HU10" s="841" t="s">
        <v>353</v>
      </c>
      <c r="HV10" s="841" t="s">
        <v>353</v>
      </c>
      <c r="HW10" s="841" t="s">
        <v>353</v>
      </c>
      <c r="HX10" s="841" t="s">
        <v>353</v>
      </c>
      <c r="HY10" s="841" t="s">
        <v>353</v>
      </c>
      <c r="HZ10" s="841" t="s">
        <v>353</v>
      </c>
      <c r="IA10" s="841" t="s">
        <v>353</v>
      </c>
      <c r="IB10" s="841" t="s">
        <v>353</v>
      </c>
      <c r="IC10" s="841" t="s">
        <v>353</v>
      </c>
      <c r="ID10" s="841" t="s">
        <v>353</v>
      </c>
      <c r="IE10" s="841" t="s">
        <v>353</v>
      </c>
      <c r="IF10" s="841" t="s">
        <v>353</v>
      </c>
      <c r="IG10" s="841" t="s">
        <v>353</v>
      </c>
      <c r="IH10" s="841" t="s">
        <v>353</v>
      </c>
      <c r="II10" s="841" t="s">
        <v>353</v>
      </c>
      <c r="IJ10" s="841" t="s">
        <v>353</v>
      </c>
      <c r="IK10" s="841" t="s">
        <v>353</v>
      </c>
      <c r="IL10" s="841" t="s">
        <v>353</v>
      </c>
      <c r="IM10" s="841" t="s">
        <v>353</v>
      </c>
      <c r="IN10" s="841" t="s">
        <v>353</v>
      </c>
      <c r="IO10" s="841" t="s">
        <v>353</v>
      </c>
      <c r="IP10" s="841" t="s">
        <v>353</v>
      </c>
      <c r="IQ10" s="841" t="s">
        <v>353</v>
      </c>
      <c r="IR10" s="841" t="s">
        <v>353</v>
      </c>
      <c r="IS10" s="841" t="s">
        <v>353</v>
      </c>
      <c r="IT10" s="841" t="s">
        <v>353</v>
      </c>
      <c r="IU10" s="841" t="s">
        <v>353</v>
      </c>
      <c r="IV10" s="841" t="s">
        <v>353</v>
      </c>
      <c r="IW10" s="841" t="s">
        <v>353</v>
      </c>
      <c r="IX10" s="841" t="s">
        <v>353</v>
      </c>
      <c r="IY10" s="841" t="s">
        <v>353</v>
      </c>
      <c r="IZ10" s="841" t="s">
        <v>353</v>
      </c>
      <c r="JA10" s="841">
        <v>270000</v>
      </c>
      <c r="JB10" s="841" t="s">
        <v>353</v>
      </c>
      <c r="JC10" s="841" t="s">
        <v>353</v>
      </c>
      <c r="JD10" s="841" t="s">
        <v>353</v>
      </c>
      <c r="JE10" s="841" t="s">
        <v>353</v>
      </c>
      <c r="JF10" s="841" t="s">
        <v>1514</v>
      </c>
      <c r="JG10" s="841" t="s">
        <v>1515</v>
      </c>
      <c r="JH10" s="841" t="s">
        <v>1516</v>
      </c>
      <c r="JI10" s="841" t="s">
        <v>1517</v>
      </c>
    </row>
    <row r="11" spans="1:269" x14ac:dyDescent="0.25">
      <c r="A11" s="841" t="s">
        <v>1518</v>
      </c>
      <c r="B11" s="841" t="s">
        <v>353</v>
      </c>
      <c r="C11" s="841" t="s">
        <v>1403</v>
      </c>
      <c r="D11" s="841" t="s">
        <v>353</v>
      </c>
      <c r="E11" s="841" t="s">
        <v>353</v>
      </c>
      <c r="F11" s="841" t="s">
        <v>353</v>
      </c>
      <c r="G11" s="841" t="s">
        <v>1519</v>
      </c>
      <c r="H11" s="841" t="s">
        <v>353</v>
      </c>
      <c r="I11" s="841" t="s">
        <v>353</v>
      </c>
      <c r="J11" s="841" t="s">
        <v>353</v>
      </c>
      <c r="K11" s="841" t="s">
        <v>353</v>
      </c>
      <c r="L11" s="842">
        <v>44606.744444444441</v>
      </c>
      <c r="M11" s="841" t="s">
        <v>353</v>
      </c>
      <c r="N11" s="841" t="s">
        <v>353</v>
      </c>
      <c r="O11" s="841" t="s">
        <v>353</v>
      </c>
      <c r="P11" s="841" t="s">
        <v>353</v>
      </c>
      <c r="Q11" s="841" t="s">
        <v>353</v>
      </c>
      <c r="R11" s="841" t="s">
        <v>353</v>
      </c>
      <c r="S11" s="841" t="s">
        <v>1520</v>
      </c>
      <c r="T11" s="841" t="s">
        <v>1390</v>
      </c>
      <c r="U11" s="841" t="s">
        <v>353</v>
      </c>
      <c r="V11" s="841" t="s">
        <v>353</v>
      </c>
      <c r="W11" s="841" t="s">
        <v>353</v>
      </c>
      <c r="X11" s="841" t="s">
        <v>1486</v>
      </c>
      <c r="Y11" s="841" t="s">
        <v>353</v>
      </c>
      <c r="Z11" s="841" t="s">
        <v>353</v>
      </c>
      <c r="AA11" s="841" t="s">
        <v>353</v>
      </c>
      <c r="AB11" s="841" t="s">
        <v>353</v>
      </c>
      <c r="AC11" s="841" t="s">
        <v>353</v>
      </c>
      <c r="AD11" s="841" t="s">
        <v>353</v>
      </c>
      <c r="AE11" s="841" t="s">
        <v>353</v>
      </c>
      <c r="AF11" s="841" t="s">
        <v>353</v>
      </c>
      <c r="AG11" s="841" t="s">
        <v>353</v>
      </c>
      <c r="AH11" s="841">
        <v>600</v>
      </c>
      <c r="AI11" s="841" t="s">
        <v>1521</v>
      </c>
      <c r="AJ11" s="841" t="s">
        <v>353</v>
      </c>
      <c r="AK11" s="841" t="s">
        <v>353</v>
      </c>
      <c r="AL11" s="841" t="s">
        <v>353</v>
      </c>
      <c r="AM11" s="841" t="s">
        <v>353</v>
      </c>
      <c r="AN11" s="841" t="s">
        <v>353</v>
      </c>
      <c r="AO11" s="841" t="s">
        <v>353</v>
      </c>
      <c r="AP11" s="841" t="s">
        <v>353</v>
      </c>
      <c r="AQ11" s="841" t="s">
        <v>353</v>
      </c>
      <c r="AR11" s="841" t="s">
        <v>353</v>
      </c>
      <c r="AS11" s="841" t="s">
        <v>353</v>
      </c>
      <c r="AT11" s="841" t="s">
        <v>353</v>
      </c>
      <c r="AU11" s="841" t="s">
        <v>353</v>
      </c>
      <c r="AV11" s="841" t="s">
        <v>353</v>
      </c>
      <c r="AW11" s="841" t="s">
        <v>353</v>
      </c>
      <c r="AX11" s="841" t="s">
        <v>353</v>
      </c>
      <c r="AY11" s="841" t="s">
        <v>353</v>
      </c>
      <c r="AZ11" s="841" t="s">
        <v>353</v>
      </c>
      <c r="BA11" s="841" t="s">
        <v>353</v>
      </c>
      <c r="BB11" s="841" t="s">
        <v>353</v>
      </c>
      <c r="BC11" s="841" t="s">
        <v>353</v>
      </c>
      <c r="BD11" s="841" t="s">
        <v>353</v>
      </c>
      <c r="BE11" s="841" t="s">
        <v>353</v>
      </c>
      <c r="BF11" s="841" t="s">
        <v>353</v>
      </c>
      <c r="BG11" s="841" t="s">
        <v>353</v>
      </c>
      <c r="BH11" s="841" t="s">
        <v>353</v>
      </c>
      <c r="BI11" s="841" t="s">
        <v>353</v>
      </c>
      <c r="BJ11" s="841" t="s">
        <v>353</v>
      </c>
      <c r="BK11" s="841" t="s">
        <v>353</v>
      </c>
      <c r="BL11" s="841" t="s">
        <v>1522</v>
      </c>
      <c r="BM11" s="842">
        <v>44620.686805555553</v>
      </c>
      <c r="BN11" s="841" t="s">
        <v>353</v>
      </c>
      <c r="BO11" s="841" t="s">
        <v>353</v>
      </c>
      <c r="BP11" s="841" t="s">
        <v>353</v>
      </c>
      <c r="BQ11" s="841" t="s">
        <v>353</v>
      </c>
      <c r="BR11" s="841" t="s">
        <v>353</v>
      </c>
      <c r="BS11" s="841" t="s">
        <v>353</v>
      </c>
      <c r="BT11" s="841">
        <v>157500</v>
      </c>
      <c r="BU11" s="841" t="s">
        <v>353</v>
      </c>
      <c r="BV11" s="841" t="s">
        <v>1523</v>
      </c>
      <c r="BW11" s="841" t="s">
        <v>353</v>
      </c>
      <c r="BX11" s="841" t="s">
        <v>1524</v>
      </c>
      <c r="BY11" s="841" t="s">
        <v>353</v>
      </c>
      <c r="BZ11" s="841" t="s">
        <v>353</v>
      </c>
      <c r="CA11" s="841" t="s">
        <v>353</v>
      </c>
      <c r="CB11" s="841" t="s">
        <v>353</v>
      </c>
      <c r="CC11" s="841" t="s">
        <v>353</v>
      </c>
      <c r="CD11" s="841" t="s">
        <v>353</v>
      </c>
      <c r="CE11" s="841" t="s">
        <v>353</v>
      </c>
      <c r="CF11" s="841" t="s">
        <v>353</v>
      </c>
      <c r="CG11" s="841" t="s">
        <v>353</v>
      </c>
      <c r="CH11" s="841" t="s">
        <v>353</v>
      </c>
      <c r="CI11" s="841" t="s">
        <v>353</v>
      </c>
      <c r="CJ11" s="841" t="s">
        <v>353</v>
      </c>
      <c r="CK11" s="841">
        <v>0</v>
      </c>
      <c r="CL11" s="841" t="s">
        <v>353</v>
      </c>
      <c r="CM11" s="841">
        <v>2</v>
      </c>
      <c r="CN11" s="841" t="s">
        <v>353</v>
      </c>
      <c r="CO11" s="841" t="s">
        <v>353</v>
      </c>
      <c r="CP11" s="841" t="s">
        <v>1525</v>
      </c>
      <c r="CQ11" s="841" t="s">
        <v>353</v>
      </c>
      <c r="CR11" s="841" t="s">
        <v>353</v>
      </c>
      <c r="CS11" s="841" t="s">
        <v>353</v>
      </c>
      <c r="CT11" s="841" t="s">
        <v>353</v>
      </c>
      <c r="CU11" s="841" t="s">
        <v>1391</v>
      </c>
      <c r="CV11" s="841" t="s">
        <v>353</v>
      </c>
      <c r="CW11" s="841" t="s">
        <v>353</v>
      </c>
      <c r="CX11" s="841" t="s">
        <v>353</v>
      </c>
      <c r="CY11" s="841" t="s">
        <v>353</v>
      </c>
      <c r="CZ11" s="841" t="s">
        <v>353</v>
      </c>
      <c r="DA11" s="841" t="s">
        <v>353</v>
      </c>
      <c r="DB11" s="841" t="s">
        <v>353</v>
      </c>
      <c r="DC11" s="841" t="s">
        <v>353</v>
      </c>
      <c r="DD11" s="841" t="s">
        <v>353</v>
      </c>
      <c r="DE11" s="841" t="s">
        <v>353</v>
      </c>
      <c r="DF11" s="841" t="s">
        <v>353</v>
      </c>
      <c r="DG11" s="841" t="s">
        <v>353</v>
      </c>
      <c r="DH11" s="841" t="s">
        <v>353</v>
      </c>
      <c r="DI11" s="841" t="s">
        <v>353</v>
      </c>
      <c r="DJ11" s="841" t="s">
        <v>1526</v>
      </c>
      <c r="DK11" s="841" t="s">
        <v>353</v>
      </c>
      <c r="DL11" s="842">
        <v>44606.686805555553</v>
      </c>
      <c r="DM11" s="841" t="s">
        <v>353</v>
      </c>
      <c r="DN11" s="841" t="s">
        <v>353</v>
      </c>
      <c r="DO11" s="841" t="s">
        <v>673</v>
      </c>
      <c r="DP11" s="841" t="s">
        <v>1481</v>
      </c>
      <c r="DQ11" s="841" t="s">
        <v>673</v>
      </c>
      <c r="DR11" s="841" t="s">
        <v>353</v>
      </c>
      <c r="DS11" s="841" t="s">
        <v>353</v>
      </c>
      <c r="DT11" s="841" t="s">
        <v>353</v>
      </c>
      <c r="DU11" s="841" t="s">
        <v>353</v>
      </c>
      <c r="DV11" s="841" t="s">
        <v>353</v>
      </c>
      <c r="DW11" s="841" t="s">
        <v>353</v>
      </c>
      <c r="DX11" s="841" t="s">
        <v>353</v>
      </c>
      <c r="DY11" s="841" t="s">
        <v>353</v>
      </c>
      <c r="DZ11" s="841" t="s">
        <v>353</v>
      </c>
      <c r="EA11" s="841" t="s">
        <v>353</v>
      </c>
      <c r="EB11" s="841" t="s">
        <v>353</v>
      </c>
      <c r="EC11" s="841" t="s">
        <v>353</v>
      </c>
      <c r="ED11" s="841" t="s">
        <v>353</v>
      </c>
      <c r="EE11" s="841" t="s">
        <v>353</v>
      </c>
      <c r="EF11" s="841" t="s">
        <v>353</v>
      </c>
      <c r="EG11" s="841" t="s">
        <v>353</v>
      </c>
      <c r="EH11" s="841" t="s">
        <v>353</v>
      </c>
      <c r="EI11" s="841" t="s">
        <v>353</v>
      </c>
      <c r="EJ11" s="841" t="s">
        <v>353</v>
      </c>
      <c r="EK11" s="841" t="s">
        <v>1527</v>
      </c>
      <c r="EL11" s="841" t="s">
        <v>353</v>
      </c>
      <c r="EM11" s="841" t="s">
        <v>353</v>
      </c>
      <c r="EN11" s="841" t="s">
        <v>353</v>
      </c>
      <c r="EO11" s="841" t="s">
        <v>353</v>
      </c>
      <c r="EP11" s="841" t="s">
        <v>353</v>
      </c>
      <c r="EQ11" s="841" t="s">
        <v>353</v>
      </c>
      <c r="ER11" s="841" t="s">
        <v>353</v>
      </c>
      <c r="ES11" s="841" t="s">
        <v>353</v>
      </c>
      <c r="ET11" s="841" t="s">
        <v>1414</v>
      </c>
      <c r="EU11" s="841" t="s">
        <v>353</v>
      </c>
      <c r="EV11" s="841" t="s">
        <v>353</v>
      </c>
      <c r="EW11" s="841" t="s">
        <v>353</v>
      </c>
      <c r="EX11" s="841" t="s">
        <v>353</v>
      </c>
      <c r="EY11" s="842">
        <v>44606.743750000001</v>
      </c>
      <c r="EZ11" s="842">
        <v>44609.333333333336</v>
      </c>
      <c r="FA11" s="841" t="s">
        <v>353</v>
      </c>
      <c r="FB11" s="841" t="s">
        <v>353</v>
      </c>
      <c r="FC11" s="841" t="s">
        <v>353</v>
      </c>
      <c r="FD11" s="841" t="s">
        <v>353</v>
      </c>
      <c r="FE11" s="842">
        <v>44606.6875</v>
      </c>
      <c r="FF11" s="841" t="s">
        <v>353</v>
      </c>
      <c r="FG11" s="841" t="s">
        <v>353</v>
      </c>
      <c r="FH11" s="841" t="s">
        <v>353</v>
      </c>
      <c r="FI11" s="841" t="s">
        <v>353</v>
      </c>
      <c r="FJ11" s="841" t="s">
        <v>353</v>
      </c>
      <c r="FK11" s="841" t="s">
        <v>353</v>
      </c>
      <c r="FL11" s="841" t="s">
        <v>353</v>
      </c>
      <c r="FM11" s="841" t="s">
        <v>353</v>
      </c>
      <c r="FN11" s="841" t="s">
        <v>353</v>
      </c>
      <c r="FO11" s="841" t="s">
        <v>1528</v>
      </c>
      <c r="FP11" s="841" t="s">
        <v>353</v>
      </c>
      <c r="FQ11" s="841" t="s">
        <v>353</v>
      </c>
      <c r="FR11" s="841" t="s">
        <v>353</v>
      </c>
      <c r="FS11" s="841" t="s">
        <v>353</v>
      </c>
      <c r="FT11" s="841" t="s">
        <v>353</v>
      </c>
      <c r="FU11" s="841" t="s">
        <v>1416</v>
      </c>
      <c r="FV11" s="841" t="s">
        <v>353</v>
      </c>
      <c r="FW11" s="841" t="s">
        <v>353</v>
      </c>
      <c r="FX11" s="841" t="s">
        <v>353</v>
      </c>
      <c r="FY11" s="841" t="s">
        <v>353</v>
      </c>
      <c r="FZ11" s="841" t="s">
        <v>353</v>
      </c>
      <c r="GA11" s="841" t="s">
        <v>353</v>
      </c>
      <c r="GB11" s="841">
        <v>1</v>
      </c>
      <c r="GC11" s="841" t="s">
        <v>353</v>
      </c>
      <c r="GD11" s="841" t="s">
        <v>1395</v>
      </c>
      <c r="GE11" s="841" t="s">
        <v>353</v>
      </c>
      <c r="GF11" s="841" t="s">
        <v>353</v>
      </c>
      <c r="GG11" s="841" t="s">
        <v>353</v>
      </c>
      <c r="GH11" s="841" t="s">
        <v>353</v>
      </c>
      <c r="GI11" s="841" t="s">
        <v>353</v>
      </c>
      <c r="GJ11" s="841" t="s">
        <v>353</v>
      </c>
      <c r="GK11" s="841" t="s">
        <v>353</v>
      </c>
      <c r="GL11" s="841" t="s">
        <v>1497</v>
      </c>
      <c r="GM11" s="841" t="s">
        <v>353</v>
      </c>
      <c r="GN11" s="841" t="s">
        <v>353</v>
      </c>
      <c r="GO11" s="841" t="s">
        <v>353</v>
      </c>
      <c r="GP11" s="841" t="s">
        <v>353</v>
      </c>
      <c r="GQ11" s="841" t="s">
        <v>353</v>
      </c>
      <c r="GR11" s="841" t="s">
        <v>353</v>
      </c>
      <c r="GS11" s="841" t="s">
        <v>1523</v>
      </c>
      <c r="GT11" s="841" t="s">
        <v>353</v>
      </c>
      <c r="GU11" s="841" t="s">
        <v>353</v>
      </c>
      <c r="GV11" s="841" t="s">
        <v>1419</v>
      </c>
      <c r="GW11" s="841" t="s">
        <v>353</v>
      </c>
      <c r="GX11" s="841" t="s">
        <v>353</v>
      </c>
      <c r="GY11" s="841" t="s">
        <v>353</v>
      </c>
      <c r="GZ11" s="841" t="s">
        <v>1529</v>
      </c>
      <c r="HA11" s="841" t="s">
        <v>353</v>
      </c>
      <c r="HB11" s="841" t="s">
        <v>353</v>
      </c>
      <c r="HC11" s="841" t="s">
        <v>1421</v>
      </c>
      <c r="HD11" s="841" t="s">
        <v>1525</v>
      </c>
      <c r="HE11" s="841" t="s">
        <v>353</v>
      </c>
      <c r="HF11" s="841" t="s">
        <v>353</v>
      </c>
      <c r="HG11" s="841" t="s">
        <v>353</v>
      </c>
      <c r="HH11" s="841" t="s">
        <v>353</v>
      </c>
      <c r="HI11" s="841" t="s">
        <v>1422</v>
      </c>
      <c r="HJ11" s="841" t="s">
        <v>353</v>
      </c>
      <c r="HK11" s="841" t="s">
        <v>353</v>
      </c>
      <c r="HL11" s="841" t="s">
        <v>353</v>
      </c>
      <c r="HM11" s="841" t="s">
        <v>1530</v>
      </c>
      <c r="HN11" s="841" t="s">
        <v>353</v>
      </c>
      <c r="HO11" s="841" t="s">
        <v>353</v>
      </c>
      <c r="HP11" s="841" t="s">
        <v>353</v>
      </c>
      <c r="HQ11" s="841" t="s">
        <v>353</v>
      </c>
      <c r="HR11" s="841" t="s">
        <v>353</v>
      </c>
      <c r="HS11" s="841" t="s">
        <v>353</v>
      </c>
      <c r="HT11" s="841" t="s">
        <v>353</v>
      </c>
      <c r="HU11" s="841" t="s">
        <v>353</v>
      </c>
      <c r="HV11" s="841" t="s">
        <v>353</v>
      </c>
      <c r="HW11" s="841">
        <v>225000</v>
      </c>
      <c r="HX11" s="841" t="s">
        <v>353</v>
      </c>
      <c r="HY11" s="841" t="s">
        <v>353</v>
      </c>
      <c r="HZ11" s="841" t="s">
        <v>353</v>
      </c>
      <c r="IA11" s="841" t="s">
        <v>353</v>
      </c>
      <c r="IB11" s="841" t="s">
        <v>1424</v>
      </c>
      <c r="IC11" s="841" t="s">
        <v>353</v>
      </c>
      <c r="ID11" s="841" t="s">
        <v>353</v>
      </c>
      <c r="IE11" s="841" t="s">
        <v>353</v>
      </c>
      <c r="IF11" s="841" t="s">
        <v>353</v>
      </c>
      <c r="IG11" s="841" t="s">
        <v>353</v>
      </c>
      <c r="IH11" s="841" t="s">
        <v>353</v>
      </c>
      <c r="II11" s="841" t="s">
        <v>353</v>
      </c>
      <c r="IJ11" s="841" t="s">
        <v>353</v>
      </c>
      <c r="IK11" s="841" t="s">
        <v>353</v>
      </c>
      <c r="IL11" s="841" t="s">
        <v>353</v>
      </c>
      <c r="IM11" s="841" t="s">
        <v>353</v>
      </c>
      <c r="IN11" s="841" t="s">
        <v>353</v>
      </c>
      <c r="IO11" s="841" t="s">
        <v>353</v>
      </c>
      <c r="IP11" s="841" t="s">
        <v>353</v>
      </c>
      <c r="IQ11" s="841" t="s">
        <v>353</v>
      </c>
      <c r="IR11" s="841" t="s">
        <v>353</v>
      </c>
      <c r="IS11" s="841" t="s">
        <v>353</v>
      </c>
      <c r="IT11" s="841" t="s">
        <v>353</v>
      </c>
      <c r="IU11" s="841" t="s">
        <v>353</v>
      </c>
      <c r="IV11" s="841" t="s">
        <v>353</v>
      </c>
      <c r="IW11" s="841" t="s">
        <v>353</v>
      </c>
      <c r="IX11" s="841" t="s">
        <v>353</v>
      </c>
      <c r="IY11" s="841" t="s">
        <v>353</v>
      </c>
      <c r="IZ11" s="841" t="s">
        <v>353</v>
      </c>
      <c r="JA11" s="841" t="s">
        <v>353</v>
      </c>
      <c r="JB11" s="841" t="s">
        <v>353</v>
      </c>
      <c r="JC11" s="841" t="s">
        <v>353</v>
      </c>
      <c r="JD11" s="841" t="s">
        <v>353</v>
      </c>
      <c r="JE11" s="841" t="s">
        <v>353</v>
      </c>
      <c r="JF11" s="841" t="s">
        <v>353</v>
      </c>
      <c r="JG11" s="841" t="s">
        <v>353</v>
      </c>
      <c r="JH11" s="841" t="s">
        <v>1531</v>
      </c>
      <c r="JI11" s="841" t="s">
        <v>1532</v>
      </c>
    </row>
    <row r="12" spans="1:269" x14ac:dyDescent="0.25">
      <c r="A12" s="841" t="s">
        <v>1533</v>
      </c>
      <c r="B12" s="841" t="s">
        <v>353</v>
      </c>
      <c r="C12" s="841" t="s">
        <v>353</v>
      </c>
      <c r="D12" s="841" t="s">
        <v>353</v>
      </c>
      <c r="E12" s="841" t="s">
        <v>353</v>
      </c>
      <c r="F12" s="841" t="s">
        <v>353</v>
      </c>
      <c r="G12" s="841" t="s">
        <v>1534</v>
      </c>
      <c r="H12" s="841" t="s">
        <v>353</v>
      </c>
      <c r="I12" s="841" t="s">
        <v>353</v>
      </c>
      <c r="J12" s="841" t="s">
        <v>353</v>
      </c>
      <c r="K12" s="841" t="s">
        <v>353</v>
      </c>
      <c r="L12" s="842">
        <v>44608.453472222223</v>
      </c>
      <c r="M12" s="841" t="s">
        <v>353</v>
      </c>
      <c r="N12" s="841" t="s">
        <v>353</v>
      </c>
      <c r="O12" s="841" t="s">
        <v>353</v>
      </c>
      <c r="P12" s="841" t="s">
        <v>353</v>
      </c>
      <c r="Q12" s="841" t="s">
        <v>353</v>
      </c>
      <c r="R12" s="841" t="s">
        <v>353</v>
      </c>
      <c r="S12" s="841" t="s">
        <v>64</v>
      </c>
      <c r="T12" s="841" t="s">
        <v>1390</v>
      </c>
      <c r="U12" s="841" t="s">
        <v>353</v>
      </c>
      <c r="V12" s="841" t="s">
        <v>353</v>
      </c>
      <c r="W12" s="841" t="s">
        <v>353</v>
      </c>
      <c r="X12" s="841" t="s">
        <v>1435</v>
      </c>
      <c r="Y12" s="841" t="s">
        <v>353</v>
      </c>
      <c r="Z12" s="841" t="s">
        <v>353</v>
      </c>
      <c r="AA12" s="841" t="s">
        <v>353</v>
      </c>
      <c r="AB12" s="841" t="s">
        <v>353</v>
      </c>
      <c r="AC12" s="841">
        <v>120600</v>
      </c>
      <c r="AD12" s="841" t="s">
        <v>353</v>
      </c>
      <c r="AE12" s="841" t="s">
        <v>353</v>
      </c>
      <c r="AF12" s="841" t="s">
        <v>353</v>
      </c>
      <c r="AG12" s="841" t="s">
        <v>353</v>
      </c>
      <c r="AH12" s="841">
        <v>1218</v>
      </c>
      <c r="AI12" s="841" t="s">
        <v>1535</v>
      </c>
      <c r="AJ12" s="841" t="s">
        <v>353</v>
      </c>
      <c r="AK12" s="841">
        <v>75</v>
      </c>
      <c r="AL12" s="841" t="s">
        <v>353</v>
      </c>
      <c r="AM12" s="841" t="s">
        <v>353</v>
      </c>
      <c r="AN12" s="841" t="s">
        <v>353</v>
      </c>
      <c r="AO12" s="841" t="s">
        <v>353</v>
      </c>
      <c r="AP12" s="841" t="s">
        <v>353</v>
      </c>
      <c r="AQ12" s="841" t="s">
        <v>353</v>
      </c>
      <c r="AR12" s="841" t="s">
        <v>353</v>
      </c>
      <c r="AS12" s="841" t="s">
        <v>353</v>
      </c>
      <c r="AT12" s="841" t="s">
        <v>353</v>
      </c>
      <c r="AU12" s="841" t="s">
        <v>353</v>
      </c>
      <c r="AV12" s="841" t="s">
        <v>353</v>
      </c>
      <c r="AW12" s="841" t="s">
        <v>353</v>
      </c>
      <c r="AX12" s="841" t="s">
        <v>353</v>
      </c>
      <c r="AY12" s="841" t="s">
        <v>353</v>
      </c>
      <c r="AZ12" s="841" t="s">
        <v>353</v>
      </c>
      <c r="BA12" s="841" t="s">
        <v>353</v>
      </c>
      <c r="BB12" s="841" t="s">
        <v>353</v>
      </c>
      <c r="BC12" s="841">
        <v>580388</v>
      </c>
      <c r="BD12" s="841" t="s">
        <v>353</v>
      </c>
      <c r="BE12" s="841" t="s">
        <v>353</v>
      </c>
      <c r="BF12" s="841" t="s">
        <v>353</v>
      </c>
      <c r="BG12" s="841" t="s">
        <v>353</v>
      </c>
      <c r="BH12" s="841" t="s">
        <v>353</v>
      </c>
      <c r="BI12" s="841" t="s">
        <v>353</v>
      </c>
      <c r="BJ12" s="841" t="s">
        <v>353</v>
      </c>
      <c r="BK12" s="841">
        <v>78474</v>
      </c>
      <c r="BL12" s="841" t="s">
        <v>1536</v>
      </c>
      <c r="BM12" s="842">
        <v>44620.62777777778</v>
      </c>
      <c r="BN12" s="841" t="s">
        <v>353</v>
      </c>
      <c r="BO12" s="841" t="s">
        <v>353</v>
      </c>
      <c r="BP12" s="841" t="s">
        <v>353</v>
      </c>
      <c r="BQ12" s="841" t="s">
        <v>353</v>
      </c>
      <c r="BR12" s="841" t="s">
        <v>353</v>
      </c>
      <c r="BS12" s="841" t="s">
        <v>353</v>
      </c>
      <c r="BT12" s="841">
        <v>603000</v>
      </c>
      <c r="BU12" s="841" t="s">
        <v>353</v>
      </c>
      <c r="BV12" s="841" t="s">
        <v>1537</v>
      </c>
      <c r="BW12" s="841" t="s">
        <v>353</v>
      </c>
      <c r="BX12" s="841" t="s">
        <v>1538</v>
      </c>
      <c r="BY12" s="841" t="s">
        <v>353</v>
      </c>
      <c r="BZ12" s="841" t="s">
        <v>353</v>
      </c>
      <c r="CA12" s="841" t="s">
        <v>353</v>
      </c>
      <c r="CB12" s="841" t="s">
        <v>353</v>
      </c>
      <c r="CC12" s="841" t="s">
        <v>353</v>
      </c>
      <c r="CD12" s="841" t="s">
        <v>353</v>
      </c>
      <c r="CE12" s="841" t="s">
        <v>353</v>
      </c>
      <c r="CF12" s="841" t="s">
        <v>353</v>
      </c>
      <c r="CG12" s="841" t="s">
        <v>353</v>
      </c>
      <c r="CH12" s="841" t="s">
        <v>353</v>
      </c>
      <c r="CI12" s="841" t="s">
        <v>353</v>
      </c>
      <c r="CJ12" s="841" t="s">
        <v>353</v>
      </c>
      <c r="CK12" s="841">
        <v>3</v>
      </c>
      <c r="CL12" s="841" t="s">
        <v>353</v>
      </c>
      <c r="CM12" s="841">
        <v>3</v>
      </c>
      <c r="CN12" s="841" t="s">
        <v>353</v>
      </c>
      <c r="CO12" s="841" t="s">
        <v>353</v>
      </c>
      <c r="CP12" s="841" t="s">
        <v>1539</v>
      </c>
      <c r="CQ12" s="841" t="s">
        <v>353</v>
      </c>
      <c r="CR12" s="841" t="s">
        <v>353</v>
      </c>
      <c r="CS12" s="841" t="s">
        <v>353</v>
      </c>
      <c r="CT12" s="841" t="s">
        <v>353</v>
      </c>
      <c r="CU12" s="841" t="s">
        <v>1391</v>
      </c>
      <c r="CV12" s="841" t="s">
        <v>353</v>
      </c>
      <c r="CW12" s="841" t="s">
        <v>353</v>
      </c>
      <c r="CX12" s="841" t="s">
        <v>353</v>
      </c>
      <c r="CY12" s="841" t="s">
        <v>353</v>
      </c>
      <c r="CZ12" s="841" t="s">
        <v>353</v>
      </c>
      <c r="DA12" s="841" t="s">
        <v>353</v>
      </c>
      <c r="DB12" s="841" t="s">
        <v>353</v>
      </c>
      <c r="DC12" s="841" t="s">
        <v>353</v>
      </c>
      <c r="DD12" s="841" t="s">
        <v>353</v>
      </c>
      <c r="DE12" s="841" t="s">
        <v>353</v>
      </c>
      <c r="DF12" s="841" t="s">
        <v>353</v>
      </c>
      <c r="DG12" s="841" t="s">
        <v>353</v>
      </c>
      <c r="DH12" s="841" t="s">
        <v>353</v>
      </c>
      <c r="DI12" s="841" t="s">
        <v>353</v>
      </c>
      <c r="DJ12" s="841" t="s">
        <v>353</v>
      </c>
      <c r="DK12" s="841" t="s">
        <v>353</v>
      </c>
      <c r="DL12" s="842">
        <v>44606.62777777778</v>
      </c>
      <c r="DM12" s="841" t="s">
        <v>353</v>
      </c>
      <c r="DN12" s="841" t="s">
        <v>353</v>
      </c>
      <c r="DO12" s="841" t="s">
        <v>673</v>
      </c>
      <c r="DP12" s="841" t="s">
        <v>1412</v>
      </c>
      <c r="DQ12" s="841" t="s">
        <v>1392</v>
      </c>
      <c r="DR12" s="841" t="s">
        <v>353</v>
      </c>
      <c r="DS12" s="841" t="s">
        <v>353</v>
      </c>
      <c r="DT12" s="841" t="s">
        <v>353</v>
      </c>
      <c r="DU12" s="841" t="s">
        <v>353</v>
      </c>
      <c r="DV12" s="841" t="s">
        <v>353</v>
      </c>
      <c r="DW12" s="841">
        <v>603000</v>
      </c>
      <c r="DX12" s="841" t="s">
        <v>353</v>
      </c>
      <c r="DY12" s="841" t="s">
        <v>353</v>
      </c>
      <c r="DZ12" s="841" t="s">
        <v>353</v>
      </c>
      <c r="EA12" s="841" t="s">
        <v>353</v>
      </c>
      <c r="EB12" s="841" t="s">
        <v>353</v>
      </c>
      <c r="EC12" s="841" t="s">
        <v>353</v>
      </c>
      <c r="ED12" s="841" t="s">
        <v>353</v>
      </c>
      <c r="EE12" s="841" t="s">
        <v>353</v>
      </c>
      <c r="EF12" s="841" t="s">
        <v>353</v>
      </c>
      <c r="EG12" s="841" t="s">
        <v>353</v>
      </c>
      <c r="EH12" s="841" t="s">
        <v>353</v>
      </c>
      <c r="EI12" s="841" t="s">
        <v>353</v>
      </c>
      <c r="EJ12" s="841" t="s">
        <v>353</v>
      </c>
      <c r="EK12" s="841" t="s">
        <v>353</v>
      </c>
      <c r="EL12" s="841" t="s">
        <v>1435</v>
      </c>
      <c r="EM12" s="841" t="s">
        <v>353</v>
      </c>
      <c r="EN12" s="841" t="s">
        <v>353</v>
      </c>
      <c r="EO12" s="841" t="s">
        <v>353</v>
      </c>
      <c r="EP12" s="841" t="s">
        <v>353</v>
      </c>
      <c r="EQ12" s="841" t="s">
        <v>353</v>
      </c>
      <c r="ER12" s="841" t="s">
        <v>353</v>
      </c>
      <c r="ES12" s="841" t="s">
        <v>33</v>
      </c>
      <c r="ET12" s="841" t="s">
        <v>1393</v>
      </c>
      <c r="EU12" s="841" t="s">
        <v>353</v>
      </c>
      <c r="EV12" s="841" t="s">
        <v>353</v>
      </c>
      <c r="EW12" s="841" t="s">
        <v>353</v>
      </c>
      <c r="EX12" s="841" t="s">
        <v>353</v>
      </c>
      <c r="EY12" s="842">
        <v>44608.452777777777</v>
      </c>
      <c r="EZ12" s="841" t="s">
        <v>353</v>
      </c>
      <c r="FA12" s="841" t="s">
        <v>353</v>
      </c>
      <c r="FB12" s="841" t="s">
        <v>353</v>
      </c>
      <c r="FC12" s="841" t="s">
        <v>353</v>
      </c>
      <c r="FD12" s="841" t="s">
        <v>353</v>
      </c>
      <c r="FE12" s="842">
        <v>44606.628472222219</v>
      </c>
      <c r="FF12" s="841" t="s">
        <v>353</v>
      </c>
      <c r="FG12" s="841" t="s">
        <v>1540</v>
      </c>
      <c r="FH12" s="841" t="s">
        <v>353</v>
      </c>
      <c r="FI12" s="841" t="s">
        <v>353</v>
      </c>
      <c r="FJ12" s="841" t="s">
        <v>353</v>
      </c>
      <c r="FK12" s="841" t="s">
        <v>353</v>
      </c>
      <c r="FL12" s="841" t="s">
        <v>353</v>
      </c>
      <c r="FM12" s="841" t="s">
        <v>353</v>
      </c>
      <c r="FN12" s="841" t="s">
        <v>353</v>
      </c>
      <c r="FO12" s="841" t="s">
        <v>353</v>
      </c>
      <c r="FP12" s="841" t="s">
        <v>353</v>
      </c>
      <c r="FQ12" s="841" t="s">
        <v>353</v>
      </c>
      <c r="FR12" s="841" t="s">
        <v>353</v>
      </c>
      <c r="FS12" s="841" t="s">
        <v>353</v>
      </c>
      <c r="FT12" s="841" t="s">
        <v>353</v>
      </c>
      <c r="FU12" s="841" t="s">
        <v>1416</v>
      </c>
      <c r="FV12" s="841" t="s">
        <v>353</v>
      </c>
      <c r="FW12" s="841" t="s">
        <v>353</v>
      </c>
      <c r="FX12" s="841" t="s">
        <v>353</v>
      </c>
      <c r="FY12" s="841" t="s">
        <v>353</v>
      </c>
      <c r="FZ12" s="841" t="s">
        <v>353</v>
      </c>
      <c r="GA12" s="841" t="s">
        <v>353</v>
      </c>
      <c r="GB12" s="841">
        <v>1</v>
      </c>
      <c r="GC12" s="841" t="s">
        <v>353</v>
      </c>
      <c r="GD12" s="841" t="s">
        <v>1417</v>
      </c>
      <c r="GE12" s="841" t="s">
        <v>353</v>
      </c>
      <c r="GF12" s="841" t="s">
        <v>353</v>
      </c>
      <c r="GG12" s="841" t="s">
        <v>353</v>
      </c>
      <c r="GH12" s="841">
        <v>120600</v>
      </c>
      <c r="GI12" s="841" t="s">
        <v>353</v>
      </c>
      <c r="GJ12" s="841" t="s">
        <v>353</v>
      </c>
      <c r="GK12" s="841" t="s">
        <v>353</v>
      </c>
      <c r="GL12" s="841" t="s">
        <v>1541</v>
      </c>
      <c r="GM12" s="841" t="s">
        <v>353</v>
      </c>
      <c r="GN12" s="841" t="s">
        <v>353</v>
      </c>
      <c r="GO12" s="841" t="s">
        <v>353</v>
      </c>
      <c r="GP12" s="841" t="s">
        <v>353</v>
      </c>
      <c r="GQ12" s="841" t="s">
        <v>353</v>
      </c>
      <c r="GR12" s="842">
        <v>44608.452777777777</v>
      </c>
      <c r="GS12" s="841" t="s">
        <v>1537</v>
      </c>
      <c r="GT12" s="841" t="s">
        <v>353</v>
      </c>
      <c r="GU12" s="841" t="s">
        <v>353</v>
      </c>
      <c r="GV12" s="841" t="s">
        <v>1076</v>
      </c>
      <c r="GW12" s="841" t="s">
        <v>353</v>
      </c>
      <c r="GX12" s="841" t="s">
        <v>1542</v>
      </c>
      <c r="GY12" s="841">
        <v>24</v>
      </c>
      <c r="GZ12" s="841" t="s">
        <v>1420</v>
      </c>
      <c r="HA12" s="841" t="s">
        <v>353</v>
      </c>
      <c r="HB12" s="841" t="s">
        <v>353</v>
      </c>
      <c r="HC12" s="841" t="s">
        <v>1421</v>
      </c>
      <c r="HD12" s="841" t="s">
        <v>1543</v>
      </c>
      <c r="HE12" s="841" t="s">
        <v>353</v>
      </c>
      <c r="HF12" s="841" t="s">
        <v>353</v>
      </c>
      <c r="HG12" s="841" t="s">
        <v>353</v>
      </c>
      <c r="HH12" s="841" t="s">
        <v>353</v>
      </c>
      <c r="HI12" s="841" t="s">
        <v>1544</v>
      </c>
      <c r="HJ12" s="841" t="s">
        <v>353</v>
      </c>
      <c r="HK12" s="841">
        <v>603000</v>
      </c>
      <c r="HL12" s="841" t="s">
        <v>353</v>
      </c>
      <c r="HM12" s="841" t="s">
        <v>1423</v>
      </c>
      <c r="HN12" s="841" t="s">
        <v>353</v>
      </c>
      <c r="HO12" s="841" t="s">
        <v>353</v>
      </c>
      <c r="HP12" s="841">
        <v>31898.7</v>
      </c>
      <c r="HQ12" s="841" t="s">
        <v>353</v>
      </c>
      <c r="HR12" s="841" t="s">
        <v>353</v>
      </c>
      <c r="HS12" s="841" t="s">
        <v>353</v>
      </c>
      <c r="HT12" s="841" t="s">
        <v>353</v>
      </c>
      <c r="HU12" s="841" t="s">
        <v>353</v>
      </c>
      <c r="HV12" s="841" t="s">
        <v>353</v>
      </c>
      <c r="HW12" s="841">
        <v>340000</v>
      </c>
      <c r="HX12" s="841" t="s">
        <v>353</v>
      </c>
      <c r="HY12" s="841" t="s">
        <v>353</v>
      </c>
      <c r="HZ12" s="841">
        <v>122000</v>
      </c>
      <c r="IA12" s="841" t="s">
        <v>353</v>
      </c>
      <c r="IB12" s="841" t="s">
        <v>1545</v>
      </c>
      <c r="IC12" s="841" t="s">
        <v>353</v>
      </c>
      <c r="ID12" s="841" t="s">
        <v>353</v>
      </c>
      <c r="IE12" s="841" t="s">
        <v>353</v>
      </c>
      <c r="IF12" s="841" t="s">
        <v>353</v>
      </c>
      <c r="IG12" s="841">
        <v>150000</v>
      </c>
      <c r="IH12" s="841" t="s">
        <v>353</v>
      </c>
      <c r="II12" s="841" t="s">
        <v>353</v>
      </c>
      <c r="IJ12" s="841">
        <v>239</v>
      </c>
      <c r="IK12" s="841">
        <v>193000</v>
      </c>
      <c r="IL12" s="841" t="s">
        <v>353</v>
      </c>
      <c r="IM12" s="841" t="s">
        <v>353</v>
      </c>
      <c r="IN12" s="841" t="s">
        <v>353</v>
      </c>
      <c r="IO12" s="841" t="s">
        <v>353</v>
      </c>
      <c r="IP12" s="841" t="s">
        <v>353</v>
      </c>
      <c r="IQ12" s="841" t="s">
        <v>353</v>
      </c>
      <c r="IR12" s="841" t="s">
        <v>353</v>
      </c>
      <c r="IS12" s="841" t="s">
        <v>673</v>
      </c>
      <c r="IT12" s="841" t="s">
        <v>353</v>
      </c>
      <c r="IU12" s="841" t="s">
        <v>353</v>
      </c>
      <c r="IV12" s="841" t="s">
        <v>353</v>
      </c>
      <c r="IW12" s="841" t="s">
        <v>1546</v>
      </c>
      <c r="IX12" s="841" t="s">
        <v>353</v>
      </c>
      <c r="IY12" s="841" t="s">
        <v>353</v>
      </c>
      <c r="IZ12" s="841" t="s">
        <v>1547</v>
      </c>
      <c r="JA12" s="841">
        <v>603000</v>
      </c>
      <c r="JB12" s="841" t="s">
        <v>1548</v>
      </c>
      <c r="JC12" s="841" t="s">
        <v>353</v>
      </c>
      <c r="JD12" s="841" t="s">
        <v>1456</v>
      </c>
      <c r="JE12" s="841" t="s">
        <v>353</v>
      </c>
      <c r="JF12" s="841" t="s">
        <v>1398</v>
      </c>
      <c r="JG12" s="841" t="s">
        <v>1399</v>
      </c>
      <c r="JH12" s="841" t="s">
        <v>1549</v>
      </c>
      <c r="JI12" s="841" t="s">
        <v>1550</v>
      </c>
    </row>
    <row r="13" spans="1:269" x14ac:dyDescent="0.25">
      <c r="A13" s="841" t="s">
        <v>1551</v>
      </c>
      <c r="B13" s="841" t="s">
        <v>353</v>
      </c>
      <c r="C13" s="841" t="s">
        <v>353</v>
      </c>
      <c r="D13" s="841" t="s">
        <v>353</v>
      </c>
      <c r="E13" s="841" t="s">
        <v>353</v>
      </c>
      <c r="F13" s="841" t="s">
        <v>353</v>
      </c>
      <c r="G13" s="841" t="s">
        <v>353</v>
      </c>
      <c r="H13" s="841" t="s">
        <v>353</v>
      </c>
      <c r="I13" s="841" t="s">
        <v>353</v>
      </c>
      <c r="J13" s="841" t="s">
        <v>353</v>
      </c>
      <c r="K13" s="841" t="s">
        <v>353</v>
      </c>
      <c r="L13" s="842">
        <v>44606.675694444442</v>
      </c>
      <c r="M13" s="841" t="s">
        <v>353</v>
      </c>
      <c r="N13" s="841" t="s">
        <v>353</v>
      </c>
      <c r="O13" s="841" t="s">
        <v>353</v>
      </c>
      <c r="P13" s="841" t="s">
        <v>353</v>
      </c>
      <c r="Q13" s="841" t="s">
        <v>353</v>
      </c>
      <c r="R13" s="841" t="s">
        <v>353</v>
      </c>
      <c r="S13" s="841" t="s">
        <v>353</v>
      </c>
      <c r="T13" s="841" t="s">
        <v>1390</v>
      </c>
      <c r="U13" s="841" t="s">
        <v>353</v>
      </c>
      <c r="V13" s="841" t="s">
        <v>353</v>
      </c>
      <c r="W13" s="841" t="s">
        <v>353</v>
      </c>
      <c r="X13" s="841" t="s">
        <v>353</v>
      </c>
      <c r="Y13" s="841" t="s">
        <v>353</v>
      </c>
      <c r="Z13" s="841" t="s">
        <v>353</v>
      </c>
      <c r="AA13" s="841" t="s">
        <v>353</v>
      </c>
      <c r="AB13" s="841" t="s">
        <v>353</v>
      </c>
      <c r="AC13" s="841" t="s">
        <v>353</v>
      </c>
      <c r="AD13" s="841" t="s">
        <v>353</v>
      </c>
      <c r="AE13" s="841" t="s">
        <v>353</v>
      </c>
      <c r="AF13" s="841" t="s">
        <v>353</v>
      </c>
      <c r="AG13" s="841" t="s">
        <v>353</v>
      </c>
      <c r="AH13" s="841" t="s">
        <v>353</v>
      </c>
      <c r="AI13" s="841" t="s">
        <v>1521</v>
      </c>
      <c r="AJ13" s="841" t="s">
        <v>353</v>
      </c>
      <c r="AK13" s="841" t="s">
        <v>353</v>
      </c>
      <c r="AL13" s="841" t="s">
        <v>353</v>
      </c>
      <c r="AM13" s="841" t="s">
        <v>353</v>
      </c>
      <c r="AN13" s="841" t="s">
        <v>353</v>
      </c>
      <c r="AO13" s="841" t="s">
        <v>353</v>
      </c>
      <c r="AP13" s="841" t="s">
        <v>353</v>
      </c>
      <c r="AQ13" s="841" t="s">
        <v>353</v>
      </c>
      <c r="AR13" s="841" t="s">
        <v>353</v>
      </c>
      <c r="AS13" s="841" t="s">
        <v>353</v>
      </c>
      <c r="AT13" s="841" t="s">
        <v>353</v>
      </c>
      <c r="AU13" s="841" t="s">
        <v>353</v>
      </c>
      <c r="AV13" s="841" t="s">
        <v>353</v>
      </c>
      <c r="AW13" s="841" t="s">
        <v>353</v>
      </c>
      <c r="AX13" s="841" t="s">
        <v>353</v>
      </c>
      <c r="AY13" s="841" t="s">
        <v>353</v>
      </c>
      <c r="AZ13" s="841" t="s">
        <v>353</v>
      </c>
      <c r="BA13" s="841" t="s">
        <v>353</v>
      </c>
      <c r="BB13" s="841" t="s">
        <v>353</v>
      </c>
      <c r="BC13" s="841" t="s">
        <v>353</v>
      </c>
      <c r="BD13" s="841" t="s">
        <v>353</v>
      </c>
      <c r="BE13" s="841" t="s">
        <v>353</v>
      </c>
      <c r="BF13" s="841" t="s">
        <v>353</v>
      </c>
      <c r="BG13" s="841" t="s">
        <v>353</v>
      </c>
      <c r="BH13" s="841" t="s">
        <v>353</v>
      </c>
      <c r="BI13" s="841" t="s">
        <v>353</v>
      </c>
      <c r="BJ13" s="841" t="s">
        <v>353</v>
      </c>
      <c r="BK13" s="841">
        <v>152000</v>
      </c>
      <c r="BL13" s="841" t="s">
        <v>1552</v>
      </c>
      <c r="BM13" s="842">
        <v>44620.461805555555</v>
      </c>
      <c r="BN13" s="841" t="s">
        <v>353</v>
      </c>
      <c r="BO13" s="841" t="s">
        <v>353</v>
      </c>
      <c r="BP13" s="841" t="s">
        <v>353</v>
      </c>
      <c r="BQ13" s="841" t="s">
        <v>353</v>
      </c>
      <c r="BR13" s="841" t="s">
        <v>353</v>
      </c>
      <c r="BS13" s="841" t="s">
        <v>353</v>
      </c>
      <c r="BT13" s="841">
        <v>162000</v>
      </c>
      <c r="BU13" s="841" t="s">
        <v>353</v>
      </c>
      <c r="BV13" s="841" t="s">
        <v>353</v>
      </c>
      <c r="BW13" s="841" t="s">
        <v>353</v>
      </c>
      <c r="BX13" s="841" t="s">
        <v>353</v>
      </c>
      <c r="BY13" s="841" t="s">
        <v>353</v>
      </c>
      <c r="BZ13" s="841" t="s">
        <v>353</v>
      </c>
      <c r="CA13" s="841" t="s">
        <v>353</v>
      </c>
      <c r="CB13" s="841" t="s">
        <v>353</v>
      </c>
      <c r="CC13" s="841" t="s">
        <v>353</v>
      </c>
      <c r="CD13" s="841" t="s">
        <v>353</v>
      </c>
      <c r="CE13" s="841" t="s">
        <v>353</v>
      </c>
      <c r="CF13" s="841" t="s">
        <v>353</v>
      </c>
      <c r="CG13" s="841" t="s">
        <v>353</v>
      </c>
      <c r="CH13" s="841" t="s">
        <v>353</v>
      </c>
      <c r="CI13" s="841" t="s">
        <v>353</v>
      </c>
      <c r="CJ13" s="841" t="s">
        <v>353</v>
      </c>
      <c r="CK13" s="841">
        <v>2</v>
      </c>
      <c r="CL13" s="841" t="s">
        <v>353</v>
      </c>
      <c r="CM13" s="841">
        <v>3</v>
      </c>
      <c r="CN13" s="841" t="s">
        <v>353</v>
      </c>
      <c r="CO13" s="841" t="s">
        <v>353</v>
      </c>
      <c r="CP13" s="841" t="s">
        <v>1553</v>
      </c>
      <c r="CQ13" s="841" t="s">
        <v>353</v>
      </c>
      <c r="CR13" s="841" t="s">
        <v>353</v>
      </c>
      <c r="CS13" s="841" t="s">
        <v>353</v>
      </c>
      <c r="CT13" s="841" t="s">
        <v>353</v>
      </c>
      <c r="CU13" s="841" t="s">
        <v>1554</v>
      </c>
      <c r="CV13" s="841" t="s">
        <v>353</v>
      </c>
      <c r="CW13" s="841" t="s">
        <v>353</v>
      </c>
      <c r="CX13" s="841" t="s">
        <v>353</v>
      </c>
      <c r="CY13" s="841" t="s">
        <v>353</v>
      </c>
      <c r="CZ13" s="841" t="s">
        <v>353</v>
      </c>
      <c r="DA13" s="841" t="s">
        <v>353</v>
      </c>
      <c r="DB13" s="841" t="s">
        <v>353</v>
      </c>
      <c r="DC13" s="841" t="s">
        <v>353</v>
      </c>
      <c r="DD13" s="841" t="s">
        <v>353</v>
      </c>
      <c r="DE13" s="841" t="s">
        <v>353</v>
      </c>
      <c r="DF13" s="841" t="s">
        <v>353</v>
      </c>
      <c r="DG13" s="841" t="s">
        <v>353</v>
      </c>
      <c r="DH13" s="841" t="s">
        <v>353</v>
      </c>
      <c r="DI13" s="841" t="s">
        <v>353</v>
      </c>
      <c r="DJ13" s="841" t="s">
        <v>353</v>
      </c>
      <c r="DK13" s="841" t="s">
        <v>353</v>
      </c>
      <c r="DL13" s="842">
        <v>44606.461805555555</v>
      </c>
      <c r="DM13" s="841" t="s">
        <v>353</v>
      </c>
      <c r="DN13" s="841" t="s">
        <v>353</v>
      </c>
      <c r="DO13" s="841" t="s">
        <v>673</v>
      </c>
      <c r="DP13" s="841" t="s">
        <v>1412</v>
      </c>
      <c r="DQ13" s="841" t="s">
        <v>1434</v>
      </c>
      <c r="DR13" s="841" t="s">
        <v>353</v>
      </c>
      <c r="DS13" s="841" t="s">
        <v>353</v>
      </c>
      <c r="DT13" s="841" t="s">
        <v>353</v>
      </c>
      <c r="DU13" s="841" t="s">
        <v>353</v>
      </c>
      <c r="DV13" s="841" t="s">
        <v>353</v>
      </c>
      <c r="DW13" s="841" t="s">
        <v>353</v>
      </c>
      <c r="DX13" s="841" t="s">
        <v>353</v>
      </c>
      <c r="DY13" s="841" t="s">
        <v>353</v>
      </c>
      <c r="DZ13" s="841" t="s">
        <v>353</v>
      </c>
      <c r="EA13" s="841" t="s">
        <v>353</v>
      </c>
      <c r="EB13" s="841" t="s">
        <v>353</v>
      </c>
      <c r="EC13" s="841" t="s">
        <v>353</v>
      </c>
      <c r="ED13" s="841" t="s">
        <v>353</v>
      </c>
      <c r="EE13" s="841" t="s">
        <v>353</v>
      </c>
      <c r="EF13" s="841" t="s">
        <v>353</v>
      </c>
      <c r="EG13" s="841" t="s">
        <v>353</v>
      </c>
      <c r="EH13" s="841" t="s">
        <v>353</v>
      </c>
      <c r="EI13" s="841" t="s">
        <v>353</v>
      </c>
      <c r="EJ13" s="841" t="s">
        <v>353</v>
      </c>
      <c r="EK13" s="841" t="s">
        <v>353</v>
      </c>
      <c r="EL13" s="841" t="s">
        <v>353</v>
      </c>
      <c r="EM13" s="841" t="s">
        <v>353</v>
      </c>
      <c r="EN13" s="841" t="s">
        <v>353</v>
      </c>
      <c r="EO13" s="841" t="s">
        <v>353</v>
      </c>
      <c r="EP13" s="841" t="s">
        <v>353</v>
      </c>
      <c r="EQ13" s="841" t="s">
        <v>353</v>
      </c>
      <c r="ER13" s="841" t="s">
        <v>353</v>
      </c>
      <c r="ES13" s="841" t="s">
        <v>353</v>
      </c>
      <c r="ET13" s="841" t="s">
        <v>1436</v>
      </c>
      <c r="EU13" s="841" t="s">
        <v>353</v>
      </c>
      <c r="EV13" s="841" t="s">
        <v>353</v>
      </c>
      <c r="EW13" s="841" t="s">
        <v>353</v>
      </c>
      <c r="EX13" s="841" t="s">
        <v>353</v>
      </c>
      <c r="EY13" s="842">
        <v>44606.675000000003</v>
      </c>
      <c r="EZ13" s="841" t="s">
        <v>353</v>
      </c>
      <c r="FA13" s="841" t="s">
        <v>353</v>
      </c>
      <c r="FB13" s="841" t="s">
        <v>353</v>
      </c>
      <c r="FC13" s="841" t="s">
        <v>353</v>
      </c>
      <c r="FD13" s="841" t="s">
        <v>353</v>
      </c>
      <c r="FE13" s="842">
        <v>44606.463194444441</v>
      </c>
      <c r="FF13" s="841" t="s">
        <v>353</v>
      </c>
      <c r="FG13" s="841" t="s">
        <v>1555</v>
      </c>
      <c r="FH13" s="841" t="s">
        <v>353</v>
      </c>
      <c r="FI13" s="841" t="s">
        <v>353</v>
      </c>
      <c r="FJ13" s="841" t="s">
        <v>353</v>
      </c>
      <c r="FK13" s="841" t="s">
        <v>353</v>
      </c>
      <c r="FL13" s="841" t="s">
        <v>353</v>
      </c>
      <c r="FM13" s="841" t="s">
        <v>353</v>
      </c>
      <c r="FN13" s="841" t="s">
        <v>353</v>
      </c>
      <c r="FO13" s="841" t="s">
        <v>353</v>
      </c>
      <c r="FP13" s="841" t="s">
        <v>353</v>
      </c>
      <c r="FQ13" s="841" t="s">
        <v>353</v>
      </c>
      <c r="FR13" s="841" t="s">
        <v>353</v>
      </c>
      <c r="FS13" s="841" t="s">
        <v>353</v>
      </c>
      <c r="FT13" s="841" t="s">
        <v>353</v>
      </c>
      <c r="FU13" s="841" t="s">
        <v>1394</v>
      </c>
      <c r="FV13" s="841" t="s">
        <v>353</v>
      </c>
      <c r="FW13" s="841" t="s">
        <v>353</v>
      </c>
      <c r="FX13" s="841" t="s">
        <v>353</v>
      </c>
      <c r="FY13" s="841" t="s">
        <v>353</v>
      </c>
      <c r="FZ13" s="841" t="s">
        <v>353</v>
      </c>
      <c r="GA13" s="841" t="s">
        <v>353</v>
      </c>
      <c r="GB13" s="841">
        <v>1</v>
      </c>
      <c r="GC13" s="841" t="s">
        <v>353</v>
      </c>
      <c r="GD13" s="841" t="s">
        <v>353</v>
      </c>
      <c r="GE13" s="841" t="s">
        <v>353</v>
      </c>
      <c r="GF13" s="841" t="s">
        <v>353</v>
      </c>
      <c r="GG13" s="841" t="s">
        <v>353</v>
      </c>
      <c r="GH13" s="841" t="s">
        <v>353</v>
      </c>
      <c r="GI13" s="841" t="s">
        <v>353</v>
      </c>
      <c r="GJ13" s="841" t="s">
        <v>353</v>
      </c>
      <c r="GK13" s="841" t="s">
        <v>353</v>
      </c>
      <c r="GL13" s="841" t="s">
        <v>353</v>
      </c>
      <c r="GM13" s="841" t="s">
        <v>353</v>
      </c>
      <c r="GN13" s="841" t="s">
        <v>353</v>
      </c>
      <c r="GO13" s="841" t="s">
        <v>353</v>
      </c>
      <c r="GP13" s="841" t="s">
        <v>353</v>
      </c>
      <c r="GQ13" s="841" t="s">
        <v>353</v>
      </c>
      <c r="GR13" s="842">
        <v>44606.675000000003</v>
      </c>
      <c r="GS13" s="841" t="s">
        <v>353</v>
      </c>
      <c r="GT13" s="841" t="s">
        <v>353</v>
      </c>
      <c r="GU13" s="841" t="s">
        <v>353</v>
      </c>
      <c r="GV13" s="841" t="s">
        <v>1076</v>
      </c>
      <c r="GW13" s="841" t="s">
        <v>353</v>
      </c>
      <c r="GX13" s="841" t="s">
        <v>1556</v>
      </c>
      <c r="GY13" s="841" t="s">
        <v>353</v>
      </c>
      <c r="GZ13" s="841" t="s">
        <v>353</v>
      </c>
      <c r="HA13" s="841" t="s">
        <v>353</v>
      </c>
      <c r="HB13" s="841" t="s">
        <v>353</v>
      </c>
      <c r="HC13" s="841" t="s">
        <v>353</v>
      </c>
      <c r="HD13" s="841" t="s">
        <v>1557</v>
      </c>
      <c r="HE13" s="841" t="s">
        <v>353</v>
      </c>
      <c r="HF13" s="841" t="s">
        <v>353</v>
      </c>
      <c r="HG13" s="841" t="s">
        <v>353</v>
      </c>
      <c r="HH13" s="841" t="s">
        <v>353</v>
      </c>
      <c r="HI13" s="841" t="s">
        <v>1422</v>
      </c>
      <c r="HJ13" s="841" t="s">
        <v>353</v>
      </c>
      <c r="HK13" s="841" t="s">
        <v>353</v>
      </c>
      <c r="HL13" s="841" t="s">
        <v>353</v>
      </c>
      <c r="HM13" s="841" t="s">
        <v>353</v>
      </c>
      <c r="HN13" s="841" t="s">
        <v>353</v>
      </c>
      <c r="HO13" s="841" t="s">
        <v>353</v>
      </c>
      <c r="HP13" s="841" t="s">
        <v>353</v>
      </c>
      <c r="HQ13" s="841" t="s">
        <v>353</v>
      </c>
      <c r="HR13" s="841" t="s">
        <v>353</v>
      </c>
      <c r="HS13" s="841" t="s">
        <v>353</v>
      </c>
      <c r="HT13" s="841" t="s">
        <v>353</v>
      </c>
      <c r="HU13" s="841" t="s">
        <v>353</v>
      </c>
      <c r="HV13" s="841" t="s">
        <v>353</v>
      </c>
      <c r="HW13" s="841">
        <v>280000</v>
      </c>
      <c r="HX13" s="841" t="s">
        <v>353</v>
      </c>
      <c r="HY13" s="841" t="s">
        <v>353</v>
      </c>
      <c r="HZ13" s="841" t="s">
        <v>353</v>
      </c>
      <c r="IA13" s="841" t="s">
        <v>353</v>
      </c>
      <c r="IB13" s="841" t="s">
        <v>1424</v>
      </c>
      <c r="IC13" s="841" t="s">
        <v>353</v>
      </c>
      <c r="ID13" s="841" t="s">
        <v>353</v>
      </c>
      <c r="IE13" s="841" t="s">
        <v>353</v>
      </c>
      <c r="IF13" s="841" t="s">
        <v>353</v>
      </c>
      <c r="IG13" s="841" t="s">
        <v>353</v>
      </c>
      <c r="IH13" s="841" t="s">
        <v>353</v>
      </c>
      <c r="II13" s="841" t="s">
        <v>353</v>
      </c>
      <c r="IJ13" s="841">
        <v>136</v>
      </c>
      <c r="IK13" s="841" t="s">
        <v>353</v>
      </c>
      <c r="IL13" s="841" t="s">
        <v>353</v>
      </c>
      <c r="IM13" s="841" t="s">
        <v>353</v>
      </c>
      <c r="IN13" s="841" t="s">
        <v>353</v>
      </c>
      <c r="IO13" s="841" t="s">
        <v>353</v>
      </c>
      <c r="IP13" s="841" t="s">
        <v>353</v>
      </c>
      <c r="IQ13" s="841" t="s">
        <v>353</v>
      </c>
      <c r="IR13" s="841" t="s">
        <v>353</v>
      </c>
      <c r="IS13" s="841" t="s">
        <v>353</v>
      </c>
      <c r="IT13" s="841" t="s">
        <v>353</v>
      </c>
      <c r="IU13" s="841" t="s">
        <v>353</v>
      </c>
      <c r="IV13" s="841" t="s">
        <v>353</v>
      </c>
      <c r="IW13" s="841" t="s">
        <v>353</v>
      </c>
      <c r="IX13" s="841" t="s">
        <v>353</v>
      </c>
      <c r="IY13" s="841" t="s">
        <v>353</v>
      </c>
      <c r="IZ13" s="841" t="s">
        <v>353</v>
      </c>
      <c r="JA13" s="841" t="s">
        <v>353</v>
      </c>
      <c r="JB13" s="841" t="s">
        <v>353</v>
      </c>
      <c r="JC13" s="841" t="s">
        <v>353</v>
      </c>
      <c r="JD13" s="841" t="s">
        <v>353</v>
      </c>
      <c r="JE13" s="841" t="s">
        <v>353</v>
      </c>
      <c r="JF13" s="841" t="s">
        <v>353</v>
      </c>
      <c r="JG13" s="841" t="s">
        <v>353</v>
      </c>
      <c r="JH13" s="841" t="s">
        <v>1558</v>
      </c>
      <c r="JI13" s="841" t="s">
        <v>1559</v>
      </c>
    </row>
    <row r="14" spans="1:269" x14ac:dyDescent="0.25">
      <c r="A14" s="841" t="s">
        <v>1560</v>
      </c>
      <c r="B14" s="841" t="s">
        <v>353</v>
      </c>
      <c r="C14" s="841" t="s">
        <v>353</v>
      </c>
      <c r="D14" s="841" t="s">
        <v>353</v>
      </c>
      <c r="E14" s="841" t="s">
        <v>353</v>
      </c>
      <c r="F14" s="841" t="s">
        <v>353</v>
      </c>
      <c r="G14" s="841" t="s">
        <v>353</v>
      </c>
      <c r="H14" s="841" t="s">
        <v>353</v>
      </c>
      <c r="I14" s="841" t="s">
        <v>353</v>
      </c>
      <c r="J14" s="841" t="s">
        <v>353</v>
      </c>
      <c r="K14" s="841" t="s">
        <v>353</v>
      </c>
      <c r="L14" s="842">
        <v>44608.479861111111</v>
      </c>
      <c r="M14" s="841" t="s">
        <v>353</v>
      </c>
      <c r="N14" s="841" t="s">
        <v>353</v>
      </c>
      <c r="O14" s="841" t="s">
        <v>353</v>
      </c>
      <c r="P14" s="841" t="s">
        <v>353</v>
      </c>
      <c r="Q14" s="841" t="s">
        <v>353</v>
      </c>
      <c r="R14" s="841" t="s">
        <v>353</v>
      </c>
      <c r="S14" s="841" t="s">
        <v>353</v>
      </c>
      <c r="T14" s="841" t="s">
        <v>1390</v>
      </c>
      <c r="U14" s="841" t="s">
        <v>353</v>
      </c>
      <c r="V14" s="841" t="s">
        <v>353</v>
      </c>
      <c r="W14" s="841" t="s">
        <v>353</v>
      </c>
      <c r="X14" s="841" t="s">
        <v>353</v>
      </c>
      <c r="Y14" s="841" t="s">
        <v>353</v>
      </c>
      <c r="Z14" s="841" t="s">
        <v>353</v>
      </c>
      <c r="AA14" s="841" t="s">
        <v>353</v>
      </c>
      <c r="AB14" s="841" t="s">
        <v>353</v>
      </c>
      <c r="AC14" s="841">
        <v>140000</v>
      </c>
      <c r="AD14" s="841" t="s">
        <v>353</v>
      </c>
      <c r="AE14" s="841" t="s">
        <v>353</v>
      </c>
      <c r="AF14" s="841" t="s">
        <v>353</v>
      </c>
      <c r="AG14" s="841" t="s">
        <v>353</v>
      </c>
      <c r="AH14" s="841" t="s">
        <v>353</v>
      </c>
      <c r="AI14" s="841" t="s">
        <v>1406</v>
      </c>
      <c r="AJ14" s="841" t="s">
        <v>353</v>
      </c>
      <c r="AK14" s="841">
        <v>70</v>
      </c>
      <c r="AL14" s="841" t="s">
        <v>353</v>
      </c>
      <c r="AM14" s="841" t="s">
        <v>353</v>
      </c>
      <c r="AN14" s="841" t="s">
        <v>353</v>
      </c>
      <c r="AO14" s="841" t="s">
        <v>353</v>
      </c>
      <c r="AP14" s="841" t="s">
        <v>353</v>
      </c>
      <c r="AQ14" s="841" t="s">
        <v>353</v>
      </c>
      <c r="AR14" s="841" t="s">
        <v>353</v>
      </c>
      <c r="AS14" s="841" t="s">
        <v>353</v>
      </c>
      <c r="AT14" s="841" t="s">
        <v>353</v>
      </c>
      <c r="AU14" s="841" t="s">
        <v>353</v>
      </c>
      <c r="AV14" s="841" t="s">
        <v>353</v>
      </c>
      <c r="AW14" s="841" t="s">
        <v>353</v>
      </c>
      <c r="AX14" s="841" t="s">
        <v>353</v>
      </c>
      <c r="AY14" s="841" t="s">
        <v>353</v>
      </c>
      <c r="AZ14" s="841" t="s">
        <v>353</v>
      </c>
      <c r="BA14" s="841" t="s">
        <v>353</v>
      </c>
      <c r="BB14" s="841" t="s">
        <v>353</v>
      </c>
      <c r="BC14" s="841" t="s">
        <v>353</v>
      </c>
      <c r="BD14" s="841" t="s">
        <v>353</v>
      </c>
      <c r="BE14" s="841" t="s">
        <v>353</v>
      </c>
      <c r="BF14" s="841" t="s">
        <v>353</v>
      </c>
      <c r="BG14" s="841" t="s">
        <v>353</v>
      </c>
      <c r="BH14" s="841" t="s">
        <v>353</v>
      </c>
      <c r="BI14" s="841" t="s">
        <v>353</v>
      </c>
      <c r="BJ14" s="841" t="s">
        <v>353</v>
      </c>
      <c r="BK14" s="841" t="s">
        <v>353</v>
      </c>
      <c r="BL14" s="841" t="s">
        <v>1561</v>
      </c>
      <c r="BM14" s="842">
        <v>44620.440972222219</v>
      </c>
      <c r="BN14" s="841" t="s">
        <v>353</v>
      </c>
      <c r="BO14" s="841" t="s">
        <v>353</v>
      </c>
      <c r="BP14" s="841" t="s">
        <v>353</v>
      </c>
      <c r="BQ14" s="841" t="s">
        <v>353</v>
      </c>
      <c r="BR14" s="841" t="s">
        <v>353</v>
      </c>
      <c r="BS14" s="841" t="s">
        <v>353</v>
      </c>
      <c r="BT14" s="841">
        <v>750000</v>
      </c>
      <c r="BU14" s="841" t="s">
        <v>353</v>
      </c>
      <c r="BV14" s="841" t="s">
        <v>353</v>
      </c>
      <c r="BW14" s="841" t="s">
        <v>353</v>
      </c>
      <c r="BX14" s="841" t="s">
        <v>1562</v>
      </c>
      <c r="BY14" s="841" t="s">
        <v>353</v>
      </c>
      <c r="BZ14" s="841" t="s">
        <v>353</v>
      </c>
      <c r="CA14" s="841" t="s">
        <v>353</v>
      </c>
      <c r="CB14" s="841" t="s">
        <v>353</v>
      </c>
      <c r="CC14" s="841" t="s">
        <v>353</v>
      </c>
      <c r="CD14" s="841" t="s">
        <v>353</v>
      </c>
      <c r="CE14" s="841" t="s">
        <v>353</v>
      </c>
      <c r="CF14" s="841" t="s">
        <v>353</v>
      </c>
      <c r="CG14" s="841" t="s">
        <v>353</v>
      </c>
      <c r="CH14" s="841" t="s">
        <v>353</v>
      </c>
      <c r="CI14" s="841" t="s">
        <v>353</v>
      </c>
      <c r="CJ14" s="841" t="s">
        <v>353</v>
      </c>
      <c r="CK14" s="841">
        <v>6</v>
      </c>
      <c r="CL14" s="841" t="s">
        <v>353</v>
      </c>
      <c r="CM14" s="841">
        <v>7</v>
      </c>
      <c r="CN14" s="841" t="s">
        <v>353</v>
      </c>
      <c r="CO14" s="841" t="s">
        <v>353</v>
      </c>
      <c r="CP14" s="841" t="s">
        <v>1563</v>
      </c>
      <c r="CQ14" s="841" t="s">
        <v>353</v>
      </c>
      <c r="CR14" s="841" t="s">
        <v>353</v>
      </c>
      <c r="CS14" s="841" t="s">
        <v>353</v>
      </c>
      <c r="CT14" s="841" t="s">
        <v>353</v>
      </c>
      <c r="CU14" s="841" t="s">
        <v>1391</v>
      </c>
      <c r="CV14" s="841" t="s">
        <v>353</v>
      </c>
      <c r="CW14" s="841" t="s">
        <v>353</v>
      </c>
      <c r="CX14" s="841" t="s">
        <v>353</v>
      </c>
      <c r="CY14" s="841" t="s">
        <v>353</v>
      </c>
      <c r="CZ14" s="841" t="s">
        <v>353</v>
      </c>
      <c r="DA14" s="841" t="s">
        <v>353</v>
      </c>
      <c r="DB14" s="841" t="s">
        <v>353</v>
      </c>
      <c r="DC14" s="841" t="s">
        <v>353</v>
      </c>
      <c r="DD14" s="841" t="s">
        <v>353</v>
      </c>
      <c r="DE14" s="841" t="s">
        <v>353</v>
      </c>
      <c r="DF14" s="841">
        <v>24</v>
      </c>
      <c r="DG14" s="841" t="s">
        <v>353</v>
      </c>
      <c r="DH14" s="841" t="s">
        <v>353</v>
      </c>
      <c r="DI14" s="841" t="s">
        <v>353</v>
      </c>
      <c r="DJ14" s="841" t="s">
        <v>1564</v>
      </c>
      <c r="DK14" s="841" t="s">
        <v>353</v>
      </c>
      <c r="DL14" s="842">
        <v>44606.440972222219</v>
      </c>
      <c r="DM14" s="841" t="s">
        <v>353</v>
      </c>
      <c r="DN14" s="841" t="s">
        <v>353</v>
      </c>
      <c r="DO14" s="841" t="s">
        <v>353</v>
      </c>
      <c r="DP14" s="841" t="s">
        <v>353</v>
      </c>
      <c r="DQ14" s="841" t="s">
        <v>1565</v>
      </c>
      <c r="DR14" s="841">
        <v>1000000</v>
      </c>
      <c r="DS14" s="841">
        <v>24</v>
      </c>
      <c r="DT14" s="841" t="s">
        <v>353</v>
      </c>
      <c r="DU14" s="841" t="s">
        <v>353</v>
      </c>
      <c r="DV14" s="841" t="s">
        <v>353</v>
      </c>
      <c r="DW14" s="841">
        <v>700000</v>
      </c>
      <c r="DX14" s="841" t="s">
        <v>353</v>
      </c>
      <c r="DY14" s="841" t="s">
        <v>353</v>
      </c>
      <c r="DZ14" s="841" t="s">
        <v>353</v>
      </c>
      <c r="EA14" s="841" t="s">
        <v>353</v>
      </c>
      <c r="EB14" s="841" t="s">
        <v>353</v>
      </c>
      <c r="EC14" s="841" t="s">
        <v>353</v>
      </c>
      <c r="ED14" s="841" t="s">
        <v>353</v>
      </c>
      <c r="EE14" s="841" t="s">
        <v>353</v>
      </c>
      <c r="EF14" s="841" t="s">
        <v>353</v>
      </c>
      <c r="EG14" s="841" t="s">
        <v>353</v>
      </c>
      <c r="EH14" s="841" t="s">
        <v>353</v>
      </c>
      <c r="EI14" s="841">
        <v>0</v>
      </c>
      <c r="EJ14" s="841" t="s">
        <v>353</v>
      </c>
      <c r="EK14" s="841" t="s">
        <v>353</v>
      </c>
      <c r="EL14" s="841" t="s">
        <v>353</v>
      </c>
      <c r="EM14" s="841" t="s">
        <v>353</v>
      </c>
      <c r="EN14" s="841" t="s">
        <v>353</v>
      </c>
      <c r="EO14" s="841" t="s">
        <v>353</v>
      </c>
      <c r="EP14" s="841" t="s">
        <v>353</v>
      </c>
      <c r="EQ14" s="841" t="s">
        <v>353</v>
      </c>
      <c r="ER14" s="841" t="s">
        <v>353</v>
      </c>
      <c r="ES14" s="841" t="s">
        <v>353</v>
      </c>
      <c r="ET14" s="841" t="s">
        <v>1566</v>
      </c>
      <c r="EU14" s="841" t="s">
        <v>353</v>
      </c>
      <c r="EV14" s="841" t="s">
        <v>353</v>
      </c>
      <c r="EW14" s="841" t="s">
        <v>353</v>
      </c>
      <c r="EX14" s="841" t="s">
        <v>353</v>
      </c>
      <c r="EY14" s="842">
        <v>44608.478472222225</v>
      </c>
      <c r="EZ14" s="841" t="s">
        <v>353</v>
      </c>
      <c r="FA14" s="841" t="s">
        <v>353</v>
      </c>
      <c r="FB14" s="841" t="s">
        <v>353</v>
      </c>
      <c r="FC14" s="841" t="s">
        <v>353</v>
      </c>
      <c r="FD14" s="841" t="s">
        <v>353</v>
      </c>
      <c r="FE14" s="842">
        <v>44606.441666666666</v>
      </c>
      <c r="FF14" s="841" t="s">
        <v>353</v>
      </c>
      <c r="FG14" s="841" t="s">
        <v>353</v>
      </c>
      <c r="FH14" s="841" t="s">
        <v>353</v>
      </c>
      <c r="FI14" s="841" t="s">
        <v>353</v>
      </c>
      <c r="FJ14" s="841" t="s">
        <v>353</v>
      </c>
      <c r="FK14" s="841" t="s">
        <v>353</v>
      </c>
      <c r="FL14" s="841" t="s">
        <v>353</v>
      </c>
      <c r="FM14" s="841" t="s">
        <v>353</v>
      </c>
      <c r="FN14" s="841" t="s">
        <v>353</v>
      </c>
      <c r="FO14" s="841" t="s">
        <v>353</v>
      </c>
      <c r="FP14" s="841" t="s">
        <v>353</v>
      </c>
      <c r="FQ14" s="841" t="s">
        <v>353</v>
      </c>
      <c r="FR14" s="841" t="s">
        <v>353</v>
      </c>
      <c r="FS14" s="841" t="s">
        <v>353</v>
      </c>
      <c r="FT14" s="841" t="s">
        <v>353</v>
      </c>
      <c r="FU14" s="841" t="s">
        <v>1416</v>
      </c>
      <c r="FV14" s="841" t="s">
        <v>353</v>
      </c>
      <c r="FW14" s="841" t="s">
        <v>353</v>
      </c>
      <c r="FX14" s="841" t="s">
        <v>353</v>
      </c>
      <c r="FY14" s="841" t="s">
        <v>353</v>
      </c>
      <c r="FZ14" s="841" t="s">
        <v>353</v>
      </c>
      <c r="GA14" s="841" t="s">
        <v>353</v>
      </c>
      <c r="GB14" s="841">
        <v>1</v>
      </c>
      <c r="GC14" s="841" t="s">
        <v>353</v>
      </c>
      <c r="GD14" s="841" t="s">
        <v>1417</v>
      </c>
      <c r="GE14" s="841" t="s">
        <v>353</v>
      </c>
      <c r="GF14" s="841" t="s">
        <v>353</v>
      </c>
      <c r="GG14" s="841" t="s">
        <v>353</v>
      </c>
      <c r="GH14" s="841">
        <v>140000</v>
      </c>
      <c r="GI14" s="841" t="s">
        <v>353</v>
      </c>
      <c r="GJ14" s="841" t="s">
        <v>353</v>
      </c>
      <c r="GK14" s="841" t="s">
        <v>353</v>
      </c>
      <c r="GL14" s="841" t="s">
        <v>1567</v>
      </c>
      <c r="GM14" s="841" t="s">
        <v>353</v>
      </c>
      <c r="GN14" s="841" t="s">
        <v>353</v>
      </c>
      <c r="GO14" s="841" t="s">
        <v>353</v>
      </c>
      <c r="GP14" s="841" t="s">
        <v>353</v>
      </c>
      <c r="GQ14" s="841" t="s">
        <v>353</v>
      </c>
      <c r="GR14" s="842">
        <v>44608.478472222225</v>
      </c>
      <c r="GS14" s="841" t="s">
        <v>353</v>
      </c>
      <c r="GT14" s="841" t="s">
        <v>353</v>
      </c>
      <c r="GU14" s="841" t="s">
        <v>353</v>
      </c>
      <c r="GV14" s="841" t="s">
        <v>1076</v>
      </c>
      <c r="GW14" s="841" t="s">
        <v>353</v>
      </c>
      <c r="GX14" s="841" t="s">
        <v>353</v>
      </c>
      <c r="GY14" s="841">
        <v>24</v>
      </c>
      <c r="GZ14" s="841" t="s">
        <v>353</v>
      </c>
      <c r="HA14" s="841" t="s">
        <v>353</v>
      </c>
      <c r="HB14" s="841" t="s">
        <v>353</v>
      </c>
      <c r="HC14" s="841" t="s">
        <v>353</v>
      </c>
      <c r="HD14" s="841" t="s">
        <v>1568</v>
      </c>
      <c r="HE14" s="841" t="s">
        <v>353</v>
      </c>
      <c r="HF14" s="841" t="s">
        <v>353</v>
      </c>
      <c r="HG14" s="841" t="s">
        <v>353</v>
      </c>
      <c r="HH14" s="841" t="s">
        <v>353</v>
      </c>
      <c r="HI14" s="841" t="s">
        <v>1422</v>
      </c>
      <c r="HJ14" s="841" t="s">
        <v>353</v>
      </c>
      <c r="HK14" s="841">
        <v>700000</v>
      </c>
      <c r="HL14" s="841" t="s">
        <v>353</v>
      </c>
      <c r="HM14" s="841" t="s">
        <v>353</v>
      </c>
      <c r="HN14" s="841" t="s">
        <v>353</v>
      </c>
      <c r="HO14" s="841" t="s">
        <v>353</v>
      </c>
      <c r="HP14" s="841">
        <v>41930</v>
      </c>
      <c r="HQ14" s="841" t="s">
        <v>353</v>
      </c>
      <c r="HR14" s="841" t="s">
        <v>353</v>
      </c>
      <c r="HS14" s="841" t="s">
        <v>353</v>
      </c>
      <c r="HT14" s="841" t="s">
        <v>353</v>
      </c>
      <c r="HU14" s="841" t="s">
        <v>353</v>
      </c>
      <c r="HV14" s="841" t="s">
        <v>353</v>
      </c>
      <c r="HW14" s="841">
        <v>1000000</v>
      </c>
      <c r="HX14" s="841" t="s">
        <v>353</v>
      </c>
      <c r="HY14" s="841" t="s">
        <v>353</v>
      </c>
      <c r="HZ14" s="841" t="s">
        <v>353</v>
      </c>
      <c r="IA14" s="841" t="s">
        <v>353</v>
      </c>
      <c r="IB14" s="841" t="s">
        <v>353</v>
      </c>
      <c r="IC14" s="841" t="s">
        <v>353</v>
      </c>
      <c r="ID14" s="841" t="s">
        <v>353</v>
      </c>
      <c r="IE14" s="841" t="s">
        <v>353</v>
      </c>
      <c r="IF14" s="841" t="s">
        <v>353</v>
      </c>
      <c r="IG14" s="841" t="s">
        <v>353</v>
      </c>
      <c r="IH14" s="841" t="s">
        <v>353</v>
      </c>
      <c r="II14" s="841" t="s">
        <v>353</v>
      </c>
      <c r="IJ14" s="841" t="s">
        <v>353</v>
      </c>
      <c r="IK14" s="841" t="s">
        <v>353</v>
      </c>
      <c r="IL14" s="841" t="s">
        <v>353</v>
      </c>
      <c r="IM14" s="841" t="s">
        <v>353</v>
      </c>
      <c r="IN14" s="841" t="s">
        <v>353</v>
      </c>
      <c r="IO14" s="841" t="s">
        <v>353</v>
      </c>
      <c r="IP14" s="841" t="s">
        <v>353</v>
      </c>
      <c r="IQ14" s="841" t="s">
        <v>353</v>
      </c>
      <c r="IR14" s="841">
        <v>0</v>
      </c>
      <c r="IS14" s="841" t="s">
        <v>353</v>
      </c>
      <c r="IT14" s="841" t="s">
        <v>353</v>
      </c>
      <c r="IU14" s="841" t="s">
        <v>353</v>
      </c>
      <c r="IV14" s="841" t="s">
        <v>353</v>
      </c>
      <c r="IW14" s="841" t="s">
        <v>353</v>
      </c>
      <c r="IX14" s="841" t="s">
        <v>353</v>
      </c>
      <c r="IY14" s="841" t="s">
        <v>353</v>
      </c>
      <c r="IZ14" s="841" t="s">
        <v>353</v>
      </c>
      <c r="JA14" s="841">
        <v>700000</v>
      </c>
      <c r="JB14" s="841" t="s">
        <v>353</v>
      </c>
      <c r="JC14" s="841" t="s">
        <v>353</v>
      </c>
      <c r="JD14" s="841" t="s">
        <v>1527</v>
      </c>
      <c r="JE14" s="841" t="s">
        <v>353</v>
      </c>
      <c r="JF14" s="841" t="s">
        <v>1569</v>
      </c>
      <c r="JG14" s="841" t="s">
        <v>1570</v>
      </c>
      <c r="JH14" s="841" t="s">
        <v>1571</v>
      </c>
      <c r="JI14" s="841" t="s">
        <v>1572</v>
      </c>
    </row>
    <row r="15" spans="1:269" x14ac:dyDescent="0.25">
      <c r="A15" s="841" t="s">
        <v>1573</v>
      </c>
      <c r="B15" s="841" t="s">
        <v>353</v>
      </c>
      <c r="C15" s="841" t="s">
        <v>353</v>
      </c>
      <c r="D15" s="841" t="s">
        <v>353</v>
      </c>
      <c r="E15" s="841" t="s">
        <v>353</v>
      </c>
      <c r="F15" s="841" t="s">
        <v>353</v>
      </c>
      <c r="G15" s="841" t="s">
        <v>1574</v>
      </c>
      <c r="H15" s="841" t="s">
        <v>353</v>
      </c>
      <c r="I15" s="841" t="s">
        <v>353</v>
      </c>
      <c r="J15" s="841" t="s">
        <v>353</v>
      </c>
      <c r="K15" s="841" t="s">
        <v>353</v>
      </c>
      <c r="L15" s="842">
        <v>44606.504861111112</v>
      </c>
      <c r="M15" s="841" t="s">
        <v>353</v>
      </c>
      <c r="N15" s="841" t="s">
        <v>353</v>
      </c>
      <c r="O15" s="841" t="s">
        <v>353</v>
      </c>
      <c r="P15" s="841" t="s">
        <v>353</v>
      </c>
      <c r="Q15" s="841" t="s">
        <v>353</v>
      </c>
      <c r="R15" s="841" t="s">
        <v>353</v>
      </c>
      <c r="S15" s="841" t="s">
        <v>61</v>
      </c>
      <c r="T15" s="841" t="s">
        <v>1390</v>
      </c>
      <c r="U15" s="841" t="s">
        <v>353</v>
      </c>
      <c r="V15" s="841" t="s">
        <v>353</v>
      </c>
      <c r="W15" s="841" t="s">
        <v>1575</v>
      </c>
      <c r="X15" s="841" t="s">
        <v>1405</v>
      </c>
      <c r="Y15" s="841" t="s">
        <v>353</v>
      </c>
      <c r="Z15" s="841" t="s">
        <v>353</v>
      </c>
      <c r="AA15" s="841" t="s">
        <v>353</v>
      </c>
      <c r="AB15" s="841" t="s">
        <v>353</v>
      </c>
      <c r="AC15" s="841">
        <v>76000</v>
      </c>
      <c r="AD15" s="841" t="s">
        <v>353</v>
      </c>
      <c r="AE15" s="841" t="s">
        <v>353</v>
      </c>
      <c r="AF15" s="841" t="s">
        <v>353</v>
      </c>
      <c r="AG15" s="841" t="s">
        <v>353</v>
      </c>
      <c r="AH15" s="841">
        <v>3800</v>
      </c>
      <c r="AI15" s="841" t="s">
        <v>1521</v>
      </c>
      <c r="AJ15" s="841" t="s">
        <v>353</v>
      </c>
      <c r="AK15" s="841">
        <v>69</v>
      </c>
      <c r="AL15" s="841" t="s">
        <v>353</v>
      </c>
      <c r="AM15" s="841" t="s">
        <v>353</v>
      </c>
      <c r="AN15" s="841" t="s">
        <v>353</v>
      </c>
      <c r="AO15" s="841" t="s">
        <v>353</v>
      </c>
      <c r="AP15" s="841" t="s">
        <v>353</v>
      </c>
      <c r="AQ15" s="841" t="s">
        <v>353</v>
      </c>
      <c r="AR15" s="841" t="s">
        <v>353</v>
      </c>
      <c r="AS15" s="841" t="s">
        <v>353</v>
      </c>
      <c r="AT15" s="841" t="s">
        <v>353</v>
      </c>
      <c r="AU15" s="841" t="s">
        <v>353</v>
      </c>
      <c r="AV15" s="841" t="s">
        <v>353</v>
      </c>
      <c r="AW15" s="841" t="s">
        <v>353</v>
      </c>
      <c r="AX15" s="841" t="s">
        <v>353</v>
      </c>
      <c r="AY15" s="841" t="s">
        <v>353</v>
      </c>
      <c r="AZ15" s="841" t="s">
        <v>353</v>
      </c>
      <c r="BA15" s="841" t="s">
        <v>353</v>
      </c>
      <c r="BB15" s="841" t="s">
        <v>353</v>
      </c>
      <c r="BC15" s="841">
        <v>374300</v>
      </c>
      <c r="BD15" s="841" t="s">
        <v>353</v>
      </c>
      <c r="BE15" s="841" t="s">
        <v>353</v>
      </c>
      <c r="BF15" s="841" t="s">
        <v>353</v>
      </c>
      <c r="BG15" s="841" t="s">
        <v>353</v>
      </c>
      <c r="BH15" s="841" t="s">
        <v>353</v>
      </c>
      <c r="BI15" s="841" t="s">
        <v>353</v>
      </c>
      <c r="BJ15" s="841" t="s">
        <v>353</v>
      </c>
      <c r="BK15" s="841">
        <v>374000</v>
      </c>
      <c r="BL15" s="841" t="s">
        <v>1576</v>
      </c>
      <c r="BM15" s="842">
        <v>44620.40625</v>
      </c>
      <c r="BN15" s="841" t="s">
        <v>353</v>
      </c>
      <c r="BO15" s="841" t="s">
        <v>353</v>
      </c>
      <c r="BP15" s="841" t="s">
        <v>353</v>
      </c>
      <c r="BQ15" s="841" t="s">
        <v>353</v>
      </c>
      <c r="BR15" s="841" t="s">
        <v>353</v>
      </c>
      <c r="BS15" s="841" t="s">
        <v>353</v>
      </c>
      <c r="BT15" s="841">
        <v>380000</v>
      </c>
      <c r="BU15" s="841" t="s">
        <v>353</v>
      </c>
      <c r="BV15" s="841" t="s">
        <v>1577</v>
      </c>
      <c r="BW15" s="841" t="s">
        <v>1578</v>
      </c>
      <c r="BX15" s="841" t="s">
        <v>353</v>
      </c>
      <c r="BY15" s="841" t="s">
        <v>353</v>
      </c>
      <c r="BZ15" s="841" t="s">
        <v>353</v>
      </c>
      <c r="CA15" s="841" t="s">
        <v>353</v>
      </c>
      <c r="CB15" s="841" t="s">
        <v>353</v>
      </c>
      <c r="CC15" s="841" t="s">
        <v>353</v>
      </c>
      <c r="CD15" s="841" t="s">
        <v>353</v>
      </c>
      <c r="CE15" s="841" t="s">
        <v>353</v>
      </c>
      <c r="CF15" s="841" t="s">
        <v>353</v>
      </c>
      <c r="CG15" s="841" t="s">
        <v>353</v>
      </c>
      <c r="CH15" s="841" t="s">
        <v>353</v>
      </c>
      <c r="CI15" s="841" t="s">
        <v>353</v>
      </c>
      <c r="CJ15" s="841" t="s">
        <v>353</v>
      </c>
      <c r="CK15" s="841" t="s">
        <v>353</v>
      </c>
      <c r="CL15" s="841" t="s">
        <v>353</v>
      </c>
      <c r="CM15" s="841" t="s">
        <v>353</v>
      </c>
      <c r="CN15" s="841" t="s">
        <v>353</v>
      </c>
      <c r="CO15" s="841" t="s">
        <v>353</v>
      </c>
      <c r="CP15" s="841" t="s">
        <v>1579</v>
      </c>
      <c r="CQ15" s="841" t="s">
        <v>353</v>
      </c>
      <c r="CR15" s="841" t="s">
        <v>353</v>
      </c>
      <c r="CS15" s="841" t="s">
        <v>1405</v>
      </c>
      <c r="CT15" s="841" t="s">
        <v>353</v>
      </c>
      <c r="CU15" s="841" t="s">
        <v>1391</v>
      </c>
      <c r="CV15" s="841" t="s">
        <v>353</v>
      </c>
      <c r="CW15" s="841" t="s">
        <v>353</v>
      </c>
      <c r="CX15" s="841" t="s">
        <v>353</v>
      </c>
      <c r="CY15" s="841" t="s">
        <v>353</v>
      </c>
      <c r="CZ15" s="841">
        <v>7</v>
      </c>
      <c r="DA15" s="841" t="s">
        <v>353</v>
      </c>
      <c r="DB15" s="841" t="s">
        <v>353</v>
      </c>
      <c r="DC15" s="841" t="s">
        <v>353</v>
      </c>
      <c r="DD15" s="841" t="s">
        <v>353</v>
      </c>
      <c r="DE15" s="841" t="s">
        <v>353</v>
      </c>
      <c r="DF15" s="841">
        <v>36</v>
      </c>
      <c r="DG15" s="841" t="s">
        <v>353</v>
      </c>
      <c r="DH15" s="841" t="s">
        <v>353</v>
      </c>
      <c r="DI15" s="841" t="s">
        <v>353</v>
      </c>
      <c r="DJ15" s="841" t="s">
        <v>1580</v>
      </c>
      <c r="DK15" s="841" t="s">
        <v>353</v>
      </c>
      <c r="DL15" s="842">
        <v>44606.40625</v>
      </c>
      <c r="DM15" s="841" t="s">
        <v>353</v>
      </c>
      <c r="DN15" s="841" t="s">
        <v>353</v>
      </c>
      <c r="DO15" s="841" t="s">
        <v>673</v>
      </c>
      <c r="DP15" s="841" t="s">
        <v>1481</v>
      </c>
      <c r="DQ15" s="841" t="s">
        <v>1581</v>
      </c>
      <c r="DR15" s="841" t="s">
        <v>353</v>
      </c>
      <c r="DS15" s="841">
        <v>36</v>
      </c>
      <c r="DT15" s="841" t="s">
        <v>353</v>
      </c>
      <c r="DU15" s="841" t="s">
        <v>353</v>
      </c>
      <c r="DV15" s="841">
        <v>374300</v>
      </c>
      <c r="DW15" s="841">
        <v>380000</v>
      </c>
      <c r="DX15" s="841" t="s">
        <v>353</v>
      </c>
      <c r="DY15" s="841" t="s">
        <v>353</v>
      </c>
      <c r="DZ15" s="841" t="s">
        <v>353</v>
      </c>
      <c r="EA15" s="841" t="s">
        <v>353</v>
      </c>
      <c r="EB15" s="841" t="s">
        <v>353</v>
      </c>
      <c r="EC15" s="841" t="s">
        <v>353</v>
      </c>
      <c r="ED15" s="841" t="s">
        <v>353</v>
      </c>
      <c r="EE15" s="841" t="s">
        <v>353</v>
      </c>
      <c r="EF15" s="841" t="s">
        <v>353</v>
      </c>
      <c r="EG15" s="841" t="s">
        <v>353</v>
      </c>
      <c r="EH15" s="841" t="s">
        <v>353</v>
      </c>
      <c r="EI15" s="841">
        <v>0</v>
      </c>
      <c r="EJ15" s="841" t="s">
        <v>353</v>
      </c>
      <c r="EK15" s="841" t="s">
        <v>353</v>
      </c>
      <c r="EL15" s="841" t="s">
        <v>353</v>
      </c>
      <c r="EM15" s="841">
        <v>5700</v>
      </c>
      <c r="EN15" s="841" t="s">
        <v>353</v>
      </c>
      <c r="EO15" s="841" t="s">
        <v>353</v>
      </c>
      <c r="EP15" s="841" t="s">
        <v>353</v>
      </c>
      <c r="EQ15" s="841" t="s">
        <v>353</v>
      </c>
      <c r="ER15" s="841" t="s">
        <v>353</v>
      </c>
      <c r="ES15" s="841" t="s">
        <v>353</v>
      </c>
      <c r="ET15" s="841" t="s">
        <v>1512</v>
      </c>
      <c r="EU15" s="841" t="s">
        <v>353</v>
      </c>
      <c r="EV15" s="841" t="s">
        <v>353</v>
      </c>
      <c r="EW15" s="841" t="s">
        <v>353</v>
      </c>
      <c r="EX15" s="841" t="s">
        <v>353</v>
      </c>
      <c r="EY15" s="841" t="s">
        <v>353</v>
      </c>
      <c r="EZ15" s="841" t="s">
        <v>353</v>
      </c>
      <c r="FA15" s="841" t="s">
        <v>353</v>
      </c>
      <c r="FB15" s="841" t="s">
        <v>353</v>
      </c>
      <c r="FC15" s="841" t="s">
        <v>353</v>
      </c>
      <c r="FD15" s="841" t="s">
        <v>353</v>
      </c>
      <c r="FE15" s="842">
        <v>44606.504861111112</v>
      </c>
      <c r="FF15" s="841" t="s">
        <v>353</v>
      </c>
      <c r="FG15" s="841" t="s">
        <v>1579</v>
      </c>
      <c r="FH15" s="841" t="s">
        <v>353</v>
      </c>
      <c r="FI15" s="841" t="s">
        <v>353</v>
      </c>
      <c r="FJ15" s="841" t="s">
        <v>353</v>
      </c>
      <c r="FK15" s="841" t="s">
        <v>353</v>
      </c>
      <c r="FL15" s="841" t="s">
        <v>353</v>
      </c>
      <c r="FM15" s="841" t="s">
        <v>353</v>
      </c>
      <c r="FN15" s="841" t="s">
        <v>353</v>
      </c>
      <c r="FO15" s="841" t="s">
        <v>1582</v>
      </c>
      <c r="FP15" s="841" t="s">
        <v>353</v>
      </c>
      <c r="FQ15" s="841" t="s">
        <v>353</v>
      </c>
      <c r="FR15" s="841" t="s">
        <v>353</v>
      </c>
      <c r="FS15" s="841" t="s">
        <v>353</v>
      </c>
      <c r="FT15" s="841" t="s">
        <v>353</v>
      </c>
      <c r="FU15" s="841" t="s">
        <v>1416</v>
      </c>
      <c r="FV15" s="841" t="s">
        <v>353</v>
      </c>
      <c r="FW15" s="841" t="s">
        <v>353</v>
      </c>
      <c r="FX15" s="841" t="s">
        <v>353</v>
      </c>
      <c r="FY15" s="841" t="s">
        <v>353</v>
      </c>
      <c r="FZ15" s="841" t="s">
        <v>353</v>
      </c>
      <c r="GA15" s="841" t="s">
        <v>353</v>
      </c>
      <c r="GB15" s="841">
        <v>1</v>
      </c>
      <c r="GC15" s="841" t="s">
        <v>353</v>
      </c>
      <c r="GD15" s="841" t="s">
        <v>1417</v>
      </c>
      <c r="GE15" s="841" t="s">
        <v>353</v>
      </c>
      <c r="GF15" s="841" t="s">
        <v>353</v>
      </c>
      <c r="GG15" s="841" t="s">
        <v>353</v>
      </c>
      <c r="GH15" s="841">
        <v>76000</v>
      </c>
      <c r="GI15" s="841" t="s">
        <v>353</v>
      </c>
      <c r="GJ15" s="841" t="s">
        <v>353</v>
      </c>
      <c r="GK15" s="841" t="s">
        <v>353</v>
      </c>
      <c r="GL15" s="841" t="s">
        <v>1583</v>
      </c>
      <c r="GM15" s="841" t="s">
        <v>353</v>
      </c>
      <c r="GN15" s="841" t="s">
        <v>353</v>
      </c>
      <c r="GO15" s="841" t="s">
        <v>353</v>
      </c>
      <c r="GP15" s="841" t="s">
        <v>353</v>
      </c>
      <c r="GQ15" s="841" t="s">
        <v>353</v>
      </c>
      <c r="GR15" s="841" t="s">
        <v>353</v>
      </c>
      <c r="GS15" s="841" t="s">
        <v>1577</v>
      </c>
      <c r="GT15" s="841" t="s">
        <v>353</v>
      </c>
      <c r="GU15" s="841" t="s">
        <v>353</v>
      </c>
      <c r="GV15" s="841" t="s">
        <v>1419</v>
      </c>
      <c r="GW15" s="841" t="s">
        <v>353</v>
      </c>
      <c r="GX15" s="841" t="s">
        <v>1584</v>
      </c>
      <c r="GY15" s="841">
        <v>36</v>
      </c>
      <c r="GZ15" s="841" t="s">
        <v>1575</v>
      </c>
      <c r="HA15" s="841" t="s">
        <v>353</v>
      </c>
      <c r="HB15" s="841" t="s">
        <v>353</v>
      </c>
      <c r="HC15" s="841" t="s">
        <v>1421</v>
      </c>
      <c r="HD15" s="841" t="s">
        <v>1585</v>
      </c>
      <c r="HE15" s="841" t="s">
        <v>353</v>
      </c>
      <c r="HF15" s="841" t="s">
        <v>353</v>
      </c>
      <c r="HG15" s="841" t="s">
        <v>353</v>
      </c>
      <c r="HH15" s="841" t="s">
        <v>353</v>
      </c>
      <c r="HI15" s="841" t="s">
        <v>1422</v>
      </c>
      <c r="HJ15" s="841" t="s">
        <v>1586</v>
      </c>
      <c r="HK15" s="841">
        <v>380000</v>
      </c>
      <c r="HL15" s="841" t="s">
        <v>353</v>
      </c>
      <c r="HM15" s="841" t="s">
        <v>1530</v>
      </c>
      <c r="HN15" s="841" t="s">
        <v>353</v>
      </c>
      <c r="HO15" s="841" t="s">
        <v>353</v>
      </c>
      <c r="HP15" s="841">
        <v>18202</v>
      </c>
      <c r="HQ15" s="841" t="s">
        <v>353</v>
      </c>
      <c r="HR15" s="841" t="s">
        <v>353</v>
      </c>
      <c r="HS15" s="841">
        <v>380000</v>
      </c>
      <c r="HT15" s="841" t="s">
        <v>353</v>
      </c>
      <c r="HU15" s="841" t="s">
        <v>353</v>
      </c>
      <c r="HV15" s="841" t="s">
        <v>353</v>
      </c>
      <c r="HW15" s="841">
        <v>550000</v>
      </c>
      <c r="HX15" s="841" t="s">
        <v>353</v>
      </c>
      <c r="HY15" s="841" t="s">
        <v>353</v>
      </c>
      <c r="HZ15" s="841" t="s">
        <v>353</v>
      </c>
      <c r="IA15" s="841" t="s">
        <v>353</v>
      </c>
      <c r="IB15" s="841" t="s">
        <v>1455</v>
      </c>
      <c r="IC15" s="841" t="s">
        <v>353</v>
      </c>
      <c r="ID15" s="841" t="s">
        <v>353</v>
      </c>
      <c r="IE15" s="841" t="s">
        <v>353</v>
      </c>
      <c r="IF15" s="841" t="s">
        <v>353</v>
      </c>
      <c r="IG15" s="841" t="s">
        <v>353</v>
      </c>
      <c r="IH15" s="841" t="s">
        <v>353</v>
      </c>
      <c r="II15" s="841" t="s">
        <v>353</v>
      </c>
      <c r="IJ15" s="841" t="s">
        <v>353</v>
      </c>
      <c r="IK15" s="841" t="s">
        <v>353</v>
      </c>
      <c r="IL15" s="841">
        <v>380000</v>
      </c>
      <c r="IM15" s="841" t="s">
        <v>353</v>
      </c>
      <c r="IN15" s="841" t="s">
        <v>353</v>
      </c>
      <c r="IO15" s="841" t="s">
        <v>353</v>
      </c>
      <c r="IP15" s="841" t="s">
        <v>353</v>
      </c>
      <c r="IQ15" s="841" t="s">
        <v>353</v>
      </c>
      <c r="IR15" s="841">
        <v>0</v>
      </c>
      <c r="IS15" s="841" t="s">
        <v>353</v>
      </c>
      <c r="IT15" s="841" t="s">
        <v>353</v>
      </c>
      <c r="IU15" s="841" t="s">
        <v>353</v>
      </c>
      <c r="IV15" s="841" t="s">
        <v>353</v>
      </c>
      <c r="IW15" s="841" t="s">
        <v>353</v>
      </c>
      <c r="IX15" s="841" t="s">
        <v>353</v>
      </c>
      <c r="IY15" s="841" t="s">
        <v>1578</v>
      </c>
      <c r="IZ15" s="841" t="s">
        <v>353</v>
      </c>
      <c r="JA15" s="841">
        <v>380000</v>
      </c>
      <c r="JB15" s="841" t="s">
        <v>353</v>
      </c>
      <c r="JC15" s="841" t="s">
        <v>353</v>
      </c>
      <c r="JD15" s="841" t="s">
        <v>1488</v>
      </c>
      <c r="JE15" s="841" t="s">
        <v>353</v>
      </c>
      <c r="JF15" s="841" t="s">
        <v>1587</v>
      </c>
      <c r="JG15" s="841" t="s">
        <v>1588</v>
      </c>
      <c r="JH15" s="841" t="s">
        <v>1589</v>
      </c>
      <c r="JI15" s="841" t="s">
        <v>1590</v>
      </c>
    </row>
    <row r="16" spans="1:269" x14ac:dyDescent="0.25">
      <c r="A16" s="841" t="s">
        <v>1591</v>
      </c>
      <c r="B16" s="841" t="s">
        <v>353</v>
      </c>
      <c r="C16" s="841" t="s">
        <v>353</v>
      </c>
      <c r="D16" s="841" t="s">
        <v>353</v>
      </c>
      <c r="E16" s="841" t="s">
        <v>353</v>
      </c>
      <c r="F16" s="841" t="s">
        <v>353</v>
      </c>
      <c r="G16" s="841" t="s">
        <v>353</v>
      </c>
      <c r="H16" s="841" t="s">
        <v>353</v>
      </c>
      <c r="I16" s="841" t="s">
        <v>353</v>
      </c>
      <c r="J16" s="841" t="s">
        <v>353</v>
      </c>
      <c r="K16" s="841" t="s">
        <v>353</v>
      </c>
      <c r="L16" s="842">
        <v>44606.579861111109</v>
      </c>
      <c r="M16" s="841" t="s">
        <v>353</v>
      </c>
      <c r="N16" s="841" t="s">
        <v>353</v>
      </c>
      <c r="O16" s="841" t="s">
        <v>353</v>
      </c>
      <c r="P16" s="841" t="s">
        <v>353</v>
      </c>
      <c r="Q16" s="841" t="s">
        <v>353</v>
      </c>
      <c r="R16" s="841" t="s">
        <v>353</v>
      </c>
      <c r="S16" s="841" t="s">
        <v>353</v>
      </c>
      <c r="T16" s="841" t="s">
        <v>1390</v>
      </c>
      <c r="U16" s="841" t="s">
        <v>353</v>
      </c>
      <c r="V16" s="841" t="s">
        <v>353</v>
      </c>
      <c r="W16" s="841" t="s">
        <v>353</v>
      </c>
      <c r="X16" s="841" t="s">
        <v>353</v>
      </c>
      <c r="Y16" s="841" t="s">
        <v>353</v>
      </c>
      <c r="Z16" s="841" t="s">
        <v>353</v>
      </c>
      <c r="AA16" s="841" t="s">
        <v>353</v>
      </c>
      <c r="AB16" s="841" t="s">
        <v>353</v>
      </c>
      <c r="AC16" s="841" t="s">
        <v>353</v>
      </c>
      <c r="AD16" s="841" t="s">
        <v>353</v>
      </c>
      <c r="AE16" s="841" t="s">
        <v>353</v>
      </c>
      <c r="AF16" s="841" t="s">
        <v>353</v>
      </c>
      <c r="AG16" s="841" t="s">
        <v>353</v>
      </c>
      <c r="AH16" s="841" t="s">
        <v>353</v>
      </c>
      <c r="AI16" s="841" t="s">
        <v>1592</v>
      </c>
      <c r="AJ16" s="841" t="s">
        <v>353</v>
      </c>
      <c r="AK16" s="841" t="s">
        <v>353</v>
      </c>
      <c r="AL16" s="841" t="s">
        <v>353</v>
      </c>
      <c r="AM16" s="841" t="s">
        <v>353</v>
      </c>
      <c r="AN16" s="841" t="s">
        <v>353</v>
      </c>
      <c r="AO16" s="841" t="s">
        <v>353</v>
      </c>
      <c r="AP16" s="841" t="s">
        <v>353</v>
      </c>
      <c r="AQ16" s="841" t="s">
        <v>353</v>
      </c>
      <c r="AR16" s="841" t="s">
        <v>353</v>
      </c>
      <c r="AS16" s="841" t="s">
        <v>353</v>
      </c>
      <c r="AT16" s="841" t="s">
        <v>353</v>
      </c>
      <c r="AU16" s="841" t="s">
        <v>353</v>
      </c>
      <c r="AV16" s="841" t="s">
        <v>353</v>
      </c>
      <c r="AW16" s="841" t="s">
        <v>353</v>
      </c>
      <c r="AX16" s="841" t="s">
        <v>353</v>
      </c>
      <c r="AY16" s="841" t="s">
        <v>353</v>
      </c>
      <c r="AZ16" s="841" t="s">
        <v>353</v>
      </c>
      <c r="BA16" s="841" t="s">
        <v>353</v>
      </c>
      <c r="BB16" s="841" t="s">
        <v>353</v>
      </c>
      <c r="BC16" s="841" t="s">
        <v>353</v>
      </c>
      <c r="BD16" s="841" t="s">
        <v>353</v>
      </c>
      <c r="BE16" s="841" t="s">
        <v>353</v>
      </c>
      <c r="BF16" s="841" t="s">
        <v>353</v>
      </c>
      <c r="BG16" s="841" t="s">
        <v>353</v>
      </c>
      <c r="BH16" s="841" t="s">
        <v>353</v>
      </c>
      <c r="BI16" s="841" t="s">
        <v>353</v>
      </c>
      <c r="BJ16" s="841" t="s">
        <v>353</v>
      </c>
      <c r="BK16" s="841" t="s">
        <v>353</v>
      </c>
      <c r="BL16" s="841" t="s">
        <v>353</v>
      </c>
      <c r="BM16" s="842">
        <v>44620.588888888888</v>
      </c>
      <c r="BN16" s="841" t="s">
        <v>353</v>
      </c>
      <c r="BO16" s="841" t="s">
        <v>353</v>
      </c>
      <c r="BP16" s="841" t="s">
        <v>353</v>
      </c>
      <c r="BQ16" s="841" t="s">
        <v>353</v>
      </c>
      <c r="BR16" s="841" t="s">
        <v>353</v>
      </c>
      <c r="BS16" s="841" t="s">
        <v>353</v>
      </c>
      <c r="BT16" s="841">
        <v>0</v>
      </c>
      <c r="BU16" s="841" t="s">
        <v>353</v>
      </c>
      <c r="BV16" s="841" t="s">
        <v>353</v>
      </c>
      <c r="BW16" s="841" t="s">
        <v>353</v>
      </c>
      <c r="BX16" s="841" t="s">
        <v>353</v>
      </c>
      <c r="BY16" s="841" t="s">
        <v>353</v>
      </c>
      <c r="BZ16" s="841" t="s">
        <v>353</v>
      </c>
      <c r="CA16" s="841" t="s">
        <v>353</v>
      </c>
      <c r="CB16" s="841" t="s">
        <v>353</v>
      </c>
      <c r="CC16" s="841" t="s">
        <v>353</v>
      </c>
      <c r="CD16" s="841" t="s">
        <v>353</v>
      </c>
      <c r="CE16" s="841" t="s">
        <v>353</v>
      </c>
      <c r="CF16" s="841" t="s">
        <v>353</v>
      </c>
      <c r="CG16" s="841" t="s">
        <v>353</v>
      </c>
      <c r="CH16" s="841" t="s">
        <v>353</v>
      </c>
      <c r="CI16" s="841" t="s">
        <v>353</v>
      </c>
      <c r="CJ16" s="841" t="s">
        <v>353</v>
      </c>
      <c r="CK16" s="841">
        <v>4</v>
      </c>
      <c r="CL16" s="841">
        <v>2904960</v>
      </c>
      <c r="CM16" s="841">
        <v>4</v>
      </c>
      <c r="CN16" s="841" t="s">
        <v>353</v>
      </c>
      <c r="CO16" s="841" t="s">
        <v>353</v>
      </c>
      <c r="CP16" s="841" t="s">
        <v>353</v>
      </c>
      <c r="CQ16" s="841" t="s">
        <v>353</v>
      </c>
      <c r="CR16" s="841" t="s">
        <v>353</v>
      </c>
      <c r="CS16" s="841" t="s">
        <v>353</v>
      </c>
      <c r="CT16" s="841" t="s">
        <v>353</v>
      </c>
      <c r="CU16" s="841" t="s">
        <v>1593</v>
      </c>
      <c r="CV16" s="841" t="s">
        <v>353</v>
      </c>
      <c r="CW16" s="841" t="s">
        <v>353</v>
      </c>
      <c r="CX16" s="841" t="s">
        <v>353</v>
      </c>
      <c r="CY16" s="841" t="s">
        <v>353</v>
      </c>
      <c r="CZ16" s="841" t="s">
        <v>353</v>
      </c>
      <c r="DA16" s="841" t="s">
        <v>353</v>
      </c>
      <c r="DB16" s="841" t="s">
        <v>353</v>
      </c>
      <c r="DC16" s="841" t="s">
        <v>353</v>
      </c>
      <c r="DD16" s="841" t="s">
        <v>353</v>
      </c>
      <c r="DE16" s="841" t="s">
        <v>353</v>
      </c>
      <c r="DF16" s="841" t="s">
        <v>353</v>
      </c>
      <c r="DG16" s="841" t="s">
        <v>353</v>
      </c>
      <c r="DH16" s="841" t="s">
        <v>353</v>
      </c>
      <c r="DI16" s="841" t="s">
        <v>353</v>
      </c>
      <c r="DJ16" s="841" t="s">
        <v>353</v>
      </c>
      <c r="DK16" s="841" t="s">
        <v>353</v>
      </c>
      <c r="DL16" s="842">
        <v>44603.588888888888</v>
      </c>
      <c r="DM16" s="841" t="s">
        <v>353</v>
      </c>
      <c r="DN16" s="841" t="s">
        <v>353</v>
      </c>
      <c r="DO16" s="841" t="s">
        <v>673</v>
      </c>
      <c r="DP16" s="841" t="s">
        <v>353</v>
      </c>
      <c r="DQ16" s="841" t="s">
        <v>1392</v>
      </c>
      <c r="DR16" s="841">
        <v>3037680</v>
      </c>
      <c r="DS16" s="841" t="s">
        <v>353</v>
      </c>
      <c r="DT16" s="841" t="s">
        <v>353</v>
      </c>
      <c r="DU16" s="841" t="s">
        <v>353</v>
      </c>
      <c r="DV16" s="841" t="s">
        <v>353</v>
      </c>
      <c r="DW16" s="841" t="s">
        <v>353</v>
      </c>
      <c r="DX16" s="841" t="s">
        <v>353</v>
      </c>
      <c r="DY16" s="841" t="s">
        <v>353</v>
      </c>
      <c r="DZ16" s="841" t="s">
        <v>353</v>
      </c>
      <c r="EA16" s="841" t="s">
        <v>353</v>
      </c>
      <c r="EB16" s="841" t="s">
        <v>353</v>
      </c>
      <c r="EC16" s="841" t="s">
        <v>353</v>
      </c>
      <c r="ED16" s="841" t="s">
        <v>353</v>
      </c>
      <c r="EE16" s="841" t="s">
        <v>353</v>
      </c>
      <c r="EF16" s="841" t="s">
        <v>353</v>
      </c>
      <c r="EG16" s="841" t="s">
        <v>353</v>
      </c>
      <c r="EH16" s="841" t="s">
        <v>353</v>
      </c>
      <c r="EI16" s="841" t="s">
        <v>353</v>
      </c>
      <c r="EJ16" s="841" t="s">
        <v>353</v>
      </c>
      <c r="EK16" s="841" t="s">
        <v>353</v>
      </c>
      <c r="EL16" s="841" t="s">
        <v>353</v>
      </c>
      <c r="EM16" s="841" t="s">
        <v>353</v>
      </c>
      <c r="EN16" s="841" t="s">
        <v>353</v>
      </c>
      <c r="EO16" s="841" t="s">
        <v>353</v>
      </c>
      <c r="EP16" s="841" t="s">
        <v>353</v>
      </c>
      <c r="EQ16" s="841" t="s">
        <v>353</v>
      </c>
      <c r="ER16" s="841" t="s">
        <v>353</v>
      </c>
      <c r="ES16" s="841" t="s">
        <v>353</v>
      </c>
      <c r="ET16" s="841" t="s">
        <v>1393</v>
      </c>
      <c r="EU16" s="841" t="s">
        <v>353</v>
      </c>
      <c r="EV16" s="841" t="s">
        <v>353</v>
      </c>
      <c r="EW16" s="841" t="s">
        <v>353</v>
      </c>
      <c r="EX16" s="841" t="s">
        <v>353</v>
      </c>
      <c r="EY16" s="842">
        <v>44606.579861111109</v>
      </c>
      <c r="EZ16" s="841" t="s">
        <v>353</v>
      </c>
      <c r="FA16" s="841" t="s">
        <v>353</v>
      </c>
      <c r="FB16" s="841" t="s">
        <v>353</v>
      </c>
      <c r="FC16" s="841" t="s">
        <v>353</v>
      </c>
      <c r="FD16" s="841" t="s">
        <v>353</v>
      </c>
      <c r="FE16" s="842">
        <v>44603.589583333334</v>
      </c>
      <c r="FF16" s="841" t="s">
        <v>353</v>
      </c>
      <c r="FG16" s="841" t="s">
        <v>353</v>
      </c>
      <c r="FH16" s="841" t="s">
        <v>353</v>
      </c>
      <c r="FI16" s="841" t="s">
        <v>353</v>
      </c>
      <c r="FJ16" s="841" t="s">
        <v>353</v>
      </c>
      <c r="FK16" s="841" t="s">
        <v>353</v>
      </c>
      <c r="FL16" s="841" t="s">
        <v>353</v>
      </c>
      <c r="FM16" s="841" t="s">
        <v>353</v>
      </c>
      <c r="FN16" s="841" t="s">
        <v>353</v>
      </c>
      <c r="FO16" s="841" t="s">
        <v>353</v>
      </c>
      <c r="FP16" s="841" t="s">
        <v>353</v>
      </c>
      <c r="FQ16" s="841" t="s">
        <v>353</v>
      </c>
      <c r="FR16" s="841" t="s">
        <v>353</v>
      </c>
      <c r="FS16" s="841" t="s">
        <v>353</v>
      </c>
      <c r="FT16" s="841" t="s">
        <v>353</v>
      </c>
      <c r="FU16" s="841" t="s">
        <v>1394</v>
      </c>
      <c r="FV16" s="841" t="s">
        <v>353</v>
      </c>
      <c r="FW16" s="841" t="s">
        <v>353</v>
      </c>
      <c r="FX16" s="841" t="s">
        <v>353</v>
      </c>
      <c r="FY16" s="841" t="s">
        <v>353</v>
      </c>
      <c r="FZ16" s="841" t="s">
        <v>353</v>
      </c>
      <c r="GA16" s="841" t="s">
        <v>353</v>
      </c>
      <c r="GB16" s="841">
        <v>1</v>
      </c>
      <c r="GC16" s="841" t="s">
        <v>353</v>
      </c>
      <c r="GD16" s="841" t="s">
        <v>1594</v>
      </c>
      <c r="GE16" s="841" t="s">
        <v>353</v>
      </c>
      <c r="GF16" s="841" t="s">
        <v>353</v>
      </c>
      <c r="GG16" s="841" t="s">
        <v>353</v>
      </c>
      <c r="GH16" s="841" t="s">
        <v>353</v>
      </c>
      <c r="GI16" s="841" t="s">
        <v>353</v>
      </c>
      <c r="GJ16" s="841" t="s">
        <v>353</v>
      </c>
      <c r="GK16" s="841" t="s">
        <v>353</v>
      </c>
      <c r="GL16" s="841" t="s">
        <v>1595</v>
      </c>
      <c r="GM16" s="841" t="s">
        <v>353</v>
      </c>
      <c r="GN16" s="841" t="s">
        <v>353</v>
      </c>
      <c r="GO16" s="841" t="s">
        <v>353</v>
      </c>
      <c r="GP16" s="841" t="s">
        <v>353</v>
      </c>
      <c r="GQ16" s="841" t="s">
        <v>353</v>
      </c>
      <c r="GR16" s="842">
        <v>44606.579861111109</v>
      </c>
      <c r="GS16" s="841" t="s">
        <v>353</v>
      </c>
      <c r="GT16" s="841" t="s">
        <v>353</v>
      </c>
      <c r="GU16" s="841" t="s">
        <v>353</v>
      </c>
      <c r="GV16" s="841" t="s">
        <v>1076</v>
      </c>
      <c r="GW16" s="841" t="s">
        <v>353</v>
      </c>
      <c r="GX16" s="841" t="s">
        <v>353</v>
      </c>
      <c r="GY16" s="841" t="s">
        <v>353</v>
      </c>
      <c r="GZ16" s="841" t="s">
        <v>353</v>
      </c>
      <c r="HA16" s="841" t="s">
        <v>353</v>
      </c>
      <c r="HB16" s="841" t="s">
        <v>353</v>
      </c>
      <c r="HC16" s="841" t="s">
        <v>353</v>
      </c>
      <c r="HD16" s="841" t="s">
        <v>1596</v>
      </c>
      <c r="HE16" s="841" t="s">
        <v>353</v>
      </c>
      <c r="HF16" s="841" t="s">
        <v>353</v>
      </c>
      <c r="HG16" s="841" t="s">
        <v>353</v>
      </c>
      <c r="HH16" s="841" t="s">
        <v>353</v>
      </c>
      <c r="HI16" s="841" t="s">
        <v>1439</v>
      </c>
      <c r="HJ16" s="841" t="s">
        <v>353</v>
      </c>
      <c r="HK16" s="841" t="s">
        <v>353</v>
      </c>
      <c r="HL16" s="841" t="s">
        <v>353</v>
      </c>
      <c r="HM16" s="841" t="s">
        <v>353</v>
      </c>
      <c r="HN16" s="841" t="s">
        <v>353</v>
      </c>
      <c r="HO16" s="841" t="s">
        <v>353</v>
      </c>
      <c r="HP16" s="841" t="s">
        <v>353</v>
      </c>
      <c r="HQ16" s="841" t="s">
        <v>353</v>
      </c>
      <c r="HR16" s="841" t="s">
        <v>353</v>
      </c>
      <c r="HS16" s="841" t="s">
        <v>353</v>
      </c>
      <c r="HT16" s="841" t="s">
        <v>353</v>
      </c>
      <c r="HU16" s="841" t="s">
        <v>353</v>
      </c>
      <c r="HV16" s="841" t="s">
        <v>353</v>
      </c>
      <c r="HW16" s="841" t="s">
        <v>353</v>
      </c>
      <c r="HX16" s="841" t="s">
        <v>353</v>
      </c>
      <c r="HY16" s="841" t="s">
        <v>353</v>
      </c>
      <c r="HZ16" s="841" t="s">
        <v>353</v>
      </c>
      <c r="IA16" s="841" t="s">
        <v>353</v>
      </c>
      <c r="IB16" s="841" t="s">
        <v>1440</v>
      </c>
      <c r="IC16" s="841" t="s">
        <v>353</v>
      </c>
      <c r="ID16" s="841" t="s">
        <v>353</v>
      </c>
      <c r="IE16" s="841" t="s">
        <v>353</v>
      </c>
      <c r="IF16" s="841" t="s">
        <v>353</v>
      </c>
      <c r="IG16" s="841" t="s">
        <v>353</v>
      </c>
      <c r="IH16" s="841" t="s">
        <v>353</v>
      </c>
      <c r="II16" s="841" t="s">
        <v>353</v>
      </c>
      <c r="IJ16" s="841" t="s">
        <v>353</v>
      </c>
      <c r="IK16" s="841" t="s">
        <v>353</v>
      </c>
      <c r="IL16" s="841" t="s">
        <v>353</v>
      </c>
      <c r="IM16" s="841" t="s">
        <v>353</v>
      </c>
      <c r="IN16" s="841" t="s">
        <v>353</v>
      </c>
      <c r="IO16" s="841" t="s">
        <v>353</v>
      </c>
      <c r="IP16" s="841" t="s">
        <v>353</v>
      </c>
      <c r="IQ16" s="841" t="s">
        <v>353</v>
      </c>
      <c r="IR16" s="841" t="s">
        <v>353</v>
      </c>
      <c r="IS16" s="841" t="s">
        <v>353</v>
      </c>
      <c r="IT16" s="841" t="s">
        <v>353</v>
      </c>
      <c r="IU16" s="841" t="s">
        <v>353</v>
      </c>
      <c r="IV16" s="841" t="s">
        <v>353</v>
      </c>
      <c r="IW16" s="841" t="s">
        <v>353</v>
      </c>
      <c r="IX16" s="841" t="s">
        <v>353</v>
      </c>
      <c r="IY16" s="841" t="s">
        <v>353</v>
      </c>
      <c r="IZ16" s="841" t="s">
        <v>353</v>
      </c>
      <c r="JA16" s="841" t="s">
        <v>353</v>
      </c>
      <c r="JB16" s="841" t="s">
        <v>353</v>
      </c>
      <c r="JC16" s="841" t="s">
        <v>353</v>
      </c>
      <c r="JD16" s="841" t="s">
        <v>353</v>
      </c>
      <c r="JE16" s="841" t="s">
        <v>353</v>
      </c>
      <c r="JF16" s="841" t="s">
        <v>1597</v>
      </c>
      <c r="JG16" s="841" t="s">
        <v>1598</v>
      </c>
      <c r="JH16" s="841" t="s">
        <v>1599</v>
      </c>
      <c r="JI16" s="841" t="s">
        <v>1600</v>
      </c>
    </row>
    <row r="17" spans="1:269" x14ac:dyDescent="0.25">
      <c r="A17" s="841" t="s">
        <v>1601</v>
      </c>
      <c r="B17" s="841" t="s">
        <v>353</v>
      </c>
      <c r="C17" s="841" t="s">
        <v>353</v>
      </c>
      <c r="D17" s="841" t="s">
        <v>353</v>
      </c>
      <c r="E17" s="841" t="s">
        <v>353</v>
      </c>
      <c r="F17" s="841" t="s">
        <v>353</v>
      </c>
      <c r="G17" s="841" t="s">
        <v>353</v>
      </c>
      <c r="H17" s="841" t="s">
        <v>353</v>
      </c>
      <c r="I17" s="841" t="s">
        <v>353</v>
      </c>
      <c r="J17" s="841" t="s">
        <v>353</v>
      </c>
      <c r="K17" s="841" t="s">
        <v>353</v>
      </c>
      <c r="L17" s="842">
        <v>44606.579861111109</v>
      </c>
      <c r="M17" s="841" t="s">
        <v>353</v>
      </c>
      <c r="N17" s="841" t="s">
        <v>353</v>
      </c>
      <c r="O17" s="841" t="s">
        <v>353</v>
      </c>
      <c r="P17" s="841" t="s">
        <v>353</v>
      </c>
      <c r="Q17" s="841" t="s">
        <v>353</v>
      </c>
      <c r="R17" s="841" t="s">
        <v>353</v>
      </c>
      <c r="S17" s="841" t="s">
        <v>353</v>
      </c>
      <c r="T17" s="841" t="s">
        <v>1390</v>
      </c>
      <c r="U17" s="841" t="s">
        <v>353</v>
      </c>
      <c r="V17" s="841" t="s">
        <v>353</v>
      </c>
      <c r="W17" s="841" t="s">
        <v>353</v>
      </c>
      <c r="X17" s="841" t="s">
        <v>353</v>
      </c>
      <c r="Y17" s="841" t="s">
        <v>353</v>
      </c>
      <c r="Z17" s="841" t="s">
        <v>353</v>
      </c>
      <c r="AA17" s="841" t="s">
        <v>353</v>
      </c>
      <c r="AB17" s="841" t="s">
        <v>353</v>
      </c>
      <c r="AC17" s="841" t="s">
        <v>353</v>
      </c>
      <c r="AD17" s="841" t="s">
        <v>353</v>
      </c>
      <c r="AE17" s="841" t="s">
        <v>353</v>
      </c>
      <c r="AF17" s="841" t="s">
        <v>353</v>
      </c>
      <c r="AG17" s="841" t="s">
        <v>353</v>
      </c>
      <c r="AH17" s="841" t="s">
        <v>353</v>
      </c>
      <c r="AI17" s="841" t="s">
        <v>1592</v>
      </c>
      <c r="AJ17" s="841" t="s">
        <v>353</v>
      </c>
      <c r="AK17" s="841" t="s">
        <v>353</v>
      </c>
      <c r="AL17" s="841" t="s">
        <v>353</v>
      </c>
      <c r="AM17" s="841" t="s">
        <v>353</v>
      </c>
      <c r="AN17" s="841" t="s">
        <v>353</v>
      </c>
      <c r="AO17" s="841" t="s">
        <v>353</v>
      </c>
      <c r="AP17" s="841" t="s">
        <v>353</v>
      </c>
      <c r="AQ17" s="841" t="s">
        <v>353</v>
      </c>
      <c r="AR17" s="841" t="s">
        <v>353</v>
      </c>
      <c r="AS17" s="841" t="s">
        <v>353</v>
      </c>
      <c r="AT17" s="841" t="s">
        <v>353</v>
      </c>
      <c r="AU17" s="841" t="s">
        <v>353</v>
      </c>
      <c r="AV17" s="841" t="s">
        <v>353</v>
      </c>
      <c r="AW17" s="841" t="s">
        <v>353</v>
      </c>
      <c r="AX17" s="841" t="s">
        <v>353</v>
      </c>
      <c r="AY17" s="841" t="s">
        <v>353</v>
      </c>
      <c r="AZ17" s="841" t="s">
        <v>353</v>
      </c>
      <c r="BA17" s="841" t="s">
        <v>353</v>
      </c>
      <c r="BB17" s="841" t="s">
        <v>353</v>
      </c>
      <c r="BC17" s="841" t="s">
        <v>353</v>
      </c>
      <c r="BD17" s="841" t="s">
        <v>353</v>
      </c>
      <c r="BE17" s="841" t="s">
        <v>353</v>
      </c>
      <c r="BF17" s="841" t="s">
        <v>353</v>
      </c>
      <c r="BG17" s="841" t="s">
        <v>353</v>
      </c>
      <c r="BH17" s="841" t="s">
        <v>353</v>
      </c>
      <c r="BI17" s="841" t="s">
        <v>353</v>
      </c>
      <c r="BJ17" s="841" t="s">
        <v>353</v>
      </c>
      <c r="BK17" s="841" t="s">
        <v>353</v>
      </c>
      <c r="BL17" s="841" t="s">
        <v>353</v>
      </c>
      <c r="BM17" s="842">
        <v>44620.561805555553</v>
      </c>
      <c r="BN17" s="841" t="s">
        <v>353</v>
      </c>
      <c r="BO17" s="841" t="s">
        <v>353</v>
      </c>
      <c r="BP17" s="841" t="s">
        <v>353</v>
      </c>
      <c r="BQ17" s="841" t="s">
        <v>353</v>
      </c>
      <c r="BR17" s="841" t="s">
        <v>353</v>
      </c>
      <c r="BS17" s="841" t="s">
        <v>353</v>
      </c>
      <c r="BT17" s="841">
        <v>0</v>
      </c>
      <c r="BU17" s="841" t="s">
        <v>353</v>
      </c>
      <c r="BV17" s="841" t="s">
        <v>353</v>
      </c>
      <c r="BW17" s="841" t="s">
        <v>353</v>
      </c>
      <c r="BX17" s="841" t="s">
        <v>353</v>
      </c>
      <c r="BY17" s="841" t="s">
        <v>353</v>
      </c>
      <c r="BZ17" s="841" t="s">
        <v>353</v>
      </c>
      <c r="CA17" s="841" t="s">
        <v>353</v>
      </c>
      <c r="CB17" s="841" t="s">
        <v>353</v>
      </c>
      <c r="CC17" s="841" t="s">
        <v>353</v>
      </c>
      <c r="CD17" s="841">
        <v>1484520</v>
      </c>
      <c r="CE17" s="841" t="s">
        <v>353</v>
      </c>
      <c r="CF17" s="841" t="s">
        <v>353</v>
      </c>
      <c r="CG17" s="841" t="s">
        <v>353</v>
      </c>
      <c r="CH17" s="841" t="s">
        <v>353</v>
      </c>
      <c r="CI17" s="841" t="s">
        <v>353</v>
      </c>
      <c r="CJ17" s="841" t="s">
        <v>353</v>
      </c>
      <c r="CK17" s="841">
        <v>4</v>
      </c>
      <c r="CL17" s="841">
        <v>1383480</v>
      </c>
      <c r="CM17" s="841">
        <v>4</v>
      </c>
      <c r="CN17" s="841" t="s">
        <v>353</v>
      </c>
      <c r="CO17" s="841" t="s">
        <v>353</v>
      </c>
      <c r="CP17" s="841" t="s">
        <v>353</v>
      </c>
      <c r="CQ17" s="841" t="s">
        <v>353</v>
      </c>
      <c r="CR17" s="841" t="s">
        <v>353</v>
      </c>
      <c r="CS17" s="841" t="s">
        <v>353</v>
      </c>
      <c r="CT17" s="841" t="s">
        <v>353</v>
      </c>
      <c r="CU17" s="841" t="s">
        <v>1593</v>
      </c>
      <c r="CV17" s="841" t="s">
        <v>353</v>
      </c>
      <c r="CW17" s="841" t="s">
        <v>353</v>
      </c>
      <c r="CX17" s="841" t="s">
        <v>353</v>
      </c>
      <c r="CY17" s="841" t="s">
        <v>353</v>
      </c>
      <c r="CZ17" s="841" t="s">
        <v>353</v>
      </c>
      <c r="DA17" s="841" t="s">
        <v>353</v>
      </c>
      <c r="DB17" s="841" t="s">
        <v>353</v>
      </c>
      <c r="DC17" s="841" t="s">
        <v>353</v>
      </c>
      <c r="DD17" s="841" t="s">
        <v>353</v>
      </c>
      <c r="DE17" s="841" t="s">
        <v>353</v>
      </c>
      <c r="DF17" s="841" t="s">
        <v>353</v>
      </c>
      <c r="DG17" s="841" t="s">
        <v>353</v>
      </c>
      <c r="DH17" s="841" t="s">
        <v>353</v>
      </c>
      <c r="DI17" s="841" t="s">
        <v>353</v>
      </c>
      <c r="DJ17" s="841" t="s">
        <v>353</v>
      </c>
      <c r="DK17" s="841" t="s">
        <v>353</v>
      </c>
      <c r="DL17" s="842">
        <v>44603.561805555553</v>
      </c>
      <c r="DM17" s="841" t="s">
        <v>353</v>
      </c>
      <c r="DN17" s="841" t="s">
        <v>353</v>
      </c>
      <c r="DO17" s="841" t="s">
        <v>673</v>
      </c>
      <c r="DP17" s="841" t="s">
        <v>353</v>
      </c>
      <c r="DQ17" s="841" t="s">
        <v>1392</v>
      </c>
      <c r="DR17" s="841">
        <v>1262520</v>
      </c>
      <c r="DS17" s="841" t="s">
        <v>353</v>
      </c>
      <c r="DT17" s="841" t="s">
        <v>353</v>
      </c>
      <c r="DU17" s="841" t="s">
        <v>353</v>
      </c>
      <c r="DV17" s="841" t="s">
        <v>353</v>
      </c>
      <c r="DW17" s="841" t="s">
        <v>353</v>
      </c>
      <c r="DX17" s="841" t="s">
        <v>353</v>
      </c>
      <c r="DY17" s="841" t="s">
        <v>353</v>
      </c>
      <c r="DZ17" s="841" t="s">
        <v>353</v>
      </c>
      <c r="EA17" s="841" t="s">
        <v>353</v>
      </c>
      <c r="EB17" s="841" t="s">
        <v>353</v>
      </c>
      <c r="EC17" s="841" t="s">
        <v>353</v>
      </c>
      <c r="ED17" s="841" t="s">
        <v>353</v>
      </c>
      <c r="EE17" s="841" t="s">
        <v>353</v>
      </c>
      <c r="EF17" s="841" t="s">
        <v>353</v>
      </c>
      <c r="EG17" s="841" t="s">
        <v>353</v>
      </c>
      <c r="EH17" s="841" t="s">
        <v>353</v>
      </c>
      <c r="EI17" s="841" t="s">
        <v>353</v>
      </c>
      <c r="EJ17" s="841" t="s">
        <v>353</v>
      </c>
      <c r="EK17" s="841" t="s">
        <v>353</v>
      </c>
      <c r="EL17" s="841" t="s">
        <v>353</v>
      </c>
      <c r="EM17" s="841" t="s">
        <v>353</v>
      </c>
      <c r="EN17" s="841" t="s">
        <v>353</v>
      </c>
      <c r="EO17" s="841" t="s">
        <v>353</v>
      </c>
      <c r="EP17" s="841" t="s">
        <v>353</v>
      </c>
      <c r="EQ17" s="841" t="s">
        <v>353</v>
      </c>
      <c r="ER17" s="841" t="s">
        <v>353</v>
      </c>
      <c r="ES17" s="841" t="s">
        <v>353</v>
      </c>
      <c r="ET17" s="841" t="s">
        <v>1393</v>
      </c>
      <c r="EU17" s="841" t="s">
        <v>353</v>
      </c>
      <c r="EV17" s="841" t="s">
        <v>353</v>
      </c>
      <c r="EW17" s="841" t="s">
        <v>353</v>
      </c>
      <c r="EX17" s="841" t="s">
        <v>353</v>
      </c>
      <c r="EY17" s="842">
        <v>44606.579861111109</v>
      </c>
      <c r="EZ17" s="841" t="s">
        <v>353</v>
      </c>
      <c r="FA17" s="841" t="s">
        <v>353</v>
      </c>
      <c r="FB17" s="841" t="s">
        <v>353</v>
      </c>
      <c r="FC17" s="841" t="s">
        <v>353</v>
      </c>
      <c r="FD17" s="841" t="s">
        <v>353</v>
      </c>
      <c r="FE17" s="842">
        <v>44603.588888888888</v>
      </c>
      <c r="FF17" s="841" t="s">
        <v>353</v>
      </c>
      <c r="FG17" s="841" t="s">
        <v>353</v>
      </c>
      <c r="FH17" s="841" t="s">
        <v>353</v>
      </c>
      <c r="FI17" s="841" t="s">
        <v>353</v>
      </c>
      <c r="FJ17" s="841" t="s">
        <v>353</v>
      </c>
      <c r="FK17" s="841" t="s">
        <v>353</v>
      </c>
      <c r="FL17" s="841" t="s">
        <v>353</v>
      </c>
      <c r="FM17" s="841" t="s">
        <v>353</v>
      </c>
      <c r="FN17" s="841" t="s">
        <v>353</v>
      </c>
      <c r="FO17" s="841" t="s">
        <v>353</v>
      </c>
      <c r="FP17" s="841" t="s">
        <v>353</v>
      </c>
      <c r="FQ17" s="841" t="s">
        <v>353</v>
      </c>
      <c r="FR17" s="841" t="s">
        <v>353</v>
      </c>
      <c r="FS17" s="841" t="s">
        <v>353</v>
      </c>
      <c r="FT17" s="841" t="s">
        <v>353</v>
      </c>
      <c r="FU17" s="841" t="s">
        <v>1394</v>
      </c>
      <c r="FV17" s="841" t="s">
        <v>353</v>
      </c>
      <c r="FW17" s="841" t="s">
        <v>353</v>
      </c>
      <c r="FX17" s="841" t="s">
        <v>353</v>
      </c>
      <c r="FY17" s="841" t="s">
        <v>353</v>
      </c>
      <c r="FZ17" s="841" t="s">
        <v>353</v>
      </c>
      <c r="GA17" s="841" t="s">
        <v>353</v>
      </c>
      <c r="GB17" s="841">
        <v>1</v>
      </c>
      <c r="GC17" s="841" t="s">
        <v>353</v>
      </c>
      <c r="GD17" s="841" t="s">
        <v>1594</v>
      </c>
      <c r="GE17" s="841" t="s">
        <v>353</v>
      </c>
      <c r="GF17" s="841" t="s">
        <v>353</v>
      </c>
      <c r="GG17" s="841" t="s">
        <v>353</v>
      </c>
      <c r="GH17" s="841" t="s">
        <v>353</v>
      </c>
      <c r="GI17" s="841" t="s">
        <v>353</v>
      </c>
      <c r="GJ17" s="841" t="s">
        <v>353</v>
      </c>
      <c r="GK17" s="841" t="s">
        <v>353</v>
      </c>
      <c r="GL17" s="841" t="s">
        <v>1595</v>
      </c>
      <c r="GM17" s="841" t="s">
        <v>353</v>
      </c>
      <c r="GN17" s="841" t="s">
        <v>353</v>
      </c>
      <c r="GO17" s="841" t="s">
        <v>353</v>
      </c>
      <c r="GP17" s="841" t="s">
        <v>353</v>
      </c>
      <c r="GQ17" s="841" t="s">
        <v>353</v>
      </c>
      <c r="GR17" s="842">
        <v>44606.579861111109</v>
      </c>
      <c r="GS17" s="841" t="s">
        <v>353</v>
      </c>
      <c r="GT17" s="841" t="s">
        <v>353</v>
      </c>
      <c r="GU17" s="841" t="s">
        <v>353</v>
      </c>
      <c r="GV17" s="841" t="s">
        <v>1076</v>
      </c>
      <c r="GW17" s="841" t="s">
        <v>353</v>
      </c>
      <c r="GX17" s="841" t="s">
        <v>353</v>
      </c>
      <c r="GY17" s="841" t="s">
        <v>353</v>
      </c>
      <c r="GZ17" s="841" t="s">
        <v>353</v>
      </c>
      <c r="HA17" s="841" t="s">
        <v>353</v>
      </c>
      <c r="HB17" s="841" t="s">
        <v>353</v>
      </c>
      <c r="HC17" s="841" t="s">
        <v>353</v>
      </c>
      <c r="HD17" s="841" t="s">
        <v>1602</v>
      </c>
      <c r="HE17" s="841" t="s">
        <v>353</v>
      </c>
      <c r="HF17" s="841" t="s">
        <v>353</v>
      </c>
      <c r="HG17" s="841" t="s">
        <v>353</v>
      </c>
      <c r="HH17" s="841" t="s">
        <v>353</v>
      </c>
      <c r="HI17" s="841" t="s">
        <v>1603</v>
      </c>
      <c r="HJ17" s="841" t="s">
        <v>353</v>
      </c>
      <c r="HK17" s="841" t="s">
        <v>353</v>
      </c>
      <c r="HL17" s="841" t="s">
        <v>353</v>
      </c>
      <c r="HM17" s="841" t="s">
        <v>353</v>
      </c>
      <c r="HN17" s="841" t="s">
        <v>353</v>
      </c>
      <c r="HO17" s="841" t="s">
        <v>353</v>
      </c>
      <c r="HP17" s="841" t="s">
        <v>353</v>
      </c>
      <c r="HQ17" s="841" t="s">
        <v>353</v>
      </c>
      <c r="HR17" s="841" t="s">
        <v>353</v>
      </c>
      <c r="HS17" s="841" t="s">
        <v>353</v>
      </c>
      <c r="HT17" s="841" t="s">
        <v>353</v>
      </c>
      <c r="HU17" s="841" t="s">
        <v>353</v>
      </c>
      <c r="HV17" s="841" t="s">
        <v>353</v>
      </c>
      <c r="HW17" s="841" t="s">
        <v>353</v>
      </c>
      <c r="HX17" s="841" t="s">
        <v>353</v>
      </c>
      <c r="HY17" s="841" t="s">
        <v>353</v>
      </c>
      <c r="HZ17" s="841" t="s">
        <v>353</v>
      </c>
      <c r="IA17" s="841" t="s">
        <v>353</v>
      </c>
      <c r="IB17" s="841" t="s">
        <v>1604</v>
      </c>
      <c r="IC17" s="841" t="s">
        <v>353</v>
      </c>
      <c r="ID17" s="841" t="s">
        <v>353</v>
      </c>
      <c r="IE17" s="841" t="s">
        <v>353</v>
      </c>
      <c r="IF17" s="841" t="s">
        <v>353</v>
      </c>
      <c r="IG17" s="841" t="s">
        <v>353</v>
      </c>
      <c r="IH17" s="841" t="s">
        <v>353</v>
      </c>
      <c r="II17" s="841" t="s">
        <v>353</v>
      </c>
      <c r="IJ17" s="841" t="s">
        <v>353</v>
      </c>
      <c r="IK17" s="841" t="s">
        <v>353</v>
      </c>
      <c r="IL17" s="841" t="s">
        <v>353</v>
      </c>
      <c r="IM17" s="841" t="s">
        <v>353</v>
      </c>
      <c r="IN17" s="841" t="s">
        <v>353</v>
      </c>
      <c r="IO17" s="841" t="s">
        <v>353</v>
      </c>
      <c r="IP17" s="841" t="s">
        <v>353</v>
      </c>
      <c r="IQ17" s="841" t="s">
        <v>353</v>
      </c>
      <c r="IR17" s="841" t="s">
        <v>353</v>
      </c>
      <c r="IS17" s="841" t="s">
        <v>353</v>
      </c>
      <c r="IT17" s="841" t="s">
        <v>353</v>
      </c>
      <c r="IU17" s="841" t="s">
        <v>353</v>
      </c>
      <c r="IV17" s="841" t="s">
        <v>353</v>
      </c>
      <c r="IW17" s="841" t="s">
        <v>353</v>
      </c>
      <c r="IX17" s="841" t="s">
        <v>353</v>
      </c>
      <c r="IY17" s="841" t="s">
        <v>353</v>
      </c>
      <c r="IZ17" s="841" t="s">
        <v>353</v>
      </c>
      <c r="JA17" s="841" t="s">
        <v>353</v>
      </c>
      <c r="JB17" s="841" t="s">
        <v>353</v>
      </c>
      <c r="JC17" s="841" t="s">
        <v>353</v>
      </c>
      <c r="JD17" s="841" t="s">
        <v>353</v>
      </c>
      <c r="JE17" s="841" t="s">
        <v>353</v>
      </c>
      <c r="JF17" s="841" t="s">
        <v>1597</v>
      </c>
      <c r="JG17" s="841" t="s">
        <v>1598</v>
      </c>
      <c r="JH17" s="841" t="s">
        <v>1599</v>
      </c>
      <c r="JI17" s="841" t="s">
        <v>1600</v>
      </c>
    </row>
    <row r="18" spans="1:269" x14ac:dyDescent="0.25">
      <c r="A18" s="841" t="s">
        <v>1605</v>
      </c>
      <c r="B18" s="841" t="s">
        <v>353</v>
      </c>
      <c r="C18" s="841" t="s">
        <v>353</v>
      </c>
      <c r="D18" s="841" t="s">
        <v>353</v>
      </c>
      <c r="E18" s="841" t="s">
        <v>353</v>
      </c>
      <c r="F18" s="841" t="s">
        <v>353</v>
      </c>
      <c r="G18" s="841" t="s">
        <v>353</v>
      </c>
      <c r="H18" s="841" t="s">
        <v>353</v>
      </c>
      <c r="I18" s="841" t="s">
        <v>353</v>
      </c>
      <c r="J18" s="841" t="s">
        <v>353</v>
      </c>
      <c r="K18" s="841" t="s">
        <v>353</v>
      </c>
      <c r="L18" s="842">
        <v>44606.395138888889</v>
      </c>
      <c r="M18" s="841" t="s">
        <v>353</v>
      </c>
      <c r="N18" s="841" t="s">
        <v>353</v>
      </c>
      <c r="O18" s="841" t="s">
        <v>353</v>
      </c>
      <c r="P18" s="841" t="s">
        <v>353</v>
      </c>
      <c r="Q18" s="841" t="s">
        <v>353</v>
      </c>
      <c r="R18" s="841" t="s">
        <v>353</v>
      </c>
      <c r="S18" s="841" t="s">
        <v>353</v>
      </c>
      <c r="T18" s="841" t="s">
        <v>1390</v>
      </c>
      <c r="U18" s="841" t="s">
        <v>353</v>
      </c>
      <c r="V18" s="841" t="s">
        <v>353</v>
      </c>
      <c r="W18" s="841" t="s">
        <v>353</v>
      </c>
      <c r="X18" s="841" t="s">
        <v>353</v>
      </c>
      <c r="Y18" s="841" t="s">
        <v>353</v>
      </c>
      <c r="Z18" s="841" t="s">
        <v>353</v>
      </c>
      <c r="AA18" s="841" t="s">
        <v>353</v>
      </c>
      <c r="AB18" s="841" t="s">
        <v>353</v>
      </c>
      <c r="AC18" s="841" t="s">
        <v>353</v>
      </c>
      <c r="AD18" s="841" t="s">
        <v>353</v>
      </c>
      <c r="AE18" s="841" t="s">
        <v>353</v>
      </c>
      <c r="AF18" s="841" t="s">
        <v>353</v>
      </c>
      <c r="AG18" s="841" t="s">
        <v>353</v>
      </c>
      <c r="AH18" s="841" t="s">
        <v>353</v>
      </c>
      <c r="AI18" s="841" t="s">
        <v>1521</v>
      </c>
      <c r="AJ18" s="841" t="s">
        <v>353</v>
      </c>
      <c r="AK18" s="841">
        <v>65</v>
      </c>
      <c r="AL18" s="841" t="s">
        <v>353</v>
      </c>
      <c r="AM18" s="841" t="s">
        <v>353</v>
      </c>
      <c r="AN18" s="841" t="s">
        <v>353</v>
      </c>
      <c r="AO18" s="841" t="s">
        <v>353</v>
      </c>
      <c r="AP18" s="841" t="s">
        <v>353</v>
      </c>
      <c r="AQ18" s="841" t="s">
        <v>353</v>
      </c>
      <c r="AR18" s="841" t="s">
        <v>353</v>
      </c>
      <c r="AS18" s="841" t="s">
        <v>353</v>
      </c>
      <c r="AT18" s="841" t="s">
        <v>353</v>
      </c>
      <c r="AU18" s="841" t="s">
        <v>353</v>
      </c>
      <c r="AV18" s="841" t="s">
        <v>353</v>
      </c>
      <c r="AW18" s="841" t="s">
        <v>353</v>
      </c>
      <c r="AX18" s="841" t="s">
        <v>353</v>
      </c>
      <c r="AY18" s="841" t="s">
        <v>353</v>
      </c>
      <c r="AZ18" s="841" t="s">
        <v>353</v>
      </c>
      <c r="BA18" s="841" t="s">
        <v>353</v>
      </c>
      <c r="BB18" s="841" t="s">
        <v>353</v>
      </c>
      <c r="BC18" s="841" t="s">
        <v>353</v>
      </c>
      <c r="BD18" s="841" t="s">
        <v>353</v>
      </c>
      <c r="BE18" s="841" t="s">
        <v>353</v>
      </c>
      <c r="BF18" s="841" t="s">
        <v>353</v>
      </c>
      <c r="BG18" s="841" t="s">
        <v>353</v>
      </c>
      <c r="BH18" s="841" t="s">
        <v>353</v>
      </c>
      <c r="BI18" s="841" t="s">
        <v>353</v>
      </c>
      <c r="BJ18" s="841" t="s">
        <v>353</v>
      </c>
      <c r="BK18" s="841" t="s">
        <v>353</v>
      </c>
      <c r="BL18" s="841" t="s">
        <v>1606</v>
      </c>
      <c r="BM18" s="842">
        <v>44620.495833333334</v>
      </c>
      <c r="BN18" s="841" t="s">
        <v>353</v>
      </c>
      <c r="BO18" s="841" t="s">
        <v>353</v>
      </c>
      <c r="BP18" s="841" t="s">
        <v>353</v>
      </c>
      <c r="BQ18" s="841" t="s">
        <v>353</v>
      </c>
      <c r="BR18" s="841" t="s">
        <v>353</v>
      </c>
      <c r="BS18" s="841" t="s">
        <v>353</v>
      </c>
      <c r="BT18" s="841">
        <v>1157000</v>
      </c>
      <c r="BU18" s="841" t="s">
        <v>353</v>
      </c>
      <c r="BV18" s="841" t="s">
        <v>353</v>
      </c>
      <c r="BW18" s="841" t="s">
        <v>353</v>
      </c>
      <c r="BX18" s="841" t="s">
        <v>1607</v>
      </c>
      <c r="BY18" s="841" t="s">
        <v>353</v>
      </c>
      <c r="BZ18" s="841" t="s">
        <v>353</v>
      </c>
      <c r="CA18" s="841" t="s">
        <v>353</v>
      </c>
      <c r="CB18" s="841" t="s">
        <v>353</v>
      </c>
      <c r="CC18" s="841" t="s">
        <v>353</v>
      </c>
      <c r="CD18" s="841" t="s">
        <v>353</v>
      </c>
      <c r="CE18" s="841" t="s">
        <v>353</v>
      </c>
      <c r="CF18" s="841" t="s">
        <v>353</v>
      </c>
      <c r="CG18" s="841" t="s">
        <v>353</v>
      </c>
      <c r="CH18" s="841" t="s">
        <v>353</v>
      </c>
      <c r="CI18" s="841" t="s">
        <v>353</v>
      </c>
      <c r="CJ18" s="841" t="s">
        <v>353</v>
      </c>
      <c r="CK18" s="841">
        <v>0</v>
      </c>
      <c r="CL18" s="841" t="s">
        <v>353</v>
      </c>
      <c r="CM18" s="841">
        <v>1</v>
      </c>
      <c r="CN18" s="841" t="s">
        <v>353</v>
      </c>
      <c r="CO18" s="841" t="s">
        <v>353</v>
      </c>
      <c r="CP18" s="841" t="s">
        <v>1608</v>
      </c>
      <c r="CQ18" s="841" t="s">
        <v>353</v>
      </c>
      <c r="CR18" s="841" t="s">
        <v>353</v>
      </c>
      <c r="CS18" s="841" t="s">
        <v>353</v>
      </c>
      <c r="CT18" s="841" t="s">
        <v>353</v>
      </c>
      <c r="CU18" s="841" t="s">
        <v>1391</v>
      </c>
      <c r="CV18" s="841" t="s">
        <v>353</v>
      </c>
      <c r="CW18" s="841" t="s">
        <v>353</v>
      </c>
      <c r="CX18" s="841" t="s">
        <v>353</v>
      </c>
      <c r="CY18" s="841" t="s">
        <v>353</v>
      </c>
      <c r="CZ18" s="841" t="s">
        <v>353</v>
      </c>
      <c r="DA18" s="841" t="s">
        <v>353</v>
      </c>
      <c r="DB18" s="841" t="s">
        <v>353</v>
      </c>
      <c r="DC18" s="841" t="s">
        <v>353</v>
      </c>
      <c r="DD18" s="841" t="s">
        <v>353</v>
      </c>
      <c r="DE18" s="841" t="s">
        <v>353</v>
      </c>
      <c r="DF18" s="841" t="s">
        <v>353</v>
      </c>
      <c r="DG18" s="841" t="s">
        <v>353</v>
      </c>
      <c r="DH18" s="841" t="s">
        <v>353</v>
      </c>
      <c r="DI18" s="841" t="s">
        <v>353</v>
      </c>
      <c r="DJ18" s="841" t="s">
        <v>353</v>
      </c>
      <c r="DK18" s="841" t="s">
        <v>353</v>
      </c>
      <c r="DL18" s="842">
        <v>44603.495833333334</v>
      </c>
      <c r="DM18" s="841" t="s">
        <v>353</v>
      </c>
      <c r="DN18" s="841" t="s">
        <v>353</v>
      </c>
      <c r="DO18" s="841" t="s">
        <v>673</v>
      </c>
      <c r="DP18" s="841" t="s">
        <v>353</v>
      </c>
      <c r="DQ18" s="841" t="s">
        <v>1434</v>
      </c>
      <c r="DR18" s="841">
        <v>1780000</v>
      </c>
      <c r="DS18" s="841" t="s">
        <v>353</v>
      </c>
      <c r="DT18" s="841" t="s">
        <v>353</v>
      </c>
      <c r="DU18" s="841" t="s">
        <v>353</v>
      </c>
      <c r="DV18" s="841" t="s">
        <v>353</v>
      </c>
      <c r="DW18" s="841" t="s">
        <v>353</v>
      </c>
      <c r="DX18" s="841" t="s">
        <v>353</v>
      </c>
      <c r="DY18" s="841" t="s">
        <v>353</v>
      </c>
      <c r="DZ18" s="841" t="s">
        <v>353</v>
      </c>
      <c r="EA18" s="841" t="s">
        <v>353</v>
      </c>
      <c r="EB18" s="841" t="s">
        <v>353</v>
      </c>
      <c r="EC18" s="841" t="s">
        <v>353</v>
      </c>
      <c r="ED18" s="841" t="s">
        <v>353</v>
      </c>
      <c r="EE18" s="841" t="s">
        <v>353</v>
      </c>
      <c r="EF18" s="841" t="s">
        <v>353</v>
      </c>
      <c r="EG18" s="841" t="s">
        <v>353</v>
      </c>
      <c r="EH18" s="841" t="s">
        <v>353</v>
      </c>
      <c r="EI18" s="841" t="s">
        <v>353</v>
      </c>
      <c r="EJ18" s="841" t="s">
        <v>353</v>
      </c>
      <c r="EK18" s="841" t="s">
        <v>353</v>
      </c>
      <c r="EL18" s="841" t="s">
        <v>353</v>
      </c>
      <c r="EM18" s="841" t="s">
        <v>353</v>
      </c>
      <c r="EN18" s="841" t="s">
        <v>353</v>
      </c>
      <c r="EO18" s="841" t="s">
        <v>353</v>
      </c>
      <c r="EP18" s="841" t="s">
        <v>353</v>
      </c>
      <c r="EQ18" s="841" t="s">
        <v>353</v>
      </c>
      <c r="ER18" s="841" t="s">
        <v>353</v>
      </c>
      <c r="ES18" s="841" t="s">
        <v>353</v>
      </c>
      <c r="ET18" s="841" t="s">
        <v>1512</v>
      </c>
      <c r="EU18" s="841" t="s">
        <v>353</v>
      </c>
      <c r="EV18" s="841" t="s">
        <v>353</v>
      </c>
      <c r="EW18" s="841" t="s">
        <v>353</v>
      </c>
      <c r="EX18" s="841" t="s">
        <v>353</v>
      </c>
      <c r="EY18" s="842">
        <v>44606.395138888889</v>
      </c>
      <c r="EZ18" s="841" t="s">
        <v>353</v>
      </c>
      <c r="FA18" s="841" t="s">
        <v>353</v>
      </c>
      <c r="FB18" s="841" t="s">
        <v>353</v>
      </c>
      <c r="FC18" s="841" t="s">
        <v>353</v>
      </c>
      <c r="FD18" s="841" t="s">
        <v>353</v>
      </c>
      <c r="FE18" s="842">
        <v>44603.495833333334</v>
      </c>
      <c r="FF18" s="841" t="s">
        <v>353</v>
      </c>
      <c r="FG18" s="841" t="s">
        <v>353</v>
      </c>
      <c r="FH18" s="841" t="s">
        <v>353</v>
      </c>
      <c r="FI18" s="841" t="s">
        <v>353</v>
      </c>
      <c r="FJ18" s="841" t="s">
        <v>353</v>
      </c>
      <c r="FK18" s="841" t="s">
        <v>353</v>
      </c>
      <c r="FL18" s="841" t="s">
        <v>353</v>
      </c>
      <c r="FM18" s="841" t="s">
        <v>353</v>
      </c>
      <c r="FN18" s="841" t="s">
        <v>353</v>
      </c>
      <c r="FO18" s="841" t="s">
        <v>353</v>
      </c>
      <c r="FP18" s="841" t="s">
        <v>353</v>
      </c>
      <c r="FQ18" s="841" t="s">
        <v>353</v>
      </c>
      <c r="FR18" s="841" t="s">
        <v>353</v>
      </c>
      <c r="FS18" s="841" t="s">
        <v>353</v>
      </c>
      <c r="FT18" s="841" t="s">
        <v>353</v>
      </c>
      <c r="FU18" s="841" t="s">
        <v>1416</v>
      </c>
      <c r="FV18" s="841" t="s">
        <v>353</v>
      </c>
      <c r="FW18" s="841" t="s">
        <v>353</v>
      </c>
      <c r="FX18" s="841" t="s">
        <v>353</v>
      </c>
      <c r="FY18" s="841" t="s">
        <v>353</v>
      </c>
      <c r="FZ18" s="841" t="s">
        <v>353</v>
      </c>
      <c r="GA18" s="841" t="s">
        <v>353</v>
      </c>
      <c r="GB18" s="841">
        <v>1</v>
      </c>
      <c r="GC18" s="841" t="s">
        <v>353</v>
      </c>
      <c r="GD18" s="841" t="s">
        <v>1417</v>
      </c>
      <c r="GE18" s="841" t="s">
        <v>353</v>
      </c>
      <c r="GF18" s="841" t="s">
        <v>353</v>
      </c>
      <c r="GG18" s="841" t="s">
        <v>353</v>
      </c>
      <c r="GH18" s="841" t="s">
        <v>353</v>
      </c>
      <c r="GI18" s="841" t="s">
        <v>353</v>
      </c>
      <c r="GJ18" s="841" t="s">
        <v>353</v>
      </c>
      <c r="GK18" s="841" t="s">
        <v>353</v>
      </c>
      <c r="GL18" s="841" t="s">
        <v>1609</v>
      </c>
      <c r="GM18" s="841" t="s">
        <v>353</v>
      </c>
      <c r="GN18" s="841" t="s">
        <v>353</v>
      </c>
      <c r="GO18" s="841" t="s">
        <v>353</v>
      </c>
      <c r="GP18" s="841" t="s">
        <v>353</v>
      </c>
      <c r="GQ18" s="841" t="s">
        <v>353</v>
      </c>
      <c r="GR18" s="841" t="s">
        <v>353</v>
      </c>
      <c r="GS18" s="841" t="s">
        <v>353</v>
      </c>
      <c r="GT18" s="841" t="s">
        <v>353</v>
      </c>
      <c r="GU18" s="841" t="s">
        <v>353</v>
      </c>
      <c r="GV18" s="841" t="s">
        <v>1419</v>
      </c>
      <c r="GW18" s="841" t="s">
        <v>353</v>
      </c>
      <c r="GX18" s="841" t="s">
        <v>353</v>
      </c>
      <c r="GY18" s="841" t="s">
        <v>353</v>
      </c>
      <c r="GZ18" s="841" t="s">
        <v>353</v>
      </c>
      <c r="HA18" s="841" t="s">
        <v>353</v>
      </c>
      <c r="HB18" s="841" t="s">
        <v>353</v>
      </c>
      <c r="HC18" s="841" t="s">
        <v>353</v>
      </c>
      <c r="HD18" s="841" t="s">
        <v>1610</v>
      </c>
      <c r="HE18" s="841" t="s">
        <v>353</v>
      </c>
      <c r="HF18" s="841" t="s">
        <v>353</v>
      </c>
      <c r="HG18" s="841" t="s">
        <v>353</v>
      </c>
      <c r="HH18" s="841" t="s">
        <v>353</v>
      </c>
      <c r="HI18" s="841" t="s">
        <v>1422</v>
      </c>
      <c r="HJ18" s="841" t="s">
        <v>353</v>
      </c>
      <c r="HK18" s="841" t="s">
        <v>353</v>
      </c>
      <c r="HL18" s="841" t="s">
        <v>353</v>
      </c>
      <c r="HM18" s="841" t="s">
        <v>353</v>
      </c>
      <c r="HN18" s="841" t="s">
        <v>353</v>
      </c>
      <c r="HO18" s="841" t="s">
        <v>353</v>
      </c>
      <c r="HP18" s="841" t="s">
        <v>353</v>
      </c>
      <c r="HQ18" s="841" t="s">
        <v>353</v>
      </c>
      <c r="HR18" s="841" t="s">
        <v>353</v>
      </c>
      <c r="HS18" s="841" t="s">
        <v>353</v>
      </c>
      <c r="HT18" s="841" t="s">
        <v>353</v>
      </c>
      <c r="HU18" s="841" t="s">
        <v>353</v>
      </c>
      <c r="HV18" s="841" t="s">
        <v>353</v>
      </c>
      <c r="HW18" s="841">
        <v>1780000</v>
      </c>
      <c r="HX18" s="841" t="s">
        <v>353</v>
      </c>
      <c r="HY18" s="841" t="s">
        <v>353</v>
      </c>
      <c r="HZ18" s="841" t="s">
        <v>353</v>
      </c>
      <c r="IA18" s="841" t="s">
        <v>353</v>
      </c>
      <c r="IB18" s="841" t="s">
        <v>1424</v>
      </c>
      <c r="IC18" s="841" t="s">
        <v>353</v>
      </c>
      <c r="ID18" s="841" t="s">
        <v>353</v>
      </c>
      <c r="IE18" s="841" t="s">
        <v>353</v>
      </c>
      <c r="IF18" s="841" t="s">
        <v>353</v>
      </c>
      <c r="IG18" s="841" t="s">
        <v>353</v>
      </c>
      <c r="IH18" s="841" t="s">
        <v>353</v>
      </c>
      <c r="II18" s="841" t="s">
        <v>353</v>
      </c>
      <c r="IJ18" s="841" t="s">
        <v>353</v>
      </c>
      <c r="IK18" s="841" t="s">
        <v>353</v>
      </c>
      <c r="IL18" s="841" t="s">
        <v>353</v>
      </c>
      <c r="IM18" s="841" t="s">
        <v>353</v>
      </c>
      <c r="IN18" s="841" t="s">
        <v>353</v>
      </c>
      <c r="IO18" s="841" t="s">
        <v>353</v>
      </c>
      <c r="IP18" s="841" t="s">
        <v>353</v>
      </c>
      <c r="IQ18" s="841" t="s">
        <v>353</v>
      </c>
      <c r="IR18" s="841" t="s">
        <v>353</v>
      </c>
      <c r="IS18" s="841" t="s">
        <v>353</v>
      </c>
      <c r="IT18" s="841" t="s">
        <v>353</v>
      </c>
      <c r="IU18" s="841" t="s">
        <v>353</v>
      </c>
      <c r="IV18" s="841" t="s">
        <v>353</v>
      </c>
      <c r="IW18" s="841" t="s">
        <v>353</v>
      </c>
      <c r="IX18" s="841" t="s">
        <v>353</v>
      </c>
      <c r="IY18" s="841" t="s">
        <v>353</v>
      </c>
      <c r="IZ18" s="841" t="s">
        <v>353</v>
      </c>
      <c r="JA18" s="841" t="s">
        <v>353</v>
      </c>
      <c r="JB18" s="841" t="s">
        <v>353</v>
      </c>
      <c r="JC18" s="841" t="s">
        <v>353</v>
      </c>
      <c r="JD18" s="841" t="s">
        <v>353</v>
      </c>
      <c r="JE18" s="841" t="s">
        <v>353</v>
      </c>
      <c r="JF18" s="841" t="s">
        <v>353</v>
      </c>
      <c r="JG18" s="841" t="s">
        <v>353</v>
      </c>
      <c r="JH18" s="841" t="s">
        <v>1611</v>
      </c>
      <c r="JI18" s="841" t="s">
        <v>1612</v>
      </c>
    </row>
    <row r="19" spans="1:269" x14ac:dyDescent="0.25">
      <c r="A19" s="841" t="s">
        <v>1613</v>
      </c>
      <c r="B19" s="841" t="s">
        <v>353</v>
      </c>
      <c r="C19" s="841" t="s">
        <v>353</v>
      </c>
      <c r="D19" s="841" t="s">
        <v>353</v>
      </c>
      <c r="E19" s="841" t="s">
        <v>353</v>
      </c>
      <c r="F19" s="841" t="s">
        <v>353</v>
      </c>
      <c r="G19" s="841" t="s">
        <v>1614</v>
      </c>
      <c r="H19" s="841" t="s">
        <v>353</v>
      </c>
      <c r="I19" s="841" t="s">
        <v>353</v>
      </c>
      <c r="J19" s="841" t="s">
        <v>353</v>
      </c>
      <c r="K19" s="841" t="s">
        <v>353</v>
      </c>
      <c r="L19" s="842">
        <v>44606.438194444447</v>
      </c>
      <c r="M19" s="841" t="s">
        <v>353</v>
      </c>
      <c r="N19" s="841" t="s">
        <v>353</v>
      </c>
      <c r="O19" s="841" t="s">
        <v>353</v>
      </c>
      <c r="P19" s="841" t="s">
        <v>353</v>
      </c>
      <c r="Q19" s="841" t="s">
        <v>353</v>
      </c>
      <c r="R19" s="841" t="s">
        <v>353</v>
      </c>
      <c r="S19" s="841" t="s">
        <v>67</v>
      </c>
      <c r="T19" s="841" t="s">
        <v>1390</v>
      </c>
      <c r="U19" s="841" t="s">
        <v>353</v>
      </c>
      <c r="V19" s="841" t="s">
        <v>353</v>
      </c>
      <c r="W19" s="841" t="s">
        <v>1420</v>
      </c>
      <c r="X19" s="841" t="s">
        <v>1405</v>
      </c>
      <c r="Y19" s="841" t="s">
        <v>353</v>
      </c>
      <c r="Z19" s="841" t="s">
        <v>353</v>
      </c>
      <c r="AA19" s="841" t="s">
        <v>353</v>
      </c>
      <c r="AB19" s="841" t="s">
        <v>353</v>
      </c>
      <c r="AC19" s="841">
        <v>342000</v>
      </c>
      <c r="AD19" s="841" t="s">
        <v>353</v>
      </c>
      <c r="AE19" s="841" t="s">
        <v>353</v>
      </c>
      <c r="AF19" s="841" t="s">
        <v>353</v>
      </c>
      <c r="AG19" s="841" t="s">
        <v>353</v>
      </c>
      <c r="AH19" s="841">
        <v>7500</v>
      </c>
      <c r="AI19" s="841" t="s">
        <v>1521</v>
      </c>
      <c r="AJ19" s="841" t="s">
        <v>353</v>
      </c>
      <c r="AK19" s="841">
        <v>70</v>
      </c>
      <c r="AL19" s="841" t="s">
        <v>353</v>
      </c>
      <c r="AM19" s="841" t="s">
        <v>353</v>
      </c>
      <c r="AN19" s="841" t="s">
        <v>353</v>
      </c>
      <c r="AO19" s="841" t="s">
        <v>353</v>
      </c>
      <c r="AP19" s="841" t="s">
        <v>353</v>
      </c>
      <c r="AQ19" s="841" t="s">
        <v>353</v>
      </c>
      <c r="AR19" s="841" t="s">
        <v>353</v>
      </c>
      <c r="AS19" s="841" t="s">
        <v>353</v>
      </c>
      <c r="AT19" s="841" t="s">
        <v>353</v>
      </c>
      <c r="AU19" s="841" t="s">
        <v>353</v>
      </c>
      <c r="AV19" s="841" t="s">
        <v>353</v>
      </c>
      <c r="AW19" s="841" t="s">
        <v>353</v>
      </c>
      <c r="AX19" s="841" t="s">
        <v>353</v>
      </c>
      <c r="AY19" s="841" t="s">
        <v>353</v>
      </c>
      <c r="AZ19" s="841" t="s">
        <v>353</v>
      </c>
      <c r="BA19" s="841" t="s">
        <v>353</v>
      </c>
      <c r="BB19" s="841" t="s">
        <v>353</v>
      </c>
      <c r="BC19" s="841">
        <v>1630571</v>
      </c>
      <c r="BD19" s="841" t="s">
        <v>353</v>
      </c>
      <c r="BE19" s="841" t="s">
        <v>353</v>
      </c>
      <c r="BF19" s="841" t="s">
        <v>353</v>
      </c>
      <c r="BG19" s="841" t="s">
        <v>353</v>
      </c>
      <c r="BH19" s="841" t="s">
        <v>353</v>
      </c>
      <c r="BI19" s="841" t="s">
        <v>353</v>
      </c>
      <c r="BJ19" s="841" t="s">
        <v>353</v>
      </c>
      <c r="BK19" s="841" t="s">
        <v>353</v>
      </c>
      <c r="BL19" s="841" t="s">
        <v>1615</v>
      </c>
      <c r="BM19" s="842">
        <v>44620.451388888891</v>
      </c>
      <c r="BN19" s="841" t="s">
        <v>353</v>
      </c>
      <c r="BO19" s="841" t="s">
        <v>353</v>
      </c>
      <c r="BP19" s="841" t="s">
        <v>353</v>
      </c>
      <c r="BQ19" s="841" t="s">
        <v>353</v>
      </c>
      <c r="BR19" s="841" t="s">
        <v>353</v>
      </c>
      <c r="BS19" s="841" t="s">
        <v>353</v>
      </c>
      <c r="BT19" s="841">
        <v>1710000</v>
      </c>
      <c r="BU19" s="841" t="s">
        <v>353</v>
      </c>
      <c r="BV19" s="841" t="s">
        <v>1616</v>
      </c>
      <c r="BW19" s="841" t="s">
        <v>1578</v>
      </c>
      <c r="BX19" s="841" t="s">
        <v>353</v>
      </c>
      <c r="BY19" s="841" t="s">
        <v>353</v>
      </c>
      <c r="BZ19" s="841" t="s">
        <v>353</v>
      </c>
      <c r="CA19" s="841" t="s">
        <v>353</v>
      </c>
      <c r="CB19" s="841" t="s">
        <v>353</v>
      </c>
      <c r="CC19" s="841" t="s">
        <v>353</v>
      </c>
      <c r="CD19" s="841">
        <v>815900</v>
      </c>
      <c r="CE19" s="841" t="s">
        <v>353</v>
      </c>
      <c r="CF19" s="841" t="s">
        <v>353</v>
      </c>
      <c r="CG19" s="841" t="s">
        <v>353</v>
      </c>
      <c r="CH19" s="841" t="s">
        <v>353</v>
      </c>
      <c r="CI19" s="841" t="s">
        <v>353</v>
      </c>
      <c r="CJ19" s="841" t="s">
        <v>353</v>
      </c>
      <c r="CK19" s="841">
        <v>2</v>
      </c>
      <c r="CL19" s="841">
        <v>815900</v>
      </c>
      <c r="CM19" s="841">
        <v>2</v>
      </c>
      <c r="CN19" s="841" t="s">
        <v>353</v>
      </c>
      <c r="CO19" s="841" t="s">
        <v>353</v>
      </c>
      <c r="CP19" s="841" t="s">
        <v>1617</v>
      </c>
      <c r="CQ19" s="841" t="s">
        <v>353</v>
      </c>
      <c r="CR19" s="841" t="s">
        <v>353</v>
      </c>
      <c r="CS19" s="841" t="s">
        <v>1405</v>
      </c>
      <c r="CT19" s="841" t="s">
        <v>353</v>
      </c>
      <c r="CU19" s="841" t="s">
        <v>1391</v>
      </c>
      <c r="CV19" s="841" t="s">
        <v>353</v>
      </c>
      <c r="CW19" s="841" t="s">
        <v>353</v>
      </c>
      <c r="CX19" s="841" t="s">
        <v>353</v>
      </c>
      <c r="CY19" s="841" t="s">
        <v>353</v>
      </c>
      <c r="CZ19" s="841">
        <v>3</v>
      </c>
      <c r="DA19" s="841" t="s">
        <v>353</v>
      </c>
      <c r="DB19" s="841" t="s">
        <v>353</v>
      </c>
      <c r="DC19" s="841" t="s">
        <v>353</v>
      </c>
      <c r="DD19" s="841" t="s">
        <v>353</v>
      </c>
      <c r="DE19" s="841" t="s">
        <v>353</v>
      </c>
      <c r="DF19" s="841">
        <v>18</v>
      </c>
      <c r="DG19" s="841" t="s">
        <v>353</v>
      </c>
      <c r="DH19" s="841" t="s">
        <v>353</v>
      </c>
      <c r="DI19" s="841" t="s">
        <v>353</v>
      </c>
      <c r="DJ19" s="841" t="s">
        <v>1618</v>
      </c>
      <c r="DK19" s="841" t="s">
        <v>353</v>
      </c>
      <c r="DL19" s="842">
        <v>44603.451388888891</v>
      </c>
      <c r="DM19" s="841" t="s">
        <v>353</v>
      </c>
      <c r="DN19" s="841" t="s">
        <v>353</v>
      </c>
      <c r="DO19" s="841" t="s">
        <v>673</v>
      </c>
      <c r="DP19" s="841" t="s">
        <v>353</v>
      </c>
      <c r="DQ19" s="841" t="s">
        <v>1392</v>
      </c>
      <c r="DR19" s="841">
        <v>811800</v>
      </c>
      <c r="DS19" s="841">
        <v>18</v>
      </c>
      <c r="DT19" s="841" t="s">
        <v>353</v>
      </c>
      <c r="DU19" s="841" t="s">
        <v>353</v>
      </c>
      <c r="DV19" s="841">
        <v>1086021</v>
      </c>
      <c r="DW19" s="841">
        <v>1710000</v>
      </c>
      <c r="DX19" s="841" t="s">
        <v>353</v>
      </c>
      <c r="DY19" s="841" t="s">
        <v>353</v>
      </c>
      <c r="DZ19" s="841" t="s">
        <v>353</v>
      </c>
      <c r="EA19" s="841" t="s">
        <v>353</v>
      </c>
      <c r="EB19" s="841" t="s">
        <v>353</v>
      </c>
      <c r="EC19" s="841" t="s">
        <v>353</v>
      </c>
      <c r="ED19" s="841" t="s">
        <v>353</v>
      </c>
      <c r="EE19" s="841" t="s">
        <v>353</v>
      </c>
      <c r="EF19" s="841" t="s">
        <v>353</v>
      </c>
      <c r="EG19" s="841" t="s">
        <v>353</v>
      </c>
      <c r="EH19" s="841" t="s">
        <v>353</v>
      </c>
      <c r="EI19" s="841">
        <v>594054</v>
      </c>
      <c r="EJ19" s="841" t="s">
        <v>353</v>
      </c>
      <c r="EK19" s="841" t="s">
        <v>353</v>
      </c>
      <c r="EL19" s="841" t="s">
        <v>353</v>
      </c>
      <c r="EM19" s="841">
        <v>29925</v>
      </c>
      <c r="EN19" s="841" t="s">
        <v>353</v>
      </c>
      <c r="EO19" s="841" t="s">
        <v>353</v>
      </c>
      <c r="EP19" s="841" t="s">
        <v>353</v>
      </c>
      <c r="EQ19" s="841" t="s">
        <v>353</v>
      </c>
      <c r="ER19" s="841" t="s">
        <v>353</v>
      </c>
      <c r="ES19" s="841" t="s">
        <v>353</v>
      </c>
      <c r="ET19" s="841" t="s">
        <v>1512</v>
      </c>
      <c r="EU19" s="841" t="s">
        <v>353</v>
      </c>
      <c r="EV19" s="841" t="s">
        <v>353</v>
      </c>
      <c r="EW19" s="841" t="s">
        <v>353</v>
      </c>
      <c r="EX19" s="841" t="s">
        <v>353</v>
      </c>
      <c r="EY19" s="842">
        <v>44603.598611111112</v>
      </c>
      <c r="EZ19" s="841" t="s">
        <v>353</v>
      </c>
      <c r="FA19" s="841" t="s">
        <v>353</v>
      </c>
      <c r="FB19" s="841" t="s">
        <v>353</v>
      </c>
      <c r="FC19" s="841" t="s">
        <v>353</v>
      </c>
      <c r="FD19" s="841" t="s">
        <v>353</v>
      </c>
      <c r="FE19" s="842">
        <v>44606.435416666667</v>
      </c>
      <c r="FF19" s="841" t="s">
        <v>353</v>
      </c>
      <c r="FG19" s="841" t="s">
        <v>353</v>
      </c>
      <c r="FH19" s="841" t="s">
        <v>353</v>
      </c>
      <c r="FI19" s="841" t="s">
        <v>353</v>
      </c>
      <c r="FJ19" s="841" t="s">
        <v>353</v>
      </c>
      <c r="FK19" s="841" t="s">
        <v>353</v>
      </c>
      <c r="FL19" s="841" t="s">
        <v>353</v>
      </c>
      <c r="FM19" s="841" t="s">
        <v>353</v>
      </c>
      <c r="FN19" s="841" t="s">
        <v>353</v>
      </c>
      <c r="FO19" s="841" t="s">
        <v>1582</v>
      </c>
      <c r="FP19" s="841" t="s">
        <v>353</v>
      </c>
      <c r="FQ19" s="841" t="s">
        <v>353</v>
      </c>
      <c r="FR19" s="841" t="s">
        <v>353</v>
      </c>
      <c r="FS19" s="841" t="s">
        <v>353</v>
      </c>
      <c r="FT19" s="841" t="s">
        <v>353</v>
      </c>
      <c r="FU19" s="841" t="s">
        <v>1416</v>
      </c>
      <c r="FV19" s="841" t="s">
        <v>353</v>
      </c>
      <c r="FW19" s="841" t="s">
        <v>353</v>
      </c>
      <c r="FX19" s="841" t="s">
        <v>353</v>
      </c>
      <c r="FY19" s="841" t="s">
        <v>353</v>
      </c>
      <c r="FZ19" s="841" t="s">
        <v>353</v>
      </c>
      <c r="GA19" s="841" t="s">
        <v>353</v>
      </c>
      <c r="GB19" s="841">
        <v>1</v>
      </c>
      <c r="GC19" s="841" t="s">
        <v>353</v>
      </c>
      <c r="GD19" s="841" t="s">
        <v>1395</v>
      </c>
      <c r="GE19" s="841" t="s">
        <v>353</v>
      </c>
      <c r="GF19" s="841" t="s">
        <v>353</v>
      </c>
      <c r="GG19" s="841" t="s">
        <v>353</v>
      </c>
      <c r="GH19" s="841">
        <v>342000</v>
      </c>
      <c r="GI19" s="841" t="s">
        <v>353</v>
      </c>
      <c r="GJ19" s="841" t="s">
        <v>353</v>
      </c>
      <c r="GK19" s="841" t="s">
        <v>353</v>
      </c>
      <c r="GL19" s="841" t="s">
        <v>1468</v>
      </c>
      <c r="GM19" s="841" t="s">
        <v>353</v>
      </c>
      <c r="GN19" s="841" t="s">
        <v>353</v>
      </c>
      <c r="GO19" s="841" t="s">
        <v>353</v>
      </c>
      <c r="GP19" s="841" t="s">
        <v>353</v>
      </c>
      <c r="GQ19" s="841" t="s">
        <v>353</v>
      </c>
      <c r="GR19" s="842">
        <v>44603.598611111112</v>
      </c>
      <c r="GS19" s="841" t="s">
        <v>1616</v>
      </c>
      <c r="GT19" s="841" t="s">
        <v>353</v>
      </c>
      <c r="GU19" s="841" t="s">
        <v>353</v>
      </c>
      <c r="GV19" s="841" t="s">
        <v>1419</v>
      </c>
      <c r="GW19" s="841" t="s">
        <v>353</v>
      </c>
      <c r="GX19" s="841" t="s">
        <v>353</v>
      </c>
      <c r="GY19" s="841">
        <v>24</v>
      </c>
      <c r="GZ19" s="841" t="s">
        <v>1420</v>
      </c>
      <c r="HA19" s="841" t="s">
        <v>353</v>
      </c>
      <c r="HB19" s="841" t="s">
        <v>353</v>
      </c>
      <c r="HC19" s="841" t="s">
        <v>1421</v>
      </c>
      <c r="HD19" s="841" t="s">
        <v>1619</v>
      </c>
      <c r="HE19" s="841" t="s">
        <v>353</v>
      </c>
      <c r="HF19" s="841" t="s">
        <v>353</v>
      </c>
      <c r="HG19" s="841" t="s">
        <v>353</v>
      </c>
      <c r="HH19" s="841" t="s">
        <v>353</v>
      </c>
      <c r="HI19" s="841" t="s">
        <v>1603</v>
      </c>
      <c r="HJ19" s="841" t="s">
        <v>1620</v>
      </c>
      <c r="HK19" s="841">
        <v>1710000</v>
      </c>
      <c r="HL19" s="841" t="s">
        <v>353</v>
      </c>
      <c r="HM19" s="841" t="s">
        <v>1423</v>
      </c>
      <c r="HN19" s="841" t="s">
        <v>353</v>
      </c>
      <c r="HO19" s="841" t="s">
        <v>353</v>
      </c>
      <c r="HP19" s="841">
        <v>99009</v>
      </c>
      <c r="HQ19" s="841" t="s">
        <v>353</v>
      </c>
      <c r="HR19" s="841" t="s">
        <v>353</v>
      </c>
      <c r="HS19" s="841">
        <v>1115946</v>
      </c>
      <c r="HT19" s="841" t="s">
        <v>353</v>
      </c>
      <c r="HU19" s="841" t="s">
        <v>353</v>
      </c>
      <c r="HV19" s="841" t="s">
        <v>353</v>
      </c>
      <c r="HW19" s="841" t="s">
        <v>353</v>
      </c>
      <c r="HX19" s="841" t="s">
        <v>353</v>
      </c>
      <c r="HY19" s="841" t="s">
        <v>353</v>
      </c>
      <c r="HZ19" s="841" t="s">
        <v>353</v>
      </c>
      <c r="IA19" s="841" t="s">
        <v>353</v>
      </c>
      <c r="IB19" s="841" t="s">
        <v>1604</v>
      </c>
      <c r="IC19" s="841" t="s">
        <v>353</v>
      </c>
      <c r="ID19" s="841" t="s">
        <v>353</v>
      </c>
      <c r="IE19" s="841" t="s">
        <v>353</v>
      </c>
      <c r="IF19" s="841" t="s">
        <v>353</v>
      </c>
      <c r="IG19" s="841" t="s">
        <v>353</v>
      </c>
      <c r="IH19" s="841" t="s">
        <v>353</v>
      </c>
      <c r="II19" s="841" t="s">
        <v>353</v>
      </c>
      <c r="IJ19" s="841" t="s">
        <v>353</v>
      </c>
      <c r="IK19" s="841" t="s">
        <v>353</v>
      </c>
      <c r="IL19" s="841">
        <v>1660496</v>
      </c>
      <c r="IM19" s="841" t="s">
        <v>353</v>
      </c>
      <c r="IN19" s="841" t="s">
        <v>353</v>
      </c>
      <c r="IO19" s="841" t="s">
        <v>353</v>
      </c>
      <c r="IP19" s="841" t="s">
        <v>353</v>
      </c>
      <c r="IQ19" s="841" t="s">
        <v>353</v>
      </c>
      <c r="IR19" s="841">
        <v>6</v>
      </c>
      <c r="IS19" s="841" t="s">
        <v>353</v>
      </c>
      <c r="IT19" s="841" t="s">
        <v>353</v>
      </c>
      <c r="IU19" s="841" t="s">
        <v>353</v>
      </c>
      <c r="IV19" s="841" t="s">
        <v>353</v>
      </c>
      <c r="IW19" s="841" t="s">
        <v>1621</v>
      </c>
      <c r="IX19" s="841" t="s">
        <v>353</v>
      </c>
      <c r="IY19" s="841" t="s">
        <v>1622</v>
      </c>
      <c r="IZ19" s="841" t="s">
        <v>1623</v>
      </c>
      <c r="JA19" s="841">
        <v>1710000</v>
      </c>
      <c r="JB19" s="841" t="s">
        <v>353</v>
      </c>
      <c r="JC19" s="841" t="s">
        <v>353</v>
      </c>
      <c r="JD19" s="841" t="s">
        <v>1413</v>
      </c>
      <c r="JE19" s="841" t="s">
        <v>353</v>
      </c>
      <c r="JF19" s="841" t="s">
        <v>1624</v>
      </c>
      <c r="JG19" s="841" t="s">
        <v>1625</v>
      </c>
      <c r="JH19" s="841" t="s">
        <v>1626</v>
      </c>
      <c r="JI19" s="841" t="s">
        <v>1627</v>
      </c>
    </row>
    <row r="20" spans="1:269" x14ac:dyDescent="0.25">
      <c r="A20" s="841" t="s">
        <v>1628</v>
      </c>
      <c r="B20" s="841" t="s">
        <v>353</v>
      </c>
      <c r="C20" s="841" t="s">
        <v>353</v>
      </c>
      <c r="D20" s="841" t="s">
        <v>353</v>
      </c>
      <c r="E20" s="841" t="s">
        <v>353</v>
      </c>
      <c r="F20" s="841" t="s">
        <v>353</v>
      </c>
      <c r="G20" s="841" t="s">
        <v>353</v>
      </c>
      <c r="H20" s="841" t="s">
        <v>353</v>
      </c>
      <c r="I20" s="841" t="s">
        <v>353</v>
      </c>
      <c r="J20" s="841" t="s">
        <v>353</v>
      </c>
      <c r="K20" s="841" t="s">
        <v>353</v>
      </c>
      <c r="L20" s="842">
        <v>44603.386805555558</v>
      </c>
      <c r="M20" s="841" t="s">
        <v>353</v>
      </c>
      <c r="N20" s="841" t="s">
        <v>353</v>
      </c>
      <c r="O20" s="841" t="s">
        <v>353</v>
      </c>
      <c r="P20" s="841" t="s">
        <v>353</v>
      </c>
      <c r="Q20" s="841" t="s">
        <v>353</v>
      </c>
      <c r="R20" s="841" t="s">
        <v>353</v>
      </c>
      <c r="S20" s="841" t="s">
        <v>353</v>
      </c>
      <c r="T20" s="841" t="s">
        <v>1390</v>
      </c>
      <c r="U20" s="841" t="s">
        <v>353</v>
      </c>
      <c r="V20" s="841" t="s">
        <v>353</v>
      </c>
      <c r="W20" s="841" t="s">
        <v>353</v>
      </c>
      <c r="X20" s="841" t="s">
        <v>353</v>
      </c>
      <c r="Y20" s="841" t="s">
        <v>353</v>
      </c>
      <c r="Z20" s="841" t="s">
        <v>353</v>
      </c>
      <c r="AA20" s="841" t="s">
        <v>353</v>
      </c>
      <c r="AB20" s="841" t="s">
        <v>353</v>
      </c>
      <c r="AC20" s="841">
        <v>62400</v>
      </c>
      <c r="AD20" s="841" t="s">
        <v>353</v>
      </c>
      <c r="AE20" s="841" t="s">
        <v>353</v>
      </c>
      <c r="AF20" s="841" t="s">
        <v>353</v>
      </c>
      <c r="AG20" s="841" t="s">
        <v>353</v>
      </c>
      <c r="AH20" s="841" t="s">
        <v>353</v>
      </c>
      <c r="AI20" s="841" t="s">
        <v>1521</v>
      </c>
      <c r="AJ20" s="841" t="s">
        <v>353</v>
      </c>
      <c r="AK20" s="841" t="s">
        <v>353</v>
      </c>
      <c r="AL20" s="841" t="s">
        <v>353</v>
      </c>
      <c r="AM20" s="841" t="s">
        <v>353</v>
      </c>
      <c r="AN20" s="841" t="s">
        <v>353</v>
      </c>
      <c r="AO20" s="841" t="s">
        <v>353</v>
      </c>
      <c r="AP20" s="841" t="s">
        <v>353</v>
      </c>
      <c r="AQ20" s="841" t="s">
        <v>353</v>
      </c>
      <c r="AR20" s="841" t="s">
        <v>353</v>
      </c>
      <c r="AS20" s="841" t="s">
        <v>353</v>
      </c>
      <c r="AT20" s="841" t="s">
        <v>353</v>
      </c>
      <c r="AU20" s="841" t="s">
        <v>353</v>
      </c>
      <c r="AV20" s="841" t="s">
        <v>353</v>
      </c>
      <c r="AW20" s="841" t="s">
        <v>353</v>
      </c>
      <c r="AX20" s="841" t="s">
        <v>353</v>
      </c>
      <c r="AY20" s="841" t="s">
        <v>353</v>
      </c>
      <c r="AZ20" s="841" t="s">
        <v>353</v>
      </c>
      <c r="BA20" s="841" t="s">
        <v>353</v>
      </c>
      <c r="BB20" s="841" t="s">
        <v>353</v>
      </c>
      <c r="BC20" s="841" t="s">
        <v>353</v>
      </c>
      <c r="BD20" s="841" t="s">
        <v>353</v>
      </c>
      <c r="BE20" s="841" t="s">
        <v>353</v>
      </c>
      <c r="BF20" s="841" t="s">
        <v>353</v>
      </c>
      <c r="BG20" s="841" t="s">
        <v>353</v>
      </c>
      <c r="BH20" s="841" t="s">
        <v>353</v>
      </c>
      <c r="BI20" s="841" t="s">
        <v>353</v>
      </c>
      <c r="BJ20" s="841" t="s">
        <v>353</v>
      </c>
      <c r="BK20" s="841" t="s">
        <v>353</v>
      </c>
      <c r="BL20" s="841" t="s">
        <v>1629</v>
      </c>
      <c r="BM20" s="842">
        <v>44620.385416666664</v>
      </c>
      <c r="BN20" s="841" t="s">
        <v>353</v>
      </c>
      <c r="BO20" s="841" t="s">
        <v>353</v>
      </c>
      <c r="BP20" s="841" t="s">
        <v>353</v>
      </c>
      <c r="BQ20" s="841" t="s">
        <v>353</v>
      </c>
      <c r="BR20" s="841" t="s">
        <v>353</v>
      </c>
      <c r="BS20" s="841" t="s">
        <v>353</v>
      </c>
      <c r="BT20" s="841">
        <v>312000</v>
      </c>
      <c r="BU20" s="841" t="s">
        <v>353</v>
      </c>
      <c r="BV20" s="841" t="s">
        <v>353</v>
      </c>
      <c r="BW20" s="841" t="s">
        <v>353</v>
      </c>
      <c r="BX20" s="841" t="s">
        <v>1630</v>
      </c>
      <c r="BY20" s="841" t="s">
        <v>353</v>
      </c>
      <c r="BZ20" s="841" t="s">
        <v>353</v>
      </c>
      <c r="CA20" s="841" t="s">
        <v>353</v>
      </c>
      <c r="CB20" s="841" t="s">
        <v>353</v>
      </c>
      <c r="CC20" s="841" t="s">
        <v>353</v>
      </c>
      <c r="CD20" s="841" t="s">
        <v>353</v>
      </c>
      <c r="CE20" s="841" t="s">
        <v>353</v>
      </c>
      <c r="CF20" s="841" t="s">
        <v>353</v>
      </c>
      <c r="CG20" s="841" t="s">
        <v>353</v>
      </c>
      <c r="CH20" s="841" t="s">
        <v>353</v>
      </c>
      <c r="CI20" s="841" t="s">
        <v>353</v>
      </c>
      <c r="CJ20" s="841" t="s">
        <v>353</v>
      </c>
      <c r="CK20" s="841" t="s">
        <v>353</v>
      </c>
      <c r="CL20" s="841" t="s">
        <v>353</v>
      </c>
      <c r="CM20" s="841" t="s">
        <v>353</v>
      </c>
      <c r="CN20" s="841" t="s">
        <v>353</v>
      </c>
      <c r="CO20" s="841" t="s">
        <v>353</v>
      </c>
      <c r="CP20" s="841" t="s">
        <v>1631</v>
      </c>
      <c r="CQ20" s="841" t="s">
        <v>353</v>
      </c>
      <c r="CR20" s="841" t="s">
        <v>353</v>
      </c>
      <c r="CS20" s="841" t="s">
        <v>353</v>
      </c>
      <c r="CT20" s="841" t="s">
        <v>353</v>
      </c>
      <c r="CU20" s="841" t="s">
        <v>1391</v>
      </c>
      <c r="CV20" s="841" t="s">
        <v>353</v>
      </c>
      <c r="CW20" s="841" t="s">
        <v>353</v>
      </c>
      <c r="CX20" s="841" t="s">
        <v>353</v>
      </c>
      <c r="CY20" s="841" t="s">
        <v>353</v>
      </c>
      <c r="CZ20" s="841" t="s">
        <v>353</v>
      </c>
      <c r="DA20" s="841" t="s">
        <v>353</v>
      </c>
      <c r="DB20" s="841" t="s">
        <v>353</v>
      </c>
      <c r="DC20" s="841" t="s">
        <v>353</v>
      </c>
      <c r="DD20" s="841" t="s">
        <v>353</v>
      </c>
      <c r="DE20" s="841" t="s">
        <v>353</v>
      </c>
      <c r="DF20" s="841" t="s">
        <v>353</v>
      </c>
      <c r="DG20" s="841" t="s">
        <v>353</v>
      </c>
      <c r="DH20" s="841" t="s">
        <v>353</v>
      </c>
      <c r="DI20" s="841" t="s">
        <v>353</v>
      </c>
      <c r="DJ20" s="841" t="s">
        <v>353</v>
      </c>
      <c r="DK20" s="841" t="s">
        <v>353</v>
      </c>
      <c r="DL20" s="842">
        <v>44603.385416666664</v>
      </c>
      <c r="DM20" s="841" t="s">
        <v>353</v>
      </c>
      <c r="DN20" s="841" t="s">
        <v>353</v>
      </c>
      <c r="DO20" s="841" t="s">
        <v>673</v>
      </c>
      <c r="DP20" s="841" t="s">
        <v>1481</v>
      </c>
      <c r="DQ20" s="841" t="s">
        <v>1482</v>
      </c>
      <c r="DR20" s="841">
        <v>416000</v>
      </c>
      <c r="DS20" s="841" t="s">
        <v>353</v>
      </c>
      <c r="DT20" s="841" t="s">
        <v>353</v>
      </c>
      <c r="DU20" s="841" t="s">
        <v>353</v>
      </c>
      <c r="DV20" s="841" t="s">
        <v>353</v>
      </c>
      <c r="DW20" s="841">
        <v>312000</v>
      </c>
      <c r="DX20" s="841" t="s">
        <v>353</v>
      </c>
      <c r="DY20" s="841" t="s">
        <v>353</v>
      </c>
      <c r="DZ20" s="841" t="s">
        <v>353</v>
      </c>
      <c r="EA20" s="841" t="s">
        <v>353</v>
      </c>
      <c r="EB20" s="841" t="s">
        <v>353</v>
      </c>
      <c r="EC20" s="841" t="s">
        <v>353</v>
      </c>
      <c r="ED20" s="841" t="s">
        <v>353</v>
      </c>
      <c r="EE20" s="841" t="s">
        <v>353</v>
      </c>
      <c r="EF20" s="841" t="s">
        <v>353</v>
      </c>
      <c r="EG20" s="841" t="s">
        <v>353</v>
      </c>
      <c r="EH20" s="841" t="s">
        <v>353</v>
      </c>
      <c r="EI20" s="841" t="s">
        <v>353</v>
      </c>
      <c r="EJ20" s="841" t="s">
        <v>353</v>
      </c>
      <c r="EK20" s="841" t="s">
        <v>353</v>
      </c>
      <c r="EL20" s="841" t="s">
        <v>353</v>
      </c>
      <c r="EM20" s="841" t="s">
        <v>353</v>
      </c>
      <c r="EN20" s="841" t="s">
        <v>353</v>
      </c>
      <c r="EO20" s="841" t="s">
        <v>353</v>
      </c>
      <c r="EP20" s="841" t="s">
        <v>353</v>
      </c>
      <c r="EQ20" s="841" t="s">
        <v>353</v>
      </c>
      <c r="ER20" s="841" t="s">
        <v>353</v>
      </c>
      <c r="ES20" s="841" t="s">
        <v>353</v>
      </c>
      <c r="ET20" s="841" t="s">
        <v>1512</v>
      </c>
      <c r="EU20" s="841" t="s">
        <v>353</v>
      </c>
      <c r="EV20" s="841" t="s">
        <v>353</v>
      </c>
      <c r="EW20" s="841" t="s">
        <v>353</v>
      </c>
      <c r="EX20" s="841" t="s">
        <v>353</v>
      </c>
      <c r="EY20" s="841" t="s">
        <v>353</v>
      </c>
      <c r="EZ20" s="841" t="s">
        <v>353</v>
      </c>
      <c r="FA20" s="841" t="s">
        <v>353</v>
      </c>
      <c r="FB20" s="841" t="s">
        <v>353</v>
      </c>
      <c r="FC20" s="841" t="s">
        <v>353</v>
      </c>
      <c r="FD20" s="841" t="s">
        <v>353</v>
      </c>
      <c r="FE20" s="842">
        <v>44603.386111111111</v>
      </c>
      <c r="FF20" s="841" t="s">
        <v>353</v>
      </c>
      <c r="FG20" s="841" t="s">
        <v>1632</v>
      </c>
      <c r="FH20" s="841" t="s">
        <v>353</v>
      </c>
      <c r="FI20" s="841" t="s">
        <v>353</v>
      </c>
      <c r="FJ20" s="841" t="s">
        <v>353</v>
      </c>
      <c r="FK20" s="841" t="s">
        <v>353</v>
      </c>
      <c r="FL20" s="841" t="s">
        <v>353</v>
      </c>
      <c r="FM20" s="841" t="s">
        <v>353</v>
      </c>
      <c r="FN20" s="841" t="s">
        <v>353</v>
      </c>
      <c r="FO20" s="841" t="s">
        <v>353</v>
      </c>
      <c r="FP20" s="841" t="s">
        <v>353</v>
      </c>
      <c r="FQ20" s="841" t="s">
        <v>353</v>
      </c>
      <c r="FR20" s="841" t="s">
        <v>353</v>
      </c>
      <c r="FS20" s="841" t="s">
        <v>353</v>
      </c>
      <c r="FT20" s="841" t="s">
        <v>353</v>
      </c>
      <c r="FU20" s="841" t="s">
        <v>1416</v>
      </c>
      <c r="FV20" s="841" t="s">
        <v>353</v>
      </c>
      <c r="FW20" s="841" t="s">
        <v>353</v>
      </c>
      <c r="FX20" s="841" t="s">
        <v>353</v>
      </c>
      <c r="FY20" s="841" t="s">
        <v>353</v>
      </c>
      <c r="FZ20" s="841" t="s">
        <v>353</v>
      </c>
      <c r="GA20" s="841" t="s">
        <v>353</v>
      </c>
      <c r="GB20" s="841">
        <v>1</v>
      </c>
      <c r="GC20" s="841" t="s">
        <v>353</v>
      </c>
      <c r="GD20" s="841" t="s">
        <v>1395</v>
      </c>
      <c r="GE20" s="841" t="s">
        <v>353</v>
      </c>
      <c r="GF20" s="841" t="s">
        <v>353</v>
      </c>
      <c r="GG20" s="841" t="s">
        <v>353</v>
      </c>
      <c r="GH20" s="841">
        <v>62400</v>
      </c>
      <c r="GI20" s="841" t="s">
        <v>353</v>
      </c>
      <c r="GJ20" s="841" t="s">
        <v>353</v>
      </c>
      <c r="GK20" s="841" t="s">
        <v>353</v>
      </c>
      <c r="GL20" s="841" t="s">
        <v>1633</v>
      </c>
      <c r="GM20" s="841" t="s">
        <v>353</v>
      </c>
      <c r="GN20" s="841" t="s">
        <v>353</v>
      </c>
      <c r="GO20" s="841" t="s">
        <v>353</v>
      </c>
      <c r="GP20" s="841" t="s">
        <v>353</v>
      </c>
      <c r="GQ20" s="841" t="s">
        <v>353</v>
      </c>
      <c r="GR20" s="841" t="s">
        <v>353</v>
      </c>
      <c r="GS20" s="841" t="s">
        <v>353</v>
      </c>
      <c r="GT20" s="841" t="s">
        <v>353</v>
      </c>
      <c r="GU20" s="841" t="s">
        <v>353</v>
      </c>
      <c r="GV20" s="841" t="s">
        <v>1419</v>
      </c>
      <c r="GW20" s="841" t="s">
        <v>353</v>
      </c>
      <c r="GX20" s="841" t="s">
        <v>353</v>
      </c>
      <c r="GY20" s="841" t="s">
        <v>353</v>
      </c>
      <c r="GZ20" s="841" t="s">
        <v>353</v>
      </c>
      <c r="HA20" s="841" t="s">
        <v>353</v>
      </c>
      <c r="HB20" s="841" t="s">
        <v>353</v>
      </c>
      <c r="HC20" s="841" t="s">
        <v>353</v>
      </c>
      <c r="HD20" s="841" t="s">
        <v>1634</v>
      </c>
      <c r="HE20" s="841" t="s">
        <v>353</v>
      </c>
      <c r="HF20" s="841" t="s">
        <v>353</v>
      </c>
      <c r="HG20" s="841" t="s">
        <v>353</v>
      </c>
      <c r="HH20" s="841" t="s">
        <v>353</v>
      </c>
      <c r="HI20" s="841" t="s">
        <v>1422</v>
      </c>
      <c r="HJ20" s="841" t="s">
        <v>353</v>
      </c>
      <c r="HK20" s="841">
        <v>312000</v>
      </c>
      <c r="HL20" s="841" t="s">
        <v>353</v>
      </c>
      <c r="HM20" s="841" t="s">
        <v>353</v>
      </c>
      <c r="HN20" s="841" t="s">
        <v>353</v>
      </c>
      <c r="HO20" s="841" t="s">
        <v>353</v>
      </c>
      <c r="HP20" s="841" t="s">
        <v>353</v>
      </c>
      <c r="HQ20" s="841" t="s">
        <v>353</v>
      </c>
      <c r="HR20" s="841" t="s">
        <v>353</v>
      </c>
      <c r="HS20" s="841" t="s">
        <v>353</v>
      </c>
      <c r="HT20" s="841" t="s">
        <v>353</v>
      </c>
      <c r="HU20" s="841" t="s">
        <v>353</v>
      </c>
      <c r="HV20" s="841" t="s">
        <v>353</v>
      </c>
      <c r="HW20" s="841">
        <v>416000</v>
      </c>
      <c r="HX20" s="841" t="s">
        <v>353</v>
      </c>
      <c r="HY20" s="841" t="s">
        <v>353</v>
      </c>
      <c r="HZ20" s="841" t="s">
        <v>353</v>
      </c>
      <c r="IA20" s="841" t="s">
        <v>353</v>
      </c>
      <c r="IB20" s="841" t="s">
        <v>1424</v>
      </c>
      <c r="IC20" s="841" t="s">
        <v>353</v>
      </c>
      <c r="ID20" s="841" t="s">
        <v>353</v>
      </c>
      <c r="IE20" s="841" t="s">
        <v>353</v>
      </c>
      <c r="IF20" s="841" t="s">
        <v>353</v>
      </c>
      <c r="IG20" s="841" t="s">
        <v>353</v>
      </c>
      <c r="IH20" s="841" t="s">
        <v>353</v>
      </c>
      <c r="II20" s="841" t="s">
        <v>353</v>
      </c>
      <c r="IJ20" s="841" t="s">
        <v>353</v>
      </c>
      <c r="IK20" s="841" t="s">
        <v>353</v>
      </c>
      <c r="IL20" s="841" t="s">
        <v>353</v>
      </c>
      <c r="IM20" s="841" t="s">
        <v>353</v>
      </c>
      <c r="IN20" s="841" t="s">
        <v>353</v>
      </c>
      <c r="IO20" s="841" t="s">
        <v>353</v>
      </c>
      <c r="IP20" s="841" t="s">
        <v>353</v>
      </c>
      <c r="IQ20" s="841" t="s">
        <v>353</v>
      </c>
      <c r="IR20" s="841" t="s">
        <v>353</v>
      </c>
      <c r="IS20" s="841" t="s">
        <v>353</v>
      </c>
      <c r="IT20" s="841" t="s">
        <v>353</v>
      </c>
      <c r="IU20" s="841" t="s">
        <v>353</v>
      </c>
      <c r="IV20" s="841" t="s">
        <v>353</v>
      </c>
      <c r="IW20" s="841" t="s">
        <v>353</v>
      </c>
      <c r="IX20" s="841" t="s">
        <v>353</v>
      </c>
      <c r="IY20" s="841" t="s">
        <v>353</v>
      </c>
      <c r="IZ20" s="841" t="s">
        <v>353</v>
      </c>
      <c r="JA20" s="841">
        <v>312000</v>
      </c>
      <c r="JB20" s="841" t="s">
        <v>353</v>
      </c>
      <c r="JC20" s="841" t="s">
        <v>353</v>
      </c>
      <c r="JD20" s="841" t="s">
        <v>353</v>
      </c>
      <c r="JE20" s="841" t="s">
        <v>353</v>
      </c>
      <c r="JF20" s="841" t="s">
        <v>353</v>
      </c>
      <c r="JG20" s="841" t="s">
        <v>353</v>
      </c>
      <c r="JH20" s="841" t="s">
        <v>1635</v>
      </c>
      <c r="JI20" s="841" t="s">
        <v>1636</v>
      </c>
    </row>
    <row r="21" spans="1:269" x14ac:dyDescent="0.25">
      <c r="A21" s="841" t="s">
        <v>1637</v>
      </c>
      <c r="B21" s="841" t="s">
        <v>353</v>
      </c>
      <c r="C21" s="841" t="s">
        <v>353</v>
      </c>
      <c r="D21" s="841" t="s">
        <v>353</v>
      </c>
      <c r="E21" s="841" t="s">
        <v>353</v>
      </c>
      <c r="F21" s="841" t="s">
        <v>353</v>
      </c>
      <c r="G21" s="841" t="s">
        <v>353</v>
      </c>
      <c r="H21" s="841" t="s">
        <v>353</v>
      </c>
      <c r="I21" s="841" t="s">
        <v>353</v>
      </c>
      <c r="J21" s="841" t="s">
        <v>353</v>
      </c>
      <c r="K21" s="841" t="s">
        <v>353</v>
      </c>
      <c r="L21" s="842">
        <v>44607.463194444441</v>
      </c>
      <c r="M21" s="841" t="s">
        <v>353</v>
      </c>
      <c r="N21" s="841" t="s">
        <v>353</v>
      </c>
      <c r="O21" s="841" t="s">
        <v>353</v>
      </c>
      <c r="P21" s="841" t="s">
        <v>353</v>
      </c>
      <c r="Q21" s="841" t="s">
        <v>353</v>
      </c>
      <c r="R21" s="841" t="s">
        <v>353</v>
      </c>
      <c r="S21" s="841" t="s">
        <v>353</v>
      </c>
      <c r="T21" s="841" t="s">
        <v>1390</v>
      </c>
      <c r="U21" s="841" t="s">
        <v>353</v>
      </c>
      <c r="V21" s="841" t="s">
        <v>353</v>
      </c>
      <c r="W21" s="841" t="s">
        <v>353</v>
      </c>
      <c r="X21" s="841" t="s">
        <v>353</v>
      </c>
      <c r="Y21" s="841" t="s">
        <v>353</v>
      </c>
      <c r="Z21" s="841" t="s">
        <v>353</v>
      </c>
      <c r="AA21" s="841" t="s">
        <v>353</v>
      </c>
      <c r="AB21" s="841" t="s">
        <v>353</v>
      </c>
      <c r="AC21" s="841" t="s">
        <v>353</v>
      </c>
      <c r="AD21" s="841" t="s">
        <v>353</v>
      </c>
      <c r="AE21" s="841" t="s">
        <v>353</v>
      </c>
      <c r="AF21" s="841" t="s">
        <v>353</v>
      </c>
      <c r="AG21" s="841" t="s">
        <v>353</v>
      </c>
      <c r="AH21" s="841" t="s">
        <v>353</v>
      </c>
      <c r="AI21" s="841" t="s">
        <v>353</v>
      </c>
      <c r="AJ21" s="841" t="s">
        <v>353</v>
      </c>
      <c r="AK21" s="841" t="s">
        <v>353</v>
      </c>
      <c r="AL21" s="841" t="s">
        <v>353</v>
      </c>
      <c r="AM21" s="841" t="s">
        <v>353</v>
      </c>
      <c r="AN21" s="841" t="s">
        <v>353</v>
      </c>
      <c r="AO21" s="841" t="s">
        <v>353</v>
      </c>
      <c r="AP21" s="841" t="s">
        <v>353</v>
      </c>
      <c r="AQ21" s="841" t="s">
        <v>353</v>
      </c>
      <c r="AR21" s="841" t="s">
        <v>353</v>
      </c>
      <c r="AS21" s="841" t="s">
        <v>353</v>
      </c>
      <c r="AT21" s="841" t="s">
        <v>353</v>
      </c>
      <c r="AU21" s="841" t="s">
        <v>353</v>
      </c>
      <c r="AV21" s="841" t="s">
        <v>353</v>
      </c>
      <c r="AW21" s="841" t="s">
        <v>353</v>
      </c>
      <c r="AX21" s="841" t="s">
        <v>353</v>
      </c>
      <c r="AY21" s="841" t="s">
        <v>353</v>
      </c>
      <c r="AZ21" s="841" t="s">
        <v>353</v>
      </c>
      <c r="BA21" s="841" t="s">
        <v>353</v>
      </c>
      <c r="BB21" s="841" t="s">
        <v>353</v>
      </c>
      <c r="BC21" s="841" t="s">
        <v>353</v>
      </c>
      <c r="BD21" s="841" t="s">
        <v>353</v>
      </c>
      <c r="BE21" s="841" t="s">
        <v>353</v>
      </c>
      <c r="BF21" s="841" t="s">
        <v>353</v>
      </c>
      <c r="BG21" s="841" t="s">
        <v>353</v>
      </c>
      <c r="BH21" s="841" t="s">
        <v>353</v>
      </c>
      <c r="BI21" s="841" t="s">
        <v>353</v>
      </c>
      <c r="BJ21" s="841" t="s">
        <v>353</v>
      </c>
      <c r="BK21" s="841">
        <v>315000</v>
      </c>
      <c r="BL21" s="841" t="s">
        <v>673</v>
      </c>
      <c r="BM21" s="842">
        <v>44620.718055555553</v>
      </c>
      <c r="BN21" s="841" t="s">
        <v>353</v>
      </c>
      <c r="BO21" s="841" t="s">
        <v>353</v>
      </c>
      <c r="BP21" s="841" t="s">
        <v>353</v>
      </c>
      <c r="BQ21" s="841" t="s">
        <v>353</v>
      </c>
      <c r="BR21" s="841" t="s">
        <v>353</v>
      </c>
      <c r="BS21" s="841" t="s">
        <v>353</v>
      </c>
      <c r="BT21" s="841">
        <v>370000</v>
      </c>
      <c r="BU21" s="841" t="s">
        <v>353</v>
      </c>
      <c r="BV21" s="841" t="s">
        <v>353</v>
      </c>
      <c r="BW21" s="841" t="s">
        <v>353</v>
      </c>
      <c r="BX21" s="841" t="s">
        <v>353</v>
      </c>
      <c r="BY21" s="841" t="s">
        <v>353</v>
      </c>
      <c r="BZ21" s="841" t="s">
        <v>353</v>
      </c>
      <c r="CA21" s="841" t="s">
        <v>353</v>
      </c>
      <c r="CB21" s="841" t="s">
        <v>353</v>
      </c>
      <c r="CC21" s="841" t="s">
        <v>353</v>
      </c>
      <c r="CD21" s="841" t="s">
        <v>353</v>
      </c>
      <c r="CE21" s="841" t="s">
        <v>353</v>
      </c>
      <c r="CF21" s="841" t="s">
        <v>353</v>
      </c>
      <c r="CG21" s="841" t="s">
        <v>353</v>
      </c>
      <c r="CH21" s="841" t="s">
        <v>353</v>
      </c>
      <c r="CI21" s="841" t="s">
        <v>353</v>
      </c>
      <c r="CJ21" s="841" t="s">
        <v>353</v>
      </c>
      <c r="CK21" s="841">
        <v>0</v>
      </c>
      <c r="CL21" s="841" t="s">
        <v>353</v>
      </c>
      <c r="CM21" s="841">
        <v>3</v>
      </c>
      <c r="CN21" s="841" t="s">
        <v>353</v>
      </c>
      <c r="CO21" s="841" t="s">
        <v>353</v>
      </c>
      <c r="CP21" s="841" t="s">
        <v>353</v>
      </c>
      <c r="CQ21" s="841" t="s">
        <v>353</v>
      </c>
      <c r="CR21" s="841" t="s">
        <v>353</v>
      </c>
      <c r="CS21" s="841" t="s">
        <v>353</v>
      </c>
      <c r="CT21" s="841" t="s">
        <v>353</v>
      </c>
      <c r="CU21" s="841" t="s">
        <v>1391</v>
      </c>
      <c r="CV21" s="841" t="s">
        <v>353</v>
      </c>
      <c r="CW21" s="841" t="s">
        <v>353</v>
      </c>
      <c r="CX21" s="841" t="s">
        <v>353</v>
      </c>
      <c r="CY21" s="841" t="s">
        <v>353</v>
      </c>
      <c r="CZ21" s="841" t="s">
        <v>353</v>
      </c>
      <c r="DA21" s="841" t="s">
        <v>353</v>
      </c>
      <c r="DB21" s="841" t="s">
        <v>353</v>
      </c>
      <c r="DC21" s="841" t="s">
        <v>353</v>
      </c>
      <c r="DD21" s="841" t="s">
        <v>353</v>
      </c>
      <c r="DE21" s="841" t="s">
        <v>353</v>
      </c>
      <c r="DF21" s="841" t="s">
        <v>353</v>
      </c>
      <c r="DG21" s="841" t="s">
        <v>353</v>
      </c>
      <c r="DH21" s="841" t="s">
        <v>353</v>
      </c>
      <c r="DI21" s="841" t="s">
        <v>353</v>
      </c>
      <c r="DJ21" s="841" t="s">
        <v>353</v>
      </c>
      <c r="DK21" s="841" t="s">
        <v>353</v>
      </c>
      <c r="DL21" s="842">
        <v>44602.718055555553</v>
      </c>
      <c r="DM21" s="841" t="s">
        <v>353</v>
      </c>
      <c r="DN21" s="841" t="s">
        <v>353</v>
      </c>
      <c r="DO21" s="841" t="s">
        <v>353</v>
      </c>
      <c r="DP21" s="841" t="s">
        <v>353</v>
      </c>
      <c r="DQ21" s="841" t="s">
        <v>673</v>
      </c>
      <c r="DR21" s="841" t="s">
        <v>353</v>
      </c>
      <c r="DS21" s="841" t="s">
        <v>353</v>
      </c>
      <c r="DT21" s="841" t="s">
        <v>353</v>
      </c>
      <c r="DU21" s="841" t="s">
        <v>353</v>
      </c>
      <c r="DV21" s="841" t="s">
        <v>353</v>
      </c>
      <c r="DW21" s="841" t="s">
        <v>353</v>
      </c>
      <c r="DX21" s="841" t="s">
        <v>353</v>
      </c>
      <c r="DY21" s="841" t="s">
        <v>353</v>
      </c>
      <c r="DZ21" s="841" t="s">
        <v>353</v>
      </c>
      <c r="EA21" s="841" t="s">
        <v>353</v>
      </c>
      <c r="EB21" s="841" t="s">
        <v>353</v>
      </c>
      <c r="EC21" s="841" t="s">
        <v>353</v>
      </c>
      <c r="ED21" s="841" t="s">
        <v>353</v>
      </c>
      <c r="EE21" s="841" t="s">
        <v>353</v>
      </c>
      <c r="EF21" s="841" t="s">
        <v>353</v>
      </c>
      <c r="EG21" s="841" t="s">
        <v>353</v>
      </c>
      <c r="EH21" s="841" t="s">
        <v>353</v>
      </c>
      <c r="EI21" s="841" t="s">
        <v>353</v>
      </c>
      <c r="EJ21" s="841" t="s">
        <v>353</v>
      </c>
      <c r="EK21" s="841" t="s">
        <v>353</v>
      </c>
      <c r="EL21" s="841" t="s">
        <v>353</v>
      </c>
      <c r="EM21" s="841" t="s">
        <v>353</v>
      </c>
      <c r="EN21" s="841" t="s">
        <v>353</v>
      </c>
      <c r="EO21" s="841" t="s">
        <v>353</v>
      </c>
      <c r="EP21" s="841" t="s">
        <v>353</v>
      </c>
      <c r="EQ21" s="841" t="s">
        <v>353</v>
      </c>
      <c r="ER21" s="841" t="s">
        <v>353</v>
      </c>
      <c r="ES21" s="841" t="s">
        <v>353</v>
      </c>
      <c r="ET21" s="841" t="s">
        <v>1414</v>
      </c>
      <c r="EU21" s="841" t="s">
        <v>353</v>
      </c>
      <c r="EV21" s="841" t="s">
        <v>353</v>
      </c>
      <c r="EW21" s="841" t="s">
        <v>353</v>
      </c>
      <c r="EX21" s="841" t="s">
        <v>353</v>
      </c>
      <c r="EY21" s="842">
        <v>44607.333333333336</v>
      </c>
      <c r="EZ21" s="842">
        <v>44610.333333333336</v>
      </c>
      <c r="FA21" s="841" t="s">
        <v>353</v>
      </c>
      <c r="FB21" s="841" t="s">
        <v>353</v>
      </c>
      <c r="FC21" s="841" t="s">
        <v>353</v>
      </c>
      <c r="FD21" s="841" t="s">
        <v>353</v>
      </c>
      <c r="FE21" s="842">
        <v>44602.71875</v>
      </c>
      <c r="FF21" s="841" t="s">
        <v>353</v>
      </c>
      <c r="FG21" s="841" t="s">
        <v>353</v>
      </c>
      <c r="FH21" s="841" t="s">
        <v>353</v>
      </c>
      <c r="FI21" s="841" t="s">
        <v>353</v>
      </c>
      <c r="FJ21" s="841" t="s">
        <v>353</v>
      </c>
      <c r="FK21" s="841" t="s">
        <v>353</v>
      </c>
      <c r="FL21" s="841" t="s">
        <v>353</v>
      </c>
      <c r="FM21" s="841" t="s">
        <v>353</v>
      </c>
      <c r="FN21" s="841" t="s">
        <v>353</v>
      </c>
      <c r="FO21" s="841" t="s">
        <v>353</v>
      </c>
      <c r="FP21" s="841" t="s">
        <v>353</v>
      </c>
      <c r="FQ21" s="841" t="s">
        <v>353</v>
      </c>
      <c r="FR21" s="841" t="s">
        <v>353</v>
      </c>
      <c r="FS21" s="841" t="s">
        <v>353</v>
      </c>
      <c r="FT21" s="841" t="s">
        <v>353</v>
      </c>
      <c r="FU21" s="841" t="s">
        <v>1394</v>
      </c>
      <c r="FV21" s="841" t="s">
        <v>353</v>
      </c>
      <c r="FW21" s="841" t="s">
        <v>353</v>
      </c>
      <c r="FX21" s="841" t="s">
        <v>353</v>
      </c>
      <c r="FY21" s="841" t="s">
        <v>353</v>
      </c>
      <c r="FZ21" s="841" t="s">
        <v>353</v>
      </c>
      <c r="GA21" s="841" t="s">
        <v>353</v>
      </c>
      <c r="GB21" s="841">
        <v>1</v>
      </c>
      <c r="GC21" s="841" t="s">
        <v>353</v>
      </c>
      <c r="GD21" s="841" t="s">
        <v>1417</v>
      </c>
      <c r="GE21" s="841" t="s">
        <v>353</v>
      </c>
      <c r="GF21" s="841" t="s">
        <v>353</v>
      </c>
      <c r="GG21" s="841" t="s">
        <v>353</v>
      </c>
      <c r="GH21" s="841" t="s">
        <v>353</v>
      </c>
      <c r="GI21" s="841" t="s">
        <v>353</v>
      </c>
      <c r="GJ21" s="841" t="s">
        <v>353</v>
      </c>
      <c r="GK21" s="841" t="s">
        <v>353</v>
      </c>
      <c r="GL21" s="841" t="s">
        <v>1505</v>
      </c>
      <c r="GM21" s="841" t="s">
        <v>353</v>
      </c>
      <c r="GN21" s="841" t="s">
        <v>353</v>
      </c>
      <c r="GO21" s="841" t="s">
        <v>353</v>
      </c>
      <c r="GP21" s="841" t="s">
        <v>353</v>
      </c>
      <c r="GQ21" s="841" t="s">
        <v>353</v>
      </c>
      <c r="GR21" s="841" t="s">
        <v>353</v>
      </c>
      <c r="GS21" s="841" t="s">
        <v>353</v>
      </c>
      <c r="GT21" s="841" t="s">
        <v>353</v>
      </c>
      <c r="GU21" s="841" t="s">
        <v>353</v>
      </c>
      <c r="GV21" s="841" t="s">
        <v>1419</v>
      </c>
      <c r="GW21" s="841" t="s">
        <v>353</v>
      </c>
      <c r="GX21" s="841" t="s">
        <v>353</v>
      </c>
      <c r="GY21" s="841" t="s">
        <v>353</v>
      </c>
      <c r="GZ21" s="841" t="s">
        <v>353</v>
      </c>
      <c r="HA21" s="841" t="s">
        <v>353</v>
      </c>
      <c r="HB21" s="841" t="s">
        <v>353</v>
      </c>
      <c r="HC21" s="841" t="s">
        <v>353</v>
      </c>
      <c r="HD21" s="841" t="s">
        <v>1638</v>
      </c>
      <c r="HE21" s="841" t="s">
        <v>353</v>
      </c>
      <c r="HF21" s="841" t="s">
        <v>353</v>
      </c>
      <c r="HG21" s="841" t="s">
        <v>353</v>
      </c>
      <c r="HH21" s="841" t="s">
        <v>353</v>
      </c>
      <c r="HI21" s="841" t="s">
        <v>1422</v>
      </c>
      <c r="HJ21" s="841" t="s">
        <v>353</v>
      </c>
      <c r="HK21" s="841" t="s">
        <v>353</v>
      </c>
      <c r="HL21" s="841" t="s">
        <v>353</v>
      </c>
      <c r="HM21" s="841" t="s">
        <v>353</v>
      </c>
      <c r="HN21" s="841" t="s">
        <v>353</v>
      </c>
      <c r="HO21" s="841" t="s">
        <v>353</v>
      </c>
      <c r="HP21" s="841" t="s">
        <v>353</v>
      </c>
      <c r="HQ21" s="841" t="s">
        <v>353</v>
      </c>
      <c r="HR21" s="841" t="s">
        <v>353</v>
      </c>
      <c r="HS21" s="841" t="s">
        <v>353</v>
      </c>
      <c r="HT21" s="841" t="s">
        <v>353</v>
      </c>
      <c r="HU21" s="841" t="s">
        <v>353</v>
      </c>
      <c r="HV21" s="841" t="s">
        <v>353</v>
      </c>
      <c r="HW21" s="841">
        <v>520000</v>
      </c>
      <c r="HX21" s="841" t="s">
        <v>353</v>
      </c>
      <c r="HY21" s="841" t="s">
        <v>353</v>
      </c>
      <c r="HZ21" s="841" t="s">
        <v>353</v>
      </c>
      <c r="IA21" s="841" t="s">
        <v>353</v>
      </c>
      <c r="IB21" s="841" t="s">
        <v>353</v>
      </c>
      <c r="IC21" s="841" t="s">
        <v>353</v>
      </c>
      <c r="ID21" s="841" t="s">
        <v>353</v>
      </c>
      <c r="IE21" s="841" t="s">
        <v>353</v>
      </c>
      <c r="IF21" s="841" t="s">
        <v>353</v>
      </c>
      <c r="IG21" s="841" t="s">
        <v>353</v>
      </c>
      <c r="IH21" s="841" t="s">
        <v>353</v>
      </c>
      <c r="II21" s="841" t="s">
        <v>353</v>
      </c>
      <c r="IJ21" s="841" t="s">
        <v>353</v>
      </c>
      <c r="IK21" s="841" t="s">
        <v>353</v>
      </c>
      <c r="IL21" s="841" t="s">
        <v>353</v>
      </c>
      <c r="IM21" s="841" t="s">
        <v>353</v>
      </c>
      <c r="IN21" s="841" t="s">
        <v>353</v>
      </c>
      <c r="IO21" s="841" t="s">
        <v>353</v>
      </c>
      <c r="IP21" s="841" t="s">
        <v>353</v>
      </c>
      <c r="IQ21" s="841" t="s">
        <v>353</v>
      </c>
      <c r="IR21" s="841" t="s">
        <v>353</v>
      </c>
      <c r="IS21" s="841" t="s">
        <v>353</v>
      </c>
      <c r="IT21" s="841" t="s">
        <v>353</v>
      </c>
      <c r="IU21" s="841" t="s">
        <v>353</v>
      </c>
      <c r="IV21" s="841" t="s">
        <v>353</v>
      </c>
      <c r="IW21" s="841" t="s">
        <v>353</v>
      </c>
      <c r="IX21" s="841" t="s">
        <v>353</v>
      </c>
      <c r="IY21" s="841" t="s">
        <v>353</v>
      </c>
      <c r="IZ21" s="841" t="s">
        <v>353</v>
      </c>
      <c r="JA21" s="841" t="s">
        <v>353</v>
      </c>
      <c r="JB21" s="841" t="s">
        <v>353</v>
      </c>
      <c r="JC21" s="841" t="s">
        <v>353</v>
      </c>
      <c r="JD21" s="841" t="s">
        <v>353</v>
      </c>
      <c r="JE21" s="841" t="s">
        <v>353</v>
      </c>
      <c r="JF21" s="841" t="s">
        <v>353</v>
      </c>
      <c r="JG21" s="841" t="s">
        <v>353</v>
      </c>
      <c r="JH21" s="841" t="s">
        <v>1639</v>
      </c>
      <c r="JI21" s="841" t="s">
        <v>1640</v>
      </c>
    </row>
    <row r="22" spans="1:269" x14ac:dyDescent="0.25">
      <c r="A22" s="841" t="s">
        <v>1641</v>
      </c>
      <c r="B22" s="841" t="s">
        <v>353</v>
      </c>
      <c r="C22" s="841" t="s">
        <v>1403</v>
      </c>
      <c r="D22" s="841" t="s">
        <v>353</v>
      </c>
      <c r="E22" s="841" t="s">
        <v>353</v>
      </c>
      <c r="F22" s="841" t="s">
        <v>353</v>
      </c>
      <c r="G22" s="841" t="s">
        <v>1642</v>
      </c>
      <c r="H22" s="841" t="s">
        <v>353</v>
      </c>
      <c r="I22" s="841" t="s">
        <v>353</v>
      </c>
      <c r="J22" s="841" t="s">
        <v>353</v>
      </c>
      <c r="K22" s="841" t="s">
        <v>353</v>
      </c>
      <c r="L22" s="842">
        <v>44607.462500000001</v>
      </c>
      <c r="M22" s="841" t="s">
        <v>353</v>
      </c>
      <c r="N22" s="841" t="s">
        <v>353</v>
      </c>
      <c r="O22" s="841" t="s">
        <v>353</v>
      </c>
      <c r="P22" s="841" t="s">
        <v>353</v>
      </c>
      <c r="Q22" s="841" t="s">
        <v>353</v>
      </c>
      <c r="R22" s="841" t="s">
        <v>353</v>
      </c>
      <c r="S22" s="841" t="s">
        <v>61</v>
      </c>
      <c r="T22" s="841" t="s">
        <v>1390</v>
      </c>
      <c r="U22" s="841" t="s">
        <v>353</v>
      </c>
      <c r="V22" s="841" t="s">
        <v>353</v>
      </c>
      <c r="W22" s="841" t="s">
        <v>353</v>
      </c>
      <c r="X22" s="841" t="s">
        <v>1405</v>
      </c>
      <c r="Y22" s="841" t="s">
        <v>353</v>
      </c>
      <c r="Z22" s="841" t="s">
        <v>353</v>
      </c>
      <c r="AA22" s="841" t="s">
        <v>353</v>
      </c>
      <c r="AB22" s="841" t="s">
        <v>353</v>
      </c>
      <c r="AC22" s="841" t="s">
        <v>353</v>
      </c>
      <c r="AD22" s="841" t="s">
        <v>353</v>
      </c>
      <c r="AE22" s="841" t="s">
        <v>353</v>
      </c>
      <c r="AF22" s="841" t="s">
        <v>353</v>
      </c>
      <c r="AG22" s="841" t="s">
        <v>353</v>
      </c>
      <c r="AH22" s="841">
        <v>15000</v>
      </c>
      <c r="AI22" s="841" t="s">
        <v>1521</v>
      </c>
      <c r="AJ22" s="841" t="s">
        <v>353</v>
      </c>
      <c r="AK22" s="841" t="s">
        <v>353</v>
      </c>
      <c r="AL22" s="841" t="s">
        <v>353</v>
      </c>
      <c r="AM22" s="841" t="s">
        <v>353</v>
      </c>
      <c r="AN22" s="841" t="s">
        <v>353</v>
      </c>
      <c r="AO22" s="841" t="s">
        <v>353</v>
      </c>
      <c r="AP22" s="841" t="s">
        <v>353</v>
      </c>
      <c r="AQ22" s="841" t="s">
        <v>353</v>
      </c>
      <c r="AR22" s="841" t="s">
        <v>353</v>
      </c>
      <c r="AS22" s="841" t="s">
        <v>353</v>
      </c>
      <c r="AT22" s="841" t="s">
        <v>353</v>
      </c>
      <c r="AU22" s="841" t="s">
        <v>353</v>
      </c>
      <c r="AV22" s="841" t="s">
        <v>353</v>
      </c>
      <c r="AW22" s="841" t="s">
        <v>353</v>
      </c>
      <c r="AX22" s="841" t="s">
        <v>353</v>
      </c>
      <c r="AY22" s="841" t="s">
        <v>353</v>
      </c>
      <c r="AZ22" s="841" t="s">
        <v>353</v>
      </c>
      <c r="BA22" s="841" t="s">
        <v>353</v>
      </c>
      <c r="BB22" s="841" t="s">
        <v>353</v>
      </c>
      <c r="BC22" s="841" t="s">
        <v>353</v>
      </c>
      <c r="BD22" s="841" t="s">
        <v>353</v>
      </c>
      <c r="BE22" s="841" t="s">
        <v>353</v>
      </c>
      <c r="BF22" s="841" t="s">
        <v>353</v>
      </c>
      <c r="BG22" s="841" t="s">
        <v>353</v>
      </c>
      <c r="BH22" s="841" t="s">
        <v>353</v>
      </c>
      <c r="BI22" s="841" t="s">
        <v>353</v>
      </c>
      <c r="BJ22" s="841" t="s">
        <v>353</v>
      </c>
      <c r="BK22" s="841" t="s">
        <v>353</v>
      </c>
      <c r="BL22" s="841" t="s">
        <v>1643</v>
      </c>
      <c r="BM22" s="842">
        <v>44620.681250000001</v>
      </c>
      <c r="BN22" s="841" t="s">
        <v>353</v>
      </c>
      <c r="BO22" s="841" t="s">
        <v>353</v>
      </c>
      <c r="BP22" s="841" t="s">
        <v>353</v>
      </c>
      <c r="BQ22" s="841" t="s">
        <v>353</v>
      </c>
      <c r="BR22" s="841" t="s">
        <v>353</v>
      </c>
      <c r="BS22" s="841" t="s">
        <v>353</v>
      </c>
      <c r="BT22" s="841">
        <v>1300000</v>
      </c>
      <c r="BU22" s="841" t="s">
        <v>353</v>
      </c>
      <c r="BV22" s="841" t="s">
        <v>1644</v>
      </c>
      <c r="BW22" s="841" t="s">
        <v>353</v>
      </c>
      <c r="BX22" s="841" t="s">
        <v>1645</v>
      </c>
      <c r="BY22" s="841" t="s">
        <v>353</v>
      </c>
      <c r="BZ22" s="841" t="s">
        <v>353</v>
      </c>
      <c r="CA22" s="841" t="s">
        <v>353</v>
      </c>
      <c r="CB22" s="841" t="s">
        <v>353</v>
      </c>
      <c r="CC22" s="841" t="s">
        <v>353</v>
      </c>
      <c r="CD22" s="841" t="s">
        <v>353</v>
      </c>
      <c r="CE22" s="841" t="s">
        <v>353</v>
      </c>
      <c r="CF22" s="841" t="s">
        <v>353</v>
      </c>
      <c r="CG22" s="841" t="s">
        <v>353</v>
      </c>
      <c r="CH22" s="841" t="s">
        <v>353</v>
      </c>
      <c r="CI22" s="841" t="s">
        <v>353</v>
      </c>
      <c r="CJ22" s="841" t="s">
        <v>353</v>
      </c>
      <c r="CK22" s="841">
        <v>0</v>
      </c>
      <c r="CL22" s="841" t="s">
        <v>353</v>
      </c>
      <c r="CM22" s="841">
        <v>3</v>
      </c>
      <c r="CN22" s="841" t="s">
        <v>353</v>
      </c>
      <c r="CO22" s="841" t="s">
        <v>353</v>
      </c>
      <c r="CP22" s="841" t="s">
        <v>1646</v>
      </c>
      <c r="CQ22" s="841" t="s">
        <v>353</v>
      </c>
      <c r="CR22" s="841" t="s">
        <v>353</v>
      </c>
      <c r="CS22" s="841" t="s">
        <v>353</v>
      </c>
      <c r="CT22" s="841" t="s">
        <v>353</v>
      </c>
      <c r="CU22" s="841" t="s">
        <v>1391</v>
      </c>
      <c r="CV22" s="841" t="s">
        <v>353</v>
      </c>
      <c r="CW22" s="841" t="s">
        <v>353</v>
      </c>
      <c r="CX22" s="841" t="s">
        <v>353</v>
      </c>
      <c r="CY22" s="841" t="s">
        <v>353</v>
      </c>
      <c r="CZ22" s="841">
        <v>11</v>
      </c>
      <c r="DA22" s="841" t="s">
        <v>353</v>
      </c>
      <c r="DB22" s="841" t="s">
        <v>353</v>
      </c>
      <c r="DC22" s="841" t="s">
        <v>353</v>
      </c>
      <c r="DD22" s="841" t="s">
        <v>353</v>
      </c>
      <c r="DE22" s="841" t="s">
        <v>353</v>
      </c>
      <c r="DF22" s="841" t="s">
        <v>353</v>
      </c>
      <c r="DG22" s="841" t="s">
        <v>353</v>
      </c>
      <c r="DH22" s="841" t="s">
        <v>353</v>
      </c>
      <c r="DI22" s="841" t="s">
        <v>353</v>
      </c>
      <c r="DJ22" s="841" t="s">
        <v>1647</v>
      </c>
      <c r="DK22" s="841" t="s">
        <v>353</v>
      </c>
      <c r="DL22" s="842">
        <v>44602.681250000001</v>
      </c>
      <c r="DM22" s="841" t="s">
        <v>353</v>
      </c>
      <c r="DN22" s="841" t="s">
        <v>353</v>
      </c>
      <c r="DO22" s="841" t="s">
        <v>673</v>
      </c>
      <c r="DP22" s="841" t="s">
        <v>1481</v>
      </c>
      <c r="DQ22" s="841" t="s">
        <v>673</v>
      </c>
      <c r="DR22" s="841" t="s">
        <v>353</v>
      </c>
      <c r="DS22" s="841" t="s">
        <v>353</v>
      </c>
      <c r="DT22" s="841" t="s">
        <v>353</v>
      </c>
      <c r="DU22" s="841" t="s">
        <v>353</v>
      </c>
      <c r="DV22" s="841" t="s">
        <v>353</v>
      </c>
      <c r="DW22" s="841" t="s">
        <v>353</v>
      </c>
      <c r="DX22" s="841" t="s">
        <v>353</v>
      </c>
      <c r="DY22" s="841" t="s">
        <v>353</v>
      </c>
      <c r="DZ22" s="841" t="s">
        <v>353</v>
      </c>
      <c r="EA22" s="841" t="s">
        <v>353</v>
      </c>
      <c r="EB22" s="841" t="s">
        <v>353</v>
      </c>
      <c r="EC22" s="841" t="s">
        <v>353</v>
      </c>
      <c r="ED22" s="841" t="s">
        <v>353</v>
      </c>
      <c r="EE22" s="841" t="s">
        <v>353</v>
      </c>
      <c r="EF22" s="841" t="s">
        <v>353</v>
      </c>
      <c r="EG22" s="841" t="s">
        <v>353</v>
      </c>
      <c r="EH22" s="841" t="s">
        <v>353</v>
      </c>
      <c r="EI22" s="841" t="s">
        <v>353</v>
      </c>
      <c r="EJ22" s="841" t="s">
        <v>353</v>
      </c>
      <c r="EK22" s="841" t="s">
        <v>1488</v>
      </c>
      <c r="EL22" s="841" t="s">
        <v>353</v>
      </c>
      <c r="EM22" s="841" t="s">
        <v>353</v>
      </c>
      <c r="EN22" s="841" t="s">
        <v>353</v>
      </c>
      <c r="EO22" s="841" t="s">
        <v>353</v>
      </c>
      <c r="EP22" s="841" t="s">
        <v>353</v>
      </c>
      <c r="EQ22" s="841" t="s">
        <v>353</v>
      </c>
      <c r="ER22" s="841" t="s">
        <v>353</v>
      </c>
      <c r="ES22" s="841" t="s">
        <v>353</v>
      </c>
      <c r="ET22" s="841" t="s">
        <v>1414</v>
      </c>
      <c r="EU22" s="841" t="s">
        <v>353</v>
      </c>
      <c r="EV22" s="841" t="s">
        <v>353</v>
      </c>
      <c r="EW22" s="841" t="s">
        <v>353</v>
      </c>
      <c r="EX22" s="841" t="s">
        <v>353</v>
      </c>
      <c r="EY22" s="842">
        <v>44607.333333333336</v>
      </c>
      <c r="EZ22" s="842">
        <v>44610.333333333336</v>
      </c>
      <c r="FA22" s="841" t="s">
        <v>353</v>
      </c>
      <c r="FB22" s="841" t="s">
        <v>353</v>
      </c>
      <c r="FC22" s="841" t="s">
        <v>353</v>
      </c>
      <c r="FD22" s="841" t="s">
        <v>353</v>
      </c>
      <c r="FE22" s="842">
        <v>44602.681250000001</v>
      </c>
      <c r="FF22" s="841" t="s">
        <v>353</v>
      </c>
      <c r="FG22" s="841" t="s">
        <v>353</v>
      </c>
      <c r="FH22" s="841" t="s">
        <v>353</v>
      </c>
      <c r="FI22" s="841" t="s">
        <v>353</v>
      </c>
      <c r="FJ22" s="841" t="s">
        <v>353</v>
      </c>
      <c r="FK22" s="841" t="s">
        <v>353</v>
      </c>
      <c r="FL22" s="841" t="s">
        <v>353</v>
      </c>
      <c r="FM22" s="841" t="s">
        <v>353</v>
      </c>
      <c r="FN22" s="841" t="s">
        <v>353</v>
      </c>
      <c r="FO22" s="841" t="s">
        <v>1648</v>
      </c>
      <c r="FP22" s="841" t="s">
        <v>353</v>
      </c>
      <c r="FQ22" s="841" t="s">
        <v>353</v>
      </c>
      <c r="FR22" s="841" t="s">
        <v>353</v>
      </c>
      <c r="FS22" s="841" t="s">
        <v>353</v>
      </c>
      <c r="FT22" s="841" t="s">
        <v>353</v>
      </c>
      <c r="FU22" s="841" t="s">
        <v>1416</v>
      </c>
      <c r="FV22" s="841" t="s">
        <v>353</v>
      </c>
      <c r="FW22" s="841" t="s">
        <v>353</v>
      </c>
      <c r="FX22" s="841" t="s">
        <v>353</v>
      </c>
      <c r="FY22" s="841" t="s">
        <v>353</v>
      </c>
      <c r="FZ22" s="841" t="s">
        <v>353</v>
      </c>
      <c r="GA22" s="841" t="s">
        <v>353</v>
      </c>
      <c r="GB22" s="841">
        <v>1</v>
      </c>
      <c r="GC22" s="841" t="s">
        <v>353</v>
      </c>
      <c r="GD22" s="841" t="s">
        <v>1417</v>
      </c>
      <c r="GE22" s="841" t="s">
        <v>353</v>
      </c>
      <c r="GF22" s="841" t="s">
        <v>353</v>
      </c>
      <c r="GG22" s="841" t="s">
        <v>353</v>
      </c>
      <c r="GH22" s="841" t="s">
        <v>353</v>
      </c>
      <c r="GI22" s="841" t="s">
        <v>353</v>
      </c>
      <c r="GJ22" s="841" t="s">
        <v>353</v>
      </c>
      <c r="GK22" s="841" t="s">
        <v>353</v>
      </c>
      <c r="GL22" s="841" t="s">
        <v>1418</v>
      </c>
      <c r="GM22" s="841" t="s">
        <v>353</v>
      </c>
      <c r="GN22" s="841" t="s">
        <v>353</v>
      </c>
      <c r="GO22" s="841" t="s">
        <v>353</v>
      </c>
      <c r="GP22" s="841" t="s">
        <v>353</v>
      </c>
      <c r="GQ22" s="841" t="s">
        <v>353</v>
      </c>
      <c r="GR22" s="841" t="s">
        <v>353</v>
      </c>
      <c r="GS22" s="841" t="s">
        <v>1644</v>
      </c>
      <c r="GT22" s="841" t="s">
        <v>353</v>
      </c>
      <c r="GU22" s="841" t="s">
        <v>353</v>
      </c>
      <c r="GV22" s="841" t="s">
        <v>1419</v>
      </c>
      <c r="GW22" s="841" t="s">
        <v>353</v>
      </c>
      <c r="GX22" s="841" t="s">
        <v>353</v>
      </c>
      <c r="GY22" s="841" t="s">
        <v>353</v>
      </c>
      <c r="GZ22" s="841" t="s">
        <v>1486</v>
      </c>
      <c r="HA22" s="841" t="s">
        <v>353</v>
      </c>
      <c r="HB22" s="841" t="s">
        <v>353</v>
      </c>
      <c r="HC22" s="841" t="s">
        <v>1421</v>
      </c>
      <c r="HD22" s="841" t="s">
        <v>1646</v>
      </c>
      <c r="HE22" s="841" t="s">
        <v>353</v>
      </c>
      <c r="HF22" s="841" t="s">
        <v>353</v>
      </c>
      <c r="HG22" s="841" t="s">
        <v>353</v>
      </c>
      <c r="HH22" s="841" t="s">
        <v>353</v>
      </c>
      <c r="HI22" s="841" t="s">
        <v>1422</v>
      </c>
      <c r="HJ22" s="841" t="s">
        <v>353</v>
      </c>
      <c r="HK22" s="841" t="s">
        <v>353</v>
      </c>
      <c r="HL22" s="841" t="s">
        <v>353</v>
      </c>
      <c r="HM22" s="841" t="s">
        <v>1530</v>
      </c>
      <c r="HN22" s="841" t="s">
        <v>353</v>
      </c>
      <c r="HO22" s="841" t="s">
        <v>353</v>
      </c>
      <c r="HP22" s="841" t="s">
        <v>353</v>
      </c>
      <c r="HQ22" s="841" t="s">
        <v>353</v>
      </c>
      <c r="HR22" s="841" t="s">
        <v>353</v>
      </c>
      <c r="HS22" s="841" t="s">
        <v>353</v>
      </c>
      <c r="HT22" s="841" t="s">
        <v>353</v>
      </c>
      <c r="HU22" s="841" t="s">
        <v>353</v>
      </c>
      <c r="HV22" s="841" t="s">
        <v>353</v>
      </c>
      <c r="HW22" s="841">
        <v>3500000</v>
      </c>
      <c r="HX22" s="841" t="s">
        <v>353</v>
      </c>
      <c r="HY22" s="841" t="s">
        <v>353</v>
      </c>
      <c r="HZ22" s="841" t="s">
        <v>353</v>
      </c>
      <c r="IA22" s="841" t="s">
        <v>353</v>
      </c>
      <c r="IB22" s="841" t="s">
        <v>1424</v>
      </c>
      <c r="IC22" s="841" t="s">
        <v>353</v>
      </c>
      <c r="ID22" s="841" t="s">
        <v>353</v>
      </c>
      <c r="IE22" s="841" t="s">
        <v>353</v>
      </c>
      <c r="IF22" s="841" t="s">
        <v>353</v>
      </c>
      <c r="IG22" s="841" t="s">
        <v>353</v>
      </c>
      <c r="IH22" s="841" t="s">
        <v>353</v>
      </c>
      <c r="II22" s="841" t="s">
        <v>353</v>
      </c>
      <c r="IJ22" s="841" t="s">
        <v>353</v>
      </c>
      <c r="IK22" s="841" t="s">
        <v>353</v>
      </c>
      <c r="IL22" s="841" t="s">
        <v>353</v>
      </c>
      <c r="IM22" s="841" t="s">
        <v>353</v>
      </c>
      <c r="IN22" s="841" t="s">
        <v>353</v>
      </c>
      <c r="IO22" s="841" t="s">
        <v>353</v>
      </c>
      <c r="IP22" s="841" t="s">
        <v>353</v>
      </c>
      <c r="IQ22" s="841" t="s">
        <v>353</v>
      </c>
      <c r="IR22" s="841" t="s">
        <v>353</v>
      </c>
      <c r="IS22" s="841" t="s">
        <v>353</v>
      </c>
      <c r="IT22" s="841" t="s">
        <v>353</v>
      </c>
      <c r="IU22" s="841" t="s">
        <v>353</v>
      </c>
      <c r="IV22" s="841" t="s">
        <v>353</v>
      </c>
      <c r="IW22" s="841" t="s">
        <v>353</v>
      </c>
      <c r="IX22" s="841" t="s">
        <v>353</v>
      </c>
      <c r="IY22" s="841" t="s">
        <v>353</v>
      </c>
      <c r="IZ22" s="841" t="s">
        <v>353</v>
      </c>
      <c r="JA22" s="841" t="s">
        <v>353</v>
      </c>
      <c r="JB22" s="841" t="s">
        <v>353</v>
      </c>
      <c r="JC22" s="841" t="s">
        <v>353</v>
      </c>
      <c r="JD22" s="841" t="s">
        <v>353</v>
      </c>
      <c r="JE22" s="841" t="s">
        <v>353</v>
      </c>
      <c r="JF22" s="841" t="s">
        <v>353</v>
      </c>
      <c r="JG22" s="841" t="s">
        <v>353</v>
      </c>
      <c r="JH22" s="841" t="s">
        <v>1649</v>
      </c>
      <c r="JI22" s="841" t="s">
        <v>1650</v>
      </c>
    </row>
    <row r="23" spans="1:269" x14ac:dyDescent="0.25">
      <c r="A23" s="841" t="s">
        <v>1651</v>
      </c>
      <c r="B23" s="841" t="s">
        <v>353</v>
      </c>
      <c r="C23" s="841" t="s">
        <v>353</v>
      </c>
      <c r="D23" s="841" t="s">
        <v>353</v>
      </c>
      <c r="E23" s="841" t="s">
        <v>353</v>
      </c>
      <c r="F23" s="841" t="s">
        <v>353</v>
      </c>
      <c r="G23" s="841" t="s">
        <v>353</v>
      </c>
      <c r="H23" s="841" t="s">
        <v>353</v>
      </c>
      <c r="I23" s="841" t="s">
        <v>353</v>
      </c>
      <c r="J23" s="841" t="s">
        <v>353</v>
      </c>
      <c r="K23" s="841" t="s">
        <v>353</v>
      </c>
      <c r="L23" s="842">
        <v>44602.597916666666</v>
      </c>
      <c r="M23" s="841" t="s">
        <v>353</v>
      </c>
      <c r="N23" s="841" t="s">
        <v>353</v>
      </c>
      <c r="O23" s="841" t="s">
        <v>353</v>
      </c>
      <c r="P23" s="841" t="s">
        <v>353</v>
      </c>
      <c r="Q23" s="841" t="s">
        <v>353</v>
      </c>
      <c r="R23" s="841" t="s">
        <v>353</v>
      </c>
      <c r="S23" s="841" t="s">
        <v>353</v>
      </c>
      <c r="T23" s="841" t="s">
        <v>1390</v>
      </c>
      <c r="U23" s="841" t="s">
        <v>353</v>
      </c>
      <c r="V23" s="841" t="s">
        <v>353</v>
      </c>
      <c r="W23" s="841" t="s">
        <v>353</v>
      </c>
      <c r="X23" s="841" t="s">
        <v>353</v>
      </c>
      <c r="Y23" s="841" t="s">
        <v>353</v>
      </c>
      <c r="Z23" s="841" t="s">
        <v>353</v>
      </c>
      <c r="AA23" s="841" t="s">
        <v>353</v>
      </c>
      <c r="AB23" s="841" t="s">
        <v>353</v>
      </c>
      <c r="AC23" s="841" t="s">
        <v>353</v>
      </c>
      <c r="AD23" s="841" t="s">
        <v>353</v>
      </c>
      <c r="AE23" s="841" t="s">
        <v>353</v>
      </c>
      <c r="AF23" s="841" t="s">
        <v>353</v>
      </c>
      <c r="AG23" s="841" t="s">
        <v>353</v>
      </c>
      <c r="AH23" s="841" t="s">
        <v>353</v>
      </c>
      <c r="AI23" s="841" t="s">
        <v>353</v>
      </c>
      <c r="AJ23" s="841" t="s">
        <v>353</v>
      </c>
      <c r="AK23" s="841" t="s">
        <v>353</v>
      </c>
      <c r="AL23" s="841" t="s">
        <v>353</v>
      </c>
      <c r="AM23" s="841" t="s">
        <v>353</v>
      </c>
      <c r="AN23" s="841" t="s">
        <v>353</v>
      </c>
      <c r="AO23" s="841" t="s">
        <v>353</v>
      </c>
      <c r="AP23" s="841" t="s">
        <v>353</v>
      </c>
      <c r="AQ23" s="841" t="s">
        <v>353</v>
      </c>
      <c r="AR23" s="841" t="s">
        <v>353</v>
      </c>
      <c r="AS23" s="841" t="s">
        <v>353</v>
      </c>
      <c r="AT23" s="841" t="s">
        <v>353</v>
      </c>
      <c r="AU23" s="841" t="s">
        <v>353</v>
      </c>
      <c r="AV23" s="841" t="s">
        <v>353</v>
      </c>
      <c r="AW23" s="841" t="s">
        <v>353</v>
      </c>
      <c r="AX23" s="841" t="s">
        <v>353</v>
      </c>
      <c r="AY23" s="841" t="s">
        <v>353</v>
      </c>
      <c r="AZ23" s="841" t="s">
        <v>353</v>
      </c>
      <c r="BA23" s="841" t="s">
        <v>353</v>
      </c>
      <c r="BB23" s="841" t="s">
        <v>353</v>
      </c>
      <c r="BC23" s="841" t="s">
        <v>353</v>
      </c>
      <c r="BD23" s="841" t="s">
        <v>353</v>
      </c>
      <c r="BE23" s="841" t="s">
        <v>353</v>
      </c>
      <c r="BF23" s="841" t="s">
        <v>353</v>
      </c>
      <c r="BG23" s="841" t="s">
        <v>353</v>
      </c>
      <c r="BH23" s="841" t="s">
        <v>353</v>
      </c>
      <c r="BI23" s="841" t="s">
        <v>353</v>
      </c>
      <c r="BJ23" s="841" t="s">
        <v>353</v>
      </c>
      <c r="BK23" s="841" t="s">
        <v>353</v>
      </c>
      <c r="BL23" s="841" t="s">
        <v>353</v>
      </c>
      <c r="BM23" s="842">
        <v>44620.591666666667</v>
      </c>
      <c r="BN23" s="841" t="s">
        <v>353</v>
      </c>
      <c r="BO23" s="841" t="s">
        <v>353</v>
      </c>
      <c r="BP23" s="841" t="s">
        <v>353</v>
      </c>
      <c r="BQ23" s="841" t="s">
        <v>353</v>
      </c>
      <c r="BR23" s="841" t="s">
        <v>353</v>
      </c>
      <c r="BS23" s="841" t="s">
        <v>353</v>
      </c>
      <c r="BT23" s="841">
        <v>4387500</v>
      </c>
      <c r="BU23" s="841" t="s">
        <v>353</v>
      </c>
      <c r="BV23" s="841" t="s">
        <v>353</v>
      </c>
      <c r="BW23" s="841" t="s">
        <v>353</v>
      </c>
      <c r="BX23" s="841" t="s">
        <v>353</v>
      </c>
      <c r="BY23" s="841" t="s">
        <v>353</v>
      </c>
      <c r="BZ23" s="841" t="s">
        <v>353</v>
      </c>
      <c r="CA23" s="841" t="s">
        <v>353</v>
      </c>
      <c r="CB23" s="841" t="s">
        <v>353</v>
      </c>
      <c r="CC23" s="841" t="s">
        <v>353</v>
      </c>
      <c r="CD23" s="841" t="s">
        <v>353</v>
      </c>
      <c r="CE23" s="841" t="s">
        <v>353</v>
      </c>
      <c r="CF23" s="841" t="s">
        <v>353</v>
      </c>
      <c r="CG23" s="841" t="s">
        <v>353</v>
      </c>
      <c r="CH23" s="841" t="s">
        <v>353</v>
      </c>
      <c r="CI23" s="841" t="s">
        <v>353</v>
      </c>
      <c r="CJ23" s="841" t="s">
        <v>353</v>
      </c>
      <c r="CK23" s="841">
        <v>0</v>
      </c>
      <c r="CL23" s="841" t="s">
        <v>353</v>
      </c>
      <c r="CM23" s="841">
        <v>1</v>
      </c>
      <c r="CN23" s="841" t="s">
        <v>353</v>
      </c>
      <c r="CO23" s="841" t="s">
        <v>353</v>
      </c>
      <c r="CP23" s="841" t="s">
        <v>353</v>
      </c>
      <c r="CQ23" s="841" t="s">
        <v>353</v>
      </c>
      <c r="CR23" s="841" t="s">
        <v>353</v>
      </c>
      <c r="CS23" s="841" t="s">
        <v>353</v>
      </c>
      <c r="CT23" s="841" t="s">
        <v>353</v>
      </c>
      <c r="CU23" s="841" t="s">
        <v>1391</v>
      </c>
      <c r="CV23" s="841" t="s">
        <v>353</v>
      </c>
      <c r="CW23" s="841" t="s">
        <v>353</v>
      </c>
      <c r="CX23" s="841" t="s">
        <v>353</v>
      </c>
      <c r="CY23" s="841" t="s">
        <v>353</v>
      </c>
      <c r="CZ23" s="841" t="s">
        <v>353</v>
      </c>
      <c r="DA23" s="841" t="s">
        <v>353</v>
      </c>
      <c r="DB23" s="841" t="s">
        <v>353</v>
      </c>
      <c r="DC23" s="841" t="s">
        <v>353</v>
      </c>
      <c r="DD23" s="841" t="s">
        <v>353</v>
      </c>
      <c r="DE23" s="841" t="s">
        <v>353</v>
      </c>
      <c r="DF23" s="841" t="s">
        <v>353</v>
      </c>
      <c r="DG23" s="841" t="s">
        <v>353</v>
      </c>
      <c r="DH23" s="841" t="s">
        <v>353</v>
      </c>
      <c r="DI23" s="841" t="s">
        <v>353</v>
      </c>
      <c r="DJ23" s="841" t="s">
        <v>1652</v>
      </c>
      <c r="DK23" s="841" t="s">
        <v>353</v>
      </c>
      <c r="DL23" s="842">
        <v>44602.591666666667</v>
      </c>
      <c r="DM23" s="841" t="s">
        <v>353</v>
      </c>
      <c r="DN23" s="841" t="s">
        <v>353</v>
      </c>
      <c r="DO23" s="841" t="s">
        <v>353</v>
      </c>
      <c r="DP23" s="841" t="s">
        <v>353</v>
      </c>
      <c r="DQ23" s="841" t="s">
        <v>673</v>
      </c>
      <c r="DR23" s="841" t="s">
        <v>353</v>
      </c>
      <c r="DS23" s="841" t="s">
        <v>353</v>
      </c>
      <c r="DT23" s="841" t="s">
        <v>353</v>
      </c>
      <c r="DU23" s="841" t="s">
        <v>353</v>
      </c>
      <c r="DV23" s="841" t="s">
        <v>353</v>
      </c>
      <c r="DW23" s="841" t="s">
        <v>353</v>
      </c>
      <c r="DX23" s="841" t="s">
        <v>353</v>
      </c>
      <c r="DY23" s="841" t="s">
        <v>353</v>
      </c>
      <c r="DZ23" s="841" t="s">
        <v>353</v>
      </c>
      <c r="EA23" s="841" t="s">
        <v>353</v>
      </c>
      <c r="EB23" s="841" t="s">
        <v>353</v>
      </c>
      <c r="EC23" s="841" t="s">
        <v>353</v>
      </c>
      <c r="ED23" s="841" t="s">
        <v>353</v>
      </c>
      <c r="EE23" s="841" t="s">
        <v>353</v>
      </c>
      <c r="EF23" s="841" t="s">
        <v>353</v>
      </c>
      <c r="EG23" s="841" t="s">
        <v>353</v>
      </c>
      <c r="EH23" s="841" t="s">
        <v>353</v>
      </c>
      <c r="EI23" s="841" t="s">
        <v>353</v>
      </c>
      <c r="EJ23" s="841" t="s">
        <v>353</v>
      </c>
      <c r="EK23" s="841" t="s">
        <v>353</v>
      </c>
      <c r="EL23" s="841" t="s">
        <v>353</v>
      </c>
      <c r="EM23" s="841" t="s">
        <v>353</v>
      </c>
      <c r="EN23" s="841" t="s">
        <v>353</v>
      </c>
      <c r="EO23" s="841" t="s">
        <v>353</v>
      </c>
      <c r="EP23" s="841" t="s">
        <v>353</v>
      </c>
      <c r="EQ23" s="841" t="s">
        <v>353</v>
      </c>
      <c r="ER23" s="841" t="s">
        <v>353</v>
      </c>
      <c r="ES23" s="841" t="s">
        <v>353</v>
      </c>
      <c r="ET23" s="841" t="s">
        <v>1496</v>
      </c>
      <c r="EU23" s="841" t="s">
        <v>353</v>
      </c>
      <c r="EV23" s="841" t="s">
        <v>353</v>
      </c>
      <c r="EW23" s="841" t="s">
        <v>353</v>
      </c>
      <c r="EX23" s="841" t="s">
        <v>353</v>
      </c>
      <c r="EY23" s="842">
        <v>44602.597916666666</v>
      </c>
      <c r="EZ23" s="841" t="s">
        <v>353</v>
      </c>
      <c r="FA23" s="841" t="s">
        <v>353</v>
      </c>
      <c r="FB23" s="841" t="s">
        <v>353</v>
      </c>
      <c r="FC23" s="841" t="s">
        <v>353</v>
      </c>
      <c r="FD23" s="841" t="s">
        <v>353</v>
      </c>
      <c r="FE23" s="842">
        <v>44602.59375</v>
      </c>
      <c r="FF23" s="841" t="s">
        <v>353</v>
      </c>
      <c r="FG23" s="841" t="s">
        <v>353</v>
      </c>
      <c r="FH23" s="841" t="s">
        <v>353</v>
      </c>
      <c r="FI23" s="841" t="s">
        <v>353</v>
      </c>
      <c r="FJ23" s="841" t="s">
        <v>353</v>
      </c>
      <c r="FK23" s="841" t="s">
        <v>353</v>
      </c>
      <c r="FL23" s="841" t="s">
        <v>353</v>
      </c>
      <c r="FM23" s="841" t="s">
        <v>353</v>
      </c>
      <c r="FN23" s="841" t="s">
        <v>353</v>
      </c>
      <c r="FO23" s="841" t="s">
        <v>353</v>
      </c>
      <c r="FP23" s="841" t="s">
        <v>353</v>
      </c>
      <c r="FQ23" s="841" t="s">
        <v>353</v>
      </c>
      <c r="FR23" s="841" t="s">
        <v>353</v>
      </c>
      <c r="FS23" s="841" t="s">
        <v>353</v>
      </c>
      <c r="FT23" s="841" t="s">
        <v>353</v>
      </c>
      <c r="FU23" s="841" t="s">
        <v>1394</v>
      </c>
      <c r="FV23" s="841" t="s">
        <v>353</v>
      </c>
      <c r="FW23" s="841" t="s">
        <v>353</v>
      </c>
      <c r="FX23" s="841" t="s">
        <v>353</v>
      </c>
      <c r="FY23" s="841" t="s">
        <v>353</v>
      </c>
      <c r="FZ23" s="841" t="s">
        <v>353</v>
      </c>
      <c r="GA23" s="841" t="s">
        <v>353</v>
      </c>
      <c r="GB23" s="841">
        <v>1</v>
      </c>
      <c r="GC23" s="841" t="s">
        <v>353</v>
      </c>
      <c r="GD23" s="841" t="s">
        <v>1395</v>
      </c>
      <c r="GE23" s="841" t="s">
        <v>353</v>
      </c>
      <c r="GF23" s="841" t="s">
        <v>353</v>
      </c>
      <c r="GG23" s="841" t="s">
        <v>353</v>
      </c>
      <c r="GH23" s="841" t="s">
        <v>353</v>
      </c>
      <c r="GI23" s="841" t="s">
        <v>353</v>
      </c>
      <c r="GJ23" s="841" t="s">
        <v>353</v>
      </c>
      <c r="GK23" s="841" t="s">
        <v>353</v>
      </c>
      <c r="GL23" s="841" t="s">
        <v>1497</v>
      </c>
      <c r="GM23" s="841" t="s">
        <v>353</v>
      </c>
      <c r="GN23" s="841" t="s">
        <v>353</v>
      </c>
      <c r="GO23" s="841" t="s">
        <v>353</v>
      </c>
      <c r="GP23" s="841" t="s">
        <v>353</v>
      </c>
      <c r="GQ23" s="841" t="s">
        <v>353</v>
      </c>
      <c r="GR23" s="841" t="s">
        <v>353</v>
      </c>
      <c r="GS23" s="841" t="s">
        <v>353</v>
      </c>
      <c r="GT23" s="841" t="s">
        <v>353</v>
      </c>
      <c r="GU23" s="841" t="s">
        <v>353</v>
      </c>
      <c r="GV23" s="841" t="s">
        <v>1419</v>
      </c>
      <c r="GW23" s="841" t="s">
        <v>353</v>
      </c>
      <c r="GX23" s="841" t="s">
        <v>353</v>
      </c>
      <c r="GY23" s="841" t="s">
        <v>353</v>
      </c>
      <c r="GZ23" s="841" t="s">
        <v>353</v>
      </c>
      <c r="HA23" s="841" t="s">
        <v>353</v>
      </c>
      <c r="HB23" s="841" t="s">
        <v>353</v>
      </c>
      <c r="HC23" s="841" t="s">
        <v>353</v>
      </c>
      <c r="HD23" s="841" t="s">
        <v>1653</v>
      </c>
      <c r="HE23" s="841" t="s">
        <v>353</v>
      </c>
      <c r="HF23" s="841" t="s">
        <v>353</v>
      </c>
      <c r="HG23" s="841" t="s">
        <v>353</v>
      </c>
      <c r="HH23" s="841" t="s">
        <v>353</v>
      </c>
      <c r="HI23" s="841" t="s">
        <v>353</v>
      </c>
      <c r="HJ23" s="841" t="s">
        <v>353</v>
      </c>
      <c r="HK23" s="841" t="s">
        <v>353</v>
      </c>
      <c r="HL23" s="841" t="s">
        <v>353</v>
      </c>
      <c r="HM23" s="841" t="s">
        <v>353</v>
      </c>
      <c r="HN23" s="841" t="s">
        <v>353</v>
      </c>
      <c r="HO23" s="841" t="s">
        <v>353</v>
      </c>
      <c r="HP23" s="841" t="s">
        <v>353</v>
      </c>
      <c r="HQ23" s="841" t="s">
        <v>353</v>
      </c>
      <c r="HR23" s="841" t="s">
        <v>353</v>
      </c>
      <c r="HS23" s="841" t="s">
        <v>353</v>
      </c>
      <c r="HT23" s="841" t="s">
        <v>353</v>
      </c>
      <c r="HU23" s="841" t="s">
        <v>353</v>
      </c>
      <c r="HV23" s="841" t="s">
        <v>353</v>
      </c>
      <c r="HW23" s="841" t="s">
        <v>353</v>
      </c>
      <c r="HX23" s="841" t="s">
        <v>353</v>
      </c>
      <c r="HY23" s="841" t="s">
        <v>353</v>
      </c>
      <c r="HZ23" s="841" t="s">
        <v>353</v>
      </c>
      <c r="IA23" s="841" t="s">
        <v>353</v>
      </c>
      <c r="IB23" s="841" t="s">
        <v>353</v>
      </c>
      <c r="IC23" s="841" t="s">
        <v>353</v>
      </c>
      <c r="ID23" s="841" t="s">
        <v>353</v>
      </c>
      <c r="IE23" s="841" t="s">
        <v>353</v>
      </c>
      <c r="IF23" s="841" t="s">
        <v>353</v>
      </c>
      <c r="IG23" s="841" t="s">
        <v>353</v>
      </c>
      <c r="IH23" s="841" t="s">
        <v>353</v>
      </c>
      <c r="II23" s="841" t="s">
        <v>353</v>
      </c>
      <c r="IJ23" s="841" t="s">
        <v>353</v>
      </c>
      <c r="IK23" s="841" t="s">
        <v>353</v>
      </c>
      <c r="IL23" s="841" t="s">
        <v>353</v>
      </c>
      <c r="IM23" s="841" t="s">
        <v>353</v>
      </c>
      <c r="IN23" s="841" t="s">
        <v>353</v>
      </c>
      <c r="IO23" s="841" t="s">
        <v>353</v>
      </c>
      <c r="IP23" s="841" t="s">
        <v>353</v>
      </c>
      <c r="IQ23" s="841" t="s">
        <v>353</v>
      </c>
      <c r="IR23" s="841" t="s">
        <v>353</v>
      </c>
      <c r="IS23" s="841" t="s">
        <v>353</v>
      </c>
      <c r="IT23" s="841" t="s">
        <v>353</v>
      </c>
      <c r="IU23" s="841" t="s">
        <v>353</v>
      </c>
      <c r="IV23" s="841" t="s">
        <v>353</v>
      </c>
      <c r="IW23" s="841" t="s">
        <v>353</v>
      </c>
      <c r="IX23" s="841" t="s">
        <v>353</v>
      </c>
      <c r="IY23" s="841" t="s">
        <v>353</v>
      </c>
      <c r="IZ23" s="841" t="s">
        <v>353</v>
      </c>
      <c r="JA23" s="841" t="s">
        <v>353</v>
      </c>
      <c r="JB23" s="841" t="s">
        <v>353</v>
      </c>
      <c r="JC23" s="841" t="s">
        <v>353</v>
      </c>
      <c r="JD23" s="841" t="s">
        <v>353</v>
      </c>
      <c r="JE23" s="841" t="s">
        <v>353</v>
      </c>
      <c r="JF23" s="841" t="s">
        <v>1654</v>
      </c>
      <c r="JG23" s="841" t="s">
        <v>1655</v>
      </c>
      <c r="JH23" s="841" t="s">
        <v>1656</v>
      </c>
      <c r="JI23" s="841" t="s">
        <v>1657</v>
      </c>
    </row>
    <row r="24" spans="1:269" x14ac:dyDescent="0.25">
      <c r="A24" s="841" t="s">
        <v>1658</v>
      </c>
      <c r="B24" s="841" t="s">
        <v>353</v>
      </c>
      <c r="C24" s="841" t="s">
        <v>1403</v>
      </c>
      <c r="D24" s="841" t="s">
        <v>353</v>
      </c>
      <c r="E24" s="841" t="s">
        <v>353</v>
      </c>
      <c r="F24" s="841" t="s">
        <v>353</v>
      </c>
      <c r="G24" s="841" t="s">
        <v>1659</v>
      </c>
      <c r="H24" s="841" t="s">
        <v>353</v>
      </c>
      <c r="I24" s="841" t="s">
        <v>353</v>
      </c>
      <c r="J24" s="841" t="s">
        <v>353</v>
      </c>
      <c r="K24" s="841" t="s">
        <v>353</v>
      </c>
      <c r="L24" s="842">
        <v>44607.459722222222</v>
      </c>
      <c r="M24" s="841" t="s">
        <v>353</v>
      </c>
      <c r="N24" s="841" t="s">
        <v>353</v>
      </c>
      <c r="O24" s="841" t="s">
        <v>353</v>
      </c>
      <c r="P24" s="841" t="s">
        <v>353</v>
      </c>
      <c r="Q24" s="841" t="s">
        <v>353</v>
      </c>
      <c r="R24" s="841" t="s">
        <v>353</v>
      </c>
      <c r="S24" s="841" t="s">
        <v>61</v>
      </c>
      <c r="T24" s="841" t="s">
        <v>1390</v>
      </c>
      <c r="U24" s="841" t="s">
        <v>353</v>
      </c>
      <c r="V24" s="841" t="s">
        <v>353</v>
      </c>
      <c r="W24" s="841" t="s">
        <v>353</v>
      </c>
      <c r="X24" s="841" t="s">
        <v>1660</v>
      </c>
      <c r="Y24" s="841" t="s">
        <v>353</v>
      </c>
      <c r="Z24" s="841" t="s">
        <v>353</v>
      </c>
      <c r="AA24" s="841" t="s">
        <v>353</v>
      </c>
      <c r="AB24" s="841" t="s">
        <v>353</v>
      </c>
      <c r="AC24" s="841" t="s">
        <v>353</v>
      </c>
      <c r="AD24" s="841" t="s">
        <v>353</v>
      </c>
      <c r="AE24" s="841" t="s">
        <v>353</v>
      </c>
      <c r="AF24" s="841" t="s">
        <v>353</v>
      </c>
      <c r="AG24" s="841" t="s">
        <v>353</v>
      </c>
      <c r="AH24" s="841">
        <v>3000</v>
      </c>
      <c r="AI24" s="841" t="s">
        <v>1521</v>
      </c>
      <c r="AJ24" s="841" t="s">
        <v>353</v>
      </c>
      <c r="AK24" s="841" t="s">
        <v>353</v>
      </c>
      <c r="AL24" s="841" t="s">
        <v>353</v>
      </c>
      <c r="AM24" s="841" t="s">
        <v>353</v>
      </c>
      <c r="AN24" s="841" t="s">
        <v>353</v>
      </c>
      <c r="AO24" s="841" t="s">
        <v>353</v>
      </c>
      <c r="AP24" s="841" t="s">
        <v>353</v>
      </c>
      <c r="AQ24" s="841" t="s">
        <v>353</v>
      </c>
      <c r="AR24" s="841" t="s">
        <v>353</v>
      </c>
      <c r="AS24" s="841" t="s">
        <v>353</v>
      </c>
      <c r="AT24" s="841" t="s">
        <v>353</v>
      </c>
      <c r="AU24" s="841" t="s">
        <v>353</v>
      </c>
      <c r="AV24" s="841" t="s">
        <v>353</v>
      </c>
      <c r="AW24" s="841" t="s">
        <v>353</v>
      </c>
      <c r="AX24" s="841" t="s">
        <v>353</v>
      </c>
      <c r="AY24" s="841" t="s">
        <v>353</v>
      </c>
      <c r="AZ24" s="841" t="s">
        <v>353</v>
      </c>
      <c r="BA24" s="841" t="s">
        <v>353</v>
      </c>
      <c r="BB24" s="841" t="s">
        <v>353</v>
      </c>
      <c r="BC24" s="841" t="s">
        <v>353</v>
      </c>
      <c r="BD24" s="841" t="s">
        <v>353</v>
      </c>
      <c r="BE24" s="841" t="s">
        <v>353</v>
      </c>
      <c r="BF24" s="841" t="s">
        <v>353</v>
      </c>
      <c r="BG24" s="841" t="s">
        <v>353</v>
      </c>
      <c r="BH24" s="841" t="s">
        <v>353</v>
      </c>
      <c r="BI24" s="841" t="s">
        <v>353</v>
      </c>
      <c r="BJ24" s="841" t="s">
        <v>353</v>
      </c>
      <c r="BK24" s="841">
        <v>500000</v>
      </c>
      <c r="BL24" s="841" t="s">
        <v>1661</v>
      </c>
      <c r="BM24" s="842">
        <v>44620.534722222219</v>
      </c>
      <c r="BN24" s="841" t="s">
        <v>353</v>
      </c>
      <c r="BO24" s="841" t="s">
        <v>353</v>
      </c>
      <c r="BP24" s="841" t="s">
        <v>353</v>
      </c>
      <c r="BQ24" s="841" t="s">
        <v>353</v>
      </c>
      <c r="BR24" s="841" t="s">
        <v>353</v>
      </c>
      <c r="BS24" s="841" t="s">
        <v>353</v>
      </c>
      <c r="BT24" s="841">
        <v>825000</v>
      </c>
      <c r="BU24" s="841" t="s">
        <v>353</v>
      </c>
      <c r="BV24" s="841" t="s">
        <v>1662</v>
      </c>
      <c r="BW24" s="841" t="s">
        <v>353</v>
      </c>
      <c r="BX24" s="841" t="s">
        <v>1663</v>
      </c>
      <c r="BY24" s="841" t="s">
        <v>353</v>
      </c>
      <c r="BZ24" s="841" t="s">
        <v>353</v>
      </c>
      <c r="CA24" s="841" t="s">
        <v>353</v>
      </c>
      <c r="CB24" s="841" t="s">
        <v>353</v>
      </c>
      <c r="CC24" s="841" t="s">
        <v>353</v>
      </c>
      <c r="CD24" s="841" t="s">
        <v>353</v>
      </c>
      <c r="CE24" s="841" t="s">
        <v>353</v>
      </c>
      <c r="CF24" s="841" t="s">
        <v>353</v>
      </c>
      <c r="CG24" s="841" t="s">
        <v>353</v>
      </c>
      <c r="CH24" s="841" t="s">
        <v>353</v>
      </c>
      <c r="CI24" s="841" t="s">
        <v>353</v>
      </c>
      <c r="CJ24" s="841" t="s">
        <v>353</v>
      </c>
      <c r="CK24" s="841">
        <v>1</v>
      </c>
      <c r="CL24" s="841" t="s">
        <v>353</v>
      </c>
      <c r="CM24" s="841">
        <v>4</v>
      </c>
      <c r="CN24" s="841" t="s">
        <v>353</v>
      </c>
      <c r="CO24" s="841" t="s">
        <v>353</v>
      </c>
      <c r="CP24" s="841" t="s">
        <v>1664</v>
      </c>
      <c r="CQ24" s="841" t="s">
        <v>353</v>
      </c>
      <c r="CR24" s="841" t="s">
        <v>353</v>
      </c>
      <c r="CS24" s="841" t="s">
        <v>353</v>
      </c>
      <c r="CT24" s="841" t="s">
        <v>353</v>
      </c>
      <c r="CU24" s="841" t="s">
        <v>1391</v>
      </c>
      <c r="CV24" s="841" t="s">
        <v>353</v>
      </c>
      <c r="CW24" s="841" t="s">
        <v>353</v>
      </c>
      <c r="CX24" s="841" t="s">
        <v>353</v>
      </c>
      <c r="CY24" s="841" t="s">
        <v>353</v>
      </c>
      <c r="CZ24" s="841" t="s">
        <v>353</v>
      </c>
      <c r="DA24" s="841" t="s">
        <v>353</v>
      </c>
      <c r="DB24" s="841" t="s">
        <v>353</v>
      </c>
      <c r="DC24" s="841" t="s">
        <v>353</v>
      </c>
      <c r="DD24" s="841" t="s">
        <v>353</v>
      </c>
      <c r="DE24" s="841" t="s">
        <v>353</v>
      </c>
      <c r="DF24" s="841" t="s">
        <v>353</v>
      </c>
      <c r="DG24" s="841" t="s">
        <v>353</v>
      </c>
      <c r="DH24" s="841" t="s">
        <v>353</v>
      </c>
      <c r="DI24" s="841" t="s">
        <v>353</v>
      </c>
      <c r="DJ24" s="841" t="s">
        <v>1665</v>
      </c>
      <c r="DK24" s="841" t="s">
        <v>353</v>
      </c>
      <c r="DL24" s="842">
        <v>44602.534722222219</v>
      </c>
      <c r="DM24" s="841" t="s">
        <v>353</v>
      </c>
      <c r="DN24" s="841" t="s">
        <v>353</v>
      </c>
      <c r="DO24" s="841" t="s">
        <v>673</v>
      </c>
      <c r="DP24" s="841" t="s">
        <v>1412</v>
      </c>
      <c r="DQ24" s="841" t="s">
        <v>673</v>
      </c>
      <c r="DR24" s="841" t="s">
        <v>353</v>
      </c>
      <c r="DS24" s="841" t="s">
        <v>353</v>
      </c>
      <c r="DT24" s="841" t="s">
        <v>353</v>
      </c>
      <c r="DU24" s="841" t="s">
        <v>353</v>
      </c>
      <c r="DV24" s="841" t="s">
        <v>353</v>
      </c>
      <c r="DW24" s="841" t="s">
        <v>353</v>
      </c>
      <c r="DX24" s="841" t="s">
        <v>353</v>
      </c>
      <c r="DY24" s="841" t="s">
        <v>353</v>
      </c>
      <c r="DZ24" s="841" t="s">
        <v>353</v>
      </c>
      <c r="EA24" s="841" t="s">
        <v>353</v>
      </c>
      <c r="EB24" s="841" t="s">
        <v>353</v>
      </c>
      <c r="EC24" s="841" t="s">
        <v>353</v>
      </c>
      <c r="ED24" s="841" t="s">
        <v>353</v>
      </c>
      <c r="EE24" s="841" t="s">
        <v>353</v>
      </c>
      <c r="EF24" s="841" t="s">
        <v>353</v>
      </c>
      <c r="EG24" s="841" t="s">
        <v>353</v>
      </c>
      <c r="EH24" s="841" t="s">
        <v>353</v>
      </c>
      <c r="EI24" s="841" t="s">
        <v>353</v>
      </c>
      <c r="EJ24" s="841" t="s">
        <v>353</v>
      </c>
      <c r="EK24" s="841" t="s">
        <v>1488</v>
      </c>
      <c r="EL24" s="841" t="s">
        <v>353</v>
      </c>
      <c r="EM24" s="841" t="s">
        <v>353</v>
      </c>
      <c r="EN24" s="841" t="s">
        <v>353</v>
      </c>
      <c r="EO24" s="841" t="s">
        <v>353</v>
      </c>
      <c r="EP24" s="841" t="s">
        <v>353</v>
      </c>
      <c r="EQ24" s="841" t="s">
        <v>353</v>
      </c>
      <c r="ER24" s="841" t="s">
        <v>353</v>
      </c>
      <c r="ES24" s="841" t="s">
        <v>353</v>
      </c>
      <c r="ET24" s="841" t="s">
        <v>1414</v>
      </c>
      <c r="EU24" s="841" t="s">
        <v>353</v>
      </c>
      <c r="EV24" s="841" t="s">
        <v>353</v>
      </c>
      <c r="EW24" s="841" t="s">
        <v>353</v>
      </c>
      <c r="EX24" s="841" t="s">
        <v>353</v>
      </c>
      <c r="EY24" s="842">
        <v>44607.333333333336</v>
      </c>
      <c r="EZ24" s="842">
        <v>44610.333333333336</v>
      </c>
      <c r="FA24" s="841" t="s">
        <v>353</v>
      </c>
      <c r="FB24" s="841" t="s">
        <v>353</v>
      </c>
      <c r="FC24" s="841" t="s">
        <v>353</v>
      </c>
      <c r="FD24" s="841" t="s">
        <v>353</v>
      </c>
      <c r="FE24" s="842">
        <v>44602.535416666666</v>
      </c>
      <c r="FF24" s="841" t="s">
        <v>353</v>
      </c>
      <c r="FG24" s="841" t="s">
        <v>353</v>
      </c>
      <c r="FH24" s="841" t="s">
        <v>353</v>
      </c>
      <c r="FI24" s="841" t="s">
        <v>353</v>
      </c>
      <c r="FJ24" s="841" t="s">
        <v>353</v>
      </c>
      <c r="FK24" s="841" t="s">
        <v>353</v>
      </c>
      <c r="FL24" s="841" t="s">
        <v>353</v>
      </c>
      <c r="FM24" s="841" t="s">
        <v>353</v>
      </c>
      <c r="FN24" s="841" t="s">
        <v>353</v>
      </c>
      <c r="FO24" s="841" t="s">
        <v>1528</v>
      </c>
      <c r="FP24" s="841" t="s">
        <v>353</v>
      </c>
      <c r="FQ24" s="841" t="s">
        <v>353</v>
      </c>
      <c r="FR24" s="841" t="s">
        <v>353</v>
      </c>
      <c r="FS24" s="841" t="s">
        <v>353</v>
      </c>
      <c r="FT24" s="841" t="s">
        <v>353</v>
      </c>
      <c r="FU24" s="841" t="s">
        <v>1416</v>
      </c>
      <c r="FV24" s="841" t="s">
        <v>353</v>
      </c>
      <c r="FW24" s="841" t="s">
        <v>353</v>
      </c>
      <c r="FX24" s="841" t="s">
        <v>353</v>
      </c>
      <c r="FY24" s="841" t="s">
        <v>353</v>
      </c>
      <c r="FZ24" s="841" t="s">
        <v>353</v>
      </c>
      <c r="GA24" s="841" t="s">
        <v>353</v>
      </c>
      <c r="GB24" s="841">
        <v>1</v>
      </c>
      <c r="GC24" s="841" t="s">
        <v>353</v>
      </c>
      <c r="GD24" s="841" t="s">
        <v>1417</v>
      </c>
      <c r="GE24" s="841" t="s">
        <v>353</v>
      </c>
      <c r="GF24" s="841" t="s">
        <v>353</v>
      </c>
      <c r="GG24" s="841" t="s">
        <v>353</v>
      </c>
      <c r="GH24" s="841" t="s">
        <v>353</v>
      </c>
      <c r="GI24" s="841" t="s">
        <v>353</v>
      </c>
      <c r="GJ24" s="841" t="s">
        <v>353</v>
      </c>
      <c r="GK24" s="841" t="s">
        <v>353</v>
      </c>
      <c r="GL24" s="841" t="s">
        <v>1418</v>
      </c>
      <c r="GM24" s="841" t="s">
        <v>353</v>
      </c>
      <c r="GN24" s="841" t="s">
        <v>353</v>
      </c>
      <c r="GO24" s="841" t="s">
        <v>353</v>
      </c>
      <c r="GP24" s="841" t="s">
        <v>353</v>
      </c>
      <c r="GQ24" s="841" t="s">
        <v>353</v>
      </c>
      <c r="GR24" s="842">
        <v>44602.609027777777</v>
      </c>
      <c r="GS24" s="841" t="s">
        <v>1662</v>
      </c>
      <c r="GT24" s="841" t="s">
        <v>353</v>
      </c>
      <c r="GU24" s="841" t="s">
        <v>353</v>
      </c>
      <c r="GV24" s="841" t="s">
        <v>1419</v>
      </c>
      <c r="GW24" s="841" t="s">
        <v>353</v>
      </c>
      <c r="GX24" s="841" t="s">
        <v>1666</v>
      </c>
      <c r="GY24" s="841" t="s">
        <v>353</v>
      </c>
      <c r="GZ24" s="841" t="s">
        <v>1486</v>
      </c>
      <c r="HA24" s="841" t="s">
        <v>353</v>
      </c>
      <c r="HB24" s="841" t="s">
        <v>353</v>
      </c>
      <c r="HC24" s="841" t="s">
        <v>1421</v>
      </c>
      <c r="HD24" s="841" t="s">
        <v>1664</v>
      </c>
      <c r="HE24" s="841" t="s">
        <v>353</v>
      </c>
      <c r="HF24" s="841" t="s">
        <v>353</v>
      </c>
      <c r="HG24" s="841" t="s">
        <v>353</v>
      </c>
      <c r="HH24" s="841" t="s">
        <v>353</v>
      </c>
      <c r="HI24" s="841" t="s">
        <v>1422</v>
      </c>
      <c r="HJ24" s="841" t="s">
        <v>353</v>
      </c>
      <c r="HK24" s="841" t="s">
        <v>353</v>
      </c>
      <c r="HL24" s="841" t="s">
        <v>353</v>
      </c>
      <c r="HM24" s="841" t="s">
        <v>1423</v>
      </c>
      <c r="HN24" s="841" t="s">
        <v>353</v>
      </c>
      <c r="HO24" s="841" t="s">
        <v>353</v>
      </c>
      <c r="HP24" s="841" t="s">
        <v>353</v>
      </c>
      <c r="HQ24" s="841" t="s">
        <v>353</v>
      </c>
      <c r="HR24" s="841" t="s">
        <v>353</v>
      </c>
      <c r="HS24" s="841" t="s">
        <v>353</v>
      </c>
      <c r="HT24" s="841" t="s">
        <v>353</v>
      </c>
      <c r="HU24" s="841" t="s">
        <v>353</v>
      </c>
      <c r="HV24" s="841" t="s">
        <v>353</v>
      </c>
      <c r="HW24" s="841">
        <v>1100000</v>
      </c>
      <c r="HX24" s="841" t="s">
        <v>353</v>
      </c>
      <c r="HY24" s="841" t="s">
        <v>353</v>
      </c>
      <c r="HZ24" s="841" t="s">
        <v>353</v>
      </c>
      <c r="IA24" s="841" t="s">
        <v>353</v>
      </c>
      <c r="IB24" s="841" t="s">
        <v>1424</v>
      </c>
      <c r="IC24" s="841" t="s">
        <v>353</v>
      </c>
      <c r="ID24" s="841" t="s">
        <v>353</v>
      </c>
      <c r="IE24" s="841" t="s">
        <v>353</v>
      </c>
      <c r="IF24" s="841" t="s">
        <v>353</v>
      </c>
      <c r="IG24" s="841" t="s">
        <v>353</v>
      </c>
      <c r="IH24" s="841" t="s">
        <v>353</v>
      </c>
      <c r="II24" s="841" t="s">
        <v>353</v>
      </c>
      <c r="IJ24" s="841" t="s">
        <v>353</v>
      </c>
      <c r="IK24" s="841" t="s">
        <v>353</v>
      </c>
      <c r="IL24" s="841" t="s">
        <v>353</v>
      </c>
      <c r="IM24" s="841" t="s">
        <v>353</v>
      </c>
      <c r="IN24" s="841" t="s">
        <v>353</v>
      </c>
      <c r="IO24" s="841" t="s">
        <v>353</v>
      </c>
      <c r="IP24" s="841" t="s">
        <v>353</v>
      </c>
      <c r="IQ24" s="841" t="s">
        <v>353</v>
      </c>
      <c r="IR24" s="841" t="s">
        <v>353</v>
      </c>
      <c r="IS24" s="841" t="s">
        <v>353</v>
      </c>
      <c r="IT24" s="841" t="s">
        <v>353</v>
      </c>
      <c r="IU24" s="841" t="s">
        <v>353</v>
      </c>
      <c r="IV24" s="841" t="s">
        <v>353</v>
      </c>
      <c r="IW24" s="841" t="s">
        <v>353</v>
      </c>
      <c r="IX24" s="841" t="s">
        <v>353</v>
      </c>
      <c r="IY24" s="841" t="s">
        <v>353</v>
      </c>
      <c r="IZ24" s="841" t="s">
        <v>353</v>
      </c>
      <c r="JA24" s="841" t="s">
        <v>353</v>
      </c>
      <c r="JB24" s="841" t="s">
        <v>353</v>
      </c>
      <c r="JC24" s="841" t="s">
        <v>353</v>
      </c>
      <c r="JD24" s="841" t="s">
        <v>353</v>
      </c>
      <c r="JE24" s="841" t="s">
        <v>353</v>
      </c>
      <c r="JF24" s="841" t="s">
        <v>353</v>
      </c>
      <c r="JG24" s="841" t="s">
        <v>353</v>
      </c>
      <c r="JH24" s="841" t="s">
        <v>1667</v>
      </c>
      <c r="JI24" s="841" t="s">
        <v>1668</v>
      </c>
    </row>
    <row r="25" spans="1:269" x14ac:dyDescent="0.25">
      <c r="A25" s="841" t="s">
        <v>1669</v>
      </c>
      <c r="B25" s="841" t="s">
        <v>353</v>
      </c>
      <c r="C25" s="841" t="s">
        <v>353</v>
      </c>
      <c r="D25" s="841" t="s">
        <v>353</v>
      </c>
      <c r="E25" s="841" t="s">
        <v>353</v>
      </c>
      <c r="F25" s="841" t="s">
        <v>353</v>
      </c>
      <c r="G25" s="841" t="s">
        <v>353</v>
      </c>
      <c r="H25" s="841" t="s">
        <v>353</v>
      </c>
      <c r="I25" s="841" t="s">
        <v>353</v>
      </c>
      <c r="J25" s="841" t="s">
        <v>353</v>
      </c>
      <c r="K25" s="841" t="s">
        <v>353</v>
      </c>
      <c r="L25" s="842">
        <v>44608.442361111112</v>
      </c>
      <c r="M25" s="841" t="s">
        <v>353</v>
      </c>
      <c r="N25" s="841" t="s">
        <v>353</v>
      </c>
      <c r="O25" s="841" t="s">
        <v>353</v>
      </c>
      <c r="P25" s="841" t="s">
        <v>353</v>
      </c>
      <c r="Q25" s="841" t="s">
        <v>353</v>
      </c>
      <c r="R25" s="841" t="s">
        <v>353</v>
      </c>
      <c r="S25" s="841" t="s">
        <v>353</v>
      </c>
      <c r="T25" s="841" t="s">
        <v>1390</v>
      </c>
      <c r="U25" s="841" t="s">
        <v>353</v>
      </c>
      <c r="V25" s="841" t="s">
        <v>353</v>
      </c>
      <c r="W25" s="841" t="s">
        <v>353</v>
      </c>
      <c r="X25" s="841" t="s">
        <v>353</v>
      </c>
      <c r="Y25" s="841" t="s">
        <v>353</v>
      </c>
      <c r="Z25" s="841" t="s">
        <v>353</v>
      </c>
      <c r="AA25" s="841" t="s">
        <v>353</v>
      </c>
      <c r="AB25" s="841" t="s">
        <v>353</v>
      </c>
      <c r="AC25" s="841" t="s">
        <v>353</v>
      </c>
      <c r="AD25" s="841" t="s">
        <v>353</v>
      </c>
      <c r="AE25" s="841" t="s">
        <v>353</v>
      </c>
      <c r="AF25" s="841" t="s">
        <v>353</v>
      </c>
      <c r="AG25" s="841" t="s">
        <v>353</v>
      </c>
      <c r="AH25" s="841" t="s">
        <v>353</v>
      </c>
      <c r="AI25" s="841" t="s">
        <v>1406</v>
      </c>
      <c r="AJ25" s="841" t="s">
        <v>353</v>
      </c>
      <c r="AK25" s="841" t="s">
        <v>353</v>
      </c>
      <c r="AL25" s="841" t="s">
        <v>353</v>
      </c>
      <c r="AM25" s="841" t="s">
        <v>353</v>
      </c>
      <c r="AN25" s="841" t="s">
        <v>353</v>
      </c>
      <c r="AO25" s="841" t="s">
        <v>353</v>
      </c>
      <c r="AP25" s="841" t="s">
        <v>353</v>
      </c>
      <c r="AQ25" s="841" t="s">
        <v>353</v>
      </c>
      <c r="AR25" s="841" t="s">
        <v>353</v>
      </c>
      <c r="AS25" s="841" t="s">
        <v>353</v>
      </c>
      <c r="AT25" s="841" t="s">
        <v>353</v>
      </c>
      <c r="AU25" s="841" t="s">
        <v>353</v>
      </c>
      <c r="AV25" s="841" t="s">
        <v>353</v>
      </c>
      <c r="AW25" s="841" t="s">
        <v>353</v>
      </c>
      <c r="AX25" s="841" t="s">
        <v>353</v>
      </c>
      <c r="AY25" s="841" t="s">
        <v>353</v>
      </c>
      <c r="AZ25" s="841" t="s">
        <v>353</v>
      </c>
      <c r="BA25" s="841" t="s">
        <v>353</v>
      </c>
      <c r="BB25" s="841" t="s">
        <v>353</v>
      </c>
      <c r="BC25" s="841" t="s">
        <v>353</v>
      </c>
      <c r="BD25" s="841" t="s">
        <v>353</v>
      </c>
      <c r="BE25" s="841" t="s">
        <v>353</v>
      </c>
      <c r="BF25" s="841" t="s">
        <v>353</v>
      </c>
      <c r="BG25" s="841" t="s">
        <v>353</v>
      </c>
      <c r="BH25" s="841" t="s">
        <v>353</v>
      </c>
      <c r="BI25" s="841" t="s">
        <v>353</v>
      </c>
      <c r="BJ25" s="841" t="s">
        <v>353</v>
      </c>
      <c r="BK25" s="841" t="s">
        <v>353</v>
      </c>
      <c r="BL25" s="841" t="s">
        <v>1670</v>
      </c>
      <c r="BM25" s="842">
        <v>44620.508333333331</v>
      </c>
      <c r="BN25" s="841" t="s">
        <v>353</v>
      </c>
      <c r="BO25" s="841" t="s">
        <v>353</v>
      </c>
      <c r="BP25" s="841" t="s">
        <v>353</v>
      </c>
      <c r="BQ25" s="841" t="s">
        <v>353</v>
      </c>
      <c r="BR25" s="841" t="s">
        <v>353</v>
      </c>
      <c r="BS25" s="841" t="s">
        <v>353</v>
      </c>
      <c r="BT25" s="841">
        <v>1464000</v>
      </c>
      <c r="BU25" s="841" t="s">
        <v>353</v>
      </c>
      <c r="BV25" s="841" t="s">
        <v>353</v>
      </c>
      <c r="BW25" s="841" t="s">
        <v>353</v>
      </c>
      <c r="BX25" s="841" t="s">
        <v>1671</v>
      </c>
      <c r="BY25" s="841" t="s">
        <v>353</v>
      </c>
      <c r="BZ25" s="841" t="s">
        <v>353</v>
      </c>
      <c r="CA25" s="841" t="s">
        <v>353</v>
      </c>
      <c r="CB25" s="841" t="s">
        <v>353</v>
      </c>
      <c r="CC25" s="841" t="s">
        <v>353</v>
      </c>
      <c r="CD25" s="841" t="s">
        <v>353</v>
      </c>
      <c r="CE25" s="841" t="s">
        <v>353</v>
      </c>
      <c r="CF25" s="841" t="s">
        <v>353</v>
      </c>
      <c r="CG25" s="841" t="s">
        <v>353</v>
      </c>
      <c r="CH25" s="841" t="s">
        <v>353</v>
      </c>
      <c r="CI25" s="841" t="s">
        <v>353</v>
      </c>
      <c r="CJ25" s="841" t="s">
        <v>353</v>
      </c>
      <c r="CK25" s="841">
        <v>8</v>
      </c>
      <c r="CL25" s="841" t="s">
        <v>353</v>
      </c>
      <c r="CM25" s="841">
        <v>8</v>
      </c>
      <c r="CN25" s="841" t="s">
        <v>353</v>
      </c>
      <c r="CO25" s="841" t="s">
        <v>353</v>
      </c>
      <c r="CP25" s="841" t="s">
        <v>353</v>
      </c>
      <c r="CQ25" s="841" t="s">
        <v>353</v>
      </c>
      <c r="CR25" s="841" t="s">
        <v>353</v>
      </c>
      <c r="CS25" s="841" t="s">
        <v>353</v>
      </c>
      <c r="CT25" s="841" t="s">
        <v>353</v>
      </c>
      <c r="CU25" s="841" t="s">
        <v>1391</v>
      </c>
      <c r="CV25" s="841" t="s">
        <v>353</v>
      </c>
      <c r="CW25" s="841" t="s">
        <v>353</v>
      </c>
      <c r="CX25" s="841" t="s">
        <v>353</v>
      </c>
      <c r="CY25" s="841" t="s">
        <v>353</v>
      </c>
      <c r="CZ25" s="841" t="s">
        <v>353</v>
      </c>
      <c r="DA25" s="841" t="s">
        <v>353</v>
      </c>
      <c r="DB25" s="841" t="s">
        <v>353</v>
      </c>
      <c r="DC25" s="841" t="s">
        <v>353</v>
      </c>
      <c r="DD25" s="841" t="s">
        <v>353</v>
      </c>
      <c r="DE25" s="841" t="s">
        <v>353</v>
      </c>
      <c r="DF25" s="841" t="s">
        <v>353</v>
      </c>
      <c r="DG25" s="841" t="s">
        <v>353</v>
      </c>
      <c r="DH25" s="841" t="s">
        <v>353</v>
      </c>
      <c r="DI25" s="841" t="s">
        <v>353</v>
      </c>
      <c r="DJ25" s="841" t="s">
        <v>353</v>
      </c>
      <c r="DK25" s="841" t="s">
        <v>353</v>
      </c>
      <c r="DL25" s="842">
        <v>44602.508333333331</v>
      </c>
      <c r="DM25" s="841" t="s">
        <v>353</v>
      </c>
      <c r="DN25" s="841" t="s">
        <v>353</v>
      </c>
      <c r="DO25" s="841" t="s">
        <v>673</v>
      </c>
      <c r="DP25" s="841" t="s">
        <v>1412</v>
      </c>
      <c r="DQ25" s="841" t="s">
        <v>1392</v>
      </c>
      <c r="DR25" s="841">
        <v>1953000</v>
      </c>
      <c r="DS25" s="841" t="s">
        <v>353</v>
      </c>
      <c r="DT25" s="841" t="s">
        <v>353</v>
      </c>
      <c r="DU25" s="841" t="s">
        <v>353</v>
      </c>
      <c r="DV25" s="841" t="s">
        <v>353</v>
      </c>
      <c r="DW25" s="841" t="s">
        <v>353</v>
      </c>
      <c r="DX25" s="841" t="s">
        <v>353</v>
      </c>
      <c r="DY25" s="841" t="s">
        <v>353</v>
      </c>
      <c r="DZ25" s="841" t="s">
        <v>353</v>
      </c>
      <c r="EA25" s="841" t="s">
        <v>353</v>
      </c>
      <c r="EB25" s="841" t="s">
        <v>353</v>
      </c>
      <c r="EC25" s="841" t="s">
        <v>353</v>
      </c>
      <c r="ED25" s="841" t="s">
        <v>353</v>
      </c>
      <c r="EE25" s="841" t="s">
        <v>353</v>
      </c>
      <c r="EF25" s="841" t="s">
        <v>353</v>
      </c>
      <c r="EG25" s="841" t="s">
        <v>353</v>
      </c>
      <c r="EH25" s="841" t="s">
        <v>353</v>
      </c>
      <c r="EI25" s="841" t="s">
        <v>353</v>
      </c>
      <c r="EJ25" s="841" t="s">
        <v>353</v>
      </c>
      <c r="EK25" s="841" t="s">
        <v>353</v>
      </c>
      <c r="EL25" s="841" t="s">
        <v>353</v>
      </c>
      <c r="EM25" s="841" t="s">
        <v>353</v>
      </c>
      <c r="EN25" s="841" t="s">
        <v>353</v>
      </c>
      <c r="EO25" s="841" t="s">
        <v>353</v>
      </c>
      <c r="EP25" s="841" t="s">
        <v>353</v>
      </c>
      <c r="EQ25" s="841" t="s">
        <v>353</v>
      </c>
      <c r="ER25" s="841" t="s">
        <v>353</v>
      </c>
      <c r="ES25" s="841" t="s">
        <v>353</v>
      </c>
      <c r="ET25" s="841" t="s">
        <v>1393</v>
      </c>
      <c r="EU25" s="841" t="s">
        <v>353</v>
      </c>
      <c r="EV25" s="841" t="s">
        <v>353</v>
      </c>
      <c r="EW25" s="841" t="s">
        <v>353</v>
      </c>
      <c r="EX25" s="841" t="s">
        <v>353</v>
      </c>
      <c r="EY25" s="842">
        <v>44608.442361111112</v>
      </c>
      <c r="EZ25" s="841" t="s">
        <v>353</v>
      </c>
      <c r="FA25" s="841" t="s">
        <v>353</v>
      </c>
      <c r="FB25" s="841" t="s">
        <v>353</v>
      </c>
      <c r="FC25" s="841" t="s">
        <v>353</v>
      </c>
      <c r="FD25" s="841" t="s">
        <v>353</v>
      </c>
      <c r="FE25" s="842">
        <v>44602.509027777778</v>
      </c>
      <c r="FF25" s="841" t="s">
        <v>353</v>
      </c>
      <c r="FG25" s="841" t="s">
        <v>353</v>
      </c>
      <c r="FH25" s="841" t="s">
        <v>353</v>
      </c>
      <c r="FI25" s="841" t="s">
        <v>353</v>
      </c>
      <c r="FJ25" s="841" t="s">
        <v>353</v>
      </c>
      <c r="FK25" s="841" t="s">
        <v>353</v>
      </c>
      <c r="FL25" s="841" t="s">
        <v>353</v>
      </c>
      <c r="FM25" s="841" t="s">
        <v>353</v>
      </c>
      <c r="FN25" s="841" t="s">
        <v>353</v>
      </c>
      <c r="FO25" s="841" t="s">
        <v>353</v>
      </c>
      <c r="FP25" s="841" t="s">
        <v>353</v>
      </c>
      <c r="FQ25" s="841" t="s">
        <v>353</v>
      </c>
      <c r="FR25" s="841" t="s">
        <v>353</v>
      </c>
      <c r="FS25" s="841" t="s">
        <v>353</v>
      </c>
      <c r="FT25" s="841" t="s">
        <v>353</v>
      </c>
      <c r="FU25" s="841" t="s">
        <v>1394</v>
      </c>
      <c r="FV25" s="841" t="s">
        <v>353</v>
      </c>
      <c r="FW25" s="841" t="s">
        <v>353</v>
      </c>
      <c r="FX25" s="841" t="s">
        <v>353</v>
      </c>
      <c r="FY25" s="841" t="s">
        <v>353</v>
      </c>
      <c r="FZ25" s="841" t="s">
        <v>353</v>
      </c>
      <c r="GA25" s="841" t="s">
        <v>353</v>
      </c>
      <c r="GB25" s="841">
        <v>1</v>
      </c>
      <c r="GC25" s="841" t="s">
        <v>353</v>
      </c>
      <c r="GD25" s="841" t="s">
        <v>1395</v>
      </c>
      <c r="GE25" s="841" t="s">
        <v>353</v>
      </c>
      <c r="GF25" s="841" t="s">
        <v>353</v>
      </c>
      <c r="GG25" s="841" t="s">
        <v>353</v>
      </c>
      <c r="GH25" s="841" t="s">
        <v>353</v>
      </c>
      <c r="GI25" s="841" t="s">
        <v>353</v>
      </c>
      <c r="GJ25" s="841" t="s">
        <v>353</v>
      </c>
      <c r="GK25" s="841" t="s">
        <v>353</v>
      </c>
      <c r="GL25" s="841" t="s">
        <v>1396</v>
      </c>
      <c r="GM25" s="841" t="s">
        <v>353</v>
      </c>
      <c r="GN25" s="841" t="s">
        <v>353</v>
      </c>
      <c r="GO25" s="841" t="s">
        <v>353</v>
      </c>
      <c r="GP25" s="841" t="s">
        <v>353</v>
      </c>
      <c r="GQ25" s="841" t="s">
        <v>353</v>
      </c>
      <c r="GR25" s="842">
        <v>44608.442361111112</v>
      </c>
      <c r="GS25" s="841" t="s">
        <v>353</v>
      </c>
      <c r="GT25" s="841" t="s">
        <v>353</v>
      </c>
      <c r="GU25" s="841" t="s">
        <v>353</v>
      </c>
      <c r="GV25" s="841" t="s">
        <v>1076</v>
      </c>
      <c r="GW25" s="841" t="s">
        <v>353</v>
      </c>
      <c r="GX25" s="841" t="s">
        <v>353</v>
      </c>
      <c r="GY25" s="841" t="s">
        <v>353</v>
      </c>
      <c r="GZ25" s="841" t="s">
        <v>353</v>
      </c>
      <c r="HA25" s="841" t="s">
        <v>353</v>
      </c>
      <c r="HB25" s="841" t="s">
        <v>353</v>
      </c>
      <c r="HC25" s="841" t="s">
        <v>353</v>
      </c>
      <c r="HD25" s="841" t="s">
        <v>1672</v>
      </c>
      <c r="HE25" s="841" t="s">
        <v>353</v>
      </c>
      <c r="HF25" s="841" t="s">
        <v>353</v>
      </c>
      <c r="HG25" s="841" t="s">
        <v>353</v>
      </c>
      <c r="HH25" s="841" t="s">
        <v>353</v>
      </c>
      <c r="HI25" s="841" t="s">
        <v>1422</v>
      </c>
      <c r="HJ25" s="841" t="s">
        <v>353</v>
      </c>
      <c r="HK25" s="841" t="s">
        <v>353</v>
      </c>
      <c r="HL25" s="841" t="s">
        <v>353</v>
      </c>
      <c r="HM25" s="841" t="s">
        <v>353</v>
      </c>
      <c r="HN25" s="841" t="s">
        <v>353</v>
      </c>
      <c r="HO25" s="841" t="s">
        <v>353</v>
      </c>
      <c r="HP25" s="841" t="s">
        <v>353</v>
      </c>
      <c r="HQ25" s="841" t="s">
        <v>353</v>
      </c>
      <c r="HR25" s="841" t="s">
        <v>353</v>
      </c>
      <c r="HS25" s="841" t="s">
        <v>353</v>
      </c>
      <c r="HT25" s="841" t="s">
        <v>353</v>
      </c>
      <c r="HU25" s="841" t="s">
        <v>353</v>
      </c>
      <c r="HV25" s="841" t="s">
        <v>353</v>
      </c>
      <c r="HW25" s="841">
        <v>1953000</v>
      </c>
      <c r="HX25" s="841" t="s">
        <v>353</v>
      </c>
      <c r="HY25" s="841" t="s">
        <v>353</v>
      </c>
      <c r="HZ25" s="841" t="s">
        <v>353</v>
      </c>
      <c r="IA25" s="841" t="s">
        <v>353</v>
      </c>
      <c r="IB25" s="841" t="s">
        <v>1673</v>
      </c>
      <c r="IC25" s="841" t="s">
        <v>353</v>
      </c>
      <c r="ID25" s="841" t="s">
        <v>353</v>
      </c>
      <c r="IE25" s="841" t="s">
        <v>353</v>
      </c>
      <c r="IF25" s="841" t="s">
        <v>353</v>
      </c>
      <c r="IG25" s="841" t="s">
        <v>353</v>
      </c>
      <c r="IH25" s="841" t="s">
        <v>353</v>
      </c>
      <c r="II25" s="841" t="s">
        <v>353</v>
      </c>
      <c r="IJ25" s="841" t="s">
        <v>353</v>
      </c>
      <c r="IK25" s="841" t="s">
        <v>353</v>
      </c>
      <c r="IL25" s="841" t="s">
        <v>353</v>
      </c>
      <c r="IM25" s="841" t="s">
        <v>353</v>
      </c>
      <c r="IN25" s="841" t="s">
        <v>353</v>
      </c>
      <c r="IO25" s="841" t="s">
        <v>353</v>
      </c>
      <c r="IP25" s="841" t="s">
        <v>353</v>
      </c>
      <c r="IQ25" s="841" t="s">
        <v>353</v>
      </c>
      <c r="IR25" s="841" t="s">
        <v>353</v>
      </c>
      <c r="IS25" s="841" t="s">
        <v>353</v>
      </c>
      <c r="IT25" s="841" t="s">
        <v>353</v>
      </c>
      <c r="IU25" s="841" t="s">
        <v>353</v>
      </c>
      <c r="IV25" s="841" t="s">
        <v>353</v>
      </c>
      <c r="IW25" s="841" t="s">
        <v>353</v>
      </c>
      <c r="IX25" s="841" t="s">
        <v>353</v>
      </c>
      <c r="IY25" s="841" t="s">
        <v>353</v>
      </c>
      <c r="IZ25" s="841" t="s">
        <v>353</v>
      </c>
      <c r="JA25" s="841" t="s">
        <v>353</v>
      </c>
      <c r="JB25" s="841" t="s">
        <v>353</v>
      </c>
      <c r="JC25" s="841" t="s">
        <v>353</v>
      </c>
      <c r="JD25" s="841" t="s">
        <v>353</v>
      </c>
      <c r="JE25" s="841" t="s">
        <v>353</v>
      </c>
      <c r="JF25" s="841" t="s">
        <v>1398</v>
      </c>
      <c r="JG25" s="841" t="s">
        <v>1399</v>
      </c>
      <c r="JH25" s="841" t="s">
        <v>1400</v>
      </c>
      <c r="JI25" s="841" t="s">
        <v>1401</v>
      </c>
    </row>
    <row r="26" spans="1:269" x14ac:dyDescent="0.25">
      <c r="A26" s="841" t="s">
        <v>1674</v>
      </c>
      <c r="B26" s="841" t="s">
        <v>353</v>
      </c>
      <c r="C26" s="841" t="s">
        <v>1403</v>
      </c>
      <c r="D26" s="841" t="s">
        <v>353</v>
      </c>
      <c r="E26" s="841" t="s">
        <v>353</v>
      </c>
      <c r="F26" s="841" t="s">
        <v>353</v>
      </c>
      <c r="G26" s="841" t="s">
        <v>1675</v>
      </c>
      <c r="H26" s="841" t="s">
        <v>353</v>
      </c>
      <c r="I26" s="841" t="s">
        <v>353</v>
      </c>
      <c r="J26" s="841" t="s">
        <v>353</v>
      </c>
      <c r="K26" s="841" t="s">
        <v>353</v>
      </c>
      <c r="L26" s="842">
        <v>44607.455555555556</v>
      </c>
      <c r="M26" s="841" t="s">
        <v>353</v>
      </c>
      <c r="N26" s="841" t="s">
        <v>353</v>
      </c>
      <c r="O26" s="841" t="s">
        <v>353</v>
      </c>
      <c r="P26" s="841" t="s">
        <v>353</v>
      </c>
      <c r="Q26" s="841" t="s">
        <v>353</v>
      </c>
      <c r="R26" s="841" t="s">
        <v>353</v>
      </c>
      <c r="S26" s="841" t="s">
        <v>64</v>
      </c>
      <c r="T26" s="841" t="s">
        <v>1390</v>
      </c>
      <c r="U26" s="841" t="s">
        <v>353</v>
      </c>
      <c r="V26" s="841" t="s">
        <v>353</v>
      </c>
      <c r="W26" s="841" t="s">
        <v>353</v>
      </c>
      <c r="X26" s="841" t="s">
        <v>1486</v>
      </c>
      <c r="Y26" s="841" t="s">
        <v>353</v>
      </c>
      <c r="Z26" s="841" t="s">
        <v>353</v>
      </c>
      <c r="AA26" s="841" t="s">
        <v>353</v>
      </c>
      <c r="AB26" s="841" t="s">
        <v>353</v>
      </c>
      <c r="AC26" s="841" t="s">
        <v>353</v>
      </c>
      <c r="AD26" s="841" t="s">
        <v>353</v>
      </c>
      <c r="AE26" s="841" t="s">
        <v>353</v>
      </c>
      <c r="AF26" s="841" t="s">
        <v>353</v>
      </c>
      <c r="AG26" s="841" t="s">
        <v>353</v>
      </c>
      <c r="AH26" s="841">
        <v>5000</v>
      </c>
      <c r="AI26" s="841" t="s">
        <v>1521</v>
      </c>
      <c r="AJ26" s="841" t="s">
        <v>353</v>
      </c>
      <c r="AK26" s="841" t="s">
        <v>353</v>
      </c>
      <c r="AL26" s="841" t="s">
        <v>353</v>
      </c>
      <c r="AM26" s="841" t="s">
        <v>353</v>
      </c>
      <c r="AN26" s="841" t="s">
        <v>353</v>
      </c>
      <c r="AO26" s="841" t="s">
        <v>353</v>
      </c>
      <c r="AP26" s="841" t="s">
        <v>353</v>
      </c>
      <c r="AQ26" s="841" t="s">
        <v>353</v>
      </c>
      <c r="AR26" s="841" t="s">
        <v>353</v>
      </c>
      <c r="AS26" s="841" t="s">
        <v>353</v>
      </c>
      <c r="AT26" s="841" t="s">
        <v>353</v>
      </c>
      <c r="AU26" s="841" t="s">
        <v>353</v>
      </c>
      <c r="AV26" s="841" t="s">
        <v>353</v>
      </c>
      <c r="AW26" s="841" t="s">
        <v>353</v>
      </c>
      <c r="AX26" s="841" t="s">
        <v>353</v>
      </c>
      <c r="AY26" s="841" t="s">
        <v>353</v>
      </c>
      <c r="AZ26" s="841" t="s">
        <v>353</v>
      </c>
      <c r="BA26" s="841" t="s">
        <v>353</v>
      </c>
      <c r="BB26" s="841" t="s">
        <v>353</v>
      </c>
      <c r="BC26" s="841" t="s">
        <v>353</v>
      </c>
      <c r="BD26" s="841" t="s">
        <v>353</v>
      </c>
      <c r="BE26" s="841" t="s">
        <v>353</v>
      </c>
      <c r="BF26" s="841" t="s">
        <v>353</v>
      </c>
      <c r="BG26" s="841" t="s">
        <v>353</v>
      </c>
      <c r="BH26" s="841" t="s">
        <v>353</v>
      </c>
      <c r="BI26" s="841" t="s">
        <v>353</v>
      </c>
      <c r="BJ26" s="841" t="s">
        <v>353</v>
      </c>
      <c r="BK26" s="841" t="s">
        <v>353</v>
      </c>
      <c r="BL26" s="841" t="s">
        <v>1676</v>
      </c>
      <c r="BM26" s="842">
        <v>44620.496527777781</v>
      </c>
      <c r="BN26" s="841" t="s">
        <v>353</v>
      </c>
      <c r="BO26" s="841" t="s">
        <v>353</v>
      </c>
      <c r="BP26" s="841" t="s">
        <v>353</v>
      </c>
      <c r="BQ26" s="841" t="s">
        <v>353</v>
      </c>
      <c r="BR26" s="841" t="s">
        <v>353</v>
      </c>
      <c r="BS26" s="841" t="s">
        <v>353</v>
      </c>
      <c r="BT26" s="841">
        <v>2100000</v>
      </c>
      <c r="BU26" s="841" t="s">
        <v>353</v>
      </c>
      <c r="BV26" s="841" t="s">
        <v>353</v>
      </c>
      <c r="BW26" s="841" t="s">
        <v>353</v>
      </c>
      <c r="BX26" s="841" t="s">
        <v>339</v>
      </c>
      <c r="BY26" s="841" t="s">
        <v>353</v>
      </c>
      <c r="BZ26" s="841" t="s">
        <v>353</v>
      </c>
      <c r="CA26" s="841" t="s">
        <v>353</v>
      </c>
      <c r="CB26" s="841" t="s">
        <v>353</v>
      </c>
      <c r="CC26" s="841" t="s">
        <v>353</v>
      </c>
      <c r="CD26" s="841" t="s">
        <v>353</v>
      </c>
      <c r="CE26" s="841" t="s">
        <v>353</v>
      </c>
      <c r="CF26" s="841" t="s">
        <v>353</v>
      </c>
      <c r="CG26" s="841" t="s">
        <v>353</v>
      </c>
      <c r="CH26" s="841" t="s">
        <v>353</v>
      </c>
      <c r="CI26" s="841" t="s">
        <v>353</v>
      </c>
      <c r="CJ26" s="841" t="s">
        <v>353</v>
      </c>
      <c r="CK26" s="841">
        <v>1</v>
      </c>
      <c r="CL26" s="841" t="s">
        <v>353</v>
      </c>
      <c r="CM26" s="841">
        <v>4</v>
      </c>
      <c r="CN26" s="841" t="s">
        <v>353</v>
      </c>
      <c r="CO26" s="841" t="s">
        <v>353</v>
      </c>
      <c r="CP26" s="841" t="s">
        <v>353</v>
      </c>
      <c r="CQ26" s="841" t="s">
        <v>353</v>
      </c>
      <c r="CR26" s="841" t="s">
        <v>353</v>
      </c>
      <c r="CS26" s="841" t="s">
        <v>353</v>
      </c>
      <c r="CT26" s="841" t="s">
        <v>353</v>
      </c>
      <c r="CU26" s="841" t="s">
        <v>1391</v>
      </c>
      <c r="CV26" s="841" t="s">
        <v>353</v>
      </c>
      <c r="CW26" s="841" t="s">
        <v>353</v>
      </c>
      <c r="CX26" s="841" t="s">
        <v>353</v>
      </c>
      <c r="CY26" s="841" t="s">
        <v>353</v>
      </c>
      <c r="CZ26" s="841" t="s">
        <v>353</v>
      </c>
      <c r="DA26" s="841" t="s">
        <v>353</v>
      </c>
      <c r="DB26" s="841" t="s">
        <v>353</v>
      </c>
      <c r="DC26" s="841" t="s">
        <v>353</v>
      </c>
      <c r="DD26" s="841" t="s">
        <v>353</v>
      </c>
      <c r="DE26" s="841" t="s">
        <v>353</v>
      </c>
      <c r="DF26" s="841" t="s">
        <v>353</v>
      </c>
      <c r="DG26" s="841" t="s">
        <v>353</v>
      </c>
      <c r="DH26" s="841" t="s">
        <v>353</v>
      </c>
      <c r="DI26" s="841" t="s">
        <v>353</v>
      </c>
      <c r="DJ26" s="841" t="s">
        <v>353</v>
      </c>
      <c r="DK26" s="841" t="s">
        <v>353</v>
      </c>
      <c r="DL26" s="842">
        <v>44602.496527777781</v>
      </c>
      <c r="DM26" s="841" t="s">
        <v>353</v>
      </c>
      <c r="DN26" s="841" t="s">
        <v>353</v>
      </c>
      <c r="DO26" s="841" t="s">
        <v>673</v>
      </c>
      <c r="DP26" s="841" t="s">
        <v>1481</v>
      </c>
      <c r="DQ26" s="841" t="s">
        <v>673</v>
      </c>
      <c r="DR26" s="841">
        <v>2800000</v>
      </c>
      <c r="DS26" s="841" t="s">
        <v>353</v>
      </c>
      <c r="DT26" s="841" t="s">
        <v>353</v>
      </c>
      <c r="DU26" s="841" t="s">
        <v>353</v>
      </c>
      <c r="DV26" s="841" t="s">
        <v>353</v>
      </c>
      <c r="DW26" s="841" t="s">
        <v>353</v>
      </c>
      <c r="DX26" s="841" t="s">
        <v>353</v>
      </c>
      <c r="DY26" s="841" t="s">
        <v>353</v>
      </c>
      <c r="DZ26" s="841" t="s">
        <v>353</v>
      </c>
      <c r="EA26" s="841" t="s">
        <v>353</v>
      </c>
      <c r="EB26" s="841" t="s">
        <v>353</v>
      </c>
      <c r="EC26" s="841" t="s">
        <v>353</v>
      </c>
      <c r="ED26" s="841" t="s">
        <v>353</v>
      </c>
      <c r="EE26" s="841" t="s">
        <v>353</v>
      </c>
      <c r="EF26" s="841" t="s">
        <v>353</v>
      </c>
      <c r="EG26" s="841" t="s">
        <v>353</v>
      </c>
      <c r="EH26" s="841" t="s">
        <v>353</v>
      </c>
      <c r="EI26" s="841" t="s">
        <v>353</v>
      </c>
      <c r="EJ26" s="841" t="s">
        <v>353</v>
      </c>
      <c r="EK26" s="841" t="s">
        <v>1456</v>
      </c>
      <c r="EL26" s="841" t="s">
        <v>353</v>
      </c>
      <c r="EM26" s="841" t="s">
        <v>353</v>
      </c>
      <c r="EN26" s="841" t="s">
        <v>353</v>
      </c>
      <c r="EO26" s="841" t="s">
        <v>353</v>
      </c>
      <c r="EP26" s="841" t="s">
        <v>353</v>
      </c>
      <c r="EQ26" s="841" t="s">
        <v>353</v>
      </c>
      <c r="ER26" s="841" t="s">
        <v>353</v>
      </c>
      <c r="ES26" s="841" t="s">
        <v>353</v>
      </c>
      <c r="ET26" s="841" t="s">
        <v>1414</v>
      </c>
      <c r="EU26" s="841" t="s">
        <v>353</v>
      </c>
      <c r="EV26" s="841" t="s">
        <v>353</v>
      </c>
      <c r="EW26" s="841" t="s">
        <v>353</v>
      </c>
      <c r="EX26" s="841" t="s">
        <v>353</v>
      </c>
      <c r="EY26" s="842">
        <v>44607.333333333336</v>
      </c>
      <c r="EZ26" s="842">
        <v>44610.333333333336</v>
      </c>
      <c r="FA26" s="841" t="s">
        <v>353</v>
      </c>
      <c r="FB26" s="841" t="s">
        <v>353</v>
      </c>
      <c r="FC26" s="841" t="s">
        <v>353</v>
      </c>
      <c r="FD26" s="841" t="s">
        <v>353</v>
      </c>
      <c r="FE26" s="842">
        <v>44602.496527777781</v>
      </c>
      <c r="FF26" s="841" t="s">
        <v>353</v>
      </c>
      <c r="FG26" s="841" t="s">
        <v>353</v>
      </c>
      <c r="FH26" s="841" t="s">
        <v>353</v>
      </c>
      <c r="FI26" s="841" t="s">
        <v>353</v>
      </c>
      <c r="FJ26" s="841" t="s">
        <v>353</v>
      </c>
      <c r="FK26" s="841" t="s">
        <v>353</v>
      </c>
      <c r="FL26" s="841" t="s">
        <v>353</v>
      </c>
      <c r="FM26" s="841" t="s">
        <v>353</v>
      </c>
      <c r="FN26" s="841" t="s">
        <v>353</v>
      </c>
      <c r="FO26" s="841" t="s">
        <v>1648</v>
      </c>
      <c r="FP26" s="841" t="s">
        <v>353</v>
      </c>
      <c r="FQ26" s="841" t="s">
        <v>353</v>
      </c>
      <c r="FR26" s="841" t="s">
        <v>353</v>
      </c>
      <c r="FS26" s="841" t="s">
        <v>353</v>
      </c>
      <c r="FT26" s="841" t="s">
        <v>353</v>
      </c>
      <c r="FU26" s="841" t="s">
        <v>1394</v>
      </c>
      <c r="FV26" s="841" t="s">
        <v>353</v>
      </c>
      <c r="FW26" s="841" t="s">
        <v>353</v>
      </c>
      <c r="FX26" s="841" t="s">
        <v>353</v>
      </c>
      <c r="FY26" s="841" t="s">
        <v>353</v>
      </c>
      <c r="FZ26" s="841" t="s">
        <v>353</v>
      </c>
      <c r="GA26" s="841" t="s">
        <v>353</v>
      </c>
      <c r="GB26" s="841">
        <v>1</v>
      </c>
      <c r="GC26" s="841" t="s">
        <v>353</v>
      </c>
      <c r="GD26" s="841" t="s">
        <v>1395</v>
      </c>
      <c r="GE26" s="841" t="s">
        <v>353</v>
      </c>
      <c r="GF26" s="841" t="s">
        <v>353</v>
      </c>
      <c r="GG26" s="841" t="s">
        <v>353</v>
      </c>
      <c r="GH26" s="841" t="s">
        <v>353</v>
      </c>
      <c r="GI26" s="841" t="s">
        <v>353</v>
      </c>
      <c r="GJ26" s="841" t="s">
        <v>353</v>
      </c>
      <c r="GK26" s="841" t="s">
        <v>353</v>
      </c>
      <c r="GL26" s="841" t="s">
        <v>1497</v>
      </c>
      <c r="GM26" s="841" t="s">
        <v>353</v>
      </c>
      <c r="GN26" s="841" t="s">
        <v>353</v>
      </c>
      <c r="GO26" s="841" t="s">
        <v>353</v>
      </c>
      <c r="GP26" s="841" t="s">
        <v>353</v>
      </c>
      <c r="GQ26" s="841" t="s">
        <v>353</v>
      </c>
      <c r="GR26" s="842">
        <v>44602.512499999997</v>
      </c>
      <c r="GS26" s="841" t="s">
        <v>353</v>
      </c>
      <c r="GT26" s="841" t="s">
        <v>353</v>
      </c>
      <c r="GU26" s="841" t="s">
        <v>353</v>
      </c>
      <c r="GV26" s="841" t="s">
        <v>1419</v>
      </c>
      <c r="GW26" s="841" t="s">
        <v>353</v>
      </c>
      <c r="GX26" s="841" t="s">
        <v>353</v>
      </c>
      <c r="GY26" s="841" t="s">
        <v>353</v>
      </c>
      <c r="GZ26" s="841" t="s">
        <v>1420</v>
      </c>
      <c r="HA26" s="841" t="s">
        <v>353</v>
      </c>
      <c r="HB26" s="841" t="s">
        <v>353</v>
      </c>
      <c r="HC26" s="841" t="s">
        <v>1421</v>
      </c>
      <c r="HD26" s="841" t="s">
        <v>1677</v>
      </c>
      <c r="HE26" s="841" t="s">
        <v>353</v>
      </c>
      <c r="HF26" s="841" t="s">
        <v>353</v>
      </c>
      <c r="HG26" s="841" t="s">
        <v>353</v>
      </c>
      <c r="HH26" s="841" t="s">
        <v>353</v>
      </c>
      <c r="HI26" s="841" t="s">
        <v>1422</v>
      </c>
      <c r="HJ26" s="841" t="s">
        <v>353</v>
      </c>
      <c r="HK26" s="841" t="s">
        <v>353</v>
      </c>
      <c r="HL26" s="841" t="s">
        <v>353</v>
      </c>
      <c r="HM26" s="841" t="s">
        <v>1530</v>
      </c>
      <c r="HN26" s="841" t="s">
        <v>353</v>
      </c>
      <c r="HO26" s="841" t="s">
        <v>353</v>
      </c>
      <c r="HP26" s="841" t="s">
        <v>353</v>
      </c>
      <c r="HQ26" s="841" t="s">
        <v>353</v>
      </c>
      <c r="HR26" s="841" t="s">
        <v>353</v>
      </c>
      <c r="HS26" s="841" t="s">
        <v>353</v>
      </c>
      <c r="HT26" s="841" t="s">
        <v>353</v>
      </c>
      <c r="HU26" s="841" t="s">
        <v>353</v>
      </c>
      <c r="HV26" s="841" t="s">
        <v>353</v>
      </c>
      <c r="HW26" s="841">
        <v>2800000</v>
      </c>
      <c r="HX26" s="841" t="s">
        <v>353</v>
      </c>
      <c r="HY26" s="841" t="s">
        <v>353</v>
      </c>
      <c r="HZ26" s="841" t="s">
        <v>353</v>
      </c>
      <c r="IA26" s="841" t="s">
        <v>353</v>
      </c>
      <c r="IB26" s="841" t="s">
        <v>1424</v>
      </c>
      <c r="IC26" s="841" t="s">
        <v>353</v>
      </c>
      <c r="ID26" s="841" t="s">
        <v>353</v>
      </c>
      <c r="IE26" s="841" t="s">
        <v>353</v>
      </c>
      <c r="IF26" s="841" t="s">
        <v>353</v>
      </c>
      <c r="IG26" s="841" t="s">
        <v>353</v>
      </c>
      <c r="IH26" s="841" t="s">
        <v>353</v>
      </c>
      <c r="II26" s="841" t="s">
        <v>353</v>
      </c>
      <c r="IJ26" s="841" t="s">
        <v>353</v>
      </c>
      <c r="IK26" s="841" t="s">
        <v>353</v>
      </c>
      <c r="IL26" s="841" t="s">
        <v>353</v>
      </c>
      <c r="IM26" s="841" t="s">
        <v>353</v>
      </c>
      <c r="IN26" s="841" t="s">
        <v>353</v>
      </c>
      <c r="IO26" s="841" t="s">
        <v>353</v>
      </c>
      <c r="IP26" s="841" t="s">
        <v>353</v>
      </c>
      <c r="IQ26" s="841" t="s">
        <v>353</v>
      </c>
      <c r="IR26" s="841" t="s">
        <v>353</v>
      </c>
      <c r="IS26" s="841" t="s">
        <v>353</v>
      </c>
      <c r="IT26" s="841" t="s">
        <v>353</v>
      </c>
      <c r="IU26" s="841" t="s">
        <v>353</v>
      </c>
      <c r="IV26" s="841" t="s">
        <v>353</v>
      </c>
      <c r="IW26" s="841" t="s">
        <v>353</v>
      </c>
      <c r="IX26" s="841" t="s">
        <v>353</v>
      </c>
      <c r="IY26" s="841" t="s">
        <v>353</v>
      </c>
      <c r="IZ26" s="841" t="s">
        <v>353</v>
      </c>
      <c r="JA26" s="841" t="s">
        <v>353</v>
      </c>
      <c r="JB26" s="841" t="s">
        <v>353</v>
      </c>
      <c r="JC26" s="841" t="s">
        <v>353</v>
      </c>
      <c r="JD26" s="841" t="s">
        <v>353</v>
      </c>
      <c r="JE26" s="841" t="s">
        <v>353</v>
      </c>
      <c r="JF26" s="841" t="s">
        <v>353</v>
      </c>
      <c r="JG26" s="841" t="s">
        <v>353</v>
      </c>
      <c r="JH26" s="841" t="s">
        <v>1678</v>
      </c>
      <c r="JI26" s="841" t="s">
        <v>1679</v>
      </c>
    </row>
    <row r="27" spans="1:269" x14ac:dyDescent="0.25">
      <c r="A27" s="841" t="s">
        <v>1680</v>
      </c>
      <c r="B27" s="841" t="s">
        <v>353</v>
      </c>
      <c r="C27" s="841" t="s">
        <v>353</v>
      </c>
      <c r="D27" s="841" t="s">
        <v>353</v>
      </c>
      <c r="E27" s="841" t="s">
        <v>353</v>
      </c>
      <c r="F27" s="841" t="s">
        <v>353</v>
      </c>
      <c r="G27" s="841" t="s">
        <v>353</v>
      </c>
      <c r="H27" s="841" t="s">
        <v>353</v>
      </c>
      <c r="I27" s="841" t="s">
        <v>353</v>
      </c>
      <c r="J27" s="841" t="s">
        <v>353</v>
      </c>
      <c r="K27" s="841" t="s">
        <v>353</v>
      </c>
      <c r="L27" s="842">
        <v>44608.442361111112</v>
      </c>
      <c r="M27" s="841" t="s">
        <v>353</v>
      </c>
      <c r="N27" s="841" t="s">
        <v>353</v>
      </c>
      <c r="O27" s="841" t="s">
        <v>353</v>
      </c>
      <c r="P27" s="841" t="s">
        <v>353</v>
      </c>
      <c r="Q27" s="841" t="s">
        <v>353</v>
      </c>
      <c r="R27" s="841" t="s">
        <v>353</v>
      </c>
      <c r="S27" s="841" t="s">
        <v>353</v>
      </c>
      <c r="T27" s="841" t="s">
        <v>1390</v>
      </c>
      <c r="U27" s="841" t="s">
        <v>353</v>
      </c>
      <c r="V27" s="841" t="s">
        <v>353</v>
      </c>
      <c r="W27" s="841" t="s">
        <v>353</v>
      </c>
      <c r="X27" s="841" t="s">
        <v>353</v>
      </c>
      <c r="Y27" s="841" t="s">
        <v>353</v>
      </c>
      <c r="Z27" s="841" t="s">
        <v>353</v>
      </c>
      <c r="AA27" s="841" t="s">
        <v>353</v>
      </c>
      <c r="AB27" s="841" t="s">
        <v>353</v>
      </c>
      <c r="AC27" s="841" t="s">
        <v>353</v>
      </c>
      <c r="AD27" s="841" t="s">
        <v>353</v>
      </c>
      <c r="AE27" s="841" t="s">
        <v>353</v>
      </c>
      <c r="AF27" s="841" t="s">
        <v>353</v>
      </c>
      <c r="AG27" s="841" t="s">
        <v>353</v>
      </c>
      <c r="AH27" s="841" t="s">
        <v>353</v>
      </c>
      <c r="AI27" s="841" t="s">
        <v>1406</v>
      </c>
      <c r="AJ27" s="841" t="s">
        <v>353</v>
      </c>
      <c r="AK27" s="841" t="s">
        <v>353</v>
      </c>
      <c r="AL27" s="841" t="s">
        <v>353</v>
      </c>
      <c r="AM27" s="841" t="s">
        <v>353</v>
      </c>
      <c r="AN27" s="841" t="s">
        <v>353</v>
      </c>
      <c r="AO27" s="841" t="s">
        <v>353</v>
      </c>
      <c r="AP27" s="841" t="s">
        <v>353</v>
      </c>
      <c r="AQ27" s="841" t="s">
        <v>353</v>
      </c>
      <c r="AR27" s="841" t="s">
        <v>353</v>
      </c>
      <c r="AS27" s="841" t="s">
        <v>353</v>
      </c>
      <c r="AT27" s="841" t="s">
        <v>353</v>
      </c>
      <c r="AU27" s="841" t="s">
        <v>353</v>
      </c>
      <c r="AV27" s="841" t="s">
        <v>353</v>
      </c>
      <c r="AW27" s="841" t="s">
        <v>353</v>
      </c>
      <c r="AX27" s="841" t="s">
        <v>353</v>
      </c>
      <c r="AY27" s="841" t="s">
        <v>353</v>
      </c>
      <c r="AZ27" s="841" t="s">
        <v>353</v>
      </c>
      <c r="BA27" s="841" t="s">
        <v>353</v>
      </c>
      <c r="BB27" s="841" t="s">
        <v>353</v>
      </c>
      <c r="BC27" s="841" t="s">
        <v>353</v>
      </c>
      <c r="BD27" s="841" t="s">
        <v>353</v>
      </c>
      <c r="BE27" s="841" t="s">
        <v>353</v>
      </c>
      <c r="BF27" s="841" t="s">
        <v>353</v>
      </c>
      <c r="BG27" s="841" t="s">
        <v>353</v>
      </c>
      <c r="BH27" s="841" t="s">
        <v>353</v>
      </c>
      <c r="BI27" s="841" t="s">
        <v>353</v>
      </c>
      <c r="BJ27" s="841" t="s">
        <v>353</v>
      </c>
      <c r="BK27" s="841" t="s">
        <v>353</v>
      </c>
      <c r="BL27" s="841" t="s">
        <v>1670</v>
      </c>
      <c r="BM27" s="842">
        <v>44620.492361111108</v>
      </c>
      <c r="BN27" s="841" t="s">
        <v>353</v>
      </c>
      <c r="BO27" s="841" t="s">
        <v>353</v>
      </c>
      <c r="BP27" s="841" t="s">
        <v>353</v>
      </c>
      <c r="BQ27" s="841" t="s">
        <v>353</v>
      </c>
      <c r="BR27" s="841" t="s">
        <v>353</v>
      </c>
      <c r="BS27" s="841" t="s">
        <v>353</v>
      </c>
      <c r="BT27" s="841">
        <v>1893000</v>
      </c>
      <c r="BU27" s="841" t="s">
        <v>353</v>
      </c>
      <c r="BV27" s="841" t="s">
        <v>353</v>
      </c>
      <c r="BW27" s="841" t="s">
        <v>353</v>
      </c>
      <c r="BX27" s="841" t="s">
        <v>1671</v>
      </c>
      <c r="BY27" s="841" t="s">
        <v>353</v>
      </c>
      <c r="BZ27" s="841" t="s">
        <v>353</v>
      </c>
      <c r="CA27" s="841" t="s">
        <v>353</v>
      </c>
      <c r="CB27" s="841" t="s">
        <v>353</v>
      </c>
      <c r="CC27" s="841" t="s">
        <v>353</v>
      </c>
      <c r="CD27" s="841" t="s">
        <v>353</v>
      </c>
      <c r="CE27" s="841" t="s">
        <v>353</v>
      </c>
      <c r="CF27" s="841" t="s">
        <v>353</v>
      </c>
      <c r="CG27" s="841" t="s">
        <v>353</v>
      </c>
      <c r="CH27" s="841" t="s">
        <v>353</v>
      </c>
      <c r="CI27" s="841" t="s">
        <v>353</v>
      </c>
      <c r="CJ27" s="841" t="s">
        <v>353</v>
      </c>
      <c r="CK27" s="841">
        <v>8</v>
      </c>
      <c r="CL27" s="841" t="s">
        <v>353</v>
      </c>
      <c r="CM27" s="841">
        <v>9</v>
      </c>
      <c r="CN27" s="841" t="s">
        <v>353</v>
      </c>
      <c r="CO27" s="841" t="s">
        <v>353</v>
      </c>
      <c r="CP27" s="841" t="s">
        <v>353</v>
      </c>
      <c r="CQ27" s="841" t="s">
        <v>353</v>
      </c>
      <c r="CR27" s="841" t="s">
        <v>353</v>
      </c>
      <c r="CS27" s="841" t="s">
        <v>353</v>
      </c>
      <c r="CT27" s="841" t="s">
        <v>353</v>
      </c>
      <c r="CU27" s="841" t="s">
        <v>1391</v>
      </c>
      <c r="CV27" s="841" t="s">
        <v>353</v>
      </c>
      <c r="CW27" s="841" t="s">
        <v>353</v>
      </c>
      <c r="CX27" s="841" t="s">
        <v>353</v>
      </c>
      <c r="CY27" s="841" t="s">
        <v>353</v>
      </c>
      <c r="CZ27" s="841" t="s">
        <v>353</v>
      </c>
      <c r="DA27" s="841" t="s">
        <v>353</v>
      </c>
      <c r="DB27" s="841" t="s">
        <v>353</v>
      </c>
      <c r="DC27" s="841" t="s">
        <v>353</v>
      </c>
      <c r="DD27" s="841" t="s">
        <v>353</v>
      </c>
      <c r="DE27" s="841" t="s">
        <v>353</v>
      </c>
      <c r="DF27" s="841" t="s">
        <v>353</v>
      </c>
      <c r="DG27" s="841" t="s">
        <v>353</v>
      </c>
      <c r="DH27" s="841" t="s">
        <v>353</v>
      </c>
      <c r="DI27" s="841" t="s">
        <v>353</v>
      </c>
      <c r="DJ27" s="841" t="s">
        <v>353</v>
      </c>
      <c r="DK27" s="841" t="s">
        <v>353</v>
      </c>
      <c r="DL27" s="842">
        <v>44602.492361111108</v>
      </c>
      <c r="DM27" s="841" t="s">
        <v>353</v>
      </c>
      <c r="DN27" s="841" t="s">
        <v>353</v>
      </c>
      <c r="DO27" s="841" t="s">
        <v>673</v>
      </c>
      <c r="DP27" s="841" t="s">
        <v>1412</v>
      </c>
      <c r="DQ27" s="841" t="s">
        <v>1392</v>
      </c>
      <c r="DR27" s="841">
        <v>2525000</v>
      </c>
      <c r="DS27" s="841" t="s">
        <v>353</v>
      </c>
      <c r="DT27" s="841" t="s">
        <v>353</v>
      </c>
      <c r="DU27" s="841" t="s">
        <v>353</v>
      </c>
      <c r="DV27" s="841" t="s">
        <v>353</v>
      </c>
      <c r="DW27" s="841" t="s">
        <v>353</v>
      </c>
      <c r="DX27" s="841" t="s">
        <v>353</v>
      </c>
      <c r="DY27" s="841" t="s">
        <v>353</v>
      </c>
      <c r="DZ27" s="841" t="s">
        <v>353</v>
      </c>
      <c r="EA27" s="841" t="s">
        <v>353</v>
      </c>
      <c r="EB27" s="841" t="s">
        <v>353</v>
      </c>
      <c r="EC27" s="841" t="s">
        <v>353</v>
      </c>
      <c r="ED27" s="841" t="s">
        <v>353</v>
      </c>
      <c r="EE27" s="841" t="s">
        <v>353</v>
      </c>
      <c r="EF27" s="841" t="s">
        <v>353</v>
      </c>
      <c r="EG27" s="841" t="s">
        <v>353</v>
      </c>
      <c r="EH27" s="841" t="s">
        <v>353</v>
      </c>
      <c r="EI27" s="841" t="s">
        <v>353</v>
      </c>
      <c r="EJ27" s="841" t="s">
        <v>353</v>
      </c>
      <c r="EK27" s="841" t="s">
        <v>353</v>
      </c>
      <c r="EL27" s="841" t="s">
        <v>353</v>
      </c>
      <c r="EM27" s="841" t="s">
        <v>353</v>
      </c>
      <c r="EN27" s="841" t="s">
        <v>353</v>
      </c>
      <c r="EO27" s="841" t="s">
        <v>353</v>
      </c>
      <c r="EP27" s="841" t="s">
        <v>353</v>
      </c>
      <c r="EQ27" s="841" t="s">
        <v>353</v>
      </c>
      <c r="ER27" s="841" t="s">
        <v>353</v>
      </c>
      <c r="ES27" s="841" t="s">
        <v>353</v>
      </c>
      <c r="ET27" s="841" t="s">
        <v>1393</v>
      </c>
      <c r="EU27" s="841" t="s">
        <v>353</v>
      </c>
      <c r="EV27" s="841" t="s">
        <v>353</v>
      </c>
      <c r="EW27" s="841" t="s">
        <v>353</v>
      </c>
      <c r="EX27" s="841" t="s">
        <v>353</v>
      </c>
      <c r="EY27" s="842">
        <v>44608.442361111112</v>
      </c>
      <c r="EZ27" s="841" t="s">
        <v>353</v>
      </c>
      <c r="FA27" s="841" t="s">
        <v>353</v>
      </c>
      <c r="FB27" s="841" t="s">
        <v>353</v>
      </c>
      <c r="FC27" s="841" t="s">
        <v>353</v>
      </c>
      <c r="FD27" s="841" t="s">
        <v>353</v>
      </c>
      <c r="FE27" s="842">
        <v>44602.509027777778</v>
      </c>
      <c r="FF27" s="841" t="s">
        <v>353</v>
      </c>
      <c r="FG27" s="841" t="s">
        <v>353</v>
      </c>
      <c r="FH27" s="841" t="s">
        <v>353</v>
      </c>
      <c r="FI27" s="841" t="s">
        <v>353</v>
      </c>
      <c r="FJ27" s="841" t="s">
        <v>353</v>
      </c>
      <c r="FK27" s="841" t="s">
        <v>353</v>
      </c>
      <c r="FL27" s="841" t="s">
        <v>353</v>
      </c>
      <c r="FM27" s="841" t="s">
        <v>353</v>
      </c>
      <c r="FN27" s="841" t="s">
        <v>353</v>
      </c>
      <c r="FO27" s="841" t="s">
        <v>353</v>
      </c>
      <c r="FP27" s="841" t="s">
        <v>353</v>
      </c>
      <c r="FQ27" s="841" t="s">
        <v>353</v>
      </c>
      <c r="FR27" s="841" t="s">
        <v>353</v>
      </c>
      <c r="FS27" s="841" t="s">
        <v>353</v>
      </c>
      <c r="FT27" s="841" t="s">
        <v>353</v>
      </c>
      <c r="FU27" s="841" t="s">
        <v>1394</v>
      </c>
      <c r="FV27" s="841" t="s">
        <v>353</v>
      </c>
      <c r="FW27" s="841" t="s">
        <v>353</v>
      </c>
      <c r="FX27" s="841" t="s">
        <v>353</v>
      </c>
      <c r="FY27" s="841" t="s">
        <v>353</v>
      </c>
      <c r="FZ27" s="841" t="s">
        <v>353</v>
      </c>
      <c r="GA27" s="841" t="s">
        <v>353</v>
      </c>
      <c r="GB27" s="841">
        <v>1</v>
      </c>
      <c r="GC27" s="841" t="s">
        <v>353</v>
      </c>
      <c r="GD27" s="841" t="s">
        <v>1395</v>
      </c>
      <c r="GE27" s="841" t="s">
        <v>353</v>
      </c>
      <c r="GF27" s="841" t="s">
        <v>353</v>
      </c>
      <c r="GG27" s="841" t="s">
        <v>353</v>
      </c>
      <c r="GH27" s="841" t="s">
        <v>353</v>
      </c>
      <c r="GI27" s="841" t="s">
        <v>353</v>
      </c>
      <c r="GJ27" s="841" t="s">
        <v>353</v>
      </c>
      <c r="GK27" s="841" t="s">
        <v>353</v>
      </c>
      <c r="GL27" s="841" t="s">
        <v>1396</v>
      </c>
      <c r="GM27" s="841" t="s">
        <v>353</v>
      </c>
      <c r="GN27" s="841" t="s">
        <v>353</v>
      </c>
      <c r="GO27" s="841" t="s">
        <v>353</v>
      </c>
      <c r="GP27" s="841" t="s">
        <v>353</v>
      </c>
      <c r="GQ27" s="841" t="s">
        <v>353</v>
      </c>
      <c r="GR27" s="842">
        <v>44608.442361111112</v>
      </c>
      <c r="GS27" s="841" t="s">
        <v>353</v>
      </c>
      <c r="GT27" s="841" t="s">
        <v>353</v>
      </c>
      <c r="GU27" s="841" t="s">
        <v>353</v>
      </c>
      <c r="GV27" s="841" t="s">
        <v>1076</v>
      </c>
      <c r="GW27" s="841" t="s">
        <v>353</v>
      </c>
      <c r="GX27" s="841" t="s">
        <v>353</v>
      </c>
      <c r="GY27" s="841" t="s">
        <v>353</v>
      </c>
      <c r="GZ27" s="841" t="s">
        <v>353</v>
      </c>
      <c r="HA27" s="841" t="s">
        <v>353</v>
      </c>
      <c r="HB27" s="841" t="s">
        <v>353</v>
      </c>
      <c r="HC27" s="841" t="s">
        <v>353</v>
      </c>
      <c r="HD27" s="841" t="s">
        <v>1681</v>
      </c>
      <c r="HE27" s="841" t="s">
        <v>353</v>
      </c>
      <c r="HF27" s="841" t="s">
        <v>353</v>
      </c>
      <c r="HG27" s="841" t="s">
        <v>353</v>
      </c>
      <c r="HH27" s="841" t="s">
        <v>353</v>
      </c>
      <c r="HI27" s="841" t="s">
        <v>1422</v>
      </c>
      <c r="HJ27" s="841" t="s">
        <v>353</v>
      </c>
      <c r="HK27" s="841" t="s">
        <v>353</v>
      </c>
      <c r="HL27" s="841" t="s">
        <v>353</v>
      </c>
      <c r="HM27" s="841" t="s">
        <v>353</v>
      </c>
      <c r="HN27" s="841" t="s">
        <v>353</v>
      </c>
      <c r="HO27" s="841" t="s">
        <v>353</v>
      </c>
      <c r="HP27" s="841" t="s">
        <v>353</v>
      </c>
      <c r="HQ27" s="841" t="s">
        <v>353</v>
      </c>
      <c r="HR27" s="841" t="s">
        <v>353</v>
      </c>
      <c r="HS27" s="841" t="s">
        <v>353</v>
      </c>
      <c r="HT27" s="841" t="s">
        <v>353</v>
      </c>
      <c r="HU27" s="841" t="s">
        <v>353</v>
      </c>
      <c r="HV27" s="841" t="s">
        <v>353</v>
      </c>
      <c r="HW27" s="841">
        <v>2525000</v>
      </c>
      <c r="HX27" s="841" t="s">
        <v>353</v>
      </c>
      <c r="HY27" s="841" t="s">
        <v>353</v>
      </c>
      <c r="HZ27" s="841" t="s">
        <v>353</v>
      </c>
      <c r="IA27" s="841" t="s">
        <v>353</v>
      </c>
      <c r="IB27" s="841" t="s">
        <v>1673</v>
      </c>
      <c r="IC27" s="841" t="s">
        <v>353</v>
      </c>
      <c r="ID27" s="841" t="s">
        <v>353</v>
      </c>
      <c r="IE27" s="841" t="s">
        <v>353</v>
      </c>
      <c r="IF27" s="841" t="s">
        <v>353</v>
      </c>
      <c r="IG27" s="841" t="s">
        <v>353</v>
      </c>
      <c r="IH27" s="841" t="s">
        <v>353</v>
      </c>
      <c r="II27" s="841" t="s">
        <v>353</v>
      </c>
      <c r="IJ27" s="841" t="s">
        <v>353</v>
      </c>
      <c r="IK27" s="841" t="s">
        <v>353</v>
      </c>
      <c r="IL27" s="841" t="s">
        <v>353</v>
      </c>
      <c r="IM27" s="841" t="s">
        <v>353</v>
      </c>
      <c r="IN27" s="841" t="s">
        <v>353</v>
      </c>
      <c r="IO27" s="841" t="s">
        <v>353</v>
      </c>
      <c r="IP27" s="841" t="s">
        <v>353</v>
      </c>
      <c r="IQ27" s="841" t="s">
        <v>353</v>
      </c>
      <c r="IR27" s="841" t="s">
        <v>353</v>
      </c>
      <c r="IS27" s="841" t="s">
        <v>353</v>
      </c>
      <c r="IT27" s="841" t="s">
        <v>353</v>
      </c>
      <c r="IU27" s="841" t="s">
        <v>353</v>
      </c>
      <c r="IV27" s="841" t="s">
        <v>353</v>
      </c>
      <c r="IW27" s="841" t="s">
        <v>353</v>
      </c>
      <c r="IX27" s="841" t="s">
        <v>353</v>
      </c>
      <c r="IY27" s="841" t="s">
        <v>353</v>
      </c>
      <c r="IZ27" s="841" t="s">
        <v>353</v>
      </c>
      <c r="JA27" s="841" t="s">
        <v>353</v>
      </c>
      <c r="JB27" s="841" t="s">
        <v>353</v>
      </c>
      <c r="JC27" s="841" t="s">
        <v>353</v>
      </c>
      <c r="JD27" s="841" t="s">
        <v>353</v>
      </c>
      <c r="JE27" s="841" t="s">
        <v>353</v>
      </c>
      <c r="JF27" s="841" t="s">
        <v>1398</v>
      </c>
      <c r="JG27" s="841" t="s">
        <v>1399</v>
      </c>
      <c r="JH27" s="841" t="s">
        <v>1400</v>
      </c>
      <c r="JI27" s="841" t="s">
        <v>1401</v>
      </c>
    </row>
    <row r="28" spans="1:269" x14ac:dyDescent="0.25">
      <c r="A28" s="841" t="s">
        <v>1682</v>
      </c>
      <c r="B28" s="841" t="s">
        <v>353</v>
      </c>
      <c r="C28" s="841" t="s">
        <v>353</v>
      </c>
      <c r="D28" s="841" t="s">
        <v>353</v>
      </c>
      <c r="E28" s="841" t="s">
        <v>353</v>
      </c>
      <c r="F28" s="841" t="s">
        <v>353</v>
      </c>
      <c r="G28" s="841" t="s">
        <v>353</v>
      </c>
      <c r="H28" s="841" t="s">
        <v>353</v>
      </c>
      <c r="I28" s="841" t="s">
        <v>353</v>
      </c>
      <c r="J28" s="841" t="s">
        <v>353</v>
      </c>
      <c r="K28" s="841" t="s">
        <v>353</v>
      </c>
      <c r="L28" s="842">
        <v>44602.54791666667</v>
      </c>
      <c r="M28" s="841" t="s">
        <v>353</v>
      </c>
      <c r="N28" s="841" t="s">
        <v>353</v>
      </c>
      <c r="O28" s="841" t="s">
        <v>353</v>
      </c>
      <c r="P28" s="841" t="s">
        <v>353</v>
      </c>
      <c r="Q28" s="841" t="s">
        <v>353</v>
      </c>
      <c r="R28" s="841" t="s">
        <v>353</v>
      </c>
      <c r="S28" s="841" t="s">
        <v>353</v>
      </c>
      <c r="T28" s="841" t="s">
        <v>1390</v>
      </c>
      <c r="U28" s="841" t="s">
        <v>353</v>
      </c>
      <c r="V28" s="841" t="s">
        <v>353</v>
      </c>
      <c r="W28" s="841" t="s">
        <v>353</v>
      </c>
      <c r="X28" s="841" t="s">
        <v>353</v>
      </c>
      <c r="Y28" s="841" t="s">
        <v>353</v>
      </c>
      <c r="Z28" s="841" t="s">
        <v>353</v>
      </c>
      <c r="AA28" s="841" t="s">
        <v>353</v>
      </c>
      <c r="AB28" s="841" t="s">
        <v>353</v>
      </c>
      <c r="AC28" s="841" t="s">
        <v>353</v>
      </c>
      <c r="AD28" s="841" t="s">
        <v>353</v>
      </c>
      <c r="AE28" s="841" t="s">
        <v>353</v>
      </c>
      <c r="AF28" s="841" t="s">
        <v>353</v>
      </c>
      <c r="AG28" s="841" t="s">
        <v>353</v>
      </c>
      <c r="AH28" s="841" t="s">
        <v>353</v>
      </c>
      <c r="AI28" s="841" t="s">
        <v>353</v>
      </c>
      <c r="AJ28" s="841" t="s">
        <v>353</v>
      </c>
      <c r="AK28" s="841" t="s">
        <v>353</v>
      </c>
      <c r="AL28" s="841" t="s">
        <v>353</v>
      </c>
      <c r="AM28" s="841" t="s">
        <v>353</v>
      </c>
      <c r="AN28" s="841" t="s">
        <v>353</v>
      </c>
      <c r="AO28" s="841" t="s">
        <v>353</v>
      </c>
      <c r="AP28" s="841" t="s">
        <v>353</v>
      </c>
      <c r="AQ28" s="841" t="s">
        <v>353</v>
      </c>
      <c r="AR28" s="841" t="s">
        <v>353</v>
      </c>
      <c r="AS28" s="841" t="s">
        <v>353</v>
      </c>
      <c r="AT28" s="841" t="s">
        <v>353</v>
      </c>
      <c r="AU28" s="841" t="s">
        <v>353</v>
      </c>
      <c r="AV28" s="841" t="s">
        <v>353</v>
      </c>
      <c r="AW28" s="841" t="s">
        <v>353</v>
      </c>
      <c r="AX28" s="841" t="s">
        <v>353</v>
      </c>
      <c r="AY28" s="841" t="s">
        <v>353</v>
      </c>
      <c r="AZ28" s="841" t="s">
        <v>353</v>
      </c>
      <c r="BA28" s="841" t="s">
        <v>353</v>
      </c>
      <c r="BB28" s="841" t="s">
        <v>353</v>
      </c>
      <c r="BC28" s="841" t="s">
        <v>353</v>
      </c>
      <c r="BD28" s="841" t="s">
        <v>353</v>
      </c>
      <c r="BE28" s="841" t="s">
        <v>353</v>
      </c>
      <c r="BF28" s="841" t="s">
        <v>353</v>
      </c>
      <c r="BG28" s="841" t="s">
        <v>353</v>
      </c>
      <c r="BH28" s="841" t="s">
        <v>353</v>
      </c>
      <c r="BI28" s="841" t="s">
        <v>353</v>
      </c>
      <c r="BJ28" s="841" t="s">
        <v>353</v>
      </c>
      <c r="BK28" s="841" t="s">
        <v>353</v>
      </c>
      <c r="BL28" s="841" t="s">
        <v>353</v>
      </c>
      <c r="BM28" s="842">
        <v>44620.467361111114</v>
      </c>
      <c r="BN28" s="841" t="s">
        <v>353</v>
      </c>
      <c r="BO28" s="841" t="s">
        <v>353</v>
      </c>
      <c r="BP28" s="841" t="s">
        <v>353</v>
      </c>
      <c r="BQ28" s="841" t="s">
        <v>353</v>
      </c>
      <c r="BR28" s="841" t="s">
        <v>353</v>
      </c>
      <c r="BS28" s="841" t="s">
        <v>353</v>
      </c>
      <c r="BT28" s="841">
        <v>300000</v>
      </c>
      <c r="BU28" s="841" t="s">
        <v>353</v>
      </c>
      <c r="BV28" s="841" t="s">
        <v>353</v>
      </c>
      <c r="BW28" s="841" t="s">
        <v>353</v>
      </c>
      <c r="BX28" s="841" t="s">
        <v>353</v>
      </c>
      <c r="BY28" s="841" t="s">
        <v>353</v>
      </c>
      <c r="BZ28" s="841" t="s">
        <v>353</v>
      </c>
      <c r="CA28" s="841" t="s">
        <v>353</v>
      </c>
      <c r="CB28" s="841" t="s">
        <v>353</v>
      </c>
      <c r="CC28" s="841" t="s">
        <v>353</v>
      </c>
      <c r="CD28" s="841" t="s">
        <v>353</v>
      </c>
      <c r="CE28" s="841" t="s">
        <v>353</v>
      </c>
      <c r="CF28" s="841" t="s">
        <v>353</v>
      </c>
      <c r="CG28" s="841" t="s">
        <v>353</v>
      </c>
      <c r="CH28" s="841" t="s">
        <v>353</v>
      </c>
      <c r="CI28" s="841" t="s">
        <v>353</v>
      </c>
      <c r="CJ28" s="841" t="s">
        <v>353</v>
      </c>
      <c r="CK28" s="841">
        <v>0</v>
      </c>
      <c r="CL28" s="841" t="s">
        <v>353</v>
      </c>
      <c r="CM28" s="841">
        <v>1</v>
      </c>
      <c r="CN28" s="841" t="s">
        <v>353</v>
      </c>
      <c r="CO28" s="841" t="s">
        <v>353</v>
      </c>
      <c r="CP28" s="841" t="s">
        <v>353</v>
      </c>
      <c r="CQ28" s="841" t="s">
        <v>353</v>
      </c>
      <c r="CR28" s="841" t="s">
        <v>353</v>
      </c>
      <c r="CS28" s="841" t="s">
        <v>353</v>
      </c>
      <c r="CT28" s="841" t="s">
        <v>353</v>
      </c>
      <c r="CU28" s="841" t="s">
        <v>1391</v>
      </c>
      <c r="CV28" s="841" t="s">
        <v>353</v>
      </c>
      <c r="CW28" s="841" t="s">
        <v>353</v>
      </c>
      <c r="CX28" s="841" t="s">
        <v>353</v>
      </c>
      <c r="CY28" s="841" t="s">
        <v>353</v>
      </c>
      <c r="CZ28" s="841" t="s">
        <v>353</v>
      </c>
      <c r="DA28" s="841" t="s">
        <v>353</v>
      </c>
      <c r="DB28" s="841" t="s">
        <v>353</v>
      </c>
      <c r="DC28" s="841" t="s">
        <v>353</v>
      </c>
      <c r="DD28" s="841" t="s">
        <v>353</v>
      </c>
      <c r="DE28" s="841" t="s">
        <v>353</v>
      </c>
      <c r="DF28" s="841" t="s">
        <v>353</v>
      </c>
      <c r="DG28" s="841" t="s">
        <v>353</v>
      </c>
      <c r="DH28" s="841" t="s">
        <v>353</v>
      </c>
      <c r="DI28" s="841" t="s">
        <v>353</v>
      </c>
      <c r="DJ28" s="841" t="s">
        <v>1652</v>
      </c>
      <c r="DK28" s="841" t="s">
        <v>353</v>
      </c>
      <c r="DL28" s="842">
        <v>44602.467361111114</v>
      </c>
      <c r="DM28" s="841" t="s">
        <v>353</v>
      </c>
      <c r="DN28" s="841" t="s">
        <v>353</v>
      </c>
      <c r="DO28" s="841" t="s">
        <v>353</v>
      </c>
      <c r="DP28" s="841" t="s">
        <v>353</v>
      </c>
      <c r="DQ28" s="841" t="s">
        <v>1451</v>
      </c>
      <c r="DR28" s="841" t="s">
        <v>353</v>
      </c>
      <c r="DS28" s="841" t="s">
        <v>353</v>
      </c>
      <c r="DT28" s="841" t="s">
        <v>353</v>
      </c>
      <c r="DU28" s="841" t="s">
        <v>353</v>
      </c>
      <c r="DV28" s="841" t="s">
        <v>353</v>
      </c>
      <c r="DW28" s="841" t="s">
        <v>353</v>
      </c>
      <c r="DX28" s="841" t="s">
        <v>353</v>
      </c>
      <c r="DY28" s="841" t="s">
        <v>353</v>
      </c>
      <c r="DZ28" s="841" t="s">
        <v>353</v>
      </c>
      <c r="EA28" s="841" t="s">
        <v>353</v>
      </c>
      <c r="EB28" s="841" t="s">
        <v>353</v>
      </c>
      <c r="EC28" s="841" t="s">
        <v>353</v>
      </c>
      <c r="ED28" s="841" t="s">
        <v>353</v>
      </c>
      <c r="EE28" s="841" t="s">
        <v>353</v>
      </c>
      <c r="EF28" s="841" t="s">
        <v>353</v>
      </c>
      <c r="EG28" s="841" t="s">
        <v>353</v>
      </c>
      <c r="EH28" s="841" t="s">
        <v>353</v>
      </c>
      <c r="EI28" s="841" t="s">
        <v>353</v>
      </c>
      <c r="EJ28" s="841" t="s">
        <v>353</v>
      </c>
      <c r="EK28" s="841" t="s">
        <v>353</v>
      </c>
      <c r="EL28" s="841" t="s">
        <v>353</v>
      </c>
      <c r="EM28" s="841" t="s">
        <v>353</v>
      </c>
      <c r="EN28" s="841" t="s">
        <v>353</v>
      </c>
      <c r="EO28" s="841" t="s">
        <v>353</v>
      </c>
      <c r="EP28" s="841" t="s">
        <v>353</v>
      </c>
      <c r="EQ28" s="841" t="s">
        <v>353</v>
      </c>
      <c r="ER28" s="841" t="s">
        <v>353</v>
      </c>
      <c r="ES28" s="841" t="s">
        <v>353</v>
      </c>
      <c r="ET28" s="841" t="s">
        <v>1452</v>
      </c>
      <c r="EU28" s="841" t="s">
        <v>353</v>
      </c>
      <c r="EV28" s="841" t="s">
        <v>353</v>
      </c>
      <c r="EW28" s="841" t="s">
        <v>353</v>
      </c>
      <c r="EX28" s="841" t="s">
        <v>353</v>
      </c>
      <c r="EY28" s="842">
        <v>44602.54791666667</v>
      </c>
      <c r="EZ28" s="841" t="s">
        <v>353</v>
      </c>
      <c r="FA28" s="841" t="s">
        <v>353</v>
      </c>
      <c r="FB28" s="841" t="s">
        <v>353</v>
      </c>
      <c r="FC28" s="841" t="s">
        <v>353</v>
      </c>
      <c r="FD28" s="841" t="s">
        <v>353</v>
      </c>
      <c r="FE28" s="842">
        <v>44602.46875</v>
      </c>
      <c r="FF28" s="841" t="s">
        <v>353</v>
      </c>
      <c r="FG28" s="841" t="s">
        <v>353</v>
      </c>
      <c r="FH28" s="841" t="s">
        <v>353</v>
      </c>
      <c r="FI28" s="841" t="s">
        <v>353</v>
      </c>
      <c r="FJ28" s="841" t="s">
        <v>353</v>
      </c>
      <c r="FK28" s="841" t="s">
        <v>353</v>
      </c>
      <c r="FL28" s="841" t="s">
        <v>353</v>
      </c>
      <c r="FM28" s="841" t="s">
        <v>353</v>
      </c>
      <c r="FN28" s="841" t="s">
        <v>353</v>
      </c>
      <c r="FO28" s="841" t="s">
        <v>353</v>
      </c>
      <c r="FP28" s="841" t="s">
        <v>353</v>
      </c>
      <c r="FQ28" s="841" t="s">
        <v>353</v>
      </c>
      <c r="FR28" s="841" t="s">
        <v>353</v>
      </c>
      <c r="FS28" s="841" t="s">
        <v>353</v>
      </c>
      <c r="FT28" s="841" t="s">
        <v>353</v>
      </c>
      <c r="FU28" s="841" t="s">
        <v>1394</v>
      </c>
      <c r="FV28" s="841" t="s">
        <v>353</v>
      </c>
      <c r="FW28" s="841" t="s">
        <v>353</v>
      </c>
      <c r="FX28" s="841" t="s">
        <v>353</v>
      </c>
      <c r="FY28" s="841" t="s">
        <v>353</v>
      </c>
      <c r="FZ28" s="841" t="s">
        <v>353</v>
      </c>
      <c r="GA28" s="841" t="s">
        <v>353</v>
      </c>
      <c r="GB28" s="841">
        <v>1</v>
      </c>
      <c r="GC28" s="841" t="s">
        <v>353</v>
      </c>
      <c r="GD28" s="841" t="s">
        <v>1417</v>
      </c>
      <c r="GE28" s="841" t="s">
        <v>353</v>
      </c>
      <c r="GF28" s="841" t="s">
        <v>353</v>
      </c>
      <c r="GG28" s="841" t="s">
        <v>353</v>
      </c>
      <c r="GH28" s="841" t="s">
        <v>353</v>
      </c>
      <c r="GI28" s="841" t="s">
        <v>353</v>
      </c>
      <c r="GJ28" s="841" t="s">
        <v>353</v>
      </c>
      <c r="GK28" s="841" t="s">
        <v>353</v>
      </c>
      <c r="GL28" s="841" t="s">
        <v>1453</v>
      </c>
      <c r="GM28" s="841" t="s">
        <v>353</v>
      </c>
      <c r="GN28" s="841" t="s">
        <v>353</v>
      </c>
      <c r="GO28" s="841" t="s">
        <v>353</v>
      </c>
      <c r="GP28" s="841" t="s">
        <v>353</v>
      </c>
      <c r="GQ28" s="841" t="s">
        <v>353</v>
      </c>
      <c r="GR28" s="841" t="s">
        <v>353</v>
      </c>
      <c r="GS28" s="841" t="s">
        <v>353</v>
      </c>
      <c r="GT28" s="841" t="s">
        <v>353</v>
      </c>
      <c r="GU28" s="841" t="s">
        <v>353</v>
      </c>
      <c r="GV28" s="841" t="s">
        <v>1076</v>
      </c>
      <c r="GW28" s="841" t="s">
        <v>353</v>
      </c>
      <c r="GX28" s="841" t="s">
        <v>353</v>
      </c>
      <c r="GY28" s="841" t="s">
        <v>353</v>
      </c>
      <c r="GZ28" s="841" t="s">
        <v>353</v>
      </c>
      <c r="HA28" s="841" t="s">
        <v>353</v>
      </c>
      <c r="HB28" s="841" t="s">
        <v>353</v>
      </c>
      <c r="HC28" s="841" t="s">
        <v>353</v>
      </c>
      <c r="HD28" s="841" t="s">
        <v>1683</v>
      </c>
      <c r="HE28" s="841" t="s">
        <v>353</v>
      </c>
      <c r="HF28" s="841" t="s">
        <v>353</v>
      </c>
      <c r="HG28" s="841" t="s">
        <v>353</v>
      </c>
      <c r="HH28" s="841" t="s">
        <v>353</v>
      </c>
      <c r="HI28" s="841" t="s">
        <v>353</v>
      </c>
      <c r="HJ28" s="841" t="s">
        <v>353</v>
      </c>
      <c r="HK28" s="841" t="s">
        <v>353</v>
      </c>
      <c r="HL28" s="841" t="s">
        <v>353</v>
      </c>
      <c r="HM28" s="841" t="s">
        <v>353</v>
      </c>
      <c r="HN28" s="841" t="s">
        <v>353</v>
      </c>
      <c r="HO28" s="841" t="s">
        <v>353</v>
      </c>
      <c r="HP28" s="841" t="s">
        <v>353</v>
      </c>
      <c r="HQ28" s="841" t="s">
        <v>353</v>
      </c>
      <c r="HR28" s="841" t="s">
        <v>353</v>
      </c>
      <c r="HS28" s="841" t="s">
        <v>353</v>
      </c>
      <c r="HT28" s="841" t="s">
        <v>353</v>
      </c>
      <c r="HU28" s="841" t="s">
        <v>353</v>
      </c>
      <c r="HV28" s="841" t="s">
        <v>353</v>
      </c>
      <c r="HW28" s="841" t="s">
        <v>353</v>
      </c>
      <c r="HX28" s="841" t="s">
        <v>353</v>
      </c>
      <c r="HY28" s="841" t="s">
        <v>353</v>
      </c>
      <c r="HZ28" s="841" t="s">
        <v>353</v>
      </c>
      <c r="IA28" s="841" t="s">
        <v>353</v>
      </c>
      <c r="IB28" s="841" t="s">
        <v>353</v>
      </c>
      <c r="IC28" s="841" t="s">
        <v>353</v>
      </c>
      <c r="ID28" s="841" t="s">
        <v>353</v>
      </c>
      <c r="IE28" s="841" t="s">
        <v>353</v>
      </c>
      <c r="IF28" s="841" t="s">
        <v>353</v>
      </c>
      <c r="IG28" s="841" t="s">
        <v>353</v>
      </c>
      <c r="IH28" s="841" t="s">
        <v>353</v>
      </c>
      <c r="II28" s="841" t="s">
        <v>353</v>
      </c>
      <c r="IJ28" s="841" t="s">
        <v>353</v>
      </c>
      <c r="IK28" s="841" t="s">
        <v>353</v>
      </c>
      <c r="IL28" s="841" t="s">
        <v>353</v>
      </c>
      <c r="IM28" s="841" t="s">
        <v>353</v>
      </c>
      <c r="IN28" s="841" t="s">
        <v>353</v>
      </c>
      <c r="IO28" s="841" t="s">
        <v>353</v>
      </c>
      <c r="IP28" s="841" t="s">
        <v>353</v>
      </c>
      <c r="IQ28" s="841" t="s">
        <v>353</v>
      </c>
      <c r="IR28" s="841" t="s">
        <v>353</v>
      </c>
      <c r="IS28" s="841" t="s">
        <v>353</v>
      </c>
      <c r="IT28" s="841" t="s">
        <v>353</v>
      </c>
      <c r="IU28" s="841" t="s">
        <v>353</v>
      </c>
      <c r="IV28" s="841" t="s">
        <v>353</v>
      </c>
      <c r="IW28" s="841" t="s">
        <v>353</v>
      </c>
      <c r="IX28" s="841" t="s">
        <v>353</v>
      </c>
      <c r="IY28" s="841" t="s">
        <v>353</v>
      </c>
      <c r="IZ28" s="841" t="s">
        <v>353</v>
      </c>
      <c r="JA28" s="841" t="s">
        <v>353</v>
      </c>
      <c r="JB28" s="841" t="s">
        <v>353</v>
      </c>
      <c r="JC28" s="841" t="s">
        <v>353</v>
      </c>
      <c r="JD28" s="841" t="s">
        <v>353</v>
      </c>
      <c r="JE28" s="841" t="s">
        <v>353</v>
      </c>
      <c r="JF28" s="841" t="s">
        <v>1684</v>
      </c>
      <c r="JG28" s="841" t="s">
        <v>1685</v>
      </c>
      <c r="JH28" s="841" t="s">
        <v>1686</v>
      </c>
      <c r="JI28" s="841" t="s">
        <v>1687</v>
      </c>
    </row>
    <row r="29" spans="1:269" x14ac:dyDescent="0.25">
      <c r="A29" s="841" t="s">
        <v>1688</v>
      </c>
      <c r="B29" s="841" t="s">
        <v>353</v>
      </c>
      <c r="C29" s="841" t="s">
        <v>353</v>
      </c>
      <c r="D29" s="841" t="s">
        <v>353</v>
      </c>
      <c r="E29" s="841" t="s">
        <v>353</v>
      </c>
      <c r="F29" s="841" t="s">
        <v>353</v>
      </c>
      <c r="G29" s="841" t="s">
        <v>353</v>
      </c>
      <c r="H29" s="841" t="s">
        <v>353</v>
      </c>
      <c r="I29" s="841" t="s">
        <v>353</v>
      </c>
      <c r="J29" s="841" t="s">
        <v>353</v>
      </c>
      <c r="K29" s="841" t="s">
        <v>353</v>
      </c>
      <c r="L29" s="842">
        <v>44607.502083333333</v>
      </c>
      <c r="M29" s="841" t="s">
        <v>353</v>
      </c>
      <c r="N29" s="841" t="s">
        <v>353</v>
      </c>
      <c r="O29" s="841" t="s">
        <v>353</v>
      </c>
      <c r="P29" s="841" t="s">
        <v>353</v>
      </c>
      <c r="Q29" s="841" t="s">
        <v>353</v>
      </c>
      <c r="R29" s="841" t="s">
        <v>353</v>
      </c>
      <c r="S29" s="841" t="s">
        <v>353</v>
      </c>
      <c r="T29" s="841" t="s">
        <v>1390</v>
      </c>
      <c r="U29" s="841" t="s">
        <v>353</v>
      </c>
      <c r="V29" s="841" t="s">
        <v>353</v>
      </c>
      <c r="W29" s="841" t="s">
        <v>353</v>
      </c>
      <c r="X29" s="841" t="s">
        <v>353</v>
      </c>
      <c r="Y29" s="841" t="s">
        <v>353</v>
      </c>
      <c r="Z29" s="841" t="s">
        <v>353</v>
      </c>
      <c r="AA29" s="841" t="s">
        <v>353</v>
      </c>
      <c r="AB29" s="841" t="s">
        <v>353</v>
      </c>
      <c r="AC29" s="841" t="s">
        <v>353</v>
      </c>
      <c r="AD29" s="841" t="s">
        <v>353</v>
      </c>
      <c r="AE29" s="841" t="s">
        <v>353</v>
      </c>
      <c r="AF29" s="841" t="s">
        <v>353</v>
      </c>
      <c r="AG29" s="841" t="s">
        <v>353</v>
      </c>
      <c r="AH29" s="841" t="s">
        <v>353</v>
      </c>
      <c r="AI29" s="841" t="s">
        <v>1521</v>
      </c>
      <c r="AJ29" s="841" t="s">
        <v>353</v>
      </c>
      <c r="AK29" s="841" t="s">
        <v>353</v>
      </c>
      <c r="AL29" s="841" t="s">
        <v>353</v>
      </c>
      <c r="AM29" s="841" t="s">
        <v>353</v>
      </c>
      <c r="AN29" s="841" t="s">
        <v>353</v>
      </c>
      <c r="AO29" s="841" t="s">
        <v>353</v>
      </c>
      <c r="AP29" s="841" t="s">
        <v>353</v>
      </c>
      <c r="AQ29" s="841" t="s">
        <v>353</v>
      </c>
      <c r="AR29" s="841" t="s">
        <v>353</v>
      </c>
      <c r="AS29" s="841" t="s">
        <v>353</v>
      </c>
      <c r="AT29" s="841" t="s">
        <v>353</v>
      </c>
      <c r="AU29" s="841" t="s">
        <v>353</v>
      </c>
      <c r="AV29" s="841" t="s">
        <v>353</v>
      </c>
      <c r="AW29" s="841" t="s">
        <v>353</v>
      </c>
      <c r="AX29" s="841" t="s">
        <v>353</v>
      </c>
      <c r="AY29" s="841" t="s">
        <v>353</v>
      </c>
      <c r="AZ29" s="841" t="s">
        <v>353</v>
      </c>
      <c r="BA29" s="841" t="s">
        <v>353</v>
      </c>
      <c r="BB29" s="841" t="s">
        <v>353</v>
      </c>
      <c r="BC29" s="841" t="s">
        <v>353</v>
      </c>
      <c r="BD29" s="841" t="s">
        <v>353</v>
      </c>
      <c r="BE29" s="841" t="s">
        <v>353</v>
      </c>
      <c r="BF29" s="841" t="s">
        <v>353</v>
      </c>
      <c r="BG29" s="841" t="s">
        <v>353</v>
      </c>
      <c r="BH29" s="841" t="s">
        <v>353</v>
      </c>
      <c r="BI29" s="841" t="s">
        <v>353</v>
      </c>
      <c r="BJ29" s="841" t="s">
        <v>353</v>
      </c>
      <c r="BK29" s="841" t="s">
        <v>353</v>
      </c>
      <c r="BL29" s="841" t="s">
        <v>1689</v>
      </c>
      <c r="BM29" s="842">
        <v>44620.445138888892</v>
      </c>
      <c r="BN29" s="841" t="s">
        <v>353</v>
      </c>
      <c r="BO29" s="841" t="s">
        <v>353</v>
      </c>
      <c r="BP29" s="841" t="s">
        <v>353</v>
      </c>
      <c r="BQ29" s="841" t="s">
        <v>353</v>
      </c>
      <c r="BR29" s="841" t="s">
        <v>353</v>
      </c>
      <c r="BS29" s="841" t="s">
        <v>353</v>
      </c>
      <c r="BT29" s="841">
        <v>0</v>
      </c>
      <c r="BU29" s="841" t="s">
        <v>353</v>
      </c>
      <c r="BV29" s="841" t="s">
        <v>353</v>
      </c>
      <c r="BW29" s="841" t="s">
        <v>353</v>
      </c>
      <c r="BX29" s="841" t="s">
        <v>1690</v>
      </c>
      <c r="BY29" s="841" t="s">
        <v>353</v>
      </c>
      <c r="BZ29" s="841" t="s">
        <v>353</v>
      </c>
      <c r="CA29" s="841" t="s">
        <v>353</v>
      </c>
      <c r="CB29" s="841" t="s">
        <v>353</v>
      </c>
      <c r="CC29" s="841" t="s">
        <v>353</v>
      </c>
      <c r="CD29" s="841" t="s">
        <v>353</v>
      </c>
      <c r="CE29" s="841" t="s">
        <v>353</v>
      </c>
      <c r="CF29" s="841" t="s">
        <v>353</v>
      </c>
      <c r="CG29" s="841" t="s">
        <v>353</v>
      </c>
      <c r="CH29" s="841" t="s">
        <v>353</v>
      </c>
      <c r="CI29" s="841" t="s">
        <v>353</v>
      </c>
      <c r="CJ29" s="841" t="s">
        <v>353</v>
      </c>
      <c r="CK29" s="841">
        <v>4</v>
      </c>
      <c r="CL29" s="841" t="s">
        <v>353</v>
      </c>
      <c r="CM29" s="841">
        <v>5</v>
      </c>
      <c r="CN29" s="841" t="s">
        <v>353</v>
      </c>
      <c r="CO29" s="841" t="s">
        <v>353</v>
      </c>
      <c r="CP29" s="841" t="s">
        <v>1691</v>
      </c>
      <c r="CQ29" s="841" t="s">
        <v>353</v>
      </c>
      <c r="CR29" s="841" t="s">
        <v>353</v>
      </c>
      <c r="CS29" s="841" t="s">
        <v>353</v>
      </c>
      <c r="CT29" s="841" t="s">
        <v>353</v>
      </c>
      <c r="CU29" s="841" t="s">
        <v>1391</v>
      </c>
      <c r="CV29" s="841" t="s">
        <v>353</v>
      </c>
      <c r="CW29" s="841" t="s">
        <v>353</v>
      </c>
      <c r="CX29" s="841" t="s">
        <v>353</v>
      </c>
      <c r="CY29" s="841" t="s">
        <v>353</v>
      </c>
      <c r="CZ29" s="841" t="s">
        <v>353</v>
      </c>
      <c r="DA29" s="841" t="s">
        <v>353</v>
      </c>
      <c r="DB29" s="841" t="s">
        <v>353</v>
      </c>
      <c r="DC29" s="841" t="s">
        <v>353</v>
      </c>
      <c r="DD29" s="841" t="s">
        <v>353</v>
      </c>
      <c r="DE29" s="841" t="s">
        <v>353</v>
      </c>
      <c r="DF29" s="841" t="s">
        <v>353</v>
      </c>
      <c r="DG29" s="841" t="s">
        <v>353</v>
      </c>
      <c r="DH29" s="841" t="s">
        <v>353</v>
      </c>
      <c r="DI29" s="841" t="s">
        <v>353</v>
      </c>
      <c r="DJ29" s="841" t="s">
        <v>1652</v>
      </c>
      <c r="DK29" s="841" t="s">
        <v>353</v>
      </c>
      <c r="DL29" s="842">
        <v>44602.445138888892</v>
      </c>
      <c r="DM29" s="841" t="s">
        <v>353</v>
      </c>
      <c r="DN29" s="841" t="s">
        <v>353</v>
      </c>
      <c r="DO29" s="841" t="s">
        <v>673</v>
      </c>
      <c r="DP29" s="841" t="s">
        <v>1481</v>
      </c>
      <c r="DQ29" s="841" t="s">
        <v>1434</v>
      </c>
      <c r="DR29" s="841" t="s">
        <v>353</v>
      </c>
      <c r="DS29" s="841" t="s">
        <v>353</v>
      </c>
      <c r="DT29" s="841" t="s">
        <v>353</v>
      </c>
      <c r="DU29" s="841" t="s">
        <v>353</v>
      </c>
      <c r="DV29" s="841" t="s">
        <v>353</v>
      </c>
      <c r="DW29" s="841" t="s">
        <v>353</v>
      </c>
      <c r="DX29" s="841" t="s">
        <v>353</v>
      </c>
      <c r="DY29" s="841" t="s">
        <v>353</v>
      </c>
      <c r="DZ29" s="841" t="s">
        <v>353</v>
      </c>
      <c r="EA29" s="841" t="s">
        <v>353</v>
      </c>
      <c r="EB29" s="841" t="s">
        <v>353</v>
      </c>
      <c r="EC29" s="841" t="s">
        <v>353</v>
      </c>
      <c r="ED29" s="841" t="s">
        <v>353</v>
      </c>
      <c r="EE29" s="841" t="s">
        <v>353</v>
      </c>
      <c r="EF29" s="841" t="s">
        <v>353</v>
      </c>
      <c r="EG29" s="841" t="s">
        <v>353</v>
      </c>
      <c r="EH29" s="841" t="s">
        <v>353</v>
      </c>
      <c r="EI29" s="841" t="s">
        <v>353</v>
      </c>
      <c r="EJ29" s="841" t="s">
        <v>353</v>
      </c>
      <c r="EK29" s="841" t="s">
        <v>353</v>
      </c>
      <c r="EL29" s="841" t="s">
        <v>353</v>
      </c>
      <c r="EM29" s="841" t="s">
        <v>353</v>
      </c>
      <c r="EN29" s="841" t="s">
        <v>353</v>
      </c>
      <c r="EO29" s="841" t="s">
        <v>353</v>
      </c>
      <c r="EP29" s="841" t="s">
        <v>353</v>
      </c>
      <c r="EQ29" s="841" t="s">
        <v>353</v>
      </c>
      <c r="ER29" s="841" t="s">
        <v>353</v>
      </c>
      <c r="ES29" s="841" t="s">
        <v>353</v>
      </c>
      <c r="ET29" s="841" t="s">
        <v>1436</v>
      </c>
      <c r="EU29" s="841" t="s">
        <v>353</v>
      </c>
      <c r="EV29" s="841" t="s">
        <v>353</v>
      </c>
      <c r="EW29" s="841" t="s">
        <v>353</v>
      </c>
      <c r="EX29" s="841" t="s">
        <v>353</v>
      </c>
      <c r="EY29" s="842">
        <v>44607.500694444447</v>
      </c>
      <c r="EZ29" s="841" t="s">
        <v>353</v>
      </c>
      <c r="FA29" s="841" t="s">
        <v>353</v>
      </c>
      <c r="FB29" s="841" t="s">
        <v>353</v>
      </c>
      <c r="FC29" s="841" t="s">
        <v>353</v>
      </c>
      <c r="FD29" s="841" t="s">
        <v>353</v>
      </c>
      <c r="FE29" s="842">
        <v>44602.445138888892</v>
      </c>
      <c r="FF29" s="841" t="s">
        <v>353</v>
      </c>
      <c r="FG29" s="841" t="s">
        <v>1692</v>
      </c>
      <c r="FH29" s="841" t="s">
        <v>353</v>
      </c>
      <c r="FI29" s="841" t="s">
        <v>353</v>
      </c>
      <c r="FJ29" s="841" t="s">
        <v>353</v>
      </c>
      <c r="FK29" s="841" t="s">
        <v>353</v>
      </c>
      <c r="FL29" s="841" t="s">
        <v>353</v>
      </c>
      <c r="FM29" s="841" t="s">
        <v>353</v>
      </c>
      <c r="FN29" s="841" t="s">
        <v>353</v>
      </c>
      <c r="FO29" s="841" t="s">
        <v>353</v>
      </c>
      <c r="FP29" s="841" t="s">
        <v>353</v>
      </c>
      <c r="FQ29" s="841" t="s">
        <v>353</v>
      </c>
      <c r="FR29" s="841" t="s">
        <v>353</v>
      </c>
      <c r="FS29" s="841" t="s">
        <v>353</v>
      </c>
      <c r="FT29" s="841" t="s">
        <v>353</v>
      </c>
      <c r="FU29" s="841" t="s">
        <v>1394</v>
      </c>
      <c r="FV29" s="841" t="s">
        <v>353</v>
      </c>
      <c r="FW29" s="841" t="s">
        <v>353</v>
      </c>
      <c r="FX29" s="841" t="s">
        <v>353</v>
      </c>
      <c r="FY29" s="841" t="s">
        <v>353</v>
      </c>
      <c r="FZ29" s="841" t="s">
        <v>353</v>
      </c>
      <c r="GA29" s="841" t="s">
        <v>353</v>
      </c>
      <c r="GB29" s="841">
        <v>1</v>
      </c>
      <c r="GC29" s="841" t="s">
        <v>353</v>
      </c>
      <c r="GD29" s="841" t="s">
        <v>1395</v>
      </c>
      <c r="GE29" s="841" t="s">
        <v>353</v>
      </c>
      <c r="GF29" s="841" t="s">
        <v>353</v>
      </c>
      <c r="GG29" s="841" t="s">
        <v>353</v>
      </c>
      <c r="GH29" s="841" t="s">
        <v>353</v>
      </c>
      <c r="GI29" s="841" t="s">
        <v>353</v>
      </c>
      <c r="GJ29" s="841" t="s">
        <v>353</v>
      </c>
      <c r="GK29" s="841" t="s">
        <v>353</v>
      </c>
      <c r="GL29" s="841" t="s">
        <v>1468</v>
      </c>
      <c r="GM29" s="841" t="s">
        <v>353</v>
      </c>
      <c r="GN29" s="841" t="s">
        <v>353</v>
      </c>
      <c r="GO29" s="841" t="s">
        <v>353</v>
      </c>
      <c r="GP29" s="841" t="s">
        <v>353</v>
      </c>
      <c r="GQ29" s="841" t="s">
        <v>353</v>
      </c>
      <c r="GR29" s="842">
        <v>44607.500694444447</v>
      </c>
      <c r="GS29" s="841" t="s">
        <v>353</v>
      </c>
      <c r="GT29" s="841" t="s">
        <v>353</v>
      </c>
      <c r="GU29" s="841" t="s">
        <v>353</v>
      </c>
      <c r="GV29" s="841" t="s">
        <v>1076</v>
      </c>
      <c r="GW29" s="841" t="s">
        <v>353</v>
      </c>
      <c r="GX29" s="841" t="s">
        <v>353</v>
      </c>
      <c r="GY29" s="841" t="s">
        <v>353</v>
      </c>
      <c r="GZ29" s="841" t="s">
        <v>353</v>
      </c>
      <c r="HA29" s="841" t="s">
        <v>353</v>
      </c>
      <c r="HB29" s="841" t="s">
        <v>353</v>
      </c>
      <c r="HC29" s="841" t="s">
        <v>353</v>
      </c>
      <c r="HD29" s="841" t="s">
        <v>1693</v>
      </c>
      <c r="HE29" s="841" t="s">
        <v>353</v>
      </c>
      <c r="HF29" s="841" t="s">
        <v>353</v>
      </c>
      <c r="HG29" s="841" t="s">
        <v>353</v>
      </c>
      <c r="HH29" s="841" t="s">
        <v>353</v>
      </c>
      <c r="HI29" s="841" t="s">
        <v>1422</v>
      </c>
      <c r="HJ29" s="841" t="s">
        <v>353</v>
      </c>
      <c r="HK29" s="841" t="s">
        <v>353</v>
      </c>
      <c r="HL29" s="841" t="s">
        <v>353</v>
      </c>
      <c r="HM29" s="841" t="s">
        <v>353</v>
      </c>
      <c r="HN29" s="841" t="s">
        <v>353</v>
      </c>
      <c r="HO29" s="841" t="s">
        <v>353</v>
      </c>
      <c r="HP29" s="841" t="s">
        <v>353</v>
      </c>
      <c r="HQ29" s="841" t="s">
        <v>353</v>
      </c>
      <c r="HR29" s="841" t="s">
        <v>353</v>
      </c>
      <c r="HS29" s="841" t="s">
        <v>353</v>
      </c>
      <c r="HT29" s="841" t="s">
        <v>353</v>
      </c>
      <c r="HU29" s="841" t="s">
        <v>353</v>
      </c>
      <c r="HV29" s="841" t="s">
        <v>353</v>
      </c>
      <c r="HW29" s="841">
        <v>650000</v>
      </c>
      <c r="HX29" s="841" t="s">
        <v>353</v>
      </c>
      <c r="HY29" s="841" t="s">
        <v>353</v>
      </c>
      <c r="HZ29" s="841" t="s">
        <v>353</v>
      </c>
      <c r="IA29" s="841" t="s">
        <v>353</v>
      </c>
      <c r="IB29" s="841" t="s">
        <v>353</v>
      </c>
      <c r="IC29" s="841" t="s">
        <v>353</v>
      </c>
      <c r="ID29" s="841" t="s">
        <v>353</v>
      </c>
      <c r="IE29" s="841" t="s">
        <v>353</v>
      </c>
      <c r="IF29" s="841" t="s">
        <v>353</v>
      </c>
      <c r="IG29" s="841" t="s">
        <v>353</v>
      </c>
      <c r="IH29" s="841" t="s">
        <v>353</v>
      </c>
      <c r="II29" s="841" t="s">
        <v>353</v>
      </c>
      <c r="IJ29" s="841" t="s">
        <v>353</v>
      </c>
      <c r="IK29" s="841" t="s">
        <v>353</v>
      </c>
      <c r="IL29" s="841" t="s">
        <v>353</v>
      </c>
      <c r="IM29" s="841" t="s">
        <v>353</v>
      </c>
      <c r="IN29" s="841" t="s">
        <v>353</v>
      </c>
      <c r="IO29" s="841" t="s">
        <v>353</v>
      </c>
      <c r="IP29" s="841" t="s">
        <v>353</v>
      </c>
      <c r="IQ29" s="841" t="s">
        <v>353</v>
      </c>
      <c r="IR29" s="841" t="s">
        <v>353</v>
      </c>
      <c r="IS29" s="841" t="s">
        <v>353</v>
      </c>
      <c r="IT29" s="841" t="s">
        <v>353</v>
      </c>
      <c r="IU29" s="841" t="s">
        <v>353</v>
      </c>
      <c r="IV29" s="841" t="s">
        <v>353</v>
      </c>
      <c r="IW29" s="841" t="s">
        <v>353</v>
      </c>
      <c r="IX29" s="841" t="s">
        <v>353</v>
      </c>
      <c r="IY29" s="841" t="s">
        <v>353</v>
      </c>
      <c r="IZ29" s="841" t="s">
        <v>353</v>
      </c>
      <c r="JA29" s="841" t="s">
        <v>353</v>
      </c>
      <c r="JB29" s="841" t="s">
        <v>353</v>
      </c>
      <c r="JC29" s="841" t="s">
        <v>353</v>
      </c>
      <c r="JD29" s="841" t="s">
        <v>353</v>
      </c>
      <c r="JE29" s="841" t="s">
        <v>353</v>
      </c>
      <c r="JF29" s="841" t="s">
        <v>1694</v>
      </c>
      <c r="JG29" s="841" t="s">
        <v>1695</v>
      </c>
      <c r="JH29" s="841" t="s">
        <v>1696</v>
      </c>
      <c r="JI29" s="841" t="s">
        <v>1697</v>
      </c>
    </row>
    <row r="30" spans="1:269" x14ac:dyDescent="0.25">
      <c r="A30" s="841" t="s">
        <v>1698</v>
      </c>
      <c r="B30" s="841" t="s">
        <v>353</v>
      </c>
      <c r="C30" s="841" t="s">
        <v>353</v>
      </c>
      <c r="D30" s="841" t="s">
        <v>353</v>
      </c>
      <c r="E30" s="841" t="s">
        <v>353</v>
      </c>
      <c r="F30" s="841" t="s">
        <v>353</v>
      </c>
      <c r="G30" s="841" t="s">
        <v>353</v>
      </c>
      <c r="H30" s="841" t="s">
        <v>353</v>
      </c>
      <c r="I30" s="841" t="s">
        <v>353</v>
      </c>
      <c r="J30" s="841" t="s">
        <v>353</v>
      </c>
      <c r="K30" s="841" t="s">
        <v>353</v>
      </c>
      <c r="L30" s="842">
        <v>44607.502083333333</v>
      </c>
      <c r="M30" s="841" t="s">
        <v>353</v>
      </c>
      <c r="N30" s="841" t="s">
        <v>353</v>
      </c>
      <c r="O30" s="841" t="s">
        <v>353</v>
      </c>
      <c r="P30" s="841" t="s">
        <v>353</v>
      </c>
      <c r="Q30" s="841" t="s">
        <v>353</v>
      </c>
      <c r="R30" s="841" t="s">
        <v>353</v>
      </c>
      <c r="S30" s="841" t="s">
        <v>353</v>
      </c>
      <c r="T30" s="841" t="s">
        <v>1390</v>
      </c>
      <c r="U30" s="841" t="s">
        <v>353</v>
      </c>
      <c r="V30" s="841" t="s">
        <v>353</v>
      </c>
      <c r="W30" s="841" t="s">
        <v>353</v>
      </c>
      <c r="X30" s="841" t="s">
        <v>353</v>
      </c>
      <c r="Y30" s="841" t="s">
        <v>353</v>
      </c>
      <c r="Z30" s="841" t="s">
        <v>353</v>
      </c>
      <c r="AA30" s="841" t="s">
        <v>353</v>
      </c>
      <c r="AB30" s="841" t="s">
        <v>353</v>
      </c>
      <c r="AC30" s="841" t="s">
        <v>353</v>
      </c>
      <c r="AD30" s="841" t="s">
        <v>353</v>
      </c>
      <c r="AE30" s="841" t="s">
        <v>353</v>
      </c>
      <c r="AF30" s="841" t="s">
        <v>353</v>
      </c>
      <c r="AG30" s="841" t="s">
        <v>353</v>
      </c>
      <c r="AH30" s="841" t="s">
        <v>353</v>
      </c>
      <c r="AI30" s="841" t="s">
        <v>1521</v>
      </c>
      <c r="AJ30" s="841" t="s">
        <v>353</v>
      </c>
      <c r="AK30" s="841" t="s">
        <v>353</v>
      </c>
      <c r="AL30" s="841" t="s">
        <v>353</v>
      </c>
      <c r="AM30" s="841" t="s">
        <v>353</v>
      </c>
      <c r="AN30" s="841" t="s">
        <v>353</v>
      </c>
      <c r="AO30" s="841" t="s">
        <v>353</v>
      </c>
      <c r="AP30" s="841" t="s">
        <v>353</v>
      </c>
      <c r="AQ30" s="841" t="s">
        <v>353</v>
      </c>
      <c r="AR30" s="841" t="s">
        <v>353</v>
      </c>
      <c r="AS30" s="841" t="s">
        <v>353</v>
      </c>
      <c r="AT30" s="841" t="s">
        <v>353</v>
      </c>
      <c r="AU30" s="841" t="s">
        <v>353</v>
      </c>
      <c r="AV30" s="841" t="s">
        <v>353</v>
      </c>
      <c r="AW30" s="841" t="s">
        <v>353</v>
      </c>
      <c r="AX30" s="841" t="s">
        <v>353</v>
      </c>
      <c r="AY30" s="841" t="s">
        <v>353</v>
      </c>
      <c r="AZ30" s="841" t="s">
        <v>353</v>
      </c>
      <c r="BA30" s="841" t="s">
        <v>353</v>
      </c>
      <c r="BB30" s="841" t="s">
        <v>353</v>
      </c>
      <c r="BC30" s="841" t="s">
        <v>353</v>
      </c>
      <c r="BD30" s="841" t="s">
        <v>353</v>
      </c>
      <c r="BE30" s="841" t="s">
        <v>353</v>
      </c>
      <c r="BF30" s="841" t="s">
        <v>353</v>
      </c>
      <c r="BG30" s="841" t="s">
        <v>353</v>
      </c>
      <c r="BH30" s="841" t="s">
        <v>353</v>
      </c>
      <c r="BI30" s="841" t="s">
        <v>353</v>
      </c>
      <c r="BJ30" s="841" t="s">
        <v>353</v>
      </c>
      <c r="BK30" s="841">
        <v>245000</v>
      </c>
      <c r="BL30" s="841" t="s">
        <v>1689</v>
      </c>
      <c r="BM30" s="842">
        <v>44620.418055555558</v>
      </c>
      <c r="BN30" s="841" t="s">
        <v>353</v>
      </c>
      <c r="BO30" s="841" t="s">
        <v>353</v>
      </c>
      <c r="BP30" s="841" t="s">
        <v>353</v>
      </c>
      <c r="BQ30" s="841" t="s">
        <v>353</v>
      </c>
      <c r="BR30" s="841" t="s">
        <v>353</v>
      </c>
      <c r="BS30" s="841" t="s">
        <v>353</v>
      </c>
      <c r="BT30" s="841">
        <v>0</v>
      </c>
      <c r="BU30" s="841" t="s">
        <v>353</v>
      </c>
      <c r="BV30" s="841" t="s">
        <v>353</v>
      </c>
      <c r="BW30" s="841" t="s">
        <v>353</v>
      </c>
      <c r="BX30" s="841" t="s">
        <v>1699</v>
      </c>
      <c r="BY30" s="841" t="s">
        <v>353</v>
      </c>
      <c r="BZ30" s="841" t="s">
        <v>353</v>
      </c>
      <c r="CA30" s="841" t="s">
        <v>353</v>
      </c>
      <c r="CB30" s="841" t="s">
        <v>353</v>
      </c>
      <c r="CC30" s="841" t="s">
        <v>353</v>
      </c>
      <c r="CD30" s="841" t="s">
        <v>353</v>
      </c>
      <c r="CE30" s="841" t="s">
        <v>353</v>
      </c>
      <c r="CF30" s="841" t="s">
        <v>353</v>
      </c>
      <c r="CG30" s="841" t="s">
        <v>353</v>
      </c>
      <c r="CH30" s="841" t="s">
        <v>353</v>
      </c>
      <c r="CI30" s="841" t="s">
        <v>353</v>
      </c>
      <c r="CJ30" s="841" t="s">
        <v>353</v>
      </c>
      <c r="CK30" s="841">
        <v>4</v>
      </c>
      <c r="CL30" s="841" t="s">
        <v>353</v>
      </c>
      <c r="CM30" s="841">
        <v>5</v>
      </c>
      <c r="CN30" s="841" t="s">
        <v>353</v>
      </c>
      <c r="CO30" s="841" t="s">
        <v>353</v>
      </c>
      <c r="CP30" s="841" t="s">
        <v>1700</v>
      </c>
      <c r="CQ30" s="841" t="s">
        <v>353</v>
      </c>
      <c r="CR30" s="841" t="s">
        <v>353</v>
      </c>
      <c r="CS30" s="841" t="s">
        <v>353</v>
      </c>
      <c r="CT30" s="841" t="s">
        <v>353</v>
      </c>
      <c r="CU30" s="841" t="s">
        <v>1391</v>
      </c>
      <c r="CV30" s="841" t="s">
        <v>353</v>
      </c>
      <c r="CW30" s="841" t="s">
        <v>353</v>
      </c>
      <c r="CX30" s="841" t="s">
        <v>353</v>
      </c>
      <c r="CY30" s="841" t="s">
        <v>353</v>
      </c>
      <c r="CZ30" s="841" t="s">
        <v>353</v>
      </c>
      <c r="DA30" s="841" t="s">
        <v>353</v>
      </c>
      <c r="DB30" s="841" t="s">
        <v>353</v>
      </c>
      <c r="DC30" s="841" t="s">
        <v>353</v>
      </c>
      <c r="DD30" s="841" t="s">
        <v>353</v>
      </c>
      <c r="DE30" s="841" t="s">
        <v>353</v>
      </c>
      <c r="DF30" s="841" t="s">
        <v>353</v>
      </c>
      <c r="DG30" s="841" t="s">
        <v>353</v>
      </c>
      <c r="DH30" s="841" t="s">
        <v>353</v>
      </c>
      <c r="DI30" s="841" t="s">
        <v>353</v>
      </c>
      <c r="DJ30" s="841" t="s">
        <v>1652</v>
      </c>
      <c r="DK30" s="841" t="s">
        <v>353</v>
      </c>
      <c r="DL30" s="842">
        <v>44602.418055555558</v>
      </c>
      <c r="DM30" s="841" t="s">
        <v>353</v>
      </c>
      <c r="DN30" s="841" t="s">
        <v>353</v>
      </c>
      <c r="DO30" s="841" t="s">
        <v>673</v>
      </c>
      <c r="DP30" s="841" t="s">
        <v>1481</v>
      </c>
      <c r="DQ30" s="841" t="s">
        <v>1434</v>
      </c>
      <c r="DR30" s="841" t="s">
        <v>353</v>
      </c>
      <c r="DS30" s="841" t="s">
        <v>353</v>
      </c>
      <c r="DT30" s="841" t="s">
        <v>353</v>
      </c>
      <c r="DU30" s="841" t="s">
        <v>353</v>
      </c>
      <c r="DV30" s="841" t="s">
        <v>353</v>
      </c>
      <c r="DW30" s="841" t="s">
        <v>353</v>
      </c>
      <c r="DX30" s="841" t="s">
        <v>353</v>
      </c>
      <c r="DY30" s="841" t="s">
        <v>353</v>
      </c>
      <c r="DZ30" s="841" t="s">
        <v>353</v>
      </c>
      <c r="EA30" s="841" t="s">
        <v>353</v>
      </c>
      <c r="EB30" s="841" t="s">
        <v>353</v>
      </c>
      <c r="EC30" s="841" t="s">
        <v>353</v>
      </c>
      <c r="ED30" s="841" t="s">
        <v>353</v>
      </c>
      <c r="EE30" s="841" t="s">
        <v>353</v>
      </c>
      <c r="EF30" s="841" t="s">
        <v>353</v>
      </c>
      <c r="EG30" s="841" t="s">
        <v>353</v>
      </c>
      <c r="EH30" s="841" t="s">
        <v>353</v>
      </c>
      <c r="EI30" s="841" t="s">
        <v>353</v>
      </c>
      <c r="EJ30" s="841" t="s">
        <v>353</v>
      </c>
      <c r="EK30" s="841" t="s">
        <v>353</v>
      </c>
      <c r="EL30" s="841" t="s">
        <v>353</v>
      </c>
      <c r="EM30" s="841" t="s">
        <v>353</v>
      </c>
      <c r="EN30" s="841" t="s">
        <v>353</v>
      </c>
      <c r="EO30" s="841" t="s">
        <v>353</v>
      </c>
      <c r="EP30" s="841" t="s">
        <v>353</v>
      </c>
      <c r="EQ30" s="841" t="s">
        <v>353</v>
      </c>
      <c r="ER30" s="841" t="s">
        <v>353</v>
      </c>
      <c r="ES30" s="841" t="s">
        <v>353</v>
      </c>
      <c r="ET30" s="841" t="s">
        <v>1436</v>
      </c>
      <c r="EU30" s="841" t="s">
        <v>353</v>
      </c>
      <c r="EV30" s="841" t="s">
        <v>353</v>
      </c>
      <c r="EW30" s="841" t="s">
        <v>353</v>
      </c>
      <c r="EX30" s="841" t="s">
        <v>353</v>
      </c>
      <c r="EY30" s="842">
        <v>44607.500694444447</v>
      </c>
      <c r="EZ30" s="841" t="s">
        <v>353</v>
      </c>
      <c r="FA30" s="841" t="s">
        <v>353</v>
      </c>
      <c r="FB30" s="841" t="s">
        <v>353</v>
      </c>
      <c r="FC30" s="841" t="s">
        <v>353</v>
      </c>
      <c r="FD30" s="841" t="s">
        <v>353</v>
      </c>
      <c r="FE30" s="842">
        <v>44602.445138888892</v>
      </c>
      <c r="FF30" s="841" t="s">
        <v>353</v>
      </c>
      <c r="FG30" s="841" t="s">
        <v>1701</v>
      </c>
      <c r="FH30" s="841" t="s">
        <v>353</v>
      </c>
      <c r="FI30" s="841" t="s">
        <v>353</v>
      </c>
      <c r="FJ30" s="841" t="s">
        <v>353</v>
      </c>
      <c r="FK30" s="841" t="s">
        <v>353</v>
      </c>
      <c r="FL30" s="841" t="s">
        <v>353</v>
      </c>
      <c r="FM30" s="841" t="s">
        <v>353</v>
      </c>
      <c r="FN30" s="841" t="s">
        <v>353</v>
      </c>
      <c r="FO30" s="841" t="s">
        <v>353</v>
      </c>
      <c r="FP30" s="841" t="s">
        <v>353</v>
      </c>
      <c r="FQ30" s="841" t="s">
        <v>353</v>
      </c>
      <c r="FR30" s="841" t="s">
        <v>353</v>
      </c>
      <c r="FS30" s="841" t="s">
        <v>353</v>
      </c>
      <c r="FT30" s="841" t="s">
        <v>353</v>
      </c>
      <c r="FU30" s="841" t="s">
        <v>1394</v>
      </c>
      <c r="FV30" s="841" t="s">
        <v>353</v>
      </c>
      <c r="FW30" s="841" t="s">
        <v>353</v>
      </c>
      <c r="FX30" s="841" t="s">
        <v>353</v>
      </c>
      <c r="FY30" s="841" t="s">
        <v>353</v>
      </c>
      <c r="FZ30" s="841" t="s">
        <v>353</v>
      </c>
      <c r="GA30" s="841" t="s">
        <v>353</v>
      </c>
      <c r="GB30" s="841">
        <v>1</v>
      </c>
      <c r="GC30" s="841" t="s">
        <v>353</v>
      </c>
      <c r="GD30" s="841" t="s">
        <v>1395</v>
      </c>
      <c r="GE30" s="841" t="s">
        <v>353</v>
      </c>
      <c r="GF30" s="841" t="s">
        <v>353</v>
      </c>
      <c r="GG30" s="841" t="s">
        <v>353</v>
      </c>
      <c r="GH30" s="841" t="s">
        <v>353</v>
      </c>
      <c r="GI30" s="841" t="s">
        <v>353</v>
      </c>
      <c r="GJ30" s="841" t="s">
        <v>353</v>
      </c>
      <c r="GK30" s="841" t="s">
        <v>353</v>
      </c>
      <c r="GL30" s="841" t="s">
        <v>1468</v>
      </c>
      <c r="GM30" s="841" t="s">
        <v>353</v>
      </c>
      <c r="GN30" s="841" t="s">
        <v>353</v>
      </c>
      <c r="GO30" s="841" t="s">
        <v>353</v>
      </c>
      <c r="GP30" s="841" t="s">
        <v>353</v>
      </c>
      <c r="GQ30" s="841" t="s">
        <v>353</v>
      </c>
      <c r="GR30" s="842">
        <v>44607.500694444447</v>
      </c>
      <c r="GS30" s="841" t="s">
        <v>353</v>
      </c>
      <c r="GT30" s="841" t="s">
        <v>353</v>
      </c>
      <c r="GU30" s="841" t="s">
        <v>353</v>
      </c>
      <c r="GV30" s="841" t="s">
        <v>1076</v>
      </c>
      <c r="GW30" s="841" t="s">
        <v>353</v>
      </c>
      <c r="GX30" s="841" t="s">
        <v>1702</v>
      </c>
      <c r="GY30" s="841" t="s">
        <v>353</v>
      </c>
      <c r="GZ30" s="841" t="s">
        <v>353</v>
      </c>
      <c r="HA30" s="841" t="s">
        <v>353</v>
      </c>
      <c r="HB30" s="841" t="s">
        <v>353</v>
      </c>
      <c r="HC30" s="841" t="s">
        <v>353</v>
      </c>
      <c r="HD30" s="841" t="s">
        <v>1703</v>
      </c>
      <c r="HE30" s="841" t="s">
        <v>353</v>
      </c>
      <c r="HF30" s="841" t="s">
        <v>353</v>
      </c>
      <c r="HG30" s="841" t="s">
        <v>353</v>
      </c>
      <c r="HH30" s="841" t="s">
        <v>353</v>
      </c>
      <c r="HI30" s="841" t="s">
        <v>1422</v>
      </c>
      <c r="HJ30" s="841" t="s">
        <v>353</v>
      </c>
      <c r="HK30" s="841" t="s">
        <v>353</v>
      </c>
      <c r="HL30" s="841" t="s">
        <v>353</v>
      </c>
      <c r="HM30" s="841" t="s">
        <v>353</v>
      </c>
      <c r="HN30" s="841" t="s">
        <v>353</v>
      </c>
      <c r="HO30" s="841" t="s">
        <v>353</v>
      </c>
      <c r="HP30" s="841" t="s">
        <v>353</v>
      </c>
      <c r="HQ30" s="841" t="s">
        <v>353</v>
      </c>
      <c r="HR30" s="841" t="s">
        <v>353</v>
      </c>
      <c r="HS30" s="841" t="s">
        <v>353</v>
      </c>
      <c r="HT30" s="841" t="s">
        <v>353</v>
      </c>
      <c r="HU30" s="841" t="s">
        <v>353</v>
      </c>
      <c r="HV30" s="841" t="s">
        <v>353</v>
      </c>
      <c r="HW30" s="841">
        <v>560000</v>
      </c>
      <c r="HX30" s="841" t="s">
        <v>353</v>
      </c>
      <c r="HY30" s="841" t="s">
        <v>353</v>
      </c>
      <c r="HZ30" s="841" t="s">
        <v>353</v>
      </c>
      <c r="IA30" s="841" t="s">
        <v>353</v>
      </c>
      <c r="IB30" s="841" t="s">
        <v>1424</v>
      </c>
      <c r="IC30" s="841" t="s">
        <v>353</v>
      </c>
      <c r="ID30" s="841" t="s">
        <v>353</v>
      </c>
      <c r="IE30" s="841" t="s">
        <v>353</v>
      </c>
      <c r="IF30" s="841" t="s">
        <v>353</v>
      </c>
      <c r="IG30" s="841" t="s">
        <v>353</v>
      </c>
      <c r="IH30" s="841" t="s">
        <v>353</v>
      </c>
      <c r="II30" s="841" t="s">
        <v>353</v>
      </c>
      <c r="IJ30" s="841" t="s">
        <v>353</v>
      </c>
      <c r="IK30" s="841" t="s">
        <v>353</v>
      </c>
      <c r="IL30" s="841" t="s">
        <v>353</v>
      </c>
      <c r="IM30" s="841" t="s">
        <v>353</v>
      </c>
      <c r="IN30" s="841" t="s">
        <v>353</v>
      </c>
      <c r="IO30" s="841" t="s">
        <v>353</v>
      </c>
      <c r="IP30" s="841" t="s">
        <v>353</v>
      </c>
      <c r="IQ30" s="841" t="s">
        <v>353</v>
      </c>
      <c r="IR30" s="841" t="s">
        <v>353</v>
      </c>
      <c r="IS30" s="841" t="s">
        <v>353</v>
      </c>
      <c r="IT30" s="841" t="s">
        <v>353</v>
      </c>
      <c r="IU30" s="841" t="s">
        <v>353</v>
      </c>
      <c r="IV30" s="841" t="s">
        <v>353</v>
      </c>
      <c r="IW30" s="841" t="s">
        <v>353</v>
      </c>
      <c r="IX30" s="841" t="s">
        <v>353</v>
      </c>
      <c r="IY30" s="841" t="s">
        <v>353</v>
      </c>
      <c r="IZ30" s="841" t="s">
        <v>353</v>
      </c>
      <c r="JA30" s="841" t="s">
        <v>353</v>
      </c>
      <c r="JB30" s="841" t="s">
        <v>353</v>
      </c>
      <c r="JC30" s="841" t="s">
        <v>353</v>
      </c>
      <c r="JD30" s="841" t="s">
        <v>353</v>
      </c>
      <c r="JE30" s="841" t="s">
        <v>353</v>
      </c>
      <c r="JF30" s="841" t="s">
        <v>1694</v>
      </c>
      <c r="JG30" s="841" t="s">
        <v>1695</v>
      </c>
      <c r="JH30" s="841" t="s">
        <v>1696</v>
      </c>
      <c r="JI30" s="841" t="s">
        <v>1697</v>
      </c>
    </row>
    <row r="31" spans="1:269" x14ac:dyDescent="0.25">
      <c r="A31" s="841" t="s">
        <v>1704</v>
      </c>
      <c r="B31" s="841" t="s">
        <v>353</v>
      </c>
      <c r="C31" s="841" t="s">
        <v>1403</v>
      </c>
      <c r="D31" s="841" t="s">
        <v>353</v>
      </c>
      <c r="E31" s="841" t="s">
        <v>33</v>
      </c>
      <c r="F31" s="841" t="s">
        <v>1435</v>
      </c>
      <c r="G31" s="841" t="s">
        <v>1705</v>
      </c>
      <c r="H31" s="841" t="s">
        <v>353</v>
      </c>
      <c r="I31" s="841" t="s">
        <v>353</v>
      </c>
      <c r="J31" s="841" t="s">
        <v>353</v>
      </c>
      <c r="K31" s="841" t="s">
        <v>353</v>
      </c>
      <c r="L31" s="842">
        <v>44606.734027777777</v>
      </c>
      <c r="M31" s="841" t="s">
        <v>353</v>
      </c>
      <c r="N31" s="841" t="s">
        <v>353</v>
      </c>
      <c r="O31" s="841" t="s">
        <v>353</v>
      </c>
      <c r="P31" s="841" t="s">
        <v>33</v>
      </c>
      <c r="Q31" s="841" t="s">
        <v>353</v>
      </c>
      <c r="R31" s="841" t="s">
        <v>353</v>
      </c>
      <c r="S31" s="841" t="s">
        <v>1520</v>
      </c>
      <c r="T31" s="841" t="s">
        <v>1390</v>
      </c>
      <c r="U31" s="841" t="s">
        <v>353</v>
      </c>
      <c r="V31" s="841" t="s">
        <v>353</v>
      </c>
      <c r="W31" s="841" t="s">
        <v>1706</v>
      </c>
      <c r="X31" s="841" t="s">
        <v>1405</v>
      </c>
      <c r="Y31" s="841" t="s">
        <v>353</v>
      </c>
      <c r="Z31" s="841" t="s">
        <v>353</v>
      </c>
      <c r="AA31" s="841" t="s">
        <v>673</v>
      </c>
      <c r="AB31" s="841" t="s">
        <v>353</v>
      </c>
      <c r="AC31" s="841">
        <v>292200</v>
      </c>
      <c r="AD31" s="841" t="s">
        <v>353</v>
      </c>
      <c r="AE31" s="841" t="s">
        <v>673</v>
      </c>
      <c r="AF31" s="841">
        <v>2430.94</v>
      </c>
      <c r="AG31" s="841" t="s">
        <v>353</v>
      </c>
      <c r="AH31" s="841">
        <v>2800</v>
      </c>
      <c r="AI31" s="841" t="s">
        <v>1521</v>
      </c>
      <c r="AJ31" s="841" t="s">
        <v>353</v>
      </c>
      <c r="AK31" s="841">
        <v>70</v>
      </c>
      <c r="AL31" s="841" t="s">
        <v>353</v>
      </c>
      <c r="AM31" s="841" t="s">
        <v>353</v>
      </c>
      <c r="AN31" s="841" t="s">
        <v>353</v>
      </c>
      <c r="AO31" s="841" t="s">
        <v>353</v>
      </c>
      <c r="AP31" s="841" t="s">
        <v>353</v>
      </c>
      <c r="AQ31" s="841" t="s">
        <v>353</v>
      </c>
      <c r="AR31" s="841" t="s">
        <v>673</v>
      </c>
      <c r="AS31" s="841" t="s">
        <v>353</v>
      </c>
      <c r="AT31" s="841" t="s">
        <v>353</v>
      </c>
      <c r="AU31" s="841" t="s">
        <v>1405</v>
      </c>
      <c r="AV31" s="841" t="s">
        <v>353</v>
      </c>
      <c r="AW31" s="843">
        <v>44602</v>
      </c>
      <c r="AX31" s="841" t="s">
        <v>353</v>
      </c>
      <c r="AY31" s="841" t="s">
        <v>353</v>
      </c>
      <c r="AZ31" s="841" t="s">
        <v>353</v>
      </c>
      <c r="BA31" s="841" t="s">
        <v>353</v>
      </c>
      <c r="BB31" s="841" t="s">
        <v>353</v>
      </c>
      <c r="BC31" s="841">
        <v>474829</v>
      </c>
      <c r="BD31" s="841" t="s">
        <v>353</v>
      </c>
      <c r="BE31" s="841" t="s">
        <v>353</v>
      </c>
      <c r="BF31" s="841" t="s">
        <v>353</v>
      </c>
      <c r="BG31" s="841" t="s">
        <v>353</v>
      </c>
      <c r="BH31" s="841" t="s">
        <v>353</v>
      </c>
      <c r="BI31" s="841" t="s">
        <v>353</v>
      </c>
      <c r="BJ31" s="841" t="s">
        <v>353</v>
      </c>
      <c r="BK31" s="841" t="s">
        <v>353</v>
      </c>
      <c r="BL31" s="841" t="s">
        <v>1707</v>
      </c>
      <c r="BM31" s="842">
        <v>44620.416666666664</v>
      </c>
      <c r="BN31" s="841" t="s">
        <v>353</v>
      </c>
      <c r="BO31" s="841" t="s">
        <v>353</v>
      </c>
      <c r="BP31" s="841" t="s">
        <v>353</v>
      </c>
      <c r="BQ31" s="841" t="s">
        <v>353</v>
      </c>
      <c r="BR31" s="841" t="s">
        <v>353</v>
      </c>
      <c r="BS31" s="841" t="s">
        <v>353</v>
      </c>
      <c r="BT31" s="841">
        <v>524000</v>
      </c>
      <c r="BU31" s="841" t="s">
        <v>353</v>
      </c>
      <c r="BV31" s="841" t="s">
        <v>1662</v>
      </c>
      <c r="BW31" s="841" t="s">
        <v>1578</v>
      </c>
      <c r="BX31" s="841" t="s">
        <v>1708</v>
      </c>
      <c r="BY31" s="841" t="s">
        <v>353</v>
      </c>
      <c r="BZ31" s="841" t="s">
        <v>353</v>
      </c>
      <c r="CA31" s="841" t="s">
        <v>353</v>
      </c>
      <c r="CB31" s="841" t="s">
        <v>353</v>
      </c>
      <c r="CC31" s="841" t="s">
        <v>353</v>
      </c>
      <c r="CD31" s="841" t="s">
        <v>353</v>
      </c>
      <c r="CE31" s="841" t="s">
        <v>353</v>
      </c>
      <c r="CF31" s="841" t="s">
        <v>353</v>
      </c>
      <c r="CG31" s="841" t="s">
        <v>353</v>
      </c>
      <c r="CH31" s="841" t="s">
        <v>353</v>
      </c>
      <c r="CI31" s="841" t="s">
        <v>33</v>
      </c>
      <c r="CJ31" s="841">
        <v>1098</v>
      </c>
      <c r="CK31" s="841">
        <v>0</v>
      </c>
      <c r="CL31" s="841" t="s">
        <v>353</v>
      </c>
      <c r="CM31" s="841">
        <v>1</v>
      </c>
      <c r="CN31" s="841" t="s">
        <v>353</v>
      </c>
      <c r="CO31" s="841" t="s">
        <v>353</v>
      </c>
      <c r="CP31" s="841" t="s">
        <v>1709</v>
      </c>
      <c r="CQ31" s="841" t="s">
        <v>353</v>
      </c>
      <c r="CR31" s="841" t="s">
        <v>353</v>
      </c>
      <c r="CS31" s="841" t="s">
        <v>1405</v>
      </c>
      <c r="CT31" s="841" t="s">
        <v>353</v>
      </c>
      <c r="CU31" s="841" t="s">
        <v>1391</v>
      </c>
      <c r="CV31" s="841" t="s">
        <v>353</v>
      </c>
      <c r="CW31" s="841" t="s">
        <v>353</v>
      </c>
      <c r="CX31" s="841" t="s">
        <v>353</v>
      </c>
      <c r="CY31" s="841" t="s">
        <v>353</v>
      </c>
      <c r="CZ31" s="841" t="s">
        <v>353</v>
      </c>
      <c r="DA31" s="841" t="s">
        <v>353</v>
      </c>
      <c r="DB31" s="841" t="s">
        <v>353</v>
      </c>
      <c r="DC31" s="841" t="s">
        <v>353</v>
      </c>
      <c r="DD31" s="841" t="s">
        <v>353</v>
      </c>
      <c r="DE31" s="841" t="s">
        <v>353</v>
      </c>
      <c r="DF31" s="841">
        <v>23</v>
      </c>
      <c r="DG31" s="841" t="s">
        <v>353</v>
      </c>
      <c r="DH31" s="841" t="s">
        <v>353</v>
      </c>
      <c r="DI31" s="841" t="s">
        <v>353</v>
      </c>
      <c r="DJ31" s="841" t="s">
        <v>1710</v>
      </c>
      <c r="DK31" s="841" t="s">
        <v>353</v>
      </c>
      <c r="DL31" s="842">
        <v>44602.416666666664</v>
      </c>
      <c r="DM31" s="841" t="s">
        <v>353</v>
      </c>
      <c r="DN31" s="841" t="s">
        <v>33</v>
      </c>
      <c r="DO31" s="841" t="s">
        <v>673</v>
      </c>
      <c r="DP31" s="841" t="s">
        <v>1481</v>
      </c>
      <c r="DQ31" s="841" t="s">
        <v>673</v>
      </c>
      <c r="DR31" s="841">
        <v>699000</v>
      </c>
      <c r="DS31" s="841">
        <v>23</v>
      </c>
      <c r="DT31" s="841" t="s">
        <v>353</v>
      </c>
      <c r="DU31" s="841" t="s">
        <v>353</v>
      </c>
      <c r="DV31" s="841">
        <v>448088.7</v>
      </c>
      <c r="DW31" s="841">
        <v>487000</v>
      </c>
      <c r="DX31" s="841" t="s">
        <v>673</v>
      </c>
      <c r="DY31" s="841" t="s">
        <v>353</v>
      </c>
      <c r="DZ31" s="841" t="s">
        <v>353</v>
      </c>
      <c r="EA31" s="841" t="s">
        <v>353</v>
      </c>
      <c r="EB31" s="841" t="s">
        <v>353</v>
      </c>
      <c r="EC31" s="841" t="s">
        <v>353</v>
      </c>
      <c r="ED31" s="841" t="s">
        <v>353</v>
      </c>
      <c r="EE31" s="841" t="s">
        <v>673</v>
      </c>
      <c r="EF31" s="841" t="s">
        <v>353</v>
      </c>
      <c r="EG31" s="841" t="s">
        <v>353</v>
      </c>
      <c r="EH31" s="841" t="s">
        <v>33</v>
      </c>
      <c r="EI31" s="841">
        <v>29171.3</v>
      </c>
      <c r="EJ31" s="841" t="s">
        <v>353</v>
      </c>
      <c r="EK31" s="841" t="s">
        <v>1527</v>
      </c>
      <c r="EL31" s="841" t="s">
        <v>1435</v>
      </c>
      <c r="EM31" s="841">
        <v>9740</v>
      </c>
      <c r="EN31" s="841" t="s">
        <v>353</v>
      </c>
      <c r="EO31" s="841" t="s">
        <v>353</v>
      </c>
      <c r="EP31" s="841" t="s">
        <v>353</v>
      </c>
      <c r="EQ31" s="841" t="s">
        <v>353</v>
      </c>
      <c r="ER31" s="841" t="s">
        <v>353</v>
      </c>
      <c r="ES31" s="841" t="s">
        <v>33</v>
      </c>
      <c r="ET31" s="841" t="s">
        <v>1711</v>
      </c>
      <c r="EU31" s="841" t="s">
        <v>1712</v>
      </c>
      <c r="EV31" s="841" t="s">
        <v>353</v>
      </c>
      <c r="EW31" s="841" t="s">
        <v>353</v>
      </c>
      <c r="EX31" s="841" t="s">
        <v>673</v>
      </c>
      <c r="EY31" s="842">
        <v>44602.73541666667</v>
      </c>
      <c r="EZ31" s="841" t="s">
        <v>353</v>
      </c>
      <c r="FA31" s="841" t="s">
        <v>353</v>
      </c>
      <c r="FB31" s="841" t="s">
        <v>353</v>
      </c>
      <c r="FC31" s="841" t="s">
        <v>353</v>
      </c>
      <c r="FD31" s="841" t="s">
        <v>353</v>
      </c>
      <c r="FE31" s="842">
        <v>44602.42083333333</v>
      </c>
      <c r="FF31" s="841" t="s">
        <v>353</v>
      </c>
      <c r="FG31" s="841" t="s">
        <v>1713</v>
      </c>
      <c r="FH31" s="841" t="s">
        <v>353</v>
      </c>
      <c r="FI31" s="841" t="s">
        <v>353</v>
      </c>
      <c r="FJ31" s="841" t="s">
        <v>353</v>
      </c>
      <c r="FK31" s="841" t="s">
        <v>353</v>
      </c>
      <c r="FL31" s="841" t="s">
        <v>353</v>
      </c>
      <c r="FM31" s="841" t="s">
        <v>353</v>
      </c>
      <c r="FN31" s="841" t="s">
        <v>353</v>
      </c>
      <c r="FO31" s="841" t="s">
        <v>1582</v>
      </c>
      <c r="FP31" s="841" t="s">
        <v>353</v>
      </c>
      <c r="FQ31" s="841" t="s">
        <v>353</v>
      </c>
      <c r="FR31" s="841" t="s">
        <v>353</v>
      </c>
      <c r="FS31" s="841" t="s">
        <v>353</v>
      </c>
      <c r="FT31" s="841" t="s">
        <v>353</v>
      </c>
      <c r="FU31" s="841" t="s">
        <v>1714</v>
      </c>
      <c r="FV31" s="841" t="s">
        <v>353</v>
      </c>
      <c r="FW31" s="841" t="s">
        <v>353</v>
      </c>
      <c r="FX31" s="841" t="s">
        <v>353</v>
      </c>
      <c r="FY31" s="841" t="s">
        <v>353</v>
      </c>
      <c r="FZ31" s="841" t="s">
        <v>353</v>
      </c>
      <c r="GA31" s="841" t="s">
        <v>353</v>
      </c>
      <c r="GB31" s="841">
        <v>1</v>
      </c>
      <c r="GC31" s="841" t="s">
        <v>353</v>
      </c>
      <c r="GD31" s="841" t="s">
        <v>1395</v>
      </c>
      <c r="GE31" s="841" t="s">
        <v>353</v>
      </c>
      <c r="GF31" s="841" t="s">
        <v>353</v>
      </c>
      <c r="GG31" s="841" t="s">
        <v>349</v>
      </c>
      <c r="GH31" s="841">
        <v>292200</v>
      </c>
      <c r="GI31" s="841" t="s">
        <v>353</v>
      </c>
      <c r="GJ31" s="841" t="s">
        <v>353</v>
      </c>
      <c r="GK31" s="841" t="s">
        <v>353</v>
      </c>
      <c r="GL31" s="841" t="s">
        <v>1715</v>
      </c>
      <c r="GM31" s="841" t="s">
        <v>353</v>
      </c>
      <c r="GN31" s="841" t="s">
        <v>353</v>
      </c>
      <c r="GO31" s="841" t="s">
        <v>353</v>
      </c>
      <c r="GP31" s="841" t="s">
        <v>353</v>
      </c>
      <c r="GQ31" s="841" t="s">
        <v>353</v>
      </c>
      <c r="GR31" s="841" t="s">
        <v>353</v>
      </c>
      <c r="GS31" s="841" t="s">
        <v>1662</v>
      </c>
      <c r="GT31" s="841" t="s">
        <v>353</v>
      </c>
      <c r="GU31" s="841" t="s">
        <v>353</v>
      </c>
      <c r="GV31" s="841" t="s">
        <v>1419</v>
      </c>
      <c r="GW31" s="841" t="s">
        <v>353</v>
      </c>
      <c r="GX31" s="841" t="s">
        <v>353</v>
      </c>
      <c r="GY31" s="841">
        <v>24</v>
      </c>
      <c r="GZ31" s="841" t="s">
        <v>1716</v>
      </c>
      <c r="HA31" s="841" t="s">
        <v>353</v>
      </c>
      <c r="HB31" s="841" t="s">
        <v>353</v>
      </c>
      <c r="HC31" s="841" t="s">
        <v>1421</v>
      </c>
      <c r="HD31" s="841" t="s">
        <v>1709</v>
      </c>
      <c r="HE31" s="841">
        <v>9740</v>
      </c>
      <c r="HF31" s="841" t="s">
        <v>353</v>
      </c>
      <c r="HG31" s="841" t="s">
        <v>353</v>
      </c>
      <c r="HH31" s="841">
        <v>915</v>
      </c>
      <c r="HI31" s="841" t="s">
        <v>1422</v>
      </c>
      <c r="HJ31" s="841" t="s">
        <v>1717</v>
      </c>
      <c r="HK31" s="841">
        <v>487000</v>
      </c>
      <c r="HL31" s="841" t="s">
        <v>49</v>
      </c>
      <c r="HM31" s="841" t="s">
        <v>1530</v>
      </c>
      <c r="HN31" s="841" t="s">
        <v>33</v>
      </c>
      <c r="HO31" s="841" t="s">
        <v>353</v>
      </c>
      <c r="HP31" s="841">
        <v>29171.3</v>
      </c>
      <c r="HQ31" s="841" t="s">
        <v>353</v>
      </c>
      <c r="HR31" s="841" t="s">
        <v>353</v>
      </c>
      <c r="HS31" s="841">
        <v>457828.7</v>
      </c>
      <c r="HT31" s="841" t="s">
        <v>353</v>
      </c>
      <c r="HU31" s="841" t="s">
        <v>353</v>
      </c>
      <c r="HV31" s="841" t="s">
        <v>353</v>
      </c>
      <c r="HW31" s="841">
        <v>720000</v>
      </c>
      <c r="HX31" s="841" t="s">
        <v>353</v>
      </c>
      <c r="HY31" s="841" t="s">
        <v>353</v>
      </c>
      <c r="HZ31" s="841" t="s">
        <v>353</v>
      </c>
      <c r="IA31" s="841" t="s">
        <v>353</v>
      </c>
      <c r="IB31" s="841" t="s">
        <v>1424</v>
      </c>
      <c r="IC31" s="843">
        <v>44602</v>
      </c>
      <c r="ID31" s="841" t="s">
        <v>353</v>
      </c>
      <c r="IE31" s="841" t="s">
        <v>353</v>
      </c>
      <c r="IF31" s="841" t="s">
        <v>353</v>
      </c>
      <c r="IG31" s="841" t="s">
        <v>353</v>
      </c>
      <c r="IH31" s="841" t="s">
        <v>353</v>
      </c>
      <c r="II31" s="841" t="s">
        <v>353</v>
      </c>
      <c r="IJ31" s="841" t="s">
        <v>353</v>
      </c>
      <c r="IK31" s="841" t="s">
        <v>353</v>
      </c>
      <c r="IL31" s="841">
        <v>484569</v>
      </c>
      <c r="IM31" s="841" t="s">
        <v>353</v>
      </c>
      <c r="IN31" s="841" t="s">
        <v>353</v>
      </c>
      <c r="IO31" s="841">
        <v>0</v>
      </c>
      <c r="IP31" s="841" t="s">
        <v>353</v>
      </c>
      <c r="IQ31" s="841" t="s">
        <v>353</v>
      </c>
      <c r="IR31" s="841">
        <v>1</v>
      </c>
      <c r="IS31" s="841" t="s">
        <v>33</v>
      </c>
      <c r="IT31" s="841" t="s">
        <v>353</v>
      </c>
      <c r="IU31" s="841" t="s">
        <v>353</v>
      </c>
      <c r="IV31" s="841" t="s">
        <v>353</v>
      </c>
      <c r="IW31" s="841" t="s">
        <v>353</v>
      </c>
      <c r="IX31" s="841" t="s">
        <v>353</v>
      </c>
      <c r="IY31" s="841" t="s">
        <v>353</v>
      </c>
      <c r="IZ31" s="841" t="s">
        <v>353</v>
      </c>
      <c r="JA31" s="841">
        <v>487000</v>
      </c>
      <c r="JB31" s="841" t="s">
        <v>353</v>
      </c>
      <c r="JC31" s="841" t="s">
        <v>353</v>
      </c>
      <c r="JD31" s="841" t="s">
        <v>1527</v>
      </c>
      <c r="JE31" s="841" t="s">
        <v>33</v>
      </c>
      <c r="JF31" s="841" t="s">
        <v>1718</v>
      </c>
      <c r="JG31" s="841" t="s">
        <v>1719</v>
      </c>
      <c r="JH31" s="841" t="s">
        <v>1720</v>
      </c>
      <c r="JI31" s="841" t="s">
        <v>1721</v>
      </c>
    </row>
    <row r="32" spans="1:269" x14ac:dyDescent="0.25">
      <c r="A32" s="841" t="s">
        <v>1722</v>
      </c>
      <c r="B32" s="841" t="s">
        <v>353</v>
      </c>
      <c r="C32" s="841" t="s">
        <v>1403</v>
      </c>
      <c r="D32" s="841" t="s">
        <v>353</v>
      </c>
      <c r="E32" s="841" t="s">
        <v>353</v>
      </c>
      <c r="F32" s="841" t="s">
        <v>1435</v>
      </c>
      <c r="G32" s="841" t="s">
        <v>1723</v>
      </c>
      <c r="H32" s="841" t="s">
        <v>353</v>
      </c>
      <c r="I32" s="841" t="s">
        <v>353</v>
      </c>
      <c r="J32" s="841" t="s">
        <v>353</v>
      </c>
      <c r="K32" s="841" t="s">
        <v>353</v>
      </c>
      <c r="L32" s="842">
        <v>44608.543749999997</v>
      </c>
      <c r="M32" s="841" t="s">
        <v>353</v>
      </c>
      <c r="N32" s="841" t="s">
        <v>353</v>
      </c>
      <c r="O32" s="841" t="s">
        <v>353</v>
      </c>
      <c r="P32" s="841" t="s">
        <v>33</v>
      </c>
      <c r="Q32" s="841" t="s">
        <v>353</v>
      </c>
      <c r="R32" s="841" t="s">
        <v>353</v>
      </c>
      <c r="S32" s="841" t="s">
        <v>67</v>
      </c>
      <c r="T32" s="841" t="s">
        <v>1390</v>
      </c>
      <c r="U32" s="841" t="s">
        <v>353</v>
      </c>
      <c r="V32" s="841" t="s">
        <v>353</v>
      </c>
      <c r="W32" s="841" t="s">
        <v>1420</v>
      </c>
      <c r="X32" s="841" t="s">
        <v>1435</v>
      </c>
      <c r="Y32" s="841" t="s">
        <v>353</v>
      </c>
      <c r="Z32" s="841" t="s">
        <v>353</v>
      </c>
      <c r="AA32" s="841" t="s">
        <v>673</v>
      </c>
      <c r="AB32" s="841" t="s">
        <v>353</v>
      </c>
      <c r="AC32" s="841">
        <v>278000</v>
      </c>
      <c r="AD32" s="841" t="s">
        <v>353</v>
      </c>
      <c r="AE32" s="841" t="s">
        <v>673</v>
      </c>
      <c r="AF32" s="841">
        <v>2219.37</v>
      </c>
      <c r="AG32" s="841" t="s">
        <v>353</v>
      </c>
      <c r="AH32" s="841">
        <v>2000</v>
      </c>
      <c r="AI32" s="841" t="s">
        <v>1406</v>
      </c>
      <c r="AJ32" s="841" t="s">
        <v>353</v>
      </c>
      <c r="AK32" s="841">
        <v>74</v>
      </c>
      <c r="AL32" s="841" t="s">
        <v>353</v>
      </c>
      <c r="AM32" s="841" t="s">
        <v>353</v>
      </c>
      <c r="AN32" s="841" t="s">
        <v>353</v>
      </c>
      <c r="AO32" s="841" t="s">
        <v>353</v>
      </c>
      <c r="AP32" s="841" t="s">
        <v>353</v>
      </c>
      <c r="AQ32" s="841" t="s">
        <v>353</v>
      </c>
      <c r="AR32" s="841" t="s">
        <v>673</v>
      </c>
      <c r="AS32" s="841" t="s">
        <v>353</v>
      </c>
      <c r="AT32" s="841" t="s">
        <v>353</v>
      </c>
      <c r="AU32" s="841" t="s">
        <v>1405</v>
      </c>
      <c r="AV32" s="841" t="s">
        <v>353</v>
      </c>
      <c r="AW32" s="843">
        <v>44602</v>
      </c>
      <c r="AX32" s="841" t="s">
        <v>353</v>
      </c>
      <c r="AY32" s="841" t="s">
        <v>353</v>
      </c>
      <c r="AZ32" s="841" t="s">
        <v>353</v>
      </c>
      <c r="BA32" s="841" t="s">
        <v>353</v>
      </c>
      <c r="BB32" s="841" t="s">
        <v>353</v>
      </c>
      <c r="BC32" s="841">
        <v>521834</v>
      </c>
      <c r="BD32" s="841" t="s">
        <v>353</v>
      </c>
      <c r="BE32" s="841" t="s">
        <v>353</v>
      </c>
      <c r="BF32" s="841" t="s">
        <v>353</v>
      </c>
      <c r="BG32" s="841" t="s">
        <v>353</v>
      </c>
      <c r="BH32" s="841" t="s">
        <v>353</v>
      </c>
      <c r="BI32" s="841" t="s">
        <v>353</v>
      </c>
      <c r="BJ32" s="841" t="s">
        <v>353</v>
      </c>
      <c r="BK32" s="841" t="s">
        <v>353</v>
      </c>
      <c r="BL32" s="841" t="s">
        <v>1724</v>
      </c>
      <c r="BM32" s="842">
        <v>44620.73333333333</v>
      </c>
      <c r="BN32" s="841" t="s">
        <v>353</v>
      </c>
      <c r="BO32" s="841" t="s">
        <v>353</v>
      </c>
      <c r="BP32" s="841" t="s">
        <v>353</v>
      </c>
      <c r="BQ32" s="841" t="s">
        <v>353</v>
      </c>
      <c r="BR32" s="841" t="s">
        <v>353</v>
      </c>
      <c r="BS32" s="841" t="s">
        <v>353</v>
      </c>
      <c r="BT32" s="841">
        <v>200000</v>
      </c>
      <c r="BU32" s="841" t="s">
        <v>353</v>
      </c>
      <c r="BV32" s="841" t="s">
        <v>1662</v>
      </c>
      <c r="BW32" s="841" t="s">
        <v>1578</v>
      </c>
      <c r="BX32" s="841" t="s">
        <v>1725</v>
      </c>
      <c r="BY32" s="841" t="s">
        <v>353</v>
      </c>
      <c r="BZ32" s="841" t="s">
        <v>353</v>
      </c>
      <c r="CA32" s="841" t="s">
        <v>353</v>
      </c>
      <c r="CB32" s="841" t="s">
        <v>353</v>
      </c>
      <c r="CC32" s="841" t="s">
        <v>353</v>
      </c>
      <c r="CD32" s="841" t="s">
        <v>353</v>
      </c>
      <c r="CE32" s="841" t="s">
        <v>353</v>
      </c>
      <c r="CF32" s="841" t="s">
        <v>353</v>
      </c>
      <c r="CG32" s="841" t="s">
        <v>353</v>
      </c>
      <c r="CH32" s="841" t="s">
        <v>353</v>
      </c>
      <c r="CI32" s="841" t="s">
        <v>33</v>
      </c>
      <c r="CJ32" s="841" t="s">
        <v>353</v>
      </c>
      <c r="CK32" s="841">
        <v>3</v>
      </c>
      <c r="CL32" s="841" t="s">
        <v>353</v>
      </c>
      <c r="CM32" s="841">
        <v>4</v>
      </c>
      <c r="CN32" s="841" t="s">
        <v>353</v>
      </c>
      <c r="CO32" s="841" t="s">
        <v>353</v>
      </c>
      <c r="CP32" s="841" t="s">
        <v>1726</v>
      </c>
      <c r="CQ32" s="841" t="s">
        <v>353</v>
      </c>
      <c r="CR32" s="841" t="s">
        <v>353</v>
      </c>
      <c r="CS32" s="841" t="s">
        <v>1405</v>
      </c>
      <c r="CT32" s="841" t="s">
        <v>353</v>
      </c>
      <c r="CU32" s="841" t="s">
        <v>1391</v>
      </c>
      <c r="CV32" s="841" t="s">
        <v>353</v>
      </c>
      <c r="CW32" s="841" t="s">
        <v>353</v>
      </c>
      <c r="CX32" s="841" t="s">
        <v>353</v>
      </c>
      <c r="CY32" s="841" t="s">
        <v>353</v>
      </c>
      <c r="CZ32" s="841" t="s">
        <v>353</v>
      </c>
      <c r="DA32" s="841" t="s">
        <v>353</v>
      </c>
      <c r="DB32" s="841" t="s">
        <v>353</v>
      </c>
      <c r="DC32" s="841" t="s">
        <v>353</v>
      </c>
      <c r="DD32" s="841" t="s">
        <v>353</v>
      </c>
      <c r="DE32" s="841" t="s">
        <v>353</v>
      </c>
      <c r="DF32" s="841">
        <v>18</v>
      </c>
      <c r="DG32" s="841" t="s">
        <v>353</v>
      </c>
      <c r="DH32" s="841" t="s">
        <v>353</v>
      </c>
      <c r="DI32" s="841" t="s">
        <v>353</v>
      </c>
      <c r="DJ32" s="841" t="s">
        <v>1727</v>
      </c>
      <c r="DK32" s="841" t="s">
        <v>353</v>
      </c>
      <c r="DL32" s="842">
        <v>44601.73333333333</v>
      </c>
      <c r="DM32" s="841" t="s">
        <v>353</v>
      </c>
      <c r="DN32" s="841" t="s">
        <v>33</v>
      </c>
      <c r="DO32" s="841" t="s">
        <v>673</v>
      </c>
      <c r="DP32" s="841" t="s">
        <v>1481</v>
      </c>
      <c r="DQ32" s="841" t="s">
        <v>673</v>
      </c>
      <c r="DR32" s="841">
        <v>750000</v>
      </c>
      <c r="DS32" s="841">
        <v>18</v>
      </c>
      <c r="DT32" s="841" t="s">
        <v>353</v>
      </c>
      <c r="DU32" s="841" t="s">
        <v>353</v>
      </c>
      <c r="DV32" s="841">
        <v>353115.6</v>
      </c>
      <c r="DW32" s="841">
        <v>556000</v>
      </c>
      <c r="DX32" s="841" t="s">
        <v>673</v>
      </c>
      <c r="DY32" s="841" t="s">
        <v>353</v>
      </c>
      <c r="DZ32" s="841" t="s">
        <v>353</v>
      </c>
      <c r="EA32" s="841" t="s">
        <v>353</v>
      </c>
      <c r="EB32" s="841" t="s">
        <v>353</v>
      </c>
      <c r="EC32" s="841" t="s">
        <v>353</v>
      </c>
      <c r="ED32" s="841" t="s">
        <v>353</v>
      </c>
      <c r="EE32" s="841" t="s">
        <v>353</v>
      </c>
      <c r="EF32" s="841" t="s">
        <v>353</v>
      </c>
      <c r="EG32" s="841" t="s">
        <v>353</v>
      </c>
      <c r="EH32" s="841" t="s">
        <v>353</v>
      </c>
      <c r="EI32" s="841">
        <v>193154.4</v>
      </c>
      <c r="EJ32" s="841" t="s">
        <v>353</v>
      </c>
      <c r="EK32" s="841" t="s">
        <v>1413</v>
      </c>
      <c r="EL32" s="841" t="s">
        <v>1435</v>
      </c>
      <c r="EM32" s="841">
        <v>9730</v>
      </c>
      <c r="EN32" s="841" t="s">
        <v>353</v>
      </c>
      <c r="EO32" s="841" t="s">
        <v>353</v>
      </c>
      <c r="EP32" s="841" t="s">
        <v>353</v>
      </c>
      <c r="EQ32" s="841" t="s">
        <v>353</v>
      </c>
      <c r="ER32" s="841" t="s">
        <v>353</v>
      </c>
      <c r="ES32" s="841" t="s">
        <v>33</v>
      </c>
      <c r="ET32" s="841" t="s">
        <v>1711</v>
      </c>
      <c r="EU32" s="841" t="s">
        <v>353</v>
      </c>
      <c r="EV32" s="841" t="s">
        <v>353</v>
      </c>
      <c r="EW32" s="841" t="s">
        <v>353</v>
      </c>
      <c r="EX32" s="841" t="s">
        <v>33</v>
      </c>
      <c r="EY32" s="842">
        <v>44608.543055555558</v>
      </c>
      <c r="EZ32" s="841" t="s">
        <v>353</v>
      </c>
      <c r="FA32" s="841" t="s">
        <v>353</v>
      </c>
      <c r="FB32" s="841" t="s">
        <v>353</v>
      </c>
      <c r="FC32" s="841" t="s">
        <v>353</v>
      </c>
      <c r="FD32" s="841" t="s">
        <v>353</v>
      </c>
      <c r="FE32" s="842">
        <v>44601.734722222223</v>
      </c>
      <c r="FF32" s="841" t="s">
        <v>353</v>
      </c>
      <c r="FG32" s="841" t="s">
        <v>1728</v>
      </c>
      <c r="FH32" s="841" t="s">
        <v>353</v>
      </c>
      <c r="FI32" s="841" t="s">
        <v>353</v>
      </c>
      <c r="FJ32" s="841" t="s">
        <v>353</v>
      </c>
      <c r="FK32" s="841" t="s">
        <v>353</v>
      </c>
      <c r="FL32" s="841" t="s">
        <v>353</v>
      </c>
      <c r="FM32" s="841" t="s">
        <v>353</v>
      </c>
      <c r="FN32" s="841" t="s">
        <v>353</v>
      </c>
      <c r="FO32" s="841" t="s">
        <v>1729</v>
      </c>
      <c r="FP32" s="841" t="s">
        <v>353</v>
      </c>
      <c r="FQ32" s="841" t="s">
        <v>353</v>
      </c>
      <c r="FR32" s="841" t="s">
        <v>353</v>
      </c>
      <c r="FS32" s="841" t="s">
        <v>353</v>
      </c>
      <c r="FT32" s="841" t="s">
        <v>353</v>
      </c>
      <c r="FU32" s="841" t="s">
        <v>1467</v>
      </c>
      <c r="FV32" s="841" t="s">
        <v>353</v>
      </c>
      <c r="FW32" s="841" t="s">
        <v>353</v>
      </c>
      <c r="FX32" s="841" t="s">
        <v>353</v>
      </c>
      <c r="FY32" s="841" t="s">
        <v>353</v>
      </c>
      <c r="FZ32" s="841" t="s">
        <v>353</v>
      </c>
      <c r="GA32" s="841" t="s">
        <v>353</v>
      </c>
      <c r="GB32" s="841">
        <v>2</v>
      </c>
      <c r="GC32" s="841" t="s">
        <v>353</v>
      </c>
      <c r="GD32" s="841" t="s">
        <v>1395</v>
      </c>
      <c r="GE32" s="841" t="s">
        <v>353</v>
      </c>
      <c r="GF32" s="841" t="s">
        <v>353</v>
      </c>
      <c r="GG32" s="841" t="s">
        <v>349</v>
      </c>
      <c r="GH32" s="841">
        <v>278000</v>
      </c>
      <c r="GI32" s="841" t="s">
        <v>353</v>
      </c>
      <c r="GJ32" s="841" t="s">
        <v>353</v>
      </c>
      <c r="GK32" s="841" t="s">
        <v>353</v>
      </c>
      <c r="GL32" s="841" t="s">
        <v>1485</v>
      </c>
      <c r="GM32" s="841" t="s">
        <v>353</v>
      </c>
      <c r="GN32" s="841" t="s">
        <v>353</v>
      </c>
      <c r="GO32" s="841" t="s">
        <v>353</v>
      </c>
      <c r="GP32" s="841" t="s">
        <v>353</v>
      </c>
      <c r="GQ32" s="841" t="s">
        <v>353</v>
      </c>
      <c r="GR32" s="842">
        <v>44608.543055555558</v>
      </c>
      <c r="GS32" s="841" t="s">
        <v>1662</v>
      </c>
      <c r="GT32" s="841" t="s">
        <v>353</v>
      </c>
      <c r="GU32" s="841" t="s">
        <v>353</v>
      </c>
      <c r="GV32" s="841" t="s">
        <v>1419</v>
      </c>
      <c r="GW32" s="841" t="s">
        <v>353</v>
      </c>
      <c r="GX32" s="841" t="s">
        <v>353</v>
      </c>
      <c r="GY32" s="841">
        <v>24</v>
      </c>
      <c r="GZ32" s="841" t="s">
        <v>1420</v>
      </c>
      <c r="HA32" s="841" t="s">
        <v>353</v>
      </c>
      <c r="HB32" s="841" t="s">
        <v>353</v>
      </c>
      <c r="HC32" s="841" t="s">
        <v>1421</v>
      </c>
      <c r="HD32" s="841" t="s">
        <v>1726</v>
      </c>
      <c r="HE32" s="841">
        <v>11120</v>
      </c>
      <c r="HF32" s="841" t="s">
        <v>353</v>
      </c>
      <c r="HG32" s="841" t="s">
        <v>353</v>
      </c>
      <c r="HH32" s="841" t="s">
        <v>353</v>
      </c>
      <c r="HI32" s="841" t="s">
        <v>1422</v>
      </c>
      <c r="HJ32" s="841" t="s">
        <v>353</v>
      </c>
      <c r="HK32" s="841">
        <v>556000</v>
      </c>
      <c r="HL32" s="841" t="s">
        <v>353</v>
      </c>
      <c r="HM32" s="841" t="s">
        <v>1530</v>
      </c>
      <c r="HN32" s="841" t="s">
        <v>33</v>
      </c>
      <c r="HO32" s="841" t="s">
        <v>353</v>
      </c>
      <c r="HP32" s="841">
        <v>32192.400000000001</v>
      </c>
      <c r="HQ32" s="841" t="s">
        <v>353</v>
      </c>
      <c r="HR32" s="841" t="s">
        <v>353</v>
      </c>
      <c r="HS32" s="841">
        <v>362845.6</v>
      </c>
      <c r="HT32" s="841" t="s">
        <v>353</v>
      </c>
      <c r="HU32" s="841" t="s">
        <v>353</v>
      </c>
      <c r="HV32" s="841" t="s">
        <v>353</v>
      </c>
      <c r="HW32" s="841">
        <v>750000</v>
      </c>
      <c r="HX32" s="841" t="s">
        <v>353</v>
      </c>
      <c r="HY32" s="841" t="s">
        <v>353</v>
      </c>
      <c r="HZ32" s="841" t="s">
        <v>353</v>
      </c>
      <c r="IA32" s="841" t="s">
        <v>353</v>
      </c>
      <c r="IB32" s="841" t="s">
        <v>1424</v>
      </c>
      <c r="IC32" s="841" t="s">
        <v>353</v>
      </c>
      <c r="ID32" s="841" t="s">
        <v>353</v>
      </c>
      <c r="IE32" s="841" t="s">
        <v>353</v>
      </c>
      <c r="IF32" s="841" t="s">
        <v>353</v>
      </c>
      <c r="IG32" s="841" t="s">
        <v>353</v>
      </c>
      <c r="IH32" s="841" t="s">
        <v>353</v>
      </c>
      <c r="II32" s="841" t="s">
        <v>353</v>
      </c>
      <c r="IJ32" s="841" t="s">
        <v>353</v>
      </c>
      <c r="IK32" s="841" t="s">
        <v>353</v>
      </c>
      <c r="IL32" s="841">
        <v>531564</v>
      </c>
      <c r="IM32" s="841" t="s">
        <v>353</v>
      </c>
      <c r="IN32" s="841" t="s">
        <v>353</v>
      </c>
      <c r="IO32" s="841">
        <v>0</v>
      </c>
      <c r="IP32" s="841" t="s">
        <v>353</v>
      </c>
      <c r="IQ32" s="841" t="s">
        <v>353</v>
      </c>
      <c r="IR32" s="841">
        <v>6</v>
      </c>
      <c r="IS32" s="841" t="s">
        <v>33</v>
      </c>
      <c r="IT32" s="841" t="s">
        <v>353</v>
      </c>
      <c r="IU32" s="841" t="s">
        <v>353</v>
      </c>
      <c r="IV32" s="841" t="s">
        <v>353</v>
      </c>
      <c r="IW32" s="841" t="s">
        <v>353</v>
      </c>
      <c r="IX32" s="841" t="s">
        <v>353</v>
      </c>
      <c r="IY32" s="841" t="s">
        <v>353</v>
      </c>
      <c r="IZ32" s="841" t="s">
        <v>353</v>
      </c>
      <c r="JA32" s="841">
        <v>556000</v>
      </c>
      <c r="JB32" s="841" t="s">
        <v>353</v>
      </c>
      <c r="JC32" s="841" t="s">
        <v>353</v>
      </c>
      <c r="JD32" s="841" t="s">
        <v>1413</v>
      </c>
      <c r="JE32" s="841" t="s">
        <v>33</v>
      </c>
      <c r="JF32" s="841" t="s">
        <v>1730</v>
      </c>
      <c r="JG32" s="841" t="s">
        <v>1731</v>
      </c>
      <c r="JH32" s="841" t="s">
        <v>1732</v>
      </c>
      <c r="JI32" s="841" t="s">
        <v>1733</v>
      </c>
    </row>
    <row r="33" spans="1:269" x14ac:dyDescent="0.25">
      <c r="A33" s="841" t="s">
        <v>1734</v>
      </c>
      <c r="B33" s="841" t="s">
        <v>353</v>
      </c>
      <c r="C33" s="841" t="s">
        <v>353</v>
      </c>
      <c r="D33" s="841" t="s">
        <v>353</v>
      </c>
      <c r="E33" s="841" t="s">
        <v>353</v>
      </c>
      <c r="F33" s="841" t="s">
        <v>353</v>
      </c>
      <c r="G33" s="841" t="s">
        <v>353</v>
      </c>
      <c r="H33" s="841" t="s">
        <v>353</v>
      </c>
      <c r="I33" s="841" t="s">
        <v>353</v>
      </c>
      <c r="J33" s="841" t="s">
        <v>353</v>
      </c>
      <c r="K33" s="841" t="s">
        <v>353</v>
      </c>
      <c r="L33" s="842">
        <v>44601.71597222222</v>
      </c>
      <c r="M33" s="841" t="s">
        <v>353</v>
      </c>
      <c r="N33" s="841" t="s">
        <v>353</v>
      </c>
      <c r="O33" s="841" t="s">
        <v>353</v>
      </c>
      <c r="P33" s="841" t="s">
        <v>353</v>
      </c>
      <c r="Q33" s="841" t="s">
        <v>353</v>
      </c>
      <c r="R33" s="841" t="s">
        <v>353</v>
      </c>
      <c r="S33" s="841" t="s">
        <v>353</v>
      </c>
      <c r="T33" s="841" t="s">
        <v>1390</v>
      </c>
      <c r="U33" s="841" t="s">
        <v>353</v>
      </c>
      <c r="V33" s="841" t="s">
        <v>353</v>
      </c>
      <c r="W33" s="841" t="s">
        <v>353</v>
      </c>
      <c r="X33" s="841" t="s">
        <v>353</v>
      </c>
      <c r="Y33" s="841" t="s">
        <v>353</v>
      </c>
      <c r="Z33" s="841" t="s">
        <v>353</v>
      </c>
      <c r="AA33" s="841" t="s">
        <v>353</v>
      </c>
      <c r="AB33" s="841" t="s">
        <v>353</v>
      </c>
      <c r="AC33" s="841" t="s">
        <v>353</v>
      </c>
      <c r="AD33" s="841" t="s">
        <v>353</v>
      </c>
      <c r="AE33" s="841" t="s">
        <v>353</v>
      </c>
      <c r="AF33" s="841" t="s">
        <v>353</v>
      </c>
      <c r="AG33" s="841" t="s">
        <v>353</v>
      </c>
      <c r="AH33" s="841" t="s">
        <v>353</v>
      </c>
      <c r="AI33" s="841" t="s">
        <v>1521</v>
      </c>
      <c r="AJ33" s="841" t="s">
        <v>353</v>
      </c>
      <c r="AK33" s="841" t="s">
        <v>353</v>
      </c>
      <c r="AL33" s="841" t="s">
        <v>353</v>
      </c>
      <c r="AM33" s="841" t="s">
        <v>353</v>
      </c>
      <c r="AN33" s="841" t="s">
        <v>353</v>
      </c>
      <c r="AO33" s="841" t="s">
        <v>353</v>
      </c>
      <c r="AP33" s="841" t="s">
        <v>353</v>
      </c>
      <c r="AQ33" s="841" t="s">
        <v>353</v>
      </c>
      <c r="AR33" s="841" t="s">
        <v>353</v>
      </c>
      <c r="AS33" s="841" t="s">
        <v>353</v>
      </c>
      <c r="AT33" s="841" t="s">
        <v>353</v>
      </c>
      <c r="AU33" s="841" t="s">
        <v>353</v>
      </c>
      <c r="AV33" s="841" t="s">
        <v>353</v>
      </c>
      <c r="AW33" s="841" t="s">
        <v>353</v>
      </c>
      <c r="AX33" s="841" t="s">
        <v>353</v>
      </c>
      <c r="AY33" s="841" t="s">
        <v>353</v>
      </c>
      <c r="AZ33" s="841" t="s">
        <v>353</v>
      </c>
      <c r="BA33" s="841" t="s">
        <v>353</v>
      </c>
      <c r="BB33" s="841" t="s">
        <v>353</v>
      </c>
      <c r="BC33" s="841" t="s">
        <v>353</v>
      </c>
      <c r="BD33" s="841" t="s">
        <v>353</v>
      </c>
      <c r="BE33" s="841" t="s">
        <v>353</v>
      </c>
      <c r="BF33" s="841" t="s">
        <v>353</v>
      </c>
      <c r="BG33" s="841" t="s">
        <v>353</v>
      </c>
      <c r="BH33" s="841" t="s">
        <v>353</v>
      </c>
      <c r="BI33" s="841" t="s">
        <v>353</v>
      </c>
      <c r="BJ33" s="841" t="s">
        <v>353</v>
      </c>
      <c r="BK33" s="841" t="s">
        <v>353</v>
      </c>
      <c r="BL33" s="841" t="s">
        <v>1735</v>
      </c>
      <c r="BM33" s="842">
        <v>44620.668749999997</v>
      </c>
      <c r="BN33" s="841" t="s">
        <v>353</v>
      </c>
      <c r="BO33" s="841" t="s">
        <v>353</v>
      </c>
      <c r="BP33" s="841" t="s">
        <v>353</v>
      </c>
      <c r="BQ33" s="841" t="s">
        <v>353</v>
      </c>
      <c r="BR33" s="841" t="s">
        <v>353</v>
      </c>
      <c r="BS33" s="841" t="s">
        <v>353</v>
      </c>
      <c r="BT33" s="841">
        <v>217000</v>
      </c>
      <c r="BU33" s="841" t="s">
        <v>353</v>
      </c>
      <c r="BV33" s="841" t="s">
        <v>353</v>
      </c>
      <c r="BW33" s="841" t="s">
        <v>353</v>
      </c>
      <c r="BX33" s="841" t="s">
        <v>353</v>
      </c>
      <c r="BY33" s="841" t="s">
        <v>353</v>
      </c>
      <c r="BZ33" s="841" t="s">
        <v>353</v>
      </c>
      <c r="CA33" s="841" t="s">
        <v>353</v>
      </c>
      <c r="CB33" s="841" t="s">
        <v>353</v>
      </c>
      <c r="CC33" s="841" t="s">
        <v>353</v>
      </c>
      <c r="CD33" s="841" t="s">
        <v>353</v>
      </c>
      <c r="CE33" s="841" t="s">
        <v>353</v>
      </c>
      <c r="CF33" s="841" t="s">
        <v>353</v>
      </c>
      <c r="CG33" s="841" t="s">
        <v>353</v>
      </c>
      <c r="CH33" s="841" t="s">
        <v>353</v>
      </c>
      <c r="CI33" s="841" t="s">
        <v>353</v>
      </c>
      <c r="CJ33" s="841" t="s">
        <v>353</v>
      </c>
      <c r="CK33" s="841" t="s">
        <v>353</v>
      </c>
      <c r="CL33" s="841" t="s">
        <v>353</v>
      </c>
      <c r="CM33" s="841" t="s">
        <v>353</v>
      </c>
      <c r="CN33" s="841" t="s">
        <v>353</v>
      </c>
      <c r="CO33" s="841" t="s">
        <v>353</v>
      </c>
      <c r="CP33" s="841" t="s">
        <v>1736</v>
      </c>
      <c r="CQ33" s="841" t="s">
        <v>353</v>
      </c>
      <c r="CR33" s="841" t="s">
        <v>353</v>
      </c>
      <c r="CS33" s="841" t="s">
        <v>353</v>
      </c>
      <c r="CT33" s="841" t="s">
        <v>353</v>
      </c>
      <c r="CU33" s="841" t="s">
        <v>1391</v>
      </c>
      <c r="CV33" s="841" t="s">
        <v>353</v>
      </c>
      <c r="CW33" s="841" t="s">
        <v>353</v>
      </c>
      <c r="CX33" s="841" t="s">
        <v>353</v>
      </c>
      <c r="CY33" s="841" t="s">
        <v>353</v>
      </c>
      <c r="CZ33" s="841" t="s">
        <v>353</v>
      </c>
      <c r="DA33" s="841" t="s">
        <v>353</v>
      </c>
      <c r="DB33" s="841" t="s">
        <v>353</v>
      </c>
      <c r="DC33" s="841" t="s">
        <v>353</v>
      </c>
      <c r="DD33" s="841" t="s">
        <v>353</v>
      </c>
      <c r="DE33" s="841" t="s">
        <v>353</v>
      </c>
      <c r="DF33" s="841" t="s">
        <v>353</v>
      </c>
      <c r="DG33" s="841" t="s">
        <v>353</v>
      </c>
      <c r="DH33" s="841" t="s">
        <v>353</v>
      </c>
      <c r="DI33" s="841" t="s">
        <v>353</v>
      </c>
      <c r="DJ33" s="841" t="s">
        <v>353</v>
      </c>
      <c r="DK33" s="841" t="s">
        <v>353</v>
      </c>
      <c r="DL33" s="842">
        <v>44601.668749999997</v>
      </c>
      <c r="DM33" s="841" t="s">
        <v>353</v>
      </c>
      <c r="DN33" s="841" t="s">
        <v>353</v>
      </c>
      <c r="DO33" s="841" t="s">
        <v>353</v>
      </c>
      <c r="DP33" s="841" t="s">
        <v>353</v>
      </c>
      <c r="DQ33" s="841" t="s">
        <v>1581</v>
      </c>
      <c r="DR33" s="841" t="s">
        <v>353</v>
      </c>
      <c r="DS33" s="841" t="s">
        <v>353</v>
      </c>
      <c r="DT33" s="841" t="s">
        <v>353</v>
      </c>
      <c r="DU33" s="841" t="s">
        <v>353</v>
      </c>
      <c r="DV33" s="841" t="s">
        <v>353</v>
      </c>
      <c r="DW33" s="841" t="s">
        <v>353</v>
      </c>
      <c r="DX33" s="841" t="s">
        <v>353</v>
      </c>
      <c r="DY33" s="841" t="s">
        <v>353</v>
      </c>
      <c r="DZ33" s="841" t="s">
        <v>353</v>
      </c>
      <c r="EA33" s="841" t="s">
        <v>353</v>
      </c>
      <c r="EB33" s="841" t="s">
        <v>353</v>
      </c>
      <c r="EC33" s="841" t="s">
        <v>353</v>
      </c>
      <c r="ED33" s="841" t="s">
        <v>353</v>
      </c>
      <c r="EE33" s="841" t="s">
        <v>353</v>
      </c>
      <c r="EF33" s="841" t="s">
        <v>353</v>
      </c>
      <c r="EG33" s="841" t="s">
        <v>353</v>
      </c>
      <c r="EH33" s="841" t="s">
        <v>353</v>
      </c>
      <c r="EI33" s="841" t="s">
        <v>353</v>
      </c>
      <c r="EJ33" s="841" t="s">
        <v>353</v>
      </c>
      <c r="EK33" s="841" t="s">
        <v>353</v>
      </c>
      <c r="EL33" s="841" t="s">
        <v>353</v>
      </c>
      <c r="EM33" s="841" t="s">
        <v>353</v>
      </c>
      <c r="EN33" s="841" t="s">
        <v>353</v>
      </c>
      <c r="EO33" s="841" t="s">
        <v>353</v>
      </c>
      <c r="EP33" s="841" t="s">
        <v>353</v>
      </c>
      <c r="EQ33" s="841" t="s">
        <v>353</v>
      </c>
      <c r="ER33" s="841" t="s">
        <v>353</v>
      </c>
      <c r="ES33" s="841" t="s">
        <v>353</v>
      </c>
      <c r="ET33" s="841" t="s">
        <v>1512</v>
      </c>
      <c r="EU33" s="841" t="s">
        <v>353</v>
      </c>
      <c r="EV33" s="841" t="s">
        <v>353</v>
      </c>
      <c r="EW33" s="841" t="s">
        <v>353</v>
      </c>
      <c r="EX33" s="841" t="s">
        <v>353</v>
      </c>
      <c r="EY33" s="841" t="s">
        <v>353</v>
      </c>
      <c r="EZ33" s="841" t="s">
        <v>353</v>
      </c>
      <c r="FA33" s="841" t="s">
        <v>353</v>
      </c>
      <c r="FB33" s="841" t="s">
        <v>353</v>
      </c>
      <c r="FC33" s="841" t="s">
        <v>353</v>
      </c>
      <c r="FD33" s="841" t="s">
        <v>353</v>
      </c>
      <c r="FE33" s="842">
        <v>44601.669444444444</v>
      </c>
      <c r="FF33" s="841" t="s">
        <v>353</v>
      </c>
      <c r="FG33" s="841" t="s">
        <v>353</v>
      </c>
      <c r="FH33" s="841" t="s">
        <v>353</v>
      </c>
      <c r="FI33" s="841" t="s">
        <v>353</v>
      </c>
      <c r="FJ33" s="841" t="s">
        <v>353</v>
      </c>
      <c r="FK33" s="841" t="s">
        <v>353</v>
      </c>
      <c r="FL33" s="841" t="s">
        <v>353</v>
      </c>
      <c r="FM33" s="841" t="s">
        <v>353</v>
      </c>
      <c r="FN33" s="841" t="s">
        <v>353</v>
      </c>
      <c r="FO33" s="841" t="s">
        <v>353</v>
      </c>
      <c r="FP33" s="841" t="s">
        <v>353</v>
      </c>
      <c r="FQ33" s="841" t="s">
        <v>353</v>
      </c>
      <c r="FR33" s="841" t="s">
        <v>353</v>
      </c>
      <c r="FS33" s="841" t="s">
        <v>353</v>
      </c>
      <c r="FT33" s="841" t="s">
        <v>353</v>
      </c>
      <c r="FU33" s="841" t="s">
        <v>1394</v>
      </c>
      <c r="FV33" s="841" t="s">
        <v>353</v>
      </c>
      <c r="FW33" s="841" t="s">
        <v>353</v>
      </c>
      <c r="FX33" s="841" t="s">
        <v>353</v>
      </c>
      <c r="FY33" s="841" t="s">
        <v>353</v>
      </c>
      <c r="FZ33" s="841" t="s">
        <v>353</v>
      </c>
      <c r="GA33" s="841" t="s">
        <v>353</v>
      </c>
      <c r="GB33" s="841">
        <v>1</v>
      </c>
      <c r="GC33" s="841" t="s">
        <v>353</v>
      </c>
      <c r="GD33" s="841" t="s">
        <v>1395</v>
      </c>
      <c r="GE33" s="841" t="s">
        <v>353</v>
      </c>
      <c r="GF33" s="841" t="s">
        <v>353</v>
      </c>
      <c r="GG33" s="841" t="s">
        <v>353</v>
      </c>
      <c r="GH33" s="841" t="s">
        <v>353</v>
      </c>
      <c r="GI33" s="841" t="s">
        <v>353</v>
      </c>
      <c r="GJ33" s="841" t="s">
        <v>353</v>
      </c>
      <c r="GK33" s="841" t="s">
        <v>353</v>
      </c>
      <c r="GL33" s="841" t="s">
        <v>1737</v>
      </c>
      <c r="GM33" s="841" t="s">
        <v>353</v>
      </c>
      <c r="GN33" s="841" t="s">
        <v>353</v>
      </c>
      <c r="GO33" s="841" t="s">
        <v>353</v>
      </c>
      <c r="GP33" s="841" t="s">
        <v>353</v>
      </c>
      <c r="GQ33" s="841" t="s">
        <v>353</v>
      </c>
      <c r="GR33" s="841" t="s">
        <v>353</v>
      </c>
      <c r="GS33" s="841" t="s">
        <v>353</v>
      </c>
      <c r="GT33" s="841" t="s">
        <v>353</v>
      </c>
      <c r="GU33" s="841" t="s">
        <v>353</v>
      </c>
      <c r="GV33" s="841" t="s">
        <v>1419</v>
      </c>
      <c r="GW33" s="841" t="s">
        <v>353</v>
      </c>
      <c r="GX33" s="841" t="s">
        <v>353</v>
      </c>
      <c r="GY33" s="841" t="s">
        <v>353</v>
      </c>
      <c r="GZ33" s="841" t="s">
        <v>353</v>
      </c>
      <c r="HA33" s="841" t="s">
        <v>353</v>
      </c>
      <c r="HB33" s="841" t="s">
        <v>353</v>
      </c>
      <c r="HC33" s="841" t="s">
        <v>353</v>
      </c>
      <c r="HD33" s="841" t="s">
        <v>1738</v>
      </c>
      <c r="HE33" s="841" t="s">
        <v>353</v>
      </c>
      <c r="HF33" s="841" t="s">
        <v>353</v>
      </c>
      <c r="HG33" s="841" t="s">
        <v>353</v>
      </c>
      <c r="HH33" s="841" t="s">
        <v>353</v>
      </c>
      <c r="HI33" s="841" t="s">
        <v>353</v>
      </c>
      <c r="HJ33" s="841" t="s">
        <v>353</v>
      </c>
      <c r="HK33" s="841" t="s">
        <v>353</v>
      </c>
      <c r="HL33" s="841" t="s">
        <v>353</v>
      </c>
      <c r="HM33" s="841" t="s">
        <v>353</v>
      </c>
      <c r="HN33" s="841" t="s">
        <v>353</v>
      </c>
      <c r="HO33" s="841" t="s">
        <v>353</v>
      </c>
      <c r="HP33" s="841" t="s">
        <v>353</v>
      </c>
      <c r="HQ33" s="841" t="s">
        <v>353</v>
      </c>
      <c r="HR33" s="841" t="s">
        <v>353</v>
      </c>
      <c r="HS33" s="841" t="s">
        <v>353</v>
      </c>
      <c r="HT33" s="841" t="s">
        <v>353</v>
      </c>
      <c r="HU33" s="841" t="s">
        <v>353</v>
      </c>
      <c r="HV33" s="841" t="s">
        <v>353</v>
      </c>
      <c r="HW33" s="841" t="s">
        <v>353</v>
      </c>
      <c r="HX33" s="841" t="s">
        <v>353</v>
      </c>
      <c r="HY33" s="841" t="s">
        <v>353</v>
      </c>
      <c r="HZ33" s="841" t="s">
        <v>353</v>
      </c>
      <c r="IA33" s="841" t="s">
        <v>353</v>
      </c>
      <c r="IB33" s="841" t="s">
        <v>353</v>
      </c>
      <c r="IC33" s="841" t="s">
        <v>353</v>
      </c>
      <c r="ID33" s="841" t="s">
        <v>353</v>
      </c>
      <c r="IE33" s="841" t="s">
        <v>353</v>
      </c>
      <c r="IF33" s="841" t="s">
        <v>353</v>
      </c>
      <c r="IG33" s="841" t="s">
        <v>353</v>
      </c>
      <c r="IH33" s="841" t="s">
        <v>353</v>
      </c>
      <c r="II33" s="841" t="s">
        <v>353</v>
      </c>
      <c r="IJ33" s="841" t="s">
        <v>353</v>
      </c>
      <c r="IK33" s="841" t="s">
        <v>353</v>
      </c>
      <c r="IL33" s="841" t="s">
        <v>353</v>
      </c>
      <c r="IM33" s="841" t="s">
        <v>353</v>
      </c>
      <c r="IN33" s="841" t="s">
        <v>353</v>
      </c>
      <c r="IO33" s="841" t="s">
        <v>353</v>
      </c>
      <c r="IP33" s="841" t="s">
        <v>353</v>
      </c>
      <c r="IQ33" s="841" t="s">
        <v>353</v>
      </c>
      <c r="IR33" s="841" t="s">
        <v>353</v>
      </c>
      <c r="IS33" s="841" t="s">
        <v>353</v>
      </c>
      <c r="IT33" s="841" t="s">
        <v>353</v>
      </c>
      <c r="IU33" s="841" t="s">
        <v>353</v>
      </c>
      <c r="IV33" s="841" t="s">
        <v>353</v>
      </c>
      <c r="IW33" s="841" t="s">
        <v>353</v>
      </c>
      <c r="IX33" s="841" t="s">
        <v>353</v>
      </c>
      <c r="IY33" s="841" t="s">
        <v>353</v>
      </c>
      <c r="IZ33" s="841" t="s">
        <v>353</v>
      </c>
      <c r="JA33" s="841" t="s">
        <v>353</v>
      </c>
      <c r="JB33" s="841" t="s">
        <v>353</v>
      </c>
      <c r="JC33" s="841" t="s">
        <v>353</v>
      </c>
      <c r="JD33" s="841" t="s">
        <v>353</v>
      </c>
      <c r="JE33" s="841" t="s">
        <v>353</v>
      </c>
      <c r="JF33" s="841" t="s">
        <v>1739</v>
      </c>
      <c r="JG33" s="841" t="s">
        <v>1740</v>
      </c>
      <c r="JH33" s="841" t="s">
        <v>1741</v>
      </c>
      <c r="JI33" s="841" t="s">
        <v>1742</v>
      </c>
    </row>
    <row r="34" spans="1:269" x14ac:dyDescent="0.25">
      <c r="A34" s="841" t="s">
        <v>1743</v>
      </c>
      <c r="B34" s="841" t="s">
        <v>353</v>
      </c>
      <c r="C34" s="841" t="s">
        <v>353</v>
      </c>
      <c r="D34" s="841" t="s">
        <v>353</v>
      </c>
      <c r="E34" s="841" t="s">
        <v>353</v>
      </c>
      <c r="F34" s="841" t="s">
        <v>353</v>
      </c>
      <c r="G34" s="841" t="s">
        <v>353</v>
      </c>
      <c r="H34" s="841" t="s">
        <v>353</v>
      </c>
      <c r="I34" s="841" t="s">
        <v>353</v>
      </c>
      <c r="J34" s="841" t="s">
        <v>353</v>
      </c>
      <c r="K34" s="841" t="s">
        <v>353</v>
      </c>
      <c r="L34" s="842">
        <v>44606.447916666664</v>
      </c>
      <c r="M34" s="841" t="s">
        <v>353</v>
      </c>
      <c r="N34" s="841" t="s">
        <v>353</v>
      </c>
      <c r="O34" s="841" t="s">
        <v>353</v>
      </c>
      <c r="P34" s="841" t="s">
        <v>353</v>
      </c>
      <c r="Q34" s="841" t="s">
        <v>353</v>
      </c>
      <c r="R34" s="841" t="s">
        <v>353</v>
      </c>
      <c r="S34" s="841" t="s">
        <v>353</v>
      </c>
      <c r="T34" s="841" t="s">
        <v>1390</v>
      </c>
      <c r="U34" s="841" t="s">
        <v>353</v>
      </c>
      <c r="V34" s="841" t="s">
        <v>353</v>
      </c>
      <c r="W34" s="841" t="s">
        <v>353</v>
      </c>
      <c r="X34" s="841" t="s">
        <v>353</v>
      </c>
      <c r="Y34" s="841" t="s">
        <v>353</v>
      </c>
      <c r="Z34" s="841" t="s">
        <v>353</v>
      </c>
      <c r="AA34" s="841" t="s">
        <v>353</v>
      </c>
      <c r="AB34" s="841" t="s">
        <v>353</v>
      </c>
      <c r="AC34" s="841" t="s">
        <v>353</v>
      </c>
      <c r="AD34" s="841" t="s">
        <v>353</v>
      </c>
      <c r="AE34" s="841" t="s">
        <v>353</v>
      </c>
      <c r="AF34" s="841" t="s">
        <v>353</v>
      </c>
      <c r="AG34" s="841" t="s">
        <v>353</v>
      </c>
      <c r="AH34" s="841" t="s">
        <v>353</v>
      </c>
      <c r="AI34" s="841" t="s">
        <v>1406</v>
      </c>
      <c r="AJ34" s="841" t="s">
        <v>353</v>
      </c>
      <c r="AK34" s="841" t="s">
        <v>353</v>
      </c>
      <c r="AL34" s="841" t="s">
        <v>353</v>
      </c>
      <c r="AM34" s="841" t="s">
        <v>353</v>
      </c>
      <c r="AN34" s="841" t="s">
        <v>353</v>
      </c>
      <c r="AO34" s="841" t="s">
        <v>353</v>
      </c>
      <c r="AP34" s="841" t="s">
        <v>353</v>
      </c>
      <c r="AQ34" s="841" t="s">
        <v>353</v>
      </c>
      <c r="AR34" s="841" t="s">
        <v>353</v>
      </c>
      <c r="AS34" s="841" t="s">
        <v>353</v>
      </c>
      <c r="AT34" s="841" t="s">
        <v>353</v>
      </c>
      <c r="AU34" s="841" t="s">
        <v>353</v>
      </c>
      <c r="AV34" s="841" t="s">
        <v>353</v>
      </c>
      <c r="AW34" s="841" t="s">
        <v>353</v>
      </c>
      <c r="AX34" s="841" t="s">
        <v>353</v>
      </c>
      <c r="AY34" s="841" t="s">
        <v>353</v>
      </c>
      <c r="AZ34" s="841" t="s">
        <v>353</v>
      </c>
      <c r="BA34" s="841" t="s">
        <v>353</v>
      </c>
      <c r="BB34" s="841" t="s">
        <v>353</v>
      </c>
      <c r="BC34" s="841" t="s">
        <v>353</v>
      </c>
      <c r="BD34" s="841" t="s">
        <v>353</v>
      </c>
      <c r="BE34" s="841" t="s">
        <v>353</v>
      </c>
      <c r="BF34" s="841" t="s">
        <v>353</v>
      </c>
      <c r="BG34" s="841" t="s">
        <v>353</v>
      </c>
      <c r="BH34" s="841" t="s">
        <v>353</v>
      </c>
      <c r="BI34" s="841" t="s">
        <v>353</v>
      </c>
      <c r="BJ34" s="841" t="s">
        <v>353</v>
      </c>
      <c r="BK34" s="841" t="s">
        <v>353</v>
      </c>
      <c r="BL34" s="841" t="s">
        <v>1744</v>
      </c>
      <c r="BM34" s="842">
        <v>44620.724305555559</v>
      </c>
      <c r="BN34" s="841" t="s">
        <v>353</v>
      </c>
      <c r="BO34" s="841" t="s">
        <v>353</v>
      </c>
      <c r="BP34" s="841" t="s">
        <v>353</v>
      </c>
      <c r="BQ34" s="841" t="s">
        <v>353</v>
      </c>
      <c r="BR34" s="841" t="s">
        <v>353</v>
      </c>
      <c r="BS34" s="841" t="s">
        <v>353</v>
      </c>
      <c r="BT34" s="841">
        <v>386000</v>
      </c>
      <c r="BU34" s="841" t="s">
        <v>353</v>
      </c>
      <c r="BV34" s="841" t="s">
        <v>353</v>
      </c>
      <c r="BW34" s="841" t="s">
        <v>353</v>
      </c>
      <c r="BX34" s="841" t="s">
        <v>339</v>
      </c>
      <c r="BY34" s="841" t="s">
        <v>353</v>
      </c>
      <c r="BZ34" s="841" t="s">
        <v>353</v>
      </c>
      <c r="CA34" s="841" t="s">
        <v>353</v>
      </c>
      <c r="CB34" s="841" t="s">
        <v>353</v>
      </c>
      <c r="CC34" s="841" t="s">
        <v>353</v>
      </c>
      <c r="CD34" s="841" t="s">
        <v>353</v>
      </c>
      <c r="CE34" s="841" t="s">
        <v>353</v>
      </c>
      <c r="CF34" s="841" t="s">
        <v>353</v>
      </c>
      <c r="CG34" s="841" t="s">
        <v>353</v>
      </c>
      <c r="CH34" s="841" t="s">
        <v>353</v>
      </c>
      <c r="CI34" s="841" t="s">
        <v>353</v>
      </c>
      <c r="CJ34" s="841" t="s">
        <v>353</v>
      </c>
      <c r="CK34" s="841">
        <v>2</v>
      </c>
      <c r="CL34" s="841" t="s">
        <v>353</v>
      </c>
      <c r="CM34" s="841">
        <v>5</v>
      </c>
      <c r="CN34" s="841" t="s">
        <v>353</v>
      </c>
      <c r="CO34" s="841" t="s">
        <v>353</v>
      </c>
      <c r="CP34" s="841" t="s">
        <v>1745</v>
      </c>
      <c r="CQ34" s="841" t="s">
        <v>353</v>
      </c>
      <c r="CR34" s="841" t="s">
        <v>353</v>
      </c>
      <c r="CS34" s="841" t="s">
        <v>353</v>
      </c>
      <c r="CT34" s="841" t="s">
        <v>353</v>
      </c>
      <c r="CU34" s="841" t="s">
        <v>1391</v>
      </c>
      <c r="CV34" s="841" t="s">
        <v>353</v>
      </c>
      <c r="CW34" s="841" t="s">
        <v>353</v>
      </c>
      <c r="CX34" s="841" t="s">
        <v>353</v>
      </c>
      <c r="CY34" s="841" t="s">
        <v>353</v>
      </c>
      <c r="CZ34" s="841" t="s">
        <v>353</v>
      </c>
      <c r="DA34" s="841" t="s">
        <v>353</v>
      </c>
      <c r="DB34" s="841" t="s">
        <v>353</v>
      </c>
      <c r="DC34" s="841" t="s">
        <v>353</v>
      </c>
      <c r="DD34" s="841" t="s">
        <v>353</v>
      </c>
      <c r="DE34" s="841" t="s">
        <v>353</v>
      </c>
      <c r="DF34" s="841" t="s">
        <v>353</v>
      </c>
      <c r="DG34" s="841" t="s">
        <v>353</v>
      </c>
      <c r="DH34" s="841" t="s">
        <v>353</v>
      </c>
      <c r="DI34" s="841" t="s">
        <v>353</v>
      </c>
      <c r="DJ34" s="841" t="s">
        <v>1746</v>
      </c>
      <c r="DK34" s="841" t="s">
        <v>353</v>
      </c>
      <c r="DL34" s="842">
        <v>44600.724305555559</v>
      </c>
      <c r="DM34" s="841" t="s">
        <v>353</v>
      </c>
      <c r="DN34" s="841" t="s">
        <v>353</v>
      </c>
      <c r="DO34" s="841" t="s">
        <v>673</v>
      </c>
      <c r="DP34" s="841" t="s">
        <v>353</v>
      </c>
      <c r="DQ34" s="841" t="s">
        <v>673</v>
      </c>
      <c r="DR34" s="841">
        <v>515000</v>
      </c>
      <c r="DS34" s="841" t="s">
        <v>353</v>
      </c>
      <c r="DT34" s="841" t="s">
        <v>353</v>
      </c>
      <c r="DU34" s="841" t="s">
        <v>353</v>
      </c>
      <c r="DV34" s="841" t="s">
        <v>353</v>
      </c>
      <c r="DW34" s="841" t="s">
        <v>353</v>
      </c>
      <c r="DX34" s="841" t="s">
        <v>353</v>
      </c>
      <c r="DY34" s="841" t="s">
        <v>353</v>
      </c>
      <c r="DZ34" s="841" t="s">
        <v>353</v>
      </c>
      <c r="EA34" s="841" t="s">
        <v>353</v>
      </c>
      <c r="EB34" s="841" t="s">
        <v>353</v>
      </c>
      <c r="EC34" s="841" t="s">
        <v>353</v>
      </c>
      <c r="ED34" s="841" t="s">
        <v>353</v>
      </c>
      <c r="EE34" s="841" t="s">
        <v>353</v>
      </c>
      <c r="EF34" s="841" t="s">
        <v>353</v>
      </c>
      <c r="EG34" s="841" t="s">
        <v>353</v>
      </c>
      <c r="EH34" s="841" t="s">
        <v>353</v>
      </c>
      <c r="EI34" s="841" t="s">
        <v>353</v>
      </c>
      <c r="EJ34" s="841" t="s">
        <v>353</v>
      </c>
      <c r="EK34" s="841" t="s">
        <v>353</v>
      </c>
      <c r="EL34" s="841" t="s">
        <v>353</v>
      </c>
      <c r="EM34" s="841" t="s">
        <v>353</v>
      </c>
      <c r="EN34" s="841" t="s">
        <v>353</v>
      </c>
      <c r="EO34" s="841" t="s">
        <v>353</v>
      </c>
      <c r="EP34" s="841" t="s">
        <v>353</v>
      </c>
      <c r="EQ34" s="841" t="s">
        <v>353</v>
      </c>
      <c r="ER34" s="841" t="s">
        <v>353</v>
      </c>
      <c r="ES34" s="841" t="s">
        <v>353</v>
      </c>
      <c r="ET34" s="841" t="s">
        <v>1414</v>
      </c>
      <c r="EU34" s="841" t="s">
        <v>353</v>
      </c>
      <c r="EV34" s="841" t="s">
        <v>353</v>
      </c>
      <c r="EW34" s="841" t="s">
        <v>353</v>
      </c>
      <c r="EX34" s="841" t="s">
        <v>353</v>
      </c>
      <c r="EY34" s="842">
        <v>44606.44027777778</v>
      </c>
      <c r="EZ34" s="842">
        <v>44609.333333333336</v>
      </c>
      <c r="FA34" s="841" t="s">
        <v>353</v>
      </c>
      <c r="FB34" s="841" t="s">
        <v>353</v>
      </c>
      <c r="FC34" s="841" t="s">
        <v>353</v>
      </c>
      <c r="FD34" s="841" t="s">
        <v>353</v>
      </c>
      <c r="FE34" s="842">
        <v>44600.727083333331</v>
      </c>
      <c r="FF34" s="841" t="s">
        <v>353</v>
      </c>
      <c r="FG34" s="841" t="s">
        <v>353</v>
      </c>
      <c r="FH34" s="841" t="s">
        <v>353</v>
      </c>
      <c r="FI34" s="841" t="s">
        <v>353</v>
      </c>
      <c r="FJ34" s="841" t="s">
        <v>353</v>
      </c>
      <c r="FK34" s="841" t="s">
        <v>353</v>
      </c>
      <c r="FL34" s="841" t="s">
        <v>353</v>
      </c>
      <c r="FM34" s="841" t="s">
        <v>353</v>
      </c>
      <c r="FN34" s="841" t="s">
        <v>353</v>
      </c>
      <c r="FO34" s="841" t="s">
        <v>353</v>
      </c>
      <c r="FP34" s="841" t="s">
        <v>353</v>
      </c>
      <c r="FQ34" s="841" t="s">
        <v>353</v>
      </c>
      <c r="FR34" s="841" t="s">
        <v>353</v>
      </c>
      <c r="FS34" s="841" t="s">
        <v>353</v>
      </c>
      <c r="FT34" s="841" t="s">
        <v>353</v>
      </c>
      <c r="FU34" s="841" t="s">
        <v>1394</v>
      </c>
      <c r="FV34" s="841" t="s">
        <v>353</v>
      </c>
      <c r="FW34" s="841" t="s">
        <v>353</v>
      </c>
      <c r="FX34" s="841" t="s">
        <v>353</v>
      </c>
      <c r="FY34" s="841" t="s">
        <v>353</v>
      </c>
      <c r="FZ34" s="841" t="s">
        <v>353</v>
      </c>
      <c r="GA34" s="841" t="s">
        <v>353</v>
      </c>
      <c r="GB34" s="841">
        <v>1</v>
      </c>
      <c r="GC34" s="841" t="s">
        <v>353</v>
      </c>
      <c r="GD34" s="841" t="s">
        <v>1395</v>
      </c>
      <c r="GE34" s="841" t="s">
        <v>353</v>
      </c>
      <c r="GF34" s="841" t="s">
        <v>353</v>
      </c>
      <c r="GG34" s="841" t="s">
        <v>353</v>
      </c>
      <c r="GH34" s="841" t="s">
        <v>353</v>
      </c>
      <c r="GI34" s="841" t="s">
        <v>353</v>
      </c>
      <c r="GJ34" s="841" t="s">
        <v>353</v>
      </c>
      <c r="GK34" s="841" t="s">
        <v>353</v>
      </c>
      <c r="GL34" s="841" t="s">
        <v>1468</v>
      </c>
      <c r="GM34" s="841" t="s">
        <v>353</v>
      </c>
      <c r="GN34" s="841" t="s">
        <v>353</v>
      </c>
      <c r="GO34" s="841" t="s">
        <v>353</v>
      </c>
      <c r="GP34" s="841" t="s">
        <v>353</v>
      </c>
      <c r="GQ34" s="841" t="s">
        <v>353</v>
      </c>
      <c r="GR34" s="842">
        <v>44606.44027777778</v>
      </c>
      <c r="GS34" s="841" t="s">
        <v>353</v>
      </c>
      <c r="GT34" s="841" t="s">
        <v>353</v>
      </c>
      <c r="GU34" s="841" t="s">
        <v>353</v>
      </c>
      <c r="GV34" s="841" t="s">
        <v>1419</v>
      </c>
      <c r="GW34" s="841" t="s">
        <v>353</v>
      </c>
      <c r="GX34" s="841" t="s">
        <v>353</v>
      </c>
      <c r="GY34" s="841" t="s">
        <v>353</v>
      </c>
      <c r="GZ34" s="841" t="s">
        <v>353</v>
      </c>
      <c r="HA34" s="841" t="s">
        <v>353</v>
      </c>
      <c r="HB34" s="841" t="s">
        <v>353</v>
      </c>
      <c r="HC34" s="841" t="s">
        <v>353</v>
      </c>
      <c r="HD34" s="841" t="s">
        <v>1745</v>
      </c>
      <c r="HE34" s="841" t="s">
        <v>353</v>
      </c>
      <c r="HF34" s="841" t="s">
        <v>353</v>
      </c>
      <c r="HG34" s="841" t="s">
        <v>353</v>
      </c>
      <c r="HH34" s="841" t="s">
        <v>353</v>
      </c>
      <c r="HI34" s="841" t="s">
        <v>1422</v>
      </c>
      <c r="HJ34" s="841" t="s">
        <v>353</v>
      </c>
      <c r="HK34" s="841" t="s">
        <v>353</v>
      </c>
      <c r="HL34" s="841" t="s">
        <v>353</v>
      </c>
      <c r="HM34" s="841" t="s">
        <v>353</v>
      </c>
      <c r="HN34" s="841" t="s">
        <v>353</v>
      </c>
      <c r="HO34" s="841" t="s">
        <v>353</v>
      </c>
      <c r="HP34" s="841" t="s">
        <v>353</v>
      </c>
      <c r="HQ34" s="841" t="s">
        <v>353</v>
      </c>
      <c r="HR34" s="841" t="s">
        <v>353</v>
      </c>
      <c r="HS34" s="841" t="s">
        <v>353</v>
      </c>
      <c r="HT34" s="841" t="s">
        <v>353</v>
      </c>
      <c r="HU34" s="841" t="s">
        <v>353</v>
      </c>
      <c r="HV34" s="841" t="s">
        <v>353</v>
      </c>
      <c r="HW34" s="841">
        <v>625000</v>
      </c>
      <c r="HX34" s="841" t="s">
        <v>353</v>
      </c>
      <c r="HY34" s="841" t="s">
        <v>353</v>
      </c>
      <c r="HZ34" s="841" t="s">
        <v>353</v>
      </c>
      <c r="IA34" s="841" t="s">
        <v>353</v>
      </c>
      <c r="IB34" s="841" t="s">
        <v>1424</v>
      </c>
      <c r="IC34" s="841" t="s">
        <v>353</v>
      </c>
      <c r="ID34" s="841" t="s">
        <v>353</v>
      </c>
      <c r="IE34" s="841" t="s">
        <v>353</v>
      </c>
      <c r="IF34" s="841" t="s">
        <v>353</v>
      </c>
      <c r="IG34" s="841" t="s">
        <v>353</v>
      </c>
      <c r="IH34" s="841" t="s">
        <v>353</v>
      </c>
      <c r="II34" s="841" t="s">
        <v>353</v>
      </c>
      <c r="IJ34" s="841" t="s">
        <v>353</v>
      </c>
      <c r="IK34" s="841" t="s">
        <v>353</v>
      </c>
      <c r="IL34" s="841" t="s">
        <v>353</v>
      </c>
      <c r="IM34" s="841" t="s">
        <v>353</v>
      </c>
      <c r="IN34" s="841" t="s">
        <v>353</v>
      </c>
      <c r="IO34" s="841" t="s">
        <v>353</v>
      </c>
      <c r="IP34" s="841" t="s">
        <v>353</v>
      </c>
      <c r="IQ34" s="841" t="s">
        <v>353</v>
      </c>
      <c r="IR34" s="841" t="s">
        <v>353</v>
      </c>
      <c r="IS34" s="841" t="s">
        <v>353</v>
      </c>
      <c r="IT34" s="841" t="s">
        <v>353</v>
      </c>
      <c r="IU34" s="841" t="s">
        <v>353</v>
      </c>
      <c r="IV34" s="841" t="s">
        <v>353</v>
      </c>
      <c r="IW34" s="841" t="s">
        <v>353</v>
      </c>
      <c r="IX34" s="841" t="s">
        <v>353</v>
      </c>
      <c r="IY34" s="841" t="s">
        <v>353</v>
      </c>
      <c r="IZ34" s="841" t="s">
        <v>353</v>
      </c>
      <c r="JA34" s="841" t="s">
        <v>353</v>
      </c>
      <c r="JB34" s="841" t="s">
        <v>353</v>
      </c>
      <c r="JC34" s="841" t="s">
        <v>353</v>
      </c>
      <c r="JD34" s="841" t="s">
        <v>353</v>
      </c>
      <c r="JE34" s="841" t="s">
        <v>353</v>
      </c>
      <c r="JF34" s="841" t="s">
        <v>353</v>
      </c>
      <c r="JG34" s="841" t="s">
        <v>353</v>
      </c>
      <c r="JH34" s="841" t="s">
        <v>1747</v>
      </c>
      <c r="JI34" s="841" t="s">
        <v>1748</v>
      </c>
    </row>
    <row r="35" spans="1:269" x14ac:dyDescent="0.25">
      <c r="A35" s="841" t="s">
        <v>1749</v>
      </c>
      <c r="B35" s="841" t="s">
        <v>353</v>
      </c>
      <c r="C35" s="841" t="s">
        <v>353</v>
      </c>
      <c r="D35" s="841" t="s">
        <v>353</v>
      </c>
      <c r="E35" s="841" t="s">
        <v>353</v>
      </c>
      <c r="F35" s="841" t="s">
        <v>353</v>
      </c>
      <c r="G35" s="841" t="s">
        <v>1405</v>
      </c>
      <c r="H35" s="841" t="s">
        <v>353</v>
      </c>
      <c r="I35" s="841" t="s">
        <v>353</v>
      </c>
      <c r="J35" s="841" t="s">
        <v>353</v>
      </c>
      <c r="K35" s="841" t="s">
        <v>353</v>
      </c>
      <c r="L35" s="842">
        <v>44606.446527777778</v>
      </c>
      <c r="M35" s="841" t="s">
        <v>353</v>
      </c>
      <c r="N35" s="841" t="s">
        <v>353</v>
      </c>
      <c r="O35" s="841" t="s">
        <v>353</v>
      </c>
      <c r="P35" s="841" t="s">
        <v>353</v>
      </c>
      <c r="Q35" s="841" t="s">
        <v>353</v>
      </c>
      <c r="R35" s="841" t="s">
        <v>353</v>
      </c>
      <c r="S35" s="841" t="s">
        <v>61</v>
      </c>
      <c r="T35" s="841" t="s">
        <v>1390</v>
      </c>
      <c r="U35" s="841" t="s">
        <v>353</v>
      </c>
      <c r="V35" s="841" t="s">
        <v>353</v>
      </c>
      <c r="W35" s="841" t="s">
        <v>353</v>
      </c>
      <c r="X35" s="841" t="s">
        <v>353</v>
      </c>
      <c r="Y35" s="841" t="s">
        <v>353</v>
      </c>
      <c r="Z35" s="841" t="s">
        <v>353</v>
      </c>
      <c r="AA35" s="841" t="s">
        <v>353</v>
      </c>
      <c r="AB35" s="841" t="s">
        <v>353</v>
      </c>
      <c r="AC35" s="841" t="s">
        <v>353</v>
      </c>
      <c r="AD35" s="841" t="s">
        <v>353</v>
      </c>
      <c r="AE35" s="841" t="s">
        <v>353</v>
      </c>
      <c r="AF35" s="841" t="s">
        <v>353</v>
      </c>
      <c r="AG35" s="841" t="s">
        <v>353</v>
      </c>
      <c r="AH35" s="841" t="s">
        <v>353</v>
      </c>
      <c r="AI35" s="841" t="s">
        <v>1406</v>
      </c>
      <c r="AJ35" s="841" t="s">
        <v>353</v>
      </c>
      <c r="AK35" s="841" t="s">
        <v>353</v>
      </c>
      <c r="AL35" s="841" t="s">
        <v>353</v>
      </c>
      <c r="AM35" s="841" t="s">
        <v>353</v>
      </c>
      <c r="AN35" s="841" t="s">
        <v>353</v>
      </c>
      <c r="AO35" s="841" t="s">
        <v>353</v>
      </c>
      <c r="AP35" s="841" t="s">
        <v>353</v>
      </c>
      <c r="AQ35" s="841" t="s">
        <v>353</v>
      </c>
      <c r="AR35" s="841" t="s">
        <v>353</v>
      </c>
      <c r="AS35" s="841" t="s">
        <v>353</v>
      </c>
      <c r="AT35" s="841" t="s">
        <v>353</v>
      </c>
      <c r="AU35" s="841" t="s">
        <v>353</v>
      </c>
      <c r="AV35" s="841" t="s">
        <v>353</v>
      </c>
      <c r="AW35" s="841" t="s">
        <v>353</v>
      </c>
      <c r="AX35" s="841" t="s">
        <v>353</v>
      </c>
      <c r="AY35" s="841" t="s">
        <v>353</v>
      </c>
      <c r="AZ35" s="841" t="s">
        <v>353</v>
      </c>
      <c r="BA35" s="841" t="s">
        <v>353</v>
      </c>
      <c r="BB35" s="841" t="s">
        <v>353</v>
      </c>
      <c r="BC35" s="841" t="s">
        <v>353</v>
      </c>
      <c r="BD35" s="841" t="s">
        <v>353</v>
      </c>
      <c r="BE35" s="841" t="s">
        <v>353</v>
      </c>
      <c r="BF35" s="841" t="s">
        <v>353</v>
      </c>
      <c r="BG35" s="841" t="s">
        <v>353</v>
      </c>
      <c r="BH35" s="841" t="s">
        <v>353</v>
      </c>
      <c r="BI35" s="841" t="s">
        <v>353</v>
      </c>
      <c r="BJ35" s="841" t="s">
        <v>353</v>
      </c>
      <c r="BK35" s="841" t="s">
        <v>353</v>
      </c>
      <c r="BL35" s="841" t="s">
        <v>1750</v>
      </c>
      <c r="BM35" s="842">
        <v>44620.592361111114</v>
      </c>
      <c r="BN35" s="841" t="s">
        <v>353</v>
      </c>
      <c r="BO35" s="841" t="s">
        <v>353</v>
      </c>
      <c r="BP35" s="841" t="s">
        <v>353</v>
      </c>
      <c r="BQ35" s="841" t="s">
        <v>353</v>
      </c>
      <c r="BR35" s="841" t="s">
        <v>353</v>
      </c>
      <c r="BS35" s="841" t="s">
        <v>353</v>
      </c>
      <c r="BT35" s="841">
        <v>3000000</v>
      </c>
      <c r="BU35" s="841" t="s">
        <v>353</v>
      </c>
      <c r="BV35" s="841" t="s">
        <v>1662</v>
      </c>
      <c r="BW35" s="841" t="s">
        <v>353</v>
      </c>
      <c r="BX35" s="841" t="s">
        <v>1751</v>
      </c>
      <c r="BY35" s="841" t="s">
        <v>353</v>
      </c>
      <c r="BZ35" s="841" t="s">
        <v>353</v>
      </c>
      <c r="CA35" s="841" t="s">
        <v>353</v>
      </c>
      <c r="CB35" s="841" t="s">
        <v>353</v>
      </c>
      <c r="CC35" s="841" t="s">
        <v>353</v>
      </c>
      <c r="CD35" s="841" t="s">
        <v>353</v>
      </c>
      <c r="CE35" s="841" t="s">
        <v>353</v>
      </c>
      <c r="CF35" s="841" t="s">
        <v>353</v>
      </c>
      <c r="CG35" s="841" t="s">
        <v>353</v>
      </c>
      <c r="CH35" s="841" t="s">
        <v>353</v>
      </c>
      <c r="CI35" s="841" t="s">
        <v>353</v>
      </c>
      <c r="CJ35" s="841" t="s">
        <v>353</v>
      </c>
      <c r="CK35" s="841">
        <v>0</v>
      </c>
      <c r="CL35" s="841" t="s">
        <v>353</v>
      </c>
      <c r="CM35" s="841">
        <v>3</v>
      </c>
      <c r="CN35" s="841" t="s">
        <v>353</v>
      </c>
      <c r="CO35" s="841" t="s">
        <v>353</v>
      </c>
      <c r="CP35" s="841" t="s">
        <v>1752</v>
      </c>
      <c r="CQ35" s="841" t="s">
        <v>353</v>
      </c>
      <c r="CR35" s="841" t="s">
        <v>353</v>
      </c>
      <c r="CS35" s="841" t="s">
        <v>353</v>
      </c>
      <c r="CT35" s="841" t="s">
        <v>353</v>
      </c>
      <c r="CU35" s="841" t="s">
        <v>1391</v>
      </c>
      <c r="CV35" s="841" t="s">
        <v>353</v>
      </c>
      <c r="CW35" s="841" t="s">
        <v>353</v>
      </c>
      <c r="CX35" s="841" t="s">
        <v>353</v>
      </c>
      <c r="CY35" s="841" t="s">
        <v>353</v>
      </c>
      <c r="CZ35" s="841" t="s">
        <v>353</v>
      </c>
      <c r="DA35" s="841" t="s">
        <v>353</v>
      </c>
      <c r="DB35" s="841" t="s">
        <v>353</v>
      </c>
      <c r="DC35" s="841" t="s">
        <v>353</v>
      </c>
      <c r="DD35" s="841" t="s">
        <v>353</v>
      </c>
      <c r="DE35" s="841" t="s">
        <v>353</v>
      </c>
      <c r="DF35" s="841" t="s">
        <v>353</v>
      </c>
      <c r="DG35" s="841" t="s">
        <v>353</v>
      </c>
      <c r="DH35" s="841" t="s">
        <v>353</v>
      </c>
      <c r="DI35" s="841" t="s">
        <v>353</v>
      </c>
      <c r="DJ35" s="841" t="s">
        <v>1753</v>
      </c>
      <c r="DK35" s="841" t="s">
        <v>353</v>
      </c>
      <c r="DL35" s="842">
        <v>44600.592361111114</v>
      </c>
      <c r="DM35" s="841" t="s">
        <v>353</v>
      </c>
      <c r="DN35" s="841" t="s">
        <v>353</v>
      </c>
      <c r="DO35" s="841" t="s">
        <v>673</v>
      </c>
      <c r="DP35" s="841" t="s">
        <v>1481</v>
      </c>
      <c r="DQ35" s="841" t="s">
        <v>673</v>
      </c>
      <c r="DR35" s="841" t="s">
        <v>353</v>
      </c>
      <c r="DS35" s="841" t="s">
        <v>353</v>
      </c>
      <c r="DT35" s="841" t="s">
        <v>353</v>
      </c>
      <c r="DU35" s="841" t="s">
        <v>353</v>
      </c>
      <c r="DV35" s="841" t="s">
        <v>353</v>
      </c>
      <c r="DW35" s="841" t="s">
        <v>353</v>
      </c>
      <c r="DX35" s="841" t="s">
        <v>353</v>
      </c>
      <c r="DY35" s="841" t="s">
        <v>353</v>
      </c>
      <c r="DZ35" s="841" t="s">
        <v>353</v>
      </c>
      <c r="EA35" s="841" t="s">
        <v>353</v>
      </c>
      <c r="EB35" s="841" t="s">
        <v>353</v>
      </c>
      <c r="EC35" s="841" t="s">
        <v>353</v>
      </c>
      <c r="ED35" s="841" t="s">
        <v>353</v>
      </c>
      <c r="EE35" s="841" t="s">
        <v>353</v>
      </c>
      <c r="EF35" s="841" t="s">
        <v>353</v>
      </c>
      <c r="EG35" s="841" t="s">
        <v>353</v>
      </c>
      <c r="EH35" s="841" t="s">
        <v>353</v>
      </c>
      <c r="EI35" s="841" t="s">
        <v>353</v>
      </c>
      <c r="EJ35" s="841" t="s">
        <v>353</v>
      </c>
      <c r="EK35" s="841" t="s">
        <v>353</v>
      </c>
      <c r="EL35" s="841" t="s">
        <v>353</v>
      </c>
      <c r="EM35" s="841" t="s">
        <v>353</v>
      </c>
      <c r="EN35" s="841" t="s">
        <v>353</v>
      </c>
      <c r="EO35" s="841" t="s">
        <v>353</v>
      </c>
      <c r="EP35" s="841" t="s">
        <v>353</v>
      </c>
      <c r="EQ35" s="841" t="s">
        <v>353</v>
      </c>
      <c r="ER35" s="841" t="s">
        <v>353</v>
      </c>
      <c r="ES35" s="841" t="s">
        <v>353</v>
      </c>
      <c r="ET35" s="841" t="s">
        <v>1414</v>
      </c>
      <c r="EU35" s="841" t="s">
        <v>353</v>
      </c>
      <c r="EV35" s="841" t="s">
        <v>353</v>
      </c>
      <c r="EW35" s="841" t="s">
        <v>353</v>
      </c>
      <c r="EX35" s="841" t="s">
        <v>353</v>
      </c>
      <c r="EY35" s="842">
        <v>44606.333333333336</v>
      </c>
      <c r="EZ35" s="842">
        <v>44609.333333333336</v>
      </c>
      <c r="FA35" s="841" t="s">
        <v>353</v>
      </c>
      <c r="FB35" s="841" t="s">
        <v>353</v>
      </c>
      <c r="FC35" s="841" t="s">
        <v>353</v>
      </c>
      <c r="FD35" s="841" t="s">
        <v>353</v>
      </c>
      <c r="FE35" s="842">
        <v>44600.592361111114</v>
      </c>
      <c r="FF35" s="841" t="s">
        <v>353</v>
      </c>
      <c r="FG35" s="841" t="s">
        <v>353</v>
      </c>
      <c r="FH35" s="841" t="s">
        <v>353</v>
      </c>
      <c r="FI35" s="841" t="s">
        <v>353</v>
      </c>
      <c r="FJ35" s="841" t="s">
        <v>353</v>
      </c>
      <c r="FK35" s="841" t="s">
        <v>353</v>
      </c>
      <c r="FL35" s="841" t="s">
        <v>353</v>
      </c>
      <c r="FM35" s="841" t="s">
        <v>353</v>
      </c>
      <c r="FN35" s="841" t="s">
        <v>353</v>
      </c>
      <c r="FO35" s="841" t="s">
        <v>353</v>
      </c>
      <c r="FP35" s="841" t="s">
        <v>353</v>
      </c>
      <c r="FQ35" s="841" t="s">
        <v>353</v>
      </c>
      <c r="FR35" s="841" t="s">
        <v>353</v>
      </c>
      <c r="FS35" s="841" t="s">
        <v>353</v>
      </c>
      <c r="FT35" s="841" t="s">
        <v>353</v>
      </c>
      <c r="FU35" s="841" t="s">
        <v>1416</v>
      </c>
      <c r="FV35" s="841" t="s">
        <v>353</v>
      </c>
      <c r="FW35" s="841" t="s">
        <v>353</v>
      </c>
      <c r="FX35" s="841" t="s">
        <v>353</v>
      </c>
      <c r="FY35" s="841" t="s">
        <v>353</v>
      </c>
      <c r="FZ35" s="841" t="s">
        <v>353</v>
      </c>
      <c r="GA35" s="841" t="s">
        <v>353</v>
      </c>
      <c r="GB35" s="841">
        <v>1</v>
      </c>
      <c r="GC35" s="841" t="s">
        <v>353</v>
      </c>
      <c r="GD35" s="841" t="s">
        <v>1417</v>
      </c>
      <c r="GE35" s="841" t="s">
        <v>353</v>
      </c>
      <c r="GF35" s="841" t="s">
        <v>353</v>
      </c>
      <c r="GG35" s="841" t="s">
        <v>353</v>
      </c>
      <c r="GH35" s="841" t="s">
        <v>353</v>
      </c>
      <c r="GI35" s="841" t="s">
        <v>353</v>
      </c>
      <c r="GJ35" s="841" t="s">
        <v>353</v>
      </c>
      <c r="GK35" s="841" t="s">
        <v>353</v>
      </c>
      <c r="GL35" s="841" t="s">
        <v>1505</v>
      </c>
      <c r="GM35" s="841" t="s">
        <v>353</v>
      </c>
      <c r="GN35" s="841" t="s">
        <v>353</v>
      </c>
      <c r="GO35" s="841" t="s">
        <v>353</v>
      </c>
      <c r="GP35" s="841" t="s">
        <v>353</v>
      </c>
      <c r="GQ35" s="841" t="s">
        <v>353</v>
      </c>
      <c r="GR35" s="841" t="s">
        <v>353</v>
      </c>
      <c r="GS35" s="841" t="s">
        <v>1405</v>
      </c>
      <c r="GT35" s="841" t="s">
        <v>353</v>
      </c>
      <c r="GU35" s="841" t="s">
        <v>353</v>
      </c>
      <c r="GV35" s="841" t="s">
        <v>1419</v>
      </c>
      <c r="GW35" s="841" t="s">
        <v>353</v>
      </c>
      <c r="GX35" s="841" t="s">
        <v>353</v>
      </c>
      <c r="GY35" s="841" t="s">
        <v>353</v>
      </c>
      <c r="GZ35" s="841" t="s">
        <v>1486</v>
      </c>
      <c r="HA35" s="841" t="s">
        <v>353</v>
      </c>
      <c r="HB35" s="841" t="s">
        <v>353</v>
      </c>
      <c r="HC35" s="841" t="s">
        <v>1421</v>
      </c>
      <c r="HD35" s="841" t="s">
        <v>1752</v>
      </c>
      <c r="HE35" s="841" t="s">
        <v>353</v>
      </c>
      <c r="HF35" s="841" t="s">
        <v>353</v>
      </c>
      <c r="HG35" s="841" t="s">
        <v>353</v>
      </c>
      <c r="HH35" s="841" t="s">
        <v>353</v>
      </c>
      <c r="HI35" s="841" t="s">
        <v>1422</v>
      </c>
      <c r="HJ35" s="841" t="s">
        <v>353</v>
      </c>
      <c r="HK35" s="841" t="s">
        <v>353</v>
      </c>
      <c r="HL35" s="841" t="s">
        <v>353</v>
      </c>
      <c r="HM35" s="841" t="s">
        <v>353</v>
      </c>
      <c r="HN35" s="841" t="s">
        <v>353</v>
      </c>
      <c r="HO35" s="841" t="s">
        <v>353</v>
      </c>
      <c r="HP35" s="841" t="s">
        <v>353</v>
      </c>
      <c r="HQ35" s="841" t="s">
        <v>353</v>
      </c>
      <c r="HR35" s="841" t="s">
        <v>353</v>
      </c>
      <c r="HS35" s="841" t="s">
        <v>353</v>
      </c>
      <c r="HT35" s="841" t="s">
        <v>353</v>
      </c>
      <c r="HU35" s="841" t="s">
        <v>353</v>
      </c>
      <c r="HV35" s="841" t="s">
        <v>353</v>
      </c>
      <c r="HW35" s="841">
        <v>4000000</v>
      </c>
      <c r="HX35" s="841" t="s">
        <v>353</v>
      </c>
      <c r="HY35" s="841" t="s">
        <v>353</v>
      </c>
      <c r="HZ35" s="841" t="s">
        <v>353</v>
      </c>
      <c r="IA35" s="841" t="s">
        <v>353</v>
      </c>
      <c r="IB35" s="841" t="s">
        <v>1424</v>
      </c>
      <c r="IC35" s="841" t="s">
        <v>353</v>
      </c>
      <c r="ID35" s="841" t="s">
        <v>353</v>
      </c>
      <c r="IE35" s="841" t="s">
        <v>353</v>
      </c>
      <c r="IF35" s="841" t="s">
        <v>353</v>
      </c>
      <c r="IG35" s="841" t="s">
        <v>353</v>
      </c>
      <c r="IH35" s="841" t="s">
        <v>353</v>
      </c>
      <c r="II35" s="841" t="s">
        <v>353</v>
      </c>
      <c r="IJ35" s="841" t="s">
        <v>353</v>
      </c>
      <c r="IK35" s="841" t="s">
        <v>353</v>
      </c>
      <c r="IL35" s="841" t="s">
        <v>353</v>
      </c>
      <c r="IM35" s="841" t="s">
        <v>353</v>
      </c>
      <c r="IN35" s="841" t="s">
        <v>353</v>
      </c>
      <c r="IO35" s="841" t="s">
        <v>353</v>
      </c>
      <c r="IP35" s="841" t="s">
        <v>353</v>
      </c>
      <c r="IQ35" s="841" t="s">
        <v>353</v>
      </c>
      <c r="IR35" s="841" t="s">
        <v>353</v>
      </c>
      <c r="IS35" s="841" t="s">
        <v>353</v>
      </c>
      <c r="IT35" s="841" t="s">
        <v>353</v>
      </c>
      <c r="IU35" s="841" t="s">
        <v>353</v>
      </c>
      <c r="IV35" s="841" t="s">
        <v>353</v>
      </c>
      <c r="IW35" s="841" t="s">
        <v>353</v>
      </c>
      <c r="IX35" s="841" t="s">
        <v>353</v>
      </c>
      <c r="IY35" s="841" t="s">
        <v>353</v>
      </c>
      <c r="IZ35" s="841" t="s">
        <v>353</v>
      </c>
      <c r="JA35" s="841" t="s">
        <v>353</v>
      </c>
      <c r="JB35" s="841" t="s">
        <v>353</v>
      </c>
      <c r="JC35" s="841" t="s">
        <v>353</v>
      </c>
      <c r="JD35" s="841" t="s">
        <v>353</v>
      </c>
      <c r="JE35" s="841" t="s">
        <v>353</v>
      </c>
      <c r="JF35" s="841" t="s">
        <v>353</v>
      </c>
      <c r="JG35" s="841" t="s">
        <v>353</v>
      </c>
      <c r="JH35" s="841" t="s">
        <v>1754</v>
      </c>
      <c r="JI35" s="841" t="s">
        <v>1755</v>
      </c>
    </row>
    <row r="36" spans="1:269" x14ac:dyDescent="0.25">
      <c r="A36" s="841" t="s">
        <v>1756</v>
      </c>
      <c r="B36" s="841" t="s">
        <v>353</v>
      </c>
      <c r="C36" s="841" t="s">
        <v>353</v>
      </c>
      <c r="D36" s="841" t="s">
        <v>353</v>
      </c>
      <c r="E36" s="841" t="s">
        <v>353</v>
      </c>
      <c r="F36" s="841" t="s">
        <v>353</v>
      </c>
      <c r="G36" s="841" t="s">
        <v>353</v>
      </c>
      <c r="H36" s="841" t="s">
        <v>353</v>
      </c>
      <c r="I36" s="841" t="s">
        <v>353</v>
      </c>
      <c r="J36" s="841" t="s">
        <v>353</v>
      </c>
      <c r="K36" s="841" t="s">
        <v>353</v>
      </c>
      <c r="L36" s="842">
        <v>44600.470833333333</v>
      </c>
      <c r="M36" s="841" t="s">
        <v>353</v>
      </c>
      <c r="N36" s="841" t="s">
        <v>353</v>
      </c>
      <c r="O36" s="841" t="s">
        <v>353</v>
      </c>
      <c r="P36" s="841" t="s">
        <v>353</v>
      </c>
      <c r="Q36" s="841" t="s">
        <v>353</v>
      </c>
      <c r="R36" s="841" t="s">
        <v>353</v>
      </c>
      <c r="S36" s="841" t="s">
        <v>353</v>
      </c>
      <c r="T36" s="841" t="s">
        <v>1390</v>
      </c>
      <c r="U36" s="841" t="s">
        <v>353</v>
      </c>
      <c r="V36" s="841" t="s">
        <v>353</v>
      </c>
      <c r="W36" s="841" t="s">
        <v>353</v>
      </c>
      <c r="X36" s="841" t="s">
        <v>353</v>
      </c>
      <c r="Y36" s="841" t="s">
        <v>353</v>
      </c>
      <c r="Z36" s="841" t="s">
        <v>353</v>
      </c>
      <c r="AA36" s="841" t="s">
        <v>353</v>
      </c>
      <c r="AB36" s="841" t="s">
        <v>353</v>
      </c>
      <c r="AC36" s="841" t="s">
        <v>353</v>
      </c>
      <c r="AD36" s="841" t="s">
        <v>353</v>
      </c>
      <c r="AE36" s="841" t="s">
        <v>353</v>
      </c>
      <c r="AF36" s="841" t="s">
        <v>353</v>
      </c>
      <c r="AG36" s="841" t="s">
        <v>353</v>
      </c>
      <c r="AH36" s="841" t="s">
        <v>353</v>
      </c>
      <c r="AI36" s="841" t="s">
        <v>353</v>
      </c>
      <c r="AJ36" s="841" t="s">
        <v>353</v>
      </c>
      <c r="AK36" s="841" t="s">
        <v>353</v>
      </c>
      <c r="AL36" s="841" t="s">
        <v>353</v>
      </c>
      <c r="AM36" s="841" t="s">
        <v>353</v>
      </c>
      <c r="AN36" s="841" t="s">
        <v>353</v>
      </c>
      <c r="AO36" s="841" t="s">
        <v>353</v>
      </c>
      <c r="AP36" s="841" t="s">
        <v>353</v>
      </c>
      <c r="AQ36" s="841" t="s">
        <v>353</v>
      </c>
      <c r="AR36" s="841" t="s">
        <v>353</v>
      </c>
      <c r="AS36" s="841" t="s">
        <v>353</v>
      </c>
      <c r="AT36" s="841" t="s">
        <v>353</v>
      </c>
      <c r="AU36" s="841" t="s">
        <v>353</v>
      </c>
      <c r="AV36" s="841" t="s">
        <v>353</v>
      </c>
      <c r="AW36" s="841" t="s">
        <v>353</v>
      </c>
      <c r="AX36" s="841" t="s">
        <v>353</v>
      </c>
      <c r="AY36" s="841" t="s">
        <v>353</v>
      </c>
      <c r="AZ36" s="841" t="s">
        <v>353</v>
      </c>
      <c r="BA36" s="841" t="s">
        <v>353</v>
      </c>
      <c r="BB36" s="841" t="s">
        <v>353</v>
      </c>
      <c r="BC36" s="841" t="s">
        <v>353</v>
      </c>
      <c r="BD36" s="841" t="s">
        <v>353</v>
      </c>
      <c r="BE36" s="841" t="s">
        <v>353</v>
      </c>
      <c r="BF36" s="841" t="s">
        <v>353</v>
      </c>
      <c r="BG36" s="841" t="s">
        <v>353</v>
      </c>
      <c r="BH36" s="841" t="s">
        <v>353</v>
      </c>
      <c r="BI36" s="841" t="s">
        <v>353</v>
      </c>
      <c r="BJ36" s="841" t="s">
        <v>353</v>
      </c>
      <c r="BK36" s="841" t="s">
        <v>353</v>
      </c>
      <c r="BL36" s="841" t="s">
        <v>1757</v>
      </c>
      <c r="BM36" s="842">
        <v>44620.470138888886</v>
      </c>
      <c r="BN36" s="841" t="s">
        <v>353</v>
      </c>
      <c r="BO36" s="841" t="s">
        <v>353</v>
      </c>
      <c r="BP36" s="841" t="s">
        <v>353</v>
      </c>
      <c r="BQ36" s="841" t="s">
        <v>353</v>
      </c>
      <c r="BR36" s="841" t="s">
        <v>353</v>
      </c>
      <c r="BS36" s="841" t="s">
        <v>353</v>
      </c>
      <c r="BT36" s="841">
        <v>450000</v>
      </c>
      <c r="BU36" s="841" t="s">
        <v>353</v>
      </c>
      <c r="BV36" s="841" t="s">
        <v>353</v>
      </c>
      <c r="BW36" s="841" t="s">
        <v>353</v>
      </c>
      <c r="BX36" s="841" t="s">
        <v>353</v>
      </c>
      <c r="BY36" s="841" t="s">
        <v>353</v>
      </c>
      <c r="BZ36" s="841" t="s">
        <v>353</v>
      </c>
      <c r="CA36" s="841" t="s">
        <v>353</v>
      </c>
      <c r="CB36" s="841" t="s">
        <v>353</v>
      </c>
      <c r="CC36" s="841" t="s">
        <v>353</v>
      </c>
      <c r="CD36" s="841" t="s">
        <v>353</v>
      </c>
      <c r="CE36" s="841" t="s">
        <v>353</v>
      </c>
      <c r="CF36" s="841" t="s">
        <v>353</v>
      </c>
      <c r="CG36" s="841" t="s">
        <v>353</v>
      </c>
      <c r="CH36" s="841" t="s">
        <v>353</v>
      </c>
      <c r="CI36" s="841" t="s">
        <v>353</v>
      </c>
      <c r="CJ36" s="841" t="s">
        <v>353</v>
      </c>
      <c r="CK36" s="841" t="s">
        <v>353</v>
      </c>
      <c r="CL36" s="841" t="s">
        <v>353</v>
      </c>
      <c r="CM36" s="841" t="s">
        <v>353</v>
      </c>
      <c r="CN36" s="841" t="s">
        <v>353</v>
      </c>
      <c r="CO36" s="841" t="s">
        <v>353</v>
      </c>
      <c r="CP36" s="841" t="s">
        <v>353</v>
      </c>
      <c r="CQ36" s="841" t="s">
        <v>353</v>
      </c>
      <c r="CR36" s="841" t="s">
        <v>353</v>
      </c>
      <c r="CS36" s="841" t="s">
        <v>353</v>
      </c>
      <c r="CT36" s="841" t="s">
        <v>353</v>
      </c>
      <c r="CU36" s="841" t="s">
        <v>1391</v>
      </c>
      <c r="CV36" s="841" t="s">
        <v>353</v>
      </c>
      <c r="CW36" s="841" t="s">
        <v>353</v>
      </c>
      <c r="CX36" s="841" t="s">
        <v>353</v>
      </c>
      <c r="CY36" s="841" t="s">
        <v>353</v>
      </c>
      <c r="CZ36" s="841" t="s">
        <v>353</v>
      </c>
      <c r="DA36" s="841" t="s">
        <v>353</v>
      </c>
      <c r="DB36" s="841" t="s">
        <v>353</v>
      </c>
      <c r="DC36" s="841" t="s">
        <v>353</v>
      </c>
      <c r="DD36" s="841" t="s">
        <v>353</v>
      </c>
      <c r="DE36" s="841" t="s">
        <v>353</v>
      </c>
      <c r="DF36" s="841" t="s">
        <v>353</v>
      </c>
      <c r="DG36" s="841" t="s">
        <v>353</v>
      </c>
      <c r="DH36" s="841" t="s">
        <v>353</v>
      </c>
      <c r="DI36" s="841" t="s">
        <v>353</v>
      </c>
      <c r="DJ36" s="841" t="s">
        <v>353</v>
      </c>
      <c r="DK36" s="841" t="s">
        <v>353</v>
      </c>
      <c r="DL36" s="842">
        <v>44600.470138888886</v>
      </c>
      <c r="DM36" s="841" t="s">
        <v>353</v>
      </c>
      <c r="DN36" s="841" t="s">
        <v>353</v>
      </c>
      <c r="DO36" s="841" t="s">
        <v>353</v>
      </c>
      <c r="DP36" s="841" t="s">
        <v>353</v>
      </c>
      <c r="DQ36" s="841" t="s">
        <v>1392</v>
      </c>
      <c r="DR36" s="841" t="s">
        <v>353</v>
      </c>
      <c r="DS36" s="841" t="s">
        <v>353</v>
      </c>
      <c r="DT36" s="841" t="s">
        <v>353</v>
      </c>
      <c r="DU36" s="841" t="s">
        <v>353</v>
      </c>
      <c r="DV36" s="841" t="s">
        <v>353</v>
      </c>
      <c r="DW36" s="841" t="s">
        <v>353</v>
      </c>
      <c r="DX36" s="841" t="s">
        <v>353</v>
      </c>
      <c r="DY36" s="841" t="s">
        <v>353</v>
      </c>
      <c r="DZ36" s="841" t="s">
        <v>353</v>
      </c>
      <c r="EA36" s="841" t="s">
        <v>353</v>
      </c>
      <c r="EB36" s="841" t="s">
        <v>353</v>
      </c>
      <c r="EC36" s="841" t="s">
        <v>353</v>
      </c>
      <c r="ED36" s="841" t="s">
        <v>353</v>
      </c>
      <c r="EE36" s="841" t="s">
        <v>353</v>
      </c>
      <c r="EF36" s="841" t="s">
        <v>353</v>
      </c>
      <c r="EG36" s="841" t="s">
        <v>353</v>
      </c>
      <c r="EH36" s="841" t="s">
        <v>353</v>
      </c>
      <c r="EI36" s="841" t="s">
        <v>353</v>
      </c>
      <c r="EJ36" s="841" t="s">
        <v>353</v>
      </c>
      <c r="EK36" s="841" t="s">
        <v>353</v>
      </c>
      <c r="EL36" s="841" t="s">
        <v>353</v>
      </c>
      <c r="EM36" s="841" t="s">
        <v>353</v>
      </c>
      <c r="EN36" s="841" t="s">
        <v>353</v>
      </c>
      <c r="EO36" s="841" t="s">
        <v>353</v>
      </c>
      <c r="EP36" s="841" t="s">
        <v>353</v>
      </c>
      <c r="EQ36" s="841" t="s">
        <v>353</v>
      </c>
      <c r="ER36" s="841" t="s">
        <v>353</v>
      </c>
      <c r="ES36" s="841" t="s">
        <v>353</v>
      </c>
      <c r="ET36" s="841" t="s">
        <v>1393</v>
      </c>
      <c r="EU36" s="841" t="s">
        <v>353</v>
      </c>
      <c r="EV36" s="841" t="s">
        <v>353</v>
      </c>
      <c r="EW36" s="841" t="s">
        <v>353</v>
      </c>
      <c r="EX36" s="841" t="s">
        <v>353</v>
      </c>
      <c r="EY36" s="841" t="s">
        <v>353</v>
      </c>
      <c r="EZ36" s="841" t="s">
        <v>353</v>
      </c>
      <c r="FA36" s="841" t="s">
        <v>353</v>
      </c>
      <c r="FB36" s="841" t="s">
        <v>353</v>
      </c>
      <c r="FC36" s="841" t="s">
        <v>353</v>
      </c>
      <c r="FD36" s="841" t="s">
        <v>353</v>
      </c>
      <c r="FE36" s="842">
        <v>44600.470138888886</v>
      </c>
      <c r="FF36" s="841" t="s">
        <v>353</v>
      </c>
      <c r="FG36" s="841" t="s">
        <v>353</v>
      </c>
      <c r="FH36" s="841" t="s">
        <v>353</v>
      </c>
      <c r="FI36" s="841" t="s">
        <v>353</v>
      </c>
      <c r="FJ36" s="841" t="s">
        <v>353</v>
      </c>
      <c r="FK36" s="841" t="s">
        <v>353</v>
      </c>
      <c r="FL36" s="841" t="s">
        <v>353</v>
      </c>
      <c r="FM36" s="841" t="s">
        <v>353</v>
      </c>
      <c r="FN36" s="841" t="s">
        <v>353</v>
      </c>
      <c r="FO36" s="841" t="s">
        <v>353</v>
      </c>
      <c r="FP36" s="841" t="s">
        <v>353</v>
      </c>
      <c r="FQ36" s="841" t="s">
        <v>353</v>
      </c>
      <c r="FR36" s="841" t="s">
        <v>353</v>
      </c>
      <c r="FS36" s="841" t="s">
        <v>353</v>
      </c>
      <c r="FT36" s="841" t="s">
        <v>353</v>
      </c>
      <c r="FU36" s="841" t="s">
        <v>1394</v>
      </c>
      <c r="FV36" s="841" t="s">
        <v>353</v>
      </c>
      <c r="FW36" s="841" t="s">
        <v>353</v>
      </c>
      <c r="FX36" s="841" t="s">
        <v>353</v>
      </c>
      <c r="FY36" s="841" t="s">
        <v>353</v>
      </c>
      <c r="FZ36" s="841" t="s">
        <v>353</v>
      </c>
      <c r="GA36" s="841" t="s">
        <v>353</v>
      </c>
      <c r="GB36" s="841">
        <v>1</v>
      </c>
      <c r="GC36" s="841" t="s">
        <v>353</v>
      </c>
      <c r="GD36" s="841" t="s">
        <v>1417</v>
      </c>
      <c r="GE36" s="841" t="s">
        <v>353</v>
      </c>
      <c r="GF36" s="841" t="s">
        <v>353</v>
      </c>
      <c r="GG36" s="841" t="s">
        <v>353</v>
      </c>
      <c r="GH36" s="841" t="s">
        <v>353</v>
      </c>
      <c r="GI36" s="841" t="s">
        <v>353</v>
      </c>
      <c r="GJ36" s="841" t="s">
        <v>353</v>
      </c>
      <c r="GK36" s="841" t="s">
        <v>353</v>
      </c>
      <c r="GL36" s="841" t="s">
        <v>1541</v>
      </c>
      <c r="GM36" s="841" t="s">
        <v>353</v>
      </c>
      <c r="GN36" s="841" t="s">
        <v>353</v>
      </c>
      <c r="GO36" s="841" t="s">
        <v>353</v>
      </c>
      <c r="GP36" s="841" t="s">
        <v>353</v>
      </c>
      <c r="GQ36" s="841" t="s">
        <v>353</v>
      </c>
      <c r="GR36" s="841" t="s">
        <v>353</v>
      </c>
      <c r="GS36" s="841" t="s">
        <v>353</v>
      </c>
      <c r="GT36" s="841" t="s">
        <v>353</v>
      </c>
      <c r="GU36" s="841" t="s">
        <v>353</v>
      </c>
      <c r="GV36" s="841" t="s">
        <v>1076</v>
      </c>
      <c r="GW36" s="841" t="s">
        <v>353</v>
      </c>
      <c r="GX36" s="841" t="s">
        <v>353</v>
      </c>
      <c r="GY36" s="841" t="s">
        <v>353</v>
      </c>
      <c r="GZ36" s="841" t="s">
        <v>353</v>
      </c>
      <c r="HA36" s="841" t="s">
        <v>353</v>
      </c>
      <c r="HB36" s="841" t="s">
        <v>353</v>
      </c>
      <c r="HC36" s="841" t="s">
        <v>353</v>
      </c>
      <c r="HD36" s="841" t="s">
        <v>1758</v>
      </c>
      <c r="HE36" s="841" t="s">
        <v>353</v>
      </c>
      <c r="HF36" s="841" t="s">
        <v>353</v>
      </c>
      <c r="HG36" s="841" t="s">
        <v>353</v>
      </c>
      <c r="HH36" s="841" t="s">
        <v>353</v>
      </c>
      <c r="HI36" s="841" t="s">
        <v>1422</v>
      </c>
      <c r="HJ36" s="841" t="s">
        <v>353</v>
      </c>
      <c r="HK36" s="841" t="s">
        <v>353</v>
      </c>
      <c r="HL36" s="841" t="s">
        <v>353</v>
      </c>
      <c r="HM36" s="841" t="s">
        <v>353</v>
      </c>
      <c r="HN36" s="841" t="s">
        <v>353</v>
      </c>
      <c r="HO36" s="841" t="s">
        <v>353</v>
      </c>
      <c r="HP36" s="841" t="s">
        <v>353</v>
      </c>
      <c r="HQ36" s="841" t="s">
        <v>353</v>
      </c>
      <c r="HR36" s="841" t="s">
        <v>353</v>
      </c>
      <c r="HS36" s="841" t="s">
        <v>353</v>
      </c>
      <c r="HT36" s="841" t="s">
        <v>353</v>
      </c>
      <c r="HU36" s="841" t="s">
        <v>353</v>
      </c>
      <c r="HV36" s="841" t="s">
        <v>353</v>
      </c>
      <c r="HW36" s="841">
        <v>600000</v>
      </c>
      <c r="HX36" s="841" t="s">
        <v>353</v>
      </c>
      <c r="HY36" s="841" t="s">
        <v>353</v>
      </c>
      <c r="HZ36" s="841" t="s">
        <v>353</v>
      </c>
      <c r="IA36" s="841" t="s">
        <v>353</v>
      </c>
      <c r="IB36" s="841" t="s">
        <v>353</v>
      </c>
      <c r="IC36" s="841" t="s">
        <v>353</v>
      </c>
      <c r="ID36" s="841" t="s">
        <v>353</v>
      </c>
      <c r="IE36" s="841" t="s">
        <v>353</v>
      </c>
      <c r="IF36" s="841" t="s">
        <v>353</v>
      </c>
      <c r="IG36" s="841" t="s">
        <v>353</v>
      </c>
      <c r="IH36" s="841" t="s">
        <v>353</v>
      </c>
      <c r="II36" s="841" t="s">
        <v>353</v>
      </c>
      <c r="IJ36" s="841" t="s">
        <v>353</v>
      </c>
      <c r="IK36" s="841" t="s">
        <v>353</v>
      </c>
      <c r="IL36" s="841" t="s">
        <v>353</v>
      </c>
      <c r="IM36" s="841" t="s">
        <v>353</v>
      </c>
      <c r="IN36" s="841" t="s">
        <v>353</v>
      </c>
      <c r="IO36" s="841" t="s">
        <v>353</v>
      </c>
      <c r="IP36" s="841" t="s">
        <v>353</v>
      </c>
      <c r="IQ36" s="841" t="s">
        <v>353</v>
      </c>
      <c r="IR36" s="841" t="s">
        <v>353</v>
      </c>
      <c r="IS36" s="841" t="s">
        <v>353</v>
      </c>
      <c r="IT36" s="841" t="s">
        <v>353</v>
      </c>
      <c r="IU36" s="841" t="s">
        <v>353</v>
      </c>
      <c r="IV36" s="841" t="s">
        <v>353</v>
      </c>
      <c r="IW36" s="841" t="s">
        <v>353</v>
      </c>
      <c r="IX36" s="841" t="s">
        <v>353</v>
      </c>
      <c r="IY36" s="841" t="s">
        <v>353</v>
      </c>
      <c r="IZ36" s="841" t="s">
        <v>353</v>
      </c>
      <c r="JA36" s="841" t="s">
        <v>353</v>
      </c>
      <c r="JB36" s="841" t="s">
        <v>353</v>
      </c>
      <c r="JC36" s="841" t="s">
        <v>353</v>
      </c>
      <c r="JD36" s="841" t="s">
        <v>353</v>
      </c>
      <c r="JE36" s="841" t="s">
        <v>353</v>
      </c>
      <c r="JF36" s="841" t="s">
        <v>1759</v>
      </c>
      <c r="JG36" s="841" t="s">
        <v>1760</v>
      </c>
      <c r="JH36" s="841" t="s">
        <v>1761</v>
      </c>
      <c r="JI36" s="841" t="s">
        <v>1762</v>
      </c>
    </row>
    <row r="37" spans="1:269" x14ac:dyDescent="0.25">
      <c r="A37" s="841" t="s">
        <v>1763</v>
      </c>
      <c r="B37" s="841" t="s">
        <v>1764</v>
      </c>
      <c r="C37" s="841" t="s">
        <v>353</v>
      </c>
      <c r="D37" s="841">
        <v>240000</v>
      </c>
      <c r="E37" s="841" t="s">
        <v>353</v>
      </c>
      <c r="F37" s="841" t="s">
        <v>1405</v>
      </c>
      <c r="G37" s="841" t="s">
        <v>1659</v>
      </c>
      <c r="H37" s="841" t="s">
        <v>353</v>
      </c>
      <c r="I37" s="841" t="s">
        <v>353</v>
      </c>
      <c r="J37" s="841" t="s">
        <v>353</v>
      </c>
      <c r="K37" s="841" t="s">
        <v>353</v>
      </c>
      <c r="L37" s="842">
        <v>44607.882638888892</v>
      </c>
      <c r="M37" s="841">
        <v>165000</v>
      </c>
      <c r="N37" s="841" t="s">
        <v>353</v>
      </c>
      <c r="O37" s="841" t="s">
        <v>353</v>
      </c>
      <c r="P37" s="841" t="s">
        <v>33</v>
      </c>
      <c r="Q37" s="841" t="s">
        <v>353</v>
      </c>
      <c r="R37" s="841" t="s">
        <v>353</v>
      </c>
      <c r="S37" s="841" t="s">
        <v>61</v>
      </c>
      <c r="T37" s="841" t="s">
        <v>1390</v>
      </c>
      <c r="U37" s="841">
        <v>205000</v>
      </c>
      <c r="V37" s="841">
        <v>755000</v>
      </c>
      <c r="W37" s="841" t="s">
        <v>353</v>
      </c>
      <c r="X37" s="841" t="s">
        <v>353</v>
      </c>
      <c r="Y37" s="841" t="s">
        <v>353</v>
      </c>
      <c r="Z37" s="841" t="s">
        <v>353</v>
      </c>
      <c r="AA37" s="841" t="s">
        <v>33</v>
      </c>
      <c r="AB37" s="841" t="s">
        <v>353</v>
      </c>
      <c r="AC37" s="841">
        <v>950000</v>
      </c>
      <c r="AD37" s="841" t="s">
        <v>353</v>
      </c>
      <c r="AE37" s="841" t="s">
        <v>33</v>
      </c>
      <c r="AF37" s="841">
        <v>7584.17</v>
      </c>
      <c r="AG37" s="841" t="s">
        <v>353</v>
      </c>
      <c r="AH37" s="841" t="s">
        <v>353</v>
      </c>
      <c r="AI37" s="841" t="s">
        <v>1406</v>
      </c>
      <c r="AJ37" s="841" t="s">
        <v>353</v>
      </c>
      <c r="AK37" s="841">
        <v>70</v>
      </c>
      <c r="AL37" s="841" t="s">
        <v>353</v>
      </c>
      <c r="AM37" s="841" t="s">
        <v>353</v>
      </c>
      <c r="AN37" s="841" t="s">
        <v>353</v>
      </c>
      <c r="AO37" s="841" t="s">
        <v>353</v>
      </c>
      <c r="AP37" s="841" t="s">
        <v>353</v>
      </c>
      <c r="AQ37" s="841" t="s">
        <v>353</v>
      </c>
      <c r="AR37" s="841" t="s">
        <v>33</v>
      </c>
      <c r="AS37" s="841" t="s">
        <v>353</v>
      </c>
      <c r="AT37" s="841" t="s">
        <v>353</v>
      </c>
      <c r="AU37" s="841" t="s">
        <v>353</v>
      </c>
      <c r="AV37" s="841" t="s">
        <v>353</v>
      </c>
      <c r="AW37" s="843">
        <v>44603</v>
      </c>
      <c r="AX37" s="841" t="s">
        <v>353</v>
      </c>
      <c r="AY37" s="841" t="s">
        <v>353</v>
      </c>
      <c r="AZ37" s="841" t="s">
        <v>353</v>
      </c>
      <c r="BA37" s="841" t="s">
        <v>353</v>
      </c>
      <c r="BB37" s="841" t="s">
        <v>353</v>
      </c>
      <c r="BC37" s="841">
        <v>1825995</v>
      </c>
      <c r="BD37" s="841" t="s">
        <v>353</v>
      </c>
      <c r="BE37" s="841" t="s">
        <v>353</v>
      </c>
      <c r="BF37" s="841" t="s">
        <v>353</v>
      </c>
      <c r="BG37" s="841" t="s">
        <v>353</v>
      </c>
      <c r="BH37" s="841" t="s">
        <v>353</v>
      </c>
      <c r="BI37" s="841" t="s">
        <v>353</v>
      </c>
      <c r="BJ37" s="841" t="s">
        <v>353</v>
      </c>
      <c r="BK37" s="841">
        <v>460000</v>
      </c>
      <c r="BL37" s="841" t="s">
        <v>1765</v>
      </c>
      <c r="BM37" s="842">
        <v>44620.444444444445</v>
      </c>
      <c r="BN37" s="841" t="s">
        <v>353</v>
      </c>
      <c r="BO37" s="841" t="s">
        <v>353</v>
      </c>
      <c r="BP37" s="841" t="s">
        <v>353</v>
      </c>
      <c r="BQ37" s="841" t="s">
        <v>353</v>
      </c>
      <c r="BR37" s="841" t="s">
        <v>353</v>
      </c>
      <c r="BS37" s="841" t="s">
        <v>353</v>
      </c>
      <c r="BT37" s="841">
        <v>1900000</v>
      </c>
      <c r="BU37" s="841" t="s">
        <v>353</v>
      </c>
      <c r="BV37" s="841" t="s">
        <v>1766</v>
      </c>
      <c r="BW37" s="841" t="s">
        <v>1578</v>
      </c>
      <c r="BX37" s="841" t="s">
        <v>1767</v>
      </c>
      <c r="BY37" s="841" t="s">
        <v>353</v>
      </c>
      <c r="BZ37" s="841" t="s">
        <v>353</v>
      </c>
      <c r="CA37" s="841" t="s">
        <v>353</v>
      </c>
      <c r="CB37" s="841" t="s">
        <v>353</v>
      </c>
      <c r="CC37" s="841" t="s">
        <v>353</v>
      </c>
      <c r="CD37" s="841" t="s">
        <v>353</v>
      </c>
      <c r="CE37" s="841" t="s">
        <v>353</v>
      </c>
      <c r="CF37" s="841" t="s">
        <v>353</v>
      </c>
      <c r="CG37" s="841" t="s">
        <v>353</v>
      </c>
      <c r="CH37" s="841" t="s">
        <v>353</v>
      </c>
      <c r="CI37" s="841" t="s">
        <v>33</v>
      </c>
      <c r="CJ37" s="841">
        <v>1614</v>
      </c>
      <c r="CK37" s="841">
        <v>1</v>
      </c>
      <c r="CL37" s="841" t="s">
        <v>353</v>
      </c>
      <c r="CM37" s="841">
        <v>4</v>
      </c>
      <c r="CN37" s="841" t="s">
        <v>353</v>
      </c>
      <c r="CO37" s="841" t="s">
        <v>353</v>
      </c>
      <c r="CP37" s="841" t="s">
        <v>1768</v>
      </c>
      <c r="CQ37" s="841" t="s">
        <v>353</v>
      </c>
      <c r="CR37" s="841" t="s">
        <v>353</v>
      </c>
      <c r="CS37" s="841" t="s">
        <v>353</v>
      </c>
      <c r="CT37" s="841" t="s">
        <v>353</v>
      </c>
      <c r="CU37" s="841" t="s">
        <v>1391</v>
      </c>
      <c r="CV37" s="841" t="s">
        <v>353</v>
      </c>
      <c r="CW37" s="841" t="s">
        <v>353</v>
      </c>
      <c r="CX37" s="841" t="s">
        <v>353</v>
      </c>
      <c r="CY37" s="841" t="s">
        <v>353</v>
      </c>
      <c r="CZ37" s="841" t="s">
        <v>353</v>
      </c>
      <c r="DA37" s="841" t="s">
        <v>353</v>
      </c>
      <c r="DB37" s="841" t="s">
        <v>353</v>
      </c>
      <c r="DC37" s="841" t="s">
        <v>353</v>
      </c>
      <c r="DD37" s="841" t="s">
        <v>353</v>
      </c>
      <c r="DE37" s="841" t="s">
        <v>353</v>
      </c>
      <c r="DF37" s="841">
        <v>18</v>
      </c>
      <c r="DG37" s="841" t="s">
        <v>353</v>
      </c>
      <c r="DH37" s="841" t="s">
        <v>353</v>
      </c>
      <c r="DI37" s="841" t="s">
        <v>353</v>
      </c>
      <c r="DJ37" s="841" t="s">
        <v>1769</v>
      </c>
      <c r="DK37" s="841" t="s">
        <v>353</v>
      </c>
      <c r="DL37" s="842">
        <v>44600.444444444445</v>
      </c>
      <c r="DM37" s="841" t="s">
        <v>353</v>
      </c>
      <c r="DN37" s="841" t="s">
        <v>33</v>
      </c>
      <c r="DO37" s="841" t="s">
        <v>353</v>
      </c>
      <c r="DP37" s="841" t="s">
        <v>1481</v>
      </c>
      <c r="DQ37" s="841" t="s">
        <v>1451</v>
      </c>
      <c r="DR37" s="841" t="s">
        <v>353</v>
      </c>
      <c r="DS37" s="841">
        <v>18</v>
      </c>
      <c r="DT37" s="841" t="s">
        <v>353</v>
      </c>
      <c r="DU37" s="841" t="s">
        <v>353</v>
      </c>
      <c r="DV37" s="841" t="s">
        <v>353</v>
      </c>
      <c r="DW37" s="841">
        <v>1900000</v>
      </c>
      <c r="DX37" s="841" t="s">
        <v>33</v>
      </c>
      <c r="DY37" s="841" t="s">
        <v>353</v>
      </c>
      <c r="DZ37" s="841" t="s">
        <v>353</v>
      </c>
      <c r="EA37" s="841" t="s">
        <v>353</v>
      </c>
      <c r="EB37" s="841" t="s">
        <v>353</v>
      </c>
      <c r="EC37" s="841" t="s">
        <v>353</v>
      </c>
      <c r="ED37" s="841" t="s">
        <v>353</v>
      </c>
      <c r="EE37" s="841" t="s">
        <v>353</v>
      </c>
      <c r="EF37" s="841" t="s">
        <v>353</v>
      </c>
      <c r="EG37" s="841" t="s">
        <v>353</v>
      </c>
      <c r="EH37" s="841" t="s">
        <v>353</v>
      </c>
      <c r="EI37" s="841">
        <v>546060</v>
      </c>
      <c r="EJ37" s="841" t="s">
        <v>353</v>
      </c>
      <c r="EK37" s="841" t="s">
        <v>353</v>
      </c>
      <c r="EL37" s="841" t="s">
        <v>1435</v>
      </c>
      <c r="EM37" s="841" t="s">
        <v>353</v>
      </c>
      <c r="EN37" s="841" t="s">
        <v>353</v>
      </c>
      <c r="EO37" s="841" t="s">
        <v>353</v>
      </c>
      <c r="EP37" s="841" t="s">
        <v>353</v>
      </c>
      <c r="EQ37" s="841" t="s">
        <v>353</v>
      </c>
      <c r="ER37" s="841" t="s">
        <v>353</v>
      </c>
      <c r="ES37" s="841" t="s">
        <v>33</v>
      </c>
      <c r="ET37" s="841" t="s">
        <v>1496</v>
      </c>
      <c r="EU37" s="841" t="s">
        <v>1770</v>
      </c>
      <c r="EV37" s="841" t="s">
        <v>353</v>
      </c>
      <c r="EW37" s="841" t="s">
        <v>353</v>
      </c>
      <c r="EX37" s="841" t="s">
        <v>33</v>
      </c>
      <c r="EY37" s="842">
        <v>44607.882638888892</v>
      </c>
      <c r="EZ37" s="841" t="s">
        <v>353</v>
      </c>
      <c r="FA37" s="841" t="s">
        <v>353</v>
      </c>
      <c r="FB37" s="841" t="s">
        <v>353</v>
      </c>
      <c r="FC37" s="841" t="s">
        <v>353</v>
      </c>
      <c r="FD37" s="841" t="s">
        <v>353</v>
      </c>
      <c r="FE37" s="842">
        <v>44607.875</v>
      </c>
      <c r="FF37" s="841" t="s">
        <v>353</v>
      </c>
      <c r="FG37" s="841" t="s">
        <v>353</v>
      </c>
      <c r="FH37" s="841" t="s">
        <v>353</v>
      </c>
      <c r="FI37" s="841" t="s">
        <v>353</v>
      </c>
      <c r="FJ37" s="841" t="s">
        <v>353</v>
      </c>
      <c r="FK37" s="841" t="s">
        <v>353</v>
      </c>
      <c r="FL37" s="841" t="s">
        <v>353</v>
      </c>
      <c r="FM37" s="841" t="s">
        <v>353</v>
      </c>
      <c r="FN37" s="841" t="s">
        <v>353</v>
      </c>
      <c r="FO37" s="841" t="s">
        <v>353</v>
      </c>
      <c r="FP37" s="841" t="s">
        <v>353</v>
      </c>
      <c r="FQ37" s="841" t="s">
        <v>353</v>
      </c>
      <c r="FR37" s="841" t="s">
        <v>353</v>
      </c>
      <c r="FS37" s="841" t="s">
        <v>353</v>
      </c>
      <c r="FT37" s="841" t="s">
        <v>353</v>
      </c>
      <c r="FU37" s="841" t="s">
        <v>1467</v>
      </c>
      <c r="FV37" s="841" t="s">
        <v>353</v>
      </c>
      <c r="FW37" s="841" t="s">
        <v>353</v>
      </c>
      <c r="FX37" s="841" t="s">
        <v>353</v>
      </c>
      <c r="FY37" s="841" t="s">
        <v>353</v>
      </c>
      <c r="FZ37" s="841" t="s">
        <v>353</v>
      </c>
      <c r="GA37" s="841" t="s">
        <v>353</v>
      </c>
      <c r="GB37" s="841">
        <v>1</v>
      </c>
      <c r="GC37" s="841" t="s">
        <v>353</v>
      </c>
      <c r="GD37" s="841" t="s">
        <v>1395</v>
      </c>
      <c r="GE37" s="841" t="s">
        <v>353</v>
      </c>
      <c r="GF37" s="841" t="s">
        <v>353</v>
      </c>
      <c r="GG37" s="841" t="s">
        <v>353</v>
      </c>
      <c r="GH37" s="841">
        <v>950000</v>
      </c>
      <c r="GI37" s="841" t="s">
        <v>353</v>
      </c>
      <c r="GJ37" s="841" t="s">
        <v>353</v>
      </c>
      <c r="GK37" s="841" t="s">
        <v>353</v>
      </c>
      <c r="GL37" s="841" t="s">
        <v>1633</v>
      </c>
      <c r="GM37" s="841" t="s">
        <v>353</v>
      </c>
      <c r="GN37" s="841" t="s">
        <v>353</v>
      </c>
      <c r="GO37" s="841" t="s">
        <v>353</v>
      </c>
      <c r="GP37" s="841" t="s">
        <v>353</v>
      </c>
      <c r="GQ37" s="841" t="s">
        <v>353</v>
      </c>
      <c r="GR37" s="842">
        <v>44603.62222222222</v>
      </c>
      <c r="GS37" s="841" t="s">
        <v>1766</v>
      </c>
      <c r="GT37" s="841" t="s">
        <v>353</v>
      </c>
      <c r="GU37" s="841" t="s">
        <v>353</v>
      </c>
      <c r="GV37" s="841" t="s">
        <v>1419</v>
      </c>
      <c r="GW37" s="841" t="s">
        <v>353</v>
      </c>
      <c r="GX37" s="841" t="s">
        <v>1771</v>
      </c>
      <c r="GY37" s="841">
        <v>24</v>
      </c>
      <c r="GZ37" s="841" t="s">
        <v>1486</v>
      </c>
      <c r="HA37" s="841" t="s">
        <v>353</v>
      </c>
      <c r="HB37" s="841" t="s">
        <v>353</v>
      </c>
      <c r="HC37" s="841" t="s">
        <v>1421</v>
      </c>
      <c r="HD37" s="841" t="s">
        <v>1772</v>
      </c>
      <c r="HE37" s="841">
        <v>19000</v>
      </c>
      <c r="HF37" s="841" t="s">
        <v>353</v>
      </c>
      <c r="HG37" s="841" t="s">
        <v>353</v>
      </c>
      <c r="HH37" s="841">
        <v>1614</v>
      </c>
      <c r="HI37" s="841" t="s">
        <v>1773</v>
      </c>
      <c r="HJ37" s="841" t="s">
        <v>353</v>
      </c>
      <c r="HK37" s="841">
        <v>1900000</v>
      </c>
      <c r="HL37" s="841" t="s">
        <v>353</v>
      </c>
      <c r="HM37" s="841" t="s">
        <v>353</v>
      </c>
      <c r="HN37" s="841" t="s">
        <v>353</v>
      </c>
      <c r="HO37" s="841" t="s">
        <v>1774</v>
      </c>
      <c r="HP37" s="841">
        <v>91010</v>
      </c>
      <c r="HQ37" s="841" t="s">
        <v>353</v>
      </c>
      <c r="HR37" s="841" t="s">
        <v>353</v>
      </c>
      <c r="HS37" s="841" t="s">
        <v>353</v>
      </c>
      <c r="HT37" s="841" t="s">
        <v>353</v>
      </c>
      <c r="HU37" s="841" t="s">
        <v>1775</v>
      </c>
      <c r="HV37" s="841" t="s">
        <v>353</v>
      </c>
      <c r="HW37" s="841">
        <v>1092000</v>
      </c>
      <c r="HX37" s="841" t="s">
        <v>353</v>
      </c>
      <c r="HY37" s="841" t="s">
        <v>1776</v>
      </c>
      <c r="HZ37" s="841">
        <v>625000</v>
      </c>
      <c r="IA37" s="841" t="s">
        <v>353</v>
      </c>
      <c r="IB37" s="841" t="s">
        <v>1424</v>
      </c>
      <c r="IC37" s="841" t="s">
        <v>353</v>
      </c>
      <c r="ID37" s="841" t="s">
        <v>353</v>
      </c>
      <c r="IE37" s="841" t="s">
        <v>353</v>
      </c>
      <c r="IF37" s="841" t="s">
        <v>353</v>
      </c>
      <c r="IG37" s="841">
        <v>315000</v>
      </c>
      <c r="IH37" s="841" t="s">
        <v>353</v>
      </c>
      <c r="II37" s="841" t="s">
        <v>1777</v>
      </c>
      <c r="IJ37" s="841" t="s">
        <v>353</v>
      </c>
      <c r="IK37" s="841">
        <v>285000</v>
      </c>
      <c r="IL37" s="841">
        <v>1854495</v>
      </c>
      <c r="IM37" s="841" t="s">
        <v>353</v>
      </c>
      <c r="IN37" s="841" t="s">
        <v>353</v>
      </c>
      <c r="IO37" s="841">
        <v>3000</v>
      </c>
      <c r="IP37" s="841" t="s">
        <v>353</v>
      </c>
      <c r="IQ37" s="841">
        <v>385000</v>
      </c>
      <c r="IR37" s="841">
        <v>6</v>
      </c>
      <c r="IS37" s="841" t="s">
        <v>33</v>
      </c>
      <c r="IT37" s="841" t="s">
        <v>353</v>
      </c>
      <c r="IU37" s="841" t="s">
        <v>353</v>
      </c>
      <c r="IV37" s="841" t="s">
        <v>353</v>
      </c>
      <c r="IW37" s="841" t="s">
        <v>1778</v>
      </c>
      <c r="IX37" s="841" t="s">
        <v>353</v>
      </c>
      <c r="IY37" s="841" t="s">
        <v>353</v>
      </c>
      <c r="IZ37" s="841" t="s">
        <v>1779</v>
      </c>
      <c r="JA37" s="841">
        <v>1900000</v>
      </c>
      <c r="JB37" s="841" t="s">
        <v>1780</v>
      </c>
      <c r="JC37" s="841" t="s">
        <v>353</v>
      </c>
      <c r="JD37" s="841" t="s">
        <v>1488</v>
      </c>
      <c r="JE37" s="841" t="s">
        <v>33</v>
      </c>
      <c r="JF37" s="841" t="s">
        <v>1781</v>
      </c>
      <c r="JG37" s="841" t="s">
        <v>1782</v>
      </c>
      <c r="JH37" s="841" t="s">
        <v>1783</v>
      </c>
      <c r="JI37" s="841" t="s">
        <v>1784</v>
      </c>
    </row>
    <row r="38" spans="1:269" x14ac:dyDescent="0.25">
      <c r="A38" s="841" t="s">
        <v>1785</v>
      </c>
      <c r="B38" s="841" t="s">
        <v>353</v>
      </c>
      <c r="C38" s="841" t="s">
        <v>353</v>
      </c>
      <c r="D38" s="841" t="s">
        <v>353</v>
      </c>
      <c r="E38" s="841" t="s">
        <v>353</v>
      </c>
      <c r="F38" s="841" t="s">
        <v>353</v>
      </c>
      <c r="G38" s="841" t="s">
        <v>353</v>
      </c>
      <c r="H38" s="841" t="s">
        <v>353</v>
      </c>
      <c r="I38" s="841" t="s">
        <v>353</v>
      </c>
      <c r="J38" s="841" t="s">
        <v>353</v>
      </c>
      <c r="K38" s="841" t="s">
        <v>353</v>
      </c>
      <c r="L38" s="842">
        <v>44603.626388888886</v>
      </c>
      <c r="M38" s="841" t="s">
        <v>353</v>
      </c>
      <c r="N38" s="841" t="s">
        <v>353</v>
      </c>
      <c r="O38" s="841" t="s">
        <v>353</v>
      </c>
      <c r="P38" s="841" t="s">
        <v>353</v>
      </c>
      <c r="Q38" s="841" t="s">
        <v>353</v>
      </c>
      <c r="R38" s="841" t="s">
        <v>353</v>
      </c>
      <c r="S38" s="841" t="s">
        <v>353</v>
      </c>
      <c r="T38" s="841" t="s">
        <v>1390</v>
      </c>
      <c r="U38" s="841" t="s">
        <v>353</v>
      </c>
      <c r="V38" s="841" t="s">
        <v>353</v>
      </c>
      <c r="W38" s="841" t="s">
        <v>353</v>
      </c>
      <c r="X38" s="841" t="s">
        <v>353</v>
      </c>
      <c r="Y38" s="841" t="s">
        <v>353</v>
      </c>
      <c r="Z38" s="841" t="s">
        <v>353</v>
      </c>
      <c r="AA38" s="841" t="s">
        <v>353</v>
      </c>
      <c r="AB38" s="841" t="s">
        <v>353</v>
      </c>
      <c r="AC38" s="841" t="s">
        <v>353</v>
      </c>
      <c r="AD38" s="841" t="s">
        <v>353</v>
      </c>
      <c r="AE38" s="841" t="s">
        <v>353</v>
      </c>
      <c r="AF38" s="841" t="s">
        <v>353</v>
      </c>
      <c r="AG38" s="841" t="s">
        <v>353</v>
      </c>
      <c r="AH38" s="841" t="s">
        <v>353</v>
      </c>
      <c r="AI38" s="841" t="s">
        <v>1521</v>
      </c>
      <c r="AJ38" s="841" t="s">
        <v>353</v>
      </c>
      <c r="AK38" s="841" t="s">
        <v>353</v>
      </c>
      <c r="AL38" s="841" t="s">
        <v>353</v>
      </c>
      <c r="AM38" s="841" t="s">
        <v>353</v>
      </c>
      <c r="AN38" s="841" t="s">
        <v>353</v>
      </c>
      <c r="AO38" s="841" t="s">
        <v>353</v>
      </c>
      <c r="AP38" s="841" t="s">
        <v>353</v>
      </c>
      <c r="AQ38" s="841" t="s">
        <v>353</v>
      </c>
      <c r="AR38" s="841" t="s">
        <v>353</v>
      </c>
      <c r="AS38" s="841" t="s">
        <v>353</v>
      </c>
      <c r="AT38" s="841" t="s">
        <v>353</v>
      </c>
      <c r="AU38" s="841" t="s">
        <v>353</v>
      </c>
      <c r="AV38" s="841" t="s">
        <v>353</v>
      </c>
      <c r="AW38" s="841" t="s">
        <v>353</v>
      </c>
      <c r="AX38" s="841" t="s">
        <v>353</v>
      </c>
      <c r="AY38" s="841" t="s">
        <v>353</v>
      </c>
      <c r="AZ38" s="841" t="s">
        <v>353</v>
      </c>
      <c r="BA38" s="841" t="s">
        <v>353</v>
      </c>
      <c r="BB38" s="841" t="s">
        <v>353</v>
      </c>
      <c r="BC38" s="841" t="s">
        <v>353</v>
      </c>
      <c r="BD38" s="841" t="s">
        <v>353</v>
      </c>
      <c r="BE38" s="841" t="s">
        <v>353</v>
      </c>
      <c r="BF38" s="841" t="s">
        <v>353</v>
      </c>
      <c r="BG38" s="841" t="s">
        <v>353</v>
      </c>
      <c r="BH38" s="841" t="s">
        <v>353</v>
      </c>
      <c r="BI38" s="841" t="s">
        <v>353</v>
      </c>
      <c r="BJ38" s="841" t="s">
        <v>353</v>
      </c>
      <c r="BK38" s="841">
        <v>1400000</v>
      </c>
      <c r="BL38" s="841" t="s">
        <v>1786</v>
      </c>
      <c r="BM38" s="842">
        <v>44620.434027777781</v>
      </c>
      <c r="BN38" s="841" t="s">
        <v>353</v>
      </c>
      <c r="BO38" s="841" t="s">
        <v>353</v>
      </c>
      <c r="BP38" s="841" t="s">
        <v>353</v>
      </c>
      <c r="BQ38" s="841" t="s">
        <v>353</v>
      </c>
      <c r="BR38" s="841" t="s">
        <v>353</v>
      </c>
      <c r="BS38" s="841" t="s">
        <v>353</v>
      </c>
      <c r="BT38" s="841">
        <v>2421000</v>
      </c>
      <c r="BU38" s="841" t="s">
        <v>353</v>
      </c>
      <c r="BV38" s="841" t="s">
        <v>353</v>
      </c>
      <c r="BW38" s="841" t="s">
        <v>353</v>
      </c>
      <c r="BX38" s="841" t="s">
        <v>1787</v>
      </c>
      <c r="BY38" s="841" t="s">
        <v>353</v>
      </c>
      <c r="BZ38" s="841" t="s">
        <v>353</v>
      </c>
      <c r="CA38" s="841" t="s">
        <v>353</v>
      </c>
      <c r="CB38" s="841" t="s">
        <v>353</v>
      </c>
      <c r="CC38" s="841" t="s">
        <v>353</v>
      </c>
      <c r="CD38" s="841" t="s">
        <v>353</v>
      </c>
      <c r="CE38" s="841" t="s">
        <v>353</v>
      </c>
      <c r="CF38" s="841" t="s">
        <v>353</v>
      </c>
      <c r="CG38" s="841" t="s">
        <v>353</v>
      </c>
      <c r="CH38" s="841" t="s">
        <v>353</v>
      </c>
      <c r="CI38" s="841" t="s">
        <v>353</v>
      </c>
      <c r="CJ38" s="841" t="s">
        <v>353</v>
      </c>
      <c r="CK38" s="841">
        <v>1</v>
      </c>
      <c r="CL38" s="841" t="s">
        <v>353</v>
      </c>
      <c r="CM38" s="841">
        <v>2</v>
      </c>
      <c r="CN38" s="841" t="s">
        <v>353</v>
      </c>
      <c r="CO38" s="841" t="s">
        <v>353</v>
      </c>
      <c r="CP38" s="841" t="s">
        <v>1788</v>
      </c>
      <c r="CQ38" s="841" t="s">
        <v>353</v>
      </c>
      <c r="CR38" s="841" t="s">
        <v>353</v>
      </c>
      <c r="CS38" s="841" t="s">
        <v>353</v>
      </c>
      <c r="CT38" s="841" t="s">
        <v>353</v>
      </c>
      <c r="CU38" s="841" t="s">
        <v>1391</v>
      </c>
      <c r="CV38" s="841" t="s">
        <v>353</v>
      </c>
      <c r="CW38" s="841" t="s">
        <v>353</v>
      </c>
      <c r="CX38" s="841" t="s">
        <v>353</v>
      </c>
      <c r="CY38" s="841" t="s">
        <v>353</v>
      </c>
      <c r="CZ38" s="841" t="s">
        <v>353</v>
      </c>
      <c r="DA38" s="841" t="s">
        <v>353</v>
      </c>
      <c r="DB38" s="841" t="s">
        <v>353</v>
      </c>
      <c r="DC38" s="841" t="s">
        <v>353</v>
      </c>
      <c r="DD38" s="841" t="s">
        <v>353</v>
      </c>
      <c r="DE38" s="841" t="s">
        <v>353</v>
      </c>
      <c r="DF38" s="841" t="s">
        <v>353</v>
      </c>
      <c r="DG38" s="841" t="s">
        <v>353</v>
      </c>
      <c r="DH38" s="841" t="s">
        <v>353</v>
      </c>
      <c r="DI38" s="841" t="s">
        <v>353</v>
      </c>
      <c r="DJ38" s="841" t="s">
        <v>1789</v>
      </c>
      <c r="DK38" s="841" t="s">
        <v>353</v>
      </c>
      <c r="DL38" s="842">
        <v>44600.434027777781</v>
      </c>
      <c r="DM38" s="841" t="s">
        <v>353</v>
      </c>
      <c r="DN38" s="841" t="s">
        <v>353</v>
      </c>
      <c r="DO38" s="841" t="s">
        <v>353</v>
      </c>
      <c r="DP38" s="841" t="s">
        <v>1481</v>
      </c>
      <c r="DQ38" s="841" t="s">
        <v>1451</v>
      </c>
      <c r="DR38" s="841" t="s">
        <v>353</v>
      </c>
      <c r="DS38" s="841" t="s">
        <v>353</v>
      </c>
      <c r="DT38" s="841" t="s">
        <v>353</v>
      </c>
      <c r="DU38" s="841" t="s">
        <v>353</v>
      </c>
      <c r="DV38" s="841" t="s">
        <v>353</v>
      </c>
      <c r="DW38" s="841" t="s">
        <v>353</v>
      </c>
      <c r="DX38" s="841" t="s">
        <v>353</v>
      </c>
      <c r="DY38" s="841" t="s">
        <v>353</v>
      </c>
      <c r="DZ38" s="841" t="s">
        <v>353</v>
      </c>
      <c r="EA38" s="841" t="s">
        <v>353</v>
      </c>
      <c r="EB38" s="841" t="s">
        <v>353</v>
      </c>
      <c r="EC38" s="841" t="s">
        <v>353</v>
      </c>
      <c r="ED38" s="841" t="s">
        <v>353</v>
      </c>
      <c r="EE38" s="841" t="s">
        <v>353</v>
      </c>
      <c r="EF38" s="841" t="s">
        <v>353</v>
      </c>
      <c r="EG38" s="841" t="s">
        <v>353</v>
      </c>
      <c r="EH38" s="841" t="s">
        <v>353</v>
      </c>
      <c r="EI38" s="841" t="s">
        <v>353</v>
      </c>
      <c r="EJ38" s="841" t="s">
        <v>353</v>
      </c>
      <c r="EK38" s="841" t="s">
        <v>353</v>
      </c>
      <c r="EL38" s="841" t="s">
        <v>353</v>
      </c>
      <c r="EM38" s="841" t="s">
        <v>353</v>
      </c>
      <c r="EN38" s="841" t="s">
        <v>353</v>
      </c>
      <c r="EO38" s="841" t="s">
        <v>353</v>
      </c>
      <c r="EP38" s="841" t="s">
        <v>353</v>
      </c>
      <c r="EQ38" s="841" t="s">
        <v>353</v>
      </c>
      <c r="ER38" s="841" t="s">
        <v>353</v>
      </c>
      <c r="ES38" s="841" t="s">
        <v>353</v>
      </c>
      <c r="ET38" s="841" t="s">
        <v>1452</v>
      </c>
      <c r="EU38" s="841" t="s">
        <v>353</v>
      </c>
      <c r="EV38" s="841" t="s">
        <v>353</v>
      </c>
      <c r="EW38" s="841" t="s">
        <v>353</v>
      </c>
      <c r="EX38" s="841" t="s">
        <v>353</v>
      </c>
      <c r="EY38" s="842">
        <v>44603.62222222222</v>
      </c>
      <c r="EZ38" s="841" t="s">
        <v>353</v>
      </c>
      <c r="FA38" s="841" t="s">
        <v>353</v>
      </c>
      <c r="FB38" s="841" t="s">
        <v>353</v>
      </c>
      <c r="FC38" s="841" t="s">
        <v>353</v>
      </c>
      <c r="FD38" s="841" t="s">
        <v>353</v>
      </c>
      <c r="FE38" s="842">
        <v>44600.441666666666</v>
      </c>
      <c r="FF38" s="841" t="s">
        <v>353</v>
      </c>
      <c r="FG38" s="841" t="s">
        <v>1790</v>
      </c>
      <c r="FH38" s="841" t="s">
        <v>353</v>
      </c>
      <c r="FI38" s="841" t="s">
        <v>353</v>
      </c>
      <c r="FJ38" s="841" t="s">
        <v>353</v>
      </c>
      <c r="FK38" s="841" t="s">
        <v>353</v>
      </c>
      <c r="FL38" s="841" t="s">
        <v>353</v>
      </c>
      <c r="FM38" s="841" t="s">
        <v>353</v>
      </c>
      <c r="FN38" s="841" t="s">
        <v>353</v>
      </c>
      <c r="FO38" s="841" t="s">
        <v>353</v>
      </c>
      <c r="FP38" s="841" t="s">
        <v>353</v>
      </c>
      <c r="FQ38" s="841" t="s">
        <v>353</v>
      </c>
      <c r="FR38" s="841" t="s">
        <v>353</v>
      </c>
      <c r="FS38" s="841" t="s">
        <v>353</v>
      </c>
      <c r="FT38" s="841" t="s">
        <v>353</v>
      </c>
      <c r="FU38" s="841" t="s">
        <v>1394</v>
      </c>
      <c r="FV38" s="841" t="s">
        <v>353</v>
      </c>
      <c r="FW38" s="841" t="s">
        <v>353</v>
      </c>
      <c r="FX38" s="841" t="s">
        <v>353</v>
      </c>
      <c r="FY38" s="841" t="s">
        <v>353</v>
      </c>
      <c r="FZ38" s="841" t="s">
        <v>353</v>
      </c>
      <c r="GA38" s="841" t="s">
        <v>353</v>
      </c>
      <c r="GB38" s="841">
        <v>1</v>
      </c>
      <c r="GC38" s="841" t="s">
        <v>353</v>
      </c>
      <c r="GD38" s="841" t="s">
        <v>1395</v>
      </c>
      <c r="GE38" s="841" t="s">
        <v>353</v>
      </c>
      <c r="GF38" s="841" t="s">
        <v>353</v>
      </c>
      <c r="GG38" s="841" t="s">
        <v>353</v>
      </c>
      <c r="GH38" s="841" t="s">
        <v>353</v>
      </c>
      <c r="GI38" s="841" t="s">
        <v>353</v>
      </c>
      <c r="GJ38" s="841" t="s">
        <v>353</v>
      </c>
      <c r="GK38" s="841" t="s">
        <v>353</v>
      </c>
      <c r="GL38" s="841" t="s">
        <v>1633</v>
      </c>
      <c r="GM38" s="841" t="s">
        <v>353</v>
      </c>
      <c r="GN38" s="841" t="s">
        <v>353</v>
      </c>
      <c r="GO38" s="841" t="s">
        <v>353</v>
      </c>
      <c r="GP38" s="841" t="s">
        <v>353</v>
      </c>
      <c r="GQ38" s="841" t="s">
        <v>353</v>
      </c>
      <c r="GR38" s="842">
        <v>44603.62222222222</v>
      </c>
      <c r="GS38" s="841" t="s">
        <v>353</v>
      </c>
      <c r="GT38" s="841" t="s">
        <v>353</v>
      </c>
      <c r="GU38" s="841" t="s">
        <v>353</v>
      </c>
      <c r="GV38" s="841" t="s">
        <v>1076</v>
      </c>
      <c r="GW38" s="841" t="s">
        <v>353</v>
      </c>
      <c r="GX38" s="841" t="s">
        <v>1791</v>
      </c>
      <c r="GY38" s="841" t="s">
        <v>353</v>
      </c>
      <c r="GZ38" s="841" t="s">
        <v>353</v>
      </c>
      <c r="HA38" s="841" t="s">
        <v>353</v>
      </c>
      <c r="HB38" s="841" t="s">
        <v>353</v>
      </c>
      <c r="HC38" s="841" t="s">
        <v>353</v>
      </c>
      <c r="HD38" s="841" t="s">
        <v>1792</v>
      </c>
      <c r="HE38" s="841" t="s">
        <v>353</v>
      </c>
      <c r="HF38" s="841" t="s">
        <v>353</v>
      </c>
      <c r="HG38" s="841" t="s">
        <v>353</v>
      </c>
      <c r="HH38" s="841" t="s">
        <v>353</v>
      </c>
      <c r="HI38" s="841" t="s">
        <v>1422</v>
      </c>
      <c r="HJ38" s="841" t="s">
        <v>353</v>
      </c>
      <c r="HK38" s="841" t="s">
        <v>353</v>
      </c>
      <c r="HL38" s="841" t="s">
        <v>353</v>
      </c>
      <c r="HM38" s="841" t="s">
        <v>353</v>
      </c>
      <c r="HN38" s="841" t="s">
        <v>353</v>
      </c>
      <c r="HO38" s="841" t="s">
        <v>353</v>
      </c>
      <c r="HP38" s="841" t="s">
        <v>353</v>
      </c>
      <c r="HQ38" s="841" t="s">
        <v>353</v>
      </c>
      <c r="HR38" s="841" t="s">
        <v>353</v>
      </c>
      <c r="HS38" s="841" t="s">
        <v>353</v>
      </c>
      <c r="HT38" s="841" t="s">
        <v>353</v>
      </c>
      <c r="HU38" s="841" t="s">
        <v>353</v>
      </c>
      <c r="HV38" s="841" t="s">
        <v>353</v>
      </c>
      <c r="HW38" s="841">
        <v>3530000</v>
      </c>
      <c r="HX38" s="841" t="s">
        <v>353</v>
      </c>
      <c r="HY38" s="841" t="s">
        <v>353</v>
      </c>
      <c r="HZ38" s="841" t="s">
        <v>353</v>
      </c>
      <c r="IA38" s="841" t="s">
        <v>353</v>
      </c>
      <c r="IB38" s="841" t="s">
        <v>1455</v>
      </c>
      <c r="IC38" s="841" t="s">
        <v>353</v>
      </c>
      <c r="ID38" s="841" t="s">
        <v>353</v>
      </c>
      <c r="IE38" s="841" t="s">
        <v>353</v>
      </c>
      <c r="IF38" s="841" t="s">
        <v>353</v>
      </c>
      <c r="IG38" s="841" t="s">
        <v>353</v>
      </c>
      <c r="IH38" s="841" t="s">
        <v>353</v>
      </c>
      <c r="II38" s="841" t="s">
        <v>353</v>
      </c>
      <c r="IJ38" s="841" t="s">
        <v>353</v>
      </c>
      <c r="IK38" s="841" t="s">
        <v>353</v>
      </c>
      <c r="IL38" s="841" t="s">
        <v>353</v>
      </c>
      <c r="IM38" s="841" t="s">
        <v>353</v>
      </c>
      <c r="IN38" s="841" t="s">
        <v>353</v>
      </c>
      <c r="IO38" s="841" t="s">
        <v>353</v>
      </c>
      <c r="IP38" s="841" t="s">
        <v>353</v>
      </c>
      <c r="IQ38" s="841" t="s">
        <v>353</v>
      </c>
      <c r="IR38" s="841" t="s">
        <v>353</v>
      </c>
      <c r="IS38" s="841" t="s">
        <v>353</v>
      </c>
      <c r="IT38" s="841" t="s">
        <v>353</v>
      </c>
      <c r="IU38" s="841" t="s">
        <v>353</v>
      </c>
      <c r="IV38" s="841" t="s">
        <v>353</v>
      </c>
      <c r="IW38" s="841" t="s">
        <v>353</v>
      </c>
      <c r="IX38" s="841" t="s">
        <v>353</v>
      </c>
      <c r="IY38" s="841" t="s">
        <v>353</v>
      </c>
      <c r="IZ38" s="841" t="s">
        <v>353</v>
      </c>
      <c r="JA38" s="841" t="s">
        <v>353</v>
      </c>
      <c r="JB38" s="841" t="s">
        <v>353</v>
      </c>
      <c r="JC38" s="841" t="s">
        <v>353</v>
      </c>
      <c r="JD38" s="841" t="s">
        <v>353</v>
      </c>
      <c r="JE38" s="841" t="s">
        <v>353</v>
      </c>
      <c r="JF38" s="841" t="s">
        <v>1781</v>
      </c>
      <c r="JG38" s="841" t="s">
        <v>1782</v>
      </c>
      <c r="JH38" s="841" t="s">
        <v>1783</v>
      </c>
      <c r="JI38" s="841" t="s">
        <v>1784</v>
      </c>
    </row>
    <row r="39" spans="1:269" x14ac:dyDescent="0.25">
      <c r="A39" s="841" t="s">
        <v>1793</v>
      </c>
      <c r="B39" s="841" t="s">
        <v>353</v>
      </c>
      <c r="C39" s="841" t="s">
        <v>353</v>
      </c>
      <c r="D39" s="841" t="s">
        <v>353</v>
      </c>
      <c r="E39" s="841" t="s">
        <v>353</v>
      </c>
      <c r="F39" s="841" t="s">
        <v>353</v>
      </c>
      <c r="G39" s="841" t="s">
        <v>353</v>
      </c>
      <c r="H39" s="841" t="s">
        <v>353</v>
      </c>
      <c r="I39" s="841" t="s">
        <v>353</v>
      </c>
      <c r="J39" s="841" t="s">
        <v>353</v>
      </c>
      <c r="K39" s="841" t="s">
        <v>353</v>
      </c>
      <c r="L39" s="842">
        <v>44600.46875</v>
      </c>
      <c r="M39" s="841" t="s">
        <v>353</v>
      </c>
      <c r="N39" s="841" t="s">
        <v>353</v>
      </c>
      <c r="O39" s="841" t="s">
        <v>353</v>
      </c>
      <c r="P39" s="841" t="s">
        <v>353</v>
      </c>
      <c r="Q39" s="841" t="s">
        <v>353</v>
      </c>
      <c r="R39" s="841" t="s">
        <v>353</v>
      </c>
      <c r="S39" s="841" t="s">
        <v>353</v>
      </c>
      <c r="T39" s="841" t="s">
        <v>1390</v>
      </c>
      <c r="U39" s="841" t="s">
        <v>353</v>
      </c>
      <c r="V39" s="841" t="s">
        <v>353</v>
      </c>
      <c r="W39" s="841" t="s">
        <v>353</v>
      </c>
      <c r="X39" s="841" t="s">
        <v>353</v>
      </c>
      <c r="Y39" s="841" t="s">
        <v>353</v>
      </c>
      <c r="Z39" s="841" t="s">
        <v>353</v>
      </c>
      <c r="AA39" s="841" t="s">
        <v>353</v>
      </c>
      <c r="AB39" s="841" t="s">
        <v>353</v>
      </c>
      <c r="AC39" s="841" t="s">
        <v>353</v>
      </c>
      <c r="AD39" s="841" t="s">
        <v>353</v>
      </c>
      <c r="AE39" s="841" t="s">
        <v>353</v>
      </c>
      <c r="AF39" s="841" t="s">
        <v>353</v>
      </c>
      <c r="AG39" s="841" t="s">
        <v>353</v>
      </c>
      <c r="AH39" s="841" t="s">
        <v>353</v>
      </c>
      <c r="AI39" s="841" t="s">
        <v>353</v>
      </c>
      <c r="AJ39" s="841" t="s">
        <v>353</v>
      </c>
      <c r="AK39" s="841" t="s">
        <v>353</v>
      </c>
      <c r="AL39" s="841" t="s">
        <v>353</v>
      </c>
      <c r="AM39" s="841" t="s">
        <v>353</v>
      </c>
      <c r="AN39" s="841" t="s">
        <v>353</v>
      </c>
      <c r="AO39" s="841" t="s">
        <v>353</v>
      </c>
      <c r="AP39" s="841" t="s">
        <v>353</v>
      </c>
      <c r="AQ39" s="841" t="s">
        <v>353</v>
      </c>
      <c r="AR39" s="841" t="s">
        <v>353</v>
      </c>
      <c r="AS39" s="841" t="s">
        <v>353</v>
      </c>
      <c r="AT39" s="841" t="s">
        <v>353</v>
      </c>
      <c r="AU39" s="841" t="s">
        <v>353</v>
      </c>
      <c r="AV39" s="841" t="s">
        <v>353</v>
      </c>
      <c r="AW39" s="841" t="s">
        <v>353</v>
      </c>
      <c r="AX39" s="841" t="s">
        <v>353</v>
      </c>
      <c r="AY39" s="841" t="s">
        <v>353</v>
      </c>
      <c r="AZ39" s="841" t="s">
        <v>353</v>
      </c>
      <c r="BA39" s="841" t="s">
        <v>353</v>
      </c>
      <c r="BB39" s="841" t="s">
        <v>353</v>
      </c>
      <c r="BC39" s="841" t="s">
        <v>353</v>
      </c>
      <c r="BD39" s="841" t="s">
        <v>353</v>
      </c>
      <c r="BE39" s="841" t="s">
        <v>353</v>
      </c>
      <c r="BF39" s="841" t="s">
        <v>353</v>
      </c>
      <c r="BG39" s="841" t="s">
        <v>353</v>
      </c>
      <c r="BH39" s="841" t="s">
        <v>353</v>
      </c>
      <c r="BI39" s="841" t="s">
        <v>353</v>
      </c>
      <c r="BJ39" s="841" t="s">
        <v>353</v>
      </c>
      <c r="BK39" s="841" t="s">
        <v>353</v>
      </c>
      <c r="BL39" s="841" t="s">
        <v>353</v>
      </c>
      <c r="BM39" s="842">
        <v>44620.350694444445</v>
      </c>
      <c r="BN39" s="841" t="s">
        <v>353</v>
      </c>
      <c r="BO39" s="841" t="s">
        <v>353</v>
      </c>
      <c r="BP39" s="841" t="s">
        <v>353</v>
      </c>
      <c r="BQ39" s="841" t="s">
        <v>353</v>
      </c>
      <c r="BR39" s="841" t="s">
        <v>353</v>
      </c>
      <c r="BS39" s="841" t="s">
        <v>353</v>
      </c>
      <c r="BT39" s="841">
        <v>262000</v>
      </c>
      <c r="BU39" s="841" t="s">
        <v>353</v>
      </c>
      <c r="BV39" s="841" t="s">
        <v>353</v>
      </c>
      <c r="BW39" s="841" t="s">
        <v>353</v>
      </c>
      <c r="BX39" s="841" t="s">
        <v>353</v>
      </c>
      <c r="BY39" s="841" t="s">
        <v>353</v>
      </c>
      <c r="BZ39" s="841" t="s">
        <v>353</v>
      </c>
      <c r="CA39" s="841" t="s">
        <v>353</v>
      </c>
      <c r="CB39" s="841" t="s">
        <v>353</v>
      </c>
      <c r="CC39" s="841" t="s">
        <v>353</v>
      </c>
      <c r="CD39" s="841" t="s">
        <v>353</v>
      </c>
      <c r="CE39" s="841" t="s">
        <v>353</v>
      </c>
      <c r="CF39" s="841" t="s">
        <v>353</v>
      </c>
      <c r="CG39" s="841" t="s">
        <v>353</v>
      </c>
      <c r="CH39" s="841" t="s">
        <v>353</v>
      </c>
      <c r="CI39" s="841" t="s">
        <v>353</v>
      </c>
      <c r="CJ39" s="841" t="s">
        <v>353</v>
      </c>
      <c r="CK39" s="841">
        <v>1</v>
      </c>
      <c r="CL39" s="841" t="s">
        <v>353</v>
      </c>
      <c r="CM39" s="841">
        <v>2</v>
      </c>
      <c r="CN39" s="841" t="s">
        <v>353</v>
      </c>
      <c r="CO39" s="841" t="s">
        <v>353</v>
      </c>
      <c r="CP39" s="841" t="s">
        <v>353</v>
      </c>
      <c r="CQ39" s="841" t="s">
        <v>353</v>
      </c>
      <c r="CR39" s="841" t="s">
        <v>353</v>
      </c>
      <c r="CS39" s="841" t="s">
        <v>353</v>
      </c>
      <c r="CT39" s="841" t="s">
        <v>353</v>
      </c>
      <c r="CU39" s="841" t="s">
        <v>1391</v>
      </c>
      <c r="CV39" s="841" t="s">
        <v>353</v>
      </c>
      <c r="CW39" s="841" t="s">
        <v>353</v>
      </c>
      <c r="CX39" s="841" t="s">
        <v>353</v>
      </c>
      <c r="CY39" s="841" t="s">
        <v>353</v>
      </c>
      <c r="CZ39" s="841" t="s">
        <v>353</v>
      </c>
      <c r="DA39" s="841" t="s">
        <v>353</v>
      </c>
      <c r="DB39" s="841" t="s">
        <v>353</v>
      </c>
      <c r="DC39" s="841" t="s">
        <v>353</v>
      </c>
      <c r="DD39" s="841" t="s">
        <v>353</v>
      </c>
      <c r="DE39" s="841" t="s">
        <v>353</v>
      </c>
      <c r="DF39" s="841" t="s">
        <v>353</v>
      </c>
      <c r="DG39" s="841" t="s">
        <v>353</v>
      </c>
      <c r="DH39" s="841" t="s">
        <v>353</v>
      </c>
      <c r="DI39" s="841" t="s">
        <v>353</v>
      </c>
      <c r="DJ39" s="841" t="s">
        <v>1789</v>
      </c>
      <c r="DK39" s="841" t="s">
        <v>353</v>
      </c>
      <c r="DL39" s="842">
        <v>44600.350694444445</v>
      </c>
      <c r="DM39" s="841" t="s">
        <v>353</v>
      </c>
      <c r="DN39" s="841" t="s">
        <v>353</v>
      </c>
      <c r="DO39" s="841" t="s">
        <v>353</v>
      </c>
      <c r="DP39" s="841" t="s">
        <v>353</v>
      </c>
      <c r="DQ39" s="841" t="s">
        <v>1451</v>
      </c>
      <c r="DR39" s="841" t="s">
        <v>353</v>
      </c>
      <c r="DS39" s="841" t="s">
        <v>353</v>
      </c>
      <c r="DT39" s="841" t="s">
        <v>353</v>
      </c>
      <c r="DU39" s="841" t="s">
        <v>353</v>
      </c>
      <c r="DV39" s="841" t="s">
        <v>353</v>
      </c>
      <c r="DW39" s="841" t="s">
        <v>353</v>
      </c>
      <c r="DX39" s="841" t="s">
        <v>353</v>
      </c>
      <c r="DY39" s="841" t="s">
        <v>353</v>
      </c>
      <c r="DZ39" s="841" t="s">
        <v>353</v>
      </c>
      <c r="EA39" s="841" t="s">
        <v>353</v>
      </c>
      <c r="EB39" s="841" t="s">
        <v>353</v>
      </c>
      <c r="EC39" s="841" t="s">
        <v>353</v>
      </c>
      <c r="ED39" s="841" t="s">
        <v>353</v>
      </c>
      <c r="EE39" s="841" t="s">
        <v>353</v>
      </c>
      <c r="EF39" s="841" t="s">
        <v>353</v>
      </c>
      <c r="EG39" s="841" t="s">
        <v>353</v>
      </c>
      <c r="EH39" s="841" t="s">
        <v>353</v>
      </c>
      <c r="EI39" s="841" t="s">
        <v>353</v>
      </c>
      <c r="EJ39" s="841" t="s">
        <v>353</v>
      </c>
      <c r="EK39" s="841" t="s">
        <v>353</v>
      </c>
      <c r="EL39" s="841" t="s">
        <v>353</v>
      </c>
      <c r="EM39" s="841" t="s">
        <v>353</v>
      </c>
      <c r="EN39" s="841" t="s">
        <v>353</v>
      </c>
      <c r="EO39" s="841" t="s">
        <v>353</v>
      </c>
      <c r="EP39" s="841" t="s">
        <v>353</v>
      </c>
      <c r="EQ39" s="841" t="s">
        <v>353</v>
      </c>
      <c r="ER39" s="841" t="s">
        <v>353</v>
      </c>
      <c r="ES39" s="841" t="s">
        <v>353</v>
      </c>
      <c r="ET39" s="841" t="s">
        <v>1452</v>
      </c>
      <c r="EU39" s="841" t="s">
        <v>353</v>
      </c>
      <c r="EV39" s="841" t="s">
        <v>353</v>
      </c>
      <c r="EW39" s="841" t="s">
        <v>353</v>
      </c>
      <c r="EX39" s="841" t="s">
        <v>353</v>
      </c>
      <c r="EY39" s="842">
        <v>44600.46597222222</v>
      </c>
      <c r="EZ39" s="841" t="s">
        <v>353</v>
      </c>
      <c r="FA39" s="841" t="s">
        <v>353</v>
      </c>
      <c r="FB39" s="841" t="s">
        <v>353</v>
      </c>
      <c r="FC39" s="841" t="s">
        <v>353</v>
      </c>
      <c r="FD39" s="841" t="s">
        <v>353</v>
      </c>
      <c r="FE39" s="842">
        <v>44600.352083333331</v>
      </c>
      <c r="FF39" s="841" t="s">
        <v>353</v>
      </c>
      <c r="FG39" s="841" t="s">
        <v>353</v>
      </c>
      <c r="FH39" s="841" t="s">
        <v>353</v>
      </c>
      <c r="FI39" s="841" t="s">
        <v>353</v>
      </c>
      <c r="FJ39" s="841" t="s">
        <v>353</v>
      </c>
      <c r="FK39" s="841" t="s">
        <v>353</v>
      </c>
      <c r="FL39" s="841" t="s">
        <v>353</v>
      </c>
      <c r="FM39" s="841" t="s">
        <v>353</v>
      </c>
      <c r="FN39" s="841" t="s">
        <v>353</v>
      </c>
      <c r="FO39" s="841" t="s">
        <v>353</v>
      </c>
      <c r="FP39" s="841" t="s">
        <v>353</v>
      </c>
      <c r="FQ39" s="841" t="s">
        <v>353</v>
      </c>
      <c r="FR39" s="841" t="s">
        <v>353</v>
      </c>
      <c r="FS39" s="841" t="s">
        <v>353</v>
      </c>
      <c r="FT39" s="841" t="s">
        <v>353</v>
      </c>
      <c r="FU39" s="841" t="s">
        <v>1394</v>
      </c>
      <c r="FV39" s="841" t="s">
        <v>353</v>
      </c>
      <c r="FW39" s="841" t="s">
        <v>353</v>
      </c>
      <c r="FX39" s="841" t="s">
        <v>353</v>
      </c>
      <c r="FY39" s="841" t="s">
        <v>353</v>
      </c>
      <c r="FZ39" s="841" t="s">
        <v>353</v>
      </c>
      <c r="GA39" s="841" t="s">
        <v>353</v>
      </c>
      <c r="GB39" s="841">
        <v>1</v>
      </c>
      <c r="GC39" s="841" t="s">
        <v>353</v>
      </c>
      <c r="GD39" s="841" t="s">
        <v>1395</v>
      </c>
      <c r="GE39" s="841" t="s">
        <v>353</v>
      </c>
      <c r="GF39" s="841" t="s">
        <v>353</v>
      </c>
      <c r="GG39" s="841" t="s">
        <v>353</v>
      </c>
      <c r="GH39" s="841" t="s">
        <v>353</v>
      </c>
      <c r="GI39" s="841" t="s">
        <v>353</v>
      </c>
      <c r="GJ39" s="841" t="s">
        <v>353</v>
      </c>
      <c r="GK39" s="841" t="s">
        <v>353</v>
      </c>
      <c r="GL39" s="841" t="s">
        <v>1485</v>
      </c>
      <c r="GM39" s="841" t="s">
        <v>353</v>
      </c>
      <c r="GN39" s="841" t="s">
        <v>353</v>
      </c>
      <c r="GO39" s="841" t="s">
        <v>353</v>
      </c>
      <c r="GP39" s="841" t="s">
        <v>353</v>
      </c>
      <c r="GQ39" s="841" t="s">
        <v>353</v>
      </c>
      <c r="GR39" s="842">
        <v>44600.46597222222</v>
      </c>
      <c r="GS39" s="841" t="s">
        <v>353</v>
      </c>
      <c r="GT39" s="841" t="s">
        <v>353</v>
      </c>
      <c r="GU39" s="841" t="s">
        <v>353</v>
      </c>
      <c r="GV39" s="841" t="s">
        <v>1076</v>
      </c>
      <c r="GW39" s="841" t="s">
        <v>353</v>
      </c>
      <c r="GX39" s="841" t="s">
        <v>353</v>
      </c>
      <c r="GY39" s="841" t="s">
        <v>353</v>
      </c>
      <c r="GZ39" s="841" t="s">
        <v>353</v>
      </c>
      <c r="HA39" s="841" t="s">
        <v>353</v>
      </c>
      <c r="HB39" s="841" t="s">
        <v>353</v>
      </c>
      <c r="HC39" s="841" t="s">
        <v>353</v>
      </c>
      <c r="HD39" s="841" t="s">
        <v>1794</v>
      </c>
      <c r="HE39" s="841" t="s">
        <v>353</v>
      </c>
      <c r="HF39" s="841" t="s">
        <v>353</v>
      </c>
      <c r="HG39" s="841" t="s">
        <v>353</v>
      </c>
      <c r="HH39" s="841" t="s">
        <v>353</v>
      </c>
      <c r="HI39" s="841" t="s">
        <v>353</v>
      </c>
      <c r="HJ39" s="841" t="s">
        <v>353</v>
      </c>
      <c r="HK39" s="841" t="s">
        <v>353</v>
      </c>
      <c r="HL39" s="841" t="s">
        <v>353</v>
      </c>
      <c r="HM39" s="841" t="s">
        <v>353</v>
      </c>
      <c r="HN39" s="841" t="s">
        <v>353</v>
      </c>
      <c r="HO39" s="841" t="s">
        <v>353</v>
      </c>
      <c r="HP39" s="841" t="s">
        <v>353</v>
      </c>
      <c r="HQ39" s="841" t="s">
        <v>353</v>
      </c>
      <c r="HR39" s="841" t="s">
        <v>353</v>
      </c>
      <c r="HS39" s="841" t="s">
        <v>353</v>
      </c>
      <c r="HT39" s="841" t="s">
        <v>353</v>
      </c>
      <c r="HU39" s="841" t="s">
        <v>353</v>
      </c>
      <c r="HV39" s="841" t="s">
        <v>353</v>
      </c>
      <c r="HW39" s="841" t="s">
        <v>353</v>
      </c>
      <c r="HX39" s="841" t="s">
        <v>353</v>
      </c>
      <c r="HY39" s="841" t="s">
        <v>353</v>
      </c>
      <c r="HZ39" s="841" t="s">
        <v>353</v>
      </c>
      <c r="IA39" s="841" t="s">
        <v>353</v>
      </c>
      <c r="IB39" s="841" t="s">
        <v>353</v>
      </c>
      <c r="IC39" s="841" t="s">
        <v>353</v>
      </c>
      <c r="ID39" s="841" t="s">
        <v>353</v>
      </c>
      <c r="IE39" s="841" t="s">
        <v>353</v>
      </c>
      <c r="IF39" s="841" t="s">
        <v>353</v>
      </c>
      <c r="IG39" s="841" t="s">
        <v>353</v>
      </c>
      <c r="IH39" s="841" t="s">
        <v>353</v>
      </c>
      <c r="II39" s="841" t="s">
        <v>353</v>
      </c>
      <c r="IJ39" s="841" t="s">
        <v>353</v>
      </c>
      <c r="IK39" s="841" t="s">
        <v>353</v>
      </c>
      <c r="IL39" s="841" t="s">
        <v>353</v>
      </c>
      <c r="IM39" s="841" t="s">
        <v>353</v>
      </c>
      <c r="IN39" s="841" t="s">
        <v>353</v>
      </c>
      <c r="IO39" s="841" t="s">
        <v>353</v>
      </c>
      <c r="IP39" s="841" t="s">
        <v>353</v>
      </c>
      <c r="IQ39" s="841" t="s">
        <v>353</v>
      </c>
      <c r="IR39" s="841" t="s">
        <v>353</v>
      </c>
      <c r="IS39" s="841" t="s">
        <v>353</v>
      </c>
      <c r="IT39" s="841" t="s">
        <v>353</v>
      </c>
      <c r="IU39" s="841" t="s">
        <v>353</v>
      </c>
      <c r="IV39" s="841" t="s">
        <v>353</v>
      </c>
      <c r="IW39" s="841" t="s">
        <v>353</v>
      </c>
      <c r="IX39" s="841" t="s">
        <v>353</v>
      </c>
      <c r="IY39" s="841" t="s">
        <v>353</v>
      </c>
      <c r="IZ39" s="841" t="s">
        <v>353</v>
      </c>
      <c r="JA39" s="841" t="s">
        <v>353</v>
      </c>
      <c r="JB39" s="841" t="s">
        <v>353</v>
      </c>
      <c r="JC39" s="841" t="s">
        <v>353</v>
      </c>
      <c r="JD39" s="841" t="s">
        <v>353</v>
      </c>
      <c r="JE39" s="841" t="s">
        <v>353</v>
      </c>
      <c r="JF39" s="841" t="s">
        <v>353</v>
      </c>
      <c r="JG39" s="841" t="s">
        <v>353</v>
      </c>
      <c r="JH39" s="841" t="s">
        <v>1795</v>
      </c>
      <c r="JI39" s="841" t="s">
        <v>1796</v>
      </c>
    </row>
    <row r="40" spans="1:269" x14ac:dyDescent="0.25">
      <c r="A40" s="841" t="s">
        <v>1797</v>
      </c>
      <c r="B40" s="841" t="s">
        <v>353</v>
      </c>
      <c r="C40" s="841" t="s">
        <v>353</v>
      </c>
      <c r="D40" s="841" t="s">
        <v>353</v>
      </c>
      <c r="E40" s="841" t="s">
        <v>353</v>
      </c>
      <c r="F40" s="841" t="s">
        <v>353</v>
      </c>
      <c r="G40" s="841" t="s">
        <v>1798</v>
      </c>
      <c r="H40" s="841" t="s">
        <v>353</v>
      </c>
      <c r="I40" s="841" t="s">
        <v>353</v>
      </c>
      <c r="J40" s="841" t="s">
        <v>353</v>
      </c>
      <c r="K40" s="841" t="s">
        <v>353</v>
      </c>
      <c r="L40" s="842">
        <v>44599.698611111111</v>
      </c>
      <c r="M40" s="841" t="s">
        <v>353</v>
      </c>
      <c r="N40" s="841" t="s">
        <v>353</v>
      </c>
      <c r="O40" s="841" t="s">
        <v>353</v>
      </c>
      <c r="P40" s="841" t="s">
        <v>353</v>
      </c>
      <c r="Q40" s="841" t="s">
        <v>353</v>
      </c>
      <c r="R40" s="841" t="s">
        <v>353</v>
      </c>
      <c r="S40" s="841" t="s">
        <v>61</v>
      </c>
      <c r="T40" s="841" t="s">
        <v>1390</v>
      </c>
      <c r="U40" s="841" t="s">
        <v>353</v>
      </c>
      <c r="V40" s="841" t="s">
        <v>353</v>
      </c>
      <c r="W40" s="841" t="s">
        <v>1575</v>
      </c>
      <c r="X40" s="841" t="s">
        <v>1799</v>
      </c>
      <c r="Y40" s="841" t="s">
        <v>353</v>
      </c>
      <c r="Z40" s="841" t="s">
        <v>353</v>
      </c>
      <c r="AA40" s="841" t="s">
        <v>353</v>
      </c>
      <c r="AB40" s="841" t="s">
        <v>353</v>
      </c>
      <c r="AC40" s="841">
        <v>300000</v>
      </c>
      <c r="AD40" s="841" t="s">
        <v>353</v>
      </c>
      <c r="AE40" s="841" t="s">
        <v>353</v>
      </c>
      <c r="AF40" s="841" t="s">
        <v>353</v>
      </c>
      <c r="AG40" s="841" t="s">
        <v>353</v>
      </c>
      <c r="AH40" s="841">
        <v>3500</v>
      </c>
      <c r="AI40" s="841" t="s">
        <v>1406</v>
      </c>
      <c r="AJ40" s="841" t="s">
        <v>353</v>
      </c>
      <c r="AK40" s="841">
        <v>75</v>
      </c>
      <c r="AL40" s="841" t="s">
        <v>353</v>
      </c>
      <c r="AM40" s="841" t="s">
        <v>353</v>
      </c>
      <c r="AN40" s="841" t="s">
        <v>353</v>
      </c>
      <c r="AO40" s="841" t="s">
        <v>353</v>
      </c>
      <c r="AP40" s="841" t="s">
        <v>353</v>
      </c>
      <c r="AQ40" s="841" t="s">
        <v>353</v>
      </c>
      <c r="AR40" s="841" t="s">
        <v>353</v>
      </c>
      <c r="AS40" s="841" t="s">
        <v>353</v>
      </c>
      <c r="AT40" s="841" t="s">
        <v>353</v>
      </c>
      <c r="AU40" s="841" t="s">
        <v>353</v>
      </c>
      <c r="AV40" s="841" t="s">
        <v>353</v>
      </c>
      <c r="AW40" s="841" t="s">
        <v>353</v>
      </c>
      <c r="AX40" s="841" t="s">
        <v>353</v>
      </c>
      <c r="AY40" s="841" t="s">
        <v>353</v>
      </c>
      <c r="AZ40" s="841" t="s">
        <v>353</v>
      </c>
      <c r="BA40" s="841" t="s">
        <v>353</v>
      </c>
      <c r="BB40" s="841" t="s">
        <v>353</v>
      </c>
      <c r="BC40" s="841">
        <v>1403325</v>
      </c>
      <c r="BD40" s="841" t="s">
        <v>353</v>
      </c>
      <c r="BE40" s="841" t="s">
        <v>353</v>
      </c>
      <c r="BF40" s="841" t="s">
        <v>353</v>
      </c>
      <c r="BG40" s="841" t="s">
        <v>353</v>
      </c>
      <c r="BH40" s="841" t="s">
        <v>353</v>
      </c>
      <c r="BI40" s="841" t="s">
        <v>353</v>
      </c>
      <c r="BJ40" s="841" t="s">
        <v>353</v>
      </c>
      <c r="BK40" s="841" t="s">
        <v>353</v>
      </c>
      <c r="BL40" s="841" t="s">
        <v>1800</v>
      </c>
      <c r="BM40" s="842">
        <v>44620.656944444447</v>
      </c>
      <c r="BN40" s="841" t="s">
        <v>353</v>
      </c>
      <c r="BO40" s="841" t="s">
        <v>353</v>
      </c>
      <c r="BP40" s="841" t="s">
        <v>353</v>
      </c>
      <c r="BQ40" s="841" t="s">
        <v>353</v>
      </c>
      <c r="BR40" s="841" t="s">
        <v>353</v>
      </c>
      <c r="BS40" s="841" t="s">
        <v>353</v>
      </c>
      <c r="BT40" s="841">
        <v>1500000</v>
      </c>
      <c r="BU40" s="841" t="s">
        <v>353</v>
      </c>
      <c r="BV40" s="841" t="s">
        <v>1523</v>
      </c>
      <c r="BW40" s="841" t="s">
        <v>1578</v>
      </c>
      <c r="BX40" s="841" t="s">
        <v>1801</v>
      </c>
      <c r="BY40" s="841" t="s">
        <v>353</v>
      </c>
      <c r="BZ40" s="841" t="s">
        <v>353</v>
      </c>
      <c r="CA40" s="841" t="s">
        <v>353</v>
      </c>
      <c r="CB40" s="841" t="s">
        <v>353</v>
      </c>
      <c r="CC40" s="841" t="s">
        <v>353</v>
      </c>
      <c r="CD40" s="841" t="s">
        <v>353</v>
      </c>
      <c r="CE40" s="841" t="s">
        <v>353</v>
      </c>
      <c r="CF40" s="841" t="s">
        <v>353</v>
      </c>
      <c r="CG40" s="841" t="s">
        <v>353</v>
      </c>
      <c r="CH40" s="841" t="s">
        <v>353</v>
      </c>
      <c r="CI40" s="841" t="s">
        <v>353</v>
      </c>
      <c r="CJ40" s="841" t="s">
        <v>353</v>
      </c>
      <c r="CK40" s="841" t="s">
        <v>353</v>
      </c>
      <c r="CL40" s="841" t="s">
        <v>353</v>
      </c>
      <c r="CM40" s="841" t="s">
        <v>353</v>
      </c>
      <c r="CN40" s="841" t="s">
        <v>353</v>
      </c>
      <c r="CO40" s="841" t="s">
        <v>353</v>
      </c>
      <c r="CP40" s="841" t="s">
        <v>1802</v>
      </c>
      <c r="CQ40" s="841" t="s">
        <v>353</v>
      </c>
      <c r="CR40" s="841" t="s">
        <v>353</v>
      </c>
      <c r="CS40" s="841" t="s">
        <v>1803</v>
      </c>
      <c r="CT40" s="841" t="s">
        <v>353</v>
      </c>
      <c r="CU40" s="841" t="s">
        <v>1391</v>
      </c>
      <c r="CV40" s="841" t="s">
        <v>353</v>
      </c>
      <c r="CW40" s="841" t="s">
        <v>353</v>
      </c>
      <c r="CX40" s="841" t="s">
        <v>353</v>
      </c>
      <c r="CY40" s="841" t="s">
        <v>353</v>
      </c>
      <c r="CZ40" s="841">
        <v>3</v>
      </c>
      <c r="DA40" s="841" t="s">
        <v>353</v>
      </c>
      <c r="DB40" s="841" t="s">
        <v>353</v>
      </c>
      <c r="DC40" s="841" t="s">
        <v>353</v>
      </c>
      <c r="DD40" s="841" t="s">
        <v>353</v>
      </c>
      <c r="DE40" s="841" t="s">
        <v>353</v>
      </c>
      <c r="DF40" s="841">
        <v>18</v>
      </c>
      <c r="DG40" s="841" t="s">
        <v>353</v>
      </c>
      <c r="DH40" s="841" t="s">
        <v>353</v>
      </c>
      <c r="DI40" s="841" t="s">
        <v>353</v>
      </c>
      <c r="DJ40" s="841" t="s">
        <v>1804</v>
      </c>
      <c r="DK40" s="841" t="s">
        <v>353</v>
      </c>
      <c r="DL40" s="842">
        <v>44599.656944444447</v>
      </c>
      <c r="DM40" s="841" t="s">
        <v>353</v>
      </c>
      <c r="DN40" s="841" t="s">
        <v>353</v>
      </c>
      <c r="DO40" s="841" t="s">
        <v>673</v>
      </c>
      <c r="DP40" s="841" t="s">
        <v>353</v>
      </c>
      <c r="DQ40" s="841" t="s">
        <v>1434</v>
      </c>
      <c r="DR40" s="841">
        <v>2000000</v>
      </c>
      <c r="DS40" s="841">
        <v>18</v>
      </c>
      <c r="DT40" s="841" t="s">
        <v>353</v>
      </c>
      <c r="DU40" s="841" t="s">
        <v>353</v>
      </c>
      <c r="DV40" s="841">
        <v>1046400</v>
      </c>
      <c r="DW40" s="841">
        <v>1500000</v>
      </c>
      <c r="DX40" s="841" t="s">
        <v>353</v>
      </c>
      <c r="DY40" s="841" t="s">
        <v>353</v>
      </c>
      <c r="DZ40" s="841" t="s">
        <v>353</v>
      </c>
      <c r="EA40" s="841" t="s">
        <v>353</v>
      </c>
      <c r="EB40" s="841" t="s">
        <v>353</v>
      </c>
      <c r="EC40" s="841" t="s">
        <v>353</v>
      </c>
      <c r="ED40" s="841" t="s">
        <v>353</v>
      </c>
      <c r="EE40" s="841" t="s">
        <v>353</v>
      </c>
      <c r="EF40" s="841" t="s">
        <v>353</v>
      </c>
      <c r="EG40" s="841" t="s">
        <v>353</v>
      </c>
      <c r="EH40" s="841" t="s">
        <v>353</v>
      </c>
      <c r="EI40" s="841">
        <v>431100</v>
      </c>
      <c r="EJ40" s="841" t="s">
        <v>353</v>
      </c>
      <c r="EK40" s="841" t="s">
        <v>353</v>
      </c>
      <c r="EL40" s="841" t="s">
        <v>353</v>
      </c>
      <c r="EM40" s="841">
        <v>22500</v>
      </c>
      <c r="EN40" s="841" t="s">
        <v>353</v>
      </c>
      <c r="EO40" s="841" t="s">
        <v>353</v>
      </c>
      <c r="EP40" s="841" t="s">
        <v>353</v>
      </c>
      <c r="EQ40" s="841" t="s">
        <v>353</v>
      </c>
      <c r="ER40" s="841" t="s">
        <v>353</v>
      </c>
      <c r="ES40" s="841" t="s">
        <v>353</v>
      </c>
      <c r="ET40" s="841" t="s">
        <v>1512</v>
      </c>
      <c r="EU40" s="841" t="s">
        <v>353</v>
      </c>
      <c r="EV40" s="841" t="s">
        <v>353</v>
      </c>
      <c r="EW40" s="841" t="s">
        <v>353</v>
      </c>
      <c r="EX40" s="841" t="s">
        <v>353</v>
      </c>
      <c r="EY40" s="841" t="s">
        <v>353</v>
      </c>
      <c r="EZ40" s="841" t="s">
        <v>353</v>
      </c>
      <c r="FA40" s="841" t="s">
        <v>353</v>
      </c>
      <c r="FB40" s="841" t="s">
        <v>353</v>
      </c>
      <c r="FC40" s="841" t="s">
        <v>353</v>
      </c>
      <c r="FD40" s="841" t="s">
        <v>353</v>
      </c>
      <c r="FE40" s="842">
        <v>44599.657638888886</v>
      </c>
      <c r="FF40" s="841" t="s">
        <v>353</v>
      </c>
      <c r="FG40" s="841" t="s">
        <v>353</v>
      </c>
      <c r="FH40" s="841" t="s">
        <v>353</v>
      </c>
      <c r="FI40" s="841" t="s">
        <v>353</v>
      </c>
      <c r="FJ40" s="841" t="s">
        <v>353</v>
      </c>
      <c r="FK40" s="841" t="s">
        <v>353</v>
      </c>
      <c r="FL40" s="841" t="s">
        <v>353</v>
      </c>
      <c r="FM40" s="841" t="s">
        <v>353</v>
      </c>
      <c r="FN40" s="841" t="s">
        <v>353</v>
      </c>
      <c r="FO40" s="841" t="s">
        <v>1582</v>
      </c>
      <c r="FP40" s="841" t="s">
        <v>353</v>
      </c>
      <c r="FQ40" s="841" t="s">
        <v>353</v>
      </c>
      <c r="FR40" s="841" t="s">
        <v>353</v>
      </c>
      <c r="FS40" s="841" t="s">
        <v>353</v>
      </c>
      <c r="FT40" s="841" t="s">
        <v>353</v>
      </c>
      <c r="FU40" s="841" t="s">
        <v>1416</v>
      </c>
      <c r="FV40" s="841" t="s">
        <v>353</v>
      </c>
      <c r="FW40" s="841" t="s">
        <v>353</v>
      </c>
      <c r="FX40" s="841" t="s">
        <v>353</v>
      </c>
      <c r="FY40" s="841" t="s">
        <v>353</v>
      </c>
      <c r="FZ40" s="841" t="s">
        <v>353</v>
      </c>
      <c r="GA40" s="841" t="s">
        <v>353</v>
      </c>
      <c r="GB40" s="841">
        <v>1</v>
      </c>
      <c r="GC40" s="841" t="s">
        <v>353</v>
      </c>
      <c r="GD40" s="841" t="s">
        <v>1395</v>
      </c>
      <c r="GE40" s="841" t="s">
        <v>353</v>
      </c>
      <c r="GF40" s="841" t="s">
        <v>353</v>
      </c>
      <c r="GG40" s="841" t="s">
        <v>353</v>
      </c>
      <c r="GH40" s="841">
        <v>300000</v>
      </c>
      <c r="GI40" s="841" t="s">
        <v>353</v>
      </c>
      <c r="GJ40" s="841" t="s">
        <v>353</v>
      </c>
      <c r="GK40" s="841" t="s">
        <v>353</v>
      </c>
      <c r="GL40" s="841" t="s">
        <v>1497</v>
      </c>
      <c r="GM40" s="841" t="s">
        <v>353</v>
      </c>
      <c r="GN40" s="841" t="s">
        <v>353</v>
      </c>
      <c r="GO40" s="841" t="s">
        <v>353</v>
      </c>
      <c r="GP40" s="841" t="s">
        <v>353</v>
      </c>
      <c r="GQ40" s="841" t="s">
        <v>353</v>
      </c>
      <c r="GR40" s="841" t="s">
        <v>353</v>
      </c>
      <c r="GS40" s="841" t="s">
        <v>1523</v>
      </c>
      <c r="GT40" s="841" t="s">
        <v>353</v>
      </c>
      <c r="GU40" s="841" t="s">
        <v>353</v>
      </c>
      <c r="GV40" s="841" t="s">
        <v>1419</v>
      </c>
      <c r="GW40" s="841" t="s">
        <v>353</v>
      </c>
      <c r="GX40" s="841" t="s">
        <v>353</v>
      </c>
      <c r="GY40" s="841">
        <v>24</v>
      </c>
      <c r="GZ40" s="841" t="s">
        <v>1575</v>
      </c>
      <c r="HA40" s="841" t="s">
        <v>353</v>
      </c>
      <c r="HB40" s="841" t="s">
        <v>353</v>
      </c>
      <c r="HC40" s="841" t="s">
        <v>1421</v>
      </c>
      <c r="HD40" s="841" t="s">
        <v>1805</v>
      </c>
      <c r="HE40" s="841" t="s">
        <v>353</v>
      </c>
      <c r="HF40" s="841" t="s">
        <v>353</v>
      </c>
      <c r="HG40" s="841" t="s">
        <v>353</v>
      </c>
      <c r="HH40" s="841" t="s">
        <v>353</v>
      </c>
      <c r="HI40" s="841" t="s">
        <v>1422</v>
      </c>
      <c r="HJ40" s="841" t="s">
        <v>1806</v>
      </c>
      <c r="HK40" s="841">
        <v>1500000</v>
      </c>
      <c r="HL40" s="841" t="s">
        <v>353</v>
      </c>
      <c r="HM40" s="841" t="s">
        <v>1530</v>
      </c>
      <c r="HN40" s="841" t="s">
        <v>353</v>
      </c>
      <c r="HO40" s="841" t="s">
        <v>353</v>
      </c>
      <c r="HP40" s="841">
        <v>71850</v>
      </c>
      <c r="HQ40" s="841" t="s">
        <v>353</v>
      </c>
      <c r="HR40" s="841" t="s">
        <v>353</v>
      </c>
      <c r="HS40" s="841">
        <v>1068900</v>
      </c>
      <c r="HT40" s="841" t="s">
        <v>353</v>
      </c>
      <c r="HU40" s="841" t="s">
        <v>353</v>
      </c>
      <c r="HV40" s="841" t="s">
        <v>353</v>
      </c>
      <c r="HW40" s="841">
        <v>2000000</v>
      </c>
      <c r="HX40" s="841" t="s">
        <v>353</v>
      </c>
      <c r="HY40" s="841" t="s">
        <v>353</v>
      </c>
      <c r="HZ40" s="841" t="s">
        <v>353</v>
      </c>
      <c r="IA40" s="841" t="s">
        <v>353</v>
      </c>
      <c r="IB40" s="841" t="s">
        <v>1424</v>
      </c>
      <c r="IC40" s="841" t="s">
        <v>353</v>
      </c>
      <c r="ID40" s="841" t="s">
        <v>353</v>
      </c>
      <c r="IE40" s="841" t="s">
        <v>353</v>
      </c>
      <c r="IF40" s="841" t="s">
        <v>353</v>
      </c>
      <c r="IG40" s="841" t="s">
        <v>353</v>
      </c>
      <c r="IH40" s="841" t="s">
        <v>353</v>
      </c>
      <c r="II40" s="841" t="s">
        <v>353</v>
      </c>
      <c r="IJ40" s="841" t="s">
        <v>353</v>
      </c>
      <c r="IK40" s="841" t="s">
        <v>353</v>
      </c>
      <c r="IL40" s="841">
        <v>1425825</v>
      </c>
      <c r="IM40" s="841" t="s">
        <v>353</v>
      </c>
      <c r="IN40" s="841" t="s">
        <v>353</v>
      </c>
      <c r="IO40" s="841" t="s">
        <v>353</v>
      </c>
      <c r="IP40" s="841" t="s">
        <v>353</v>
      </c>
      <c r="IQ40" s="841" t="s">
        <v>353</v>
      </c>
      <c r="IR40" s="841">
        <v>6</v>
      </c>
      <c r="IS40" s="841" t="s">
        <v>353</v>
      </c>
      <c r="IT40" s="841" t="s">
        <v>353</v>
      </c>
      <c r="IU40" s="841" t="s">
        <v>353</v>
      </c>
      <c r="IV40" s="841" t="s">
        <v>353</v>
      </c>
      <c r="IW40" s="841" t="s">
        <v>353</v>
      </c>
      <c r="IX40" s="841" t="s">
        <v>353</v>
      </c>
      <c r="IY40" s="841" t="s">
        <v>1622</v>
      </c>
      <c r="IZ40" s="841" t="s">
        <v>353</v>
      </c>
      <c r="JA40" s="841">
        <v>1500000</v>
      </c>
      <c r="JB40" s="841" t="s">
        <v>353</v>
      </c>
      <c r="JC40" s="841" t="s">
        <v>353</v>
      </c>
      <c r="JD40" s="841" t="s">
        <v>1488</v>
      </c>
      <c r="JE40" s="841" t="s">
        <v>353</v>
      </c>
      <c r="JF40" s="841" t="s">
        <v>353</v>
      </c>
      <c r="JG40" s="841" t="s">
        <v>353</v>
      </c>
      <c r="JH40" s="841" t="s">
        <v>1807</v>
      </c>
      <c r="JI40" s="841" t="s">
        <v>1808</v>
      </c>
    </row>
    <row r="41" spans="1:269" x14ac:dyDescent="0.25">
      <c r="A41" s="841" t="s">
        <v>1809</v>
      </c>
      <c r="B41" s="841" t="s">
        <v>353</v>
      </c>
      <c r="C41" s="841" t="s">
        <v>353</v>
      </c>
      <c r="D41" s="841" t="s">
        <v>353</v>
      </c>
      <c r="E41" s="841" t="s">
        <v>353</v>
      </c>
      <c r="F41" s="841" t="s">
        <v>353</v>
      </c>
      <c r="G41" s="841" t="s">
        <v>353</v>
      </c>
      <c r="H41" s="841" t="s">
        <v>353</v>
      </c>
      <c r="I41" s="841" t="s">
        <v>353</v>
      </c>
      <c r="J41" s="841" t="s">
        <v>353</v>
      </c>
      <c r="K41" s="841" t="s">
        <v>353</v>
      </c>
      <c r="L41" s="842">
        <v>44607.65902777778</v>
      </c>
      <c r="M41" s="841" t="s">
        <v>353</v>
      </c>
      <c r="N41" s="841" t="s">
        <v>353</v>
      </c>
      <c r="O41" s="841" t="s">
        <v>353</v>
      </c>
      <c r="P41" s="841" t="s">
        <v>353</v>
      </c>
      <c r="Q41" s="841" t="s">
        <v>353</v>
      </c>
      <c r="R41" s="841" t="s">
        <v>353</v>
      </c>
      <c r="S41" s="841" t="s">
        <v>353</v>
      </c>
      <c r="T41" s="841" t="s">
        <v>1390</v>
      </c>
      <c r="U41" s="841" t="s">
        <v>353</v>
      </c>
      <c r="V41" s="841" t="s">
        <v>353</v>
      </c>
      <c r="W41" s="841" t="s">
        <v>353</v>
      </c>
      <c r="X41" s="841" t="s">
        <v>353</v>
      </c>
      <c r="Y41" s="841" t="s">
        <v>353</v>
      </c>
      <c r="Z41" s="841" t="s">
        <v>353</v>
      </c>
      <c r="AA41" s="841" t="s">
        <v>353</v>
      </c>
      <c r="AB41" s="841" t="s">
        <v>353</v>
      </c>
      <c r="AC41" s="841" t="s">
        <v>353</v>
      </c>
      <c r="AD41" s="841" t="s">
        <v>353</v>
      </c>
      <c r="AE41" s="841" t="s">
        <v>353</v>
      </c>
      <c r="AF41" s="841" t="s">
        <v>353</v>
      </c>
      <c r="AG41" s="841" t="s">
        <v>353</v>
      </c>
      <c r="AH41" s="841" t="s">
        <v>353</v>
      </c>
      <c r="AI41" s="841" t="s">
        <v>1406</v>
      </c>
      <c r="AJ41" s="841" t="s">
        <v>353</v>
      </c>
      <c r="AK41" s="841" t="s">
        <v>353</v>
      </c>
      <c r="AL41" s="841" t="s">
        <v>353</v>
      </c>
      <c r="AM41" s="841" t="s">
        <v>353</v>
      </c>
      <c r="AN41" s="841" t="s">
        <v>353</v>
      </c>
      <c r="AO41" s="841" t="s">
        <v>353</v>
      </c>
      <c r="AP41" s="841" t="s">
        <v>353</v>
      </c>
      <c r="AQ41" s="841" t="s">
        <v>353</v>
      </c>
      <c r="AR41" s="841" t="s">
        <v>353</v>
      </c>
      <c r="AS41" s="841" t="s">
        <v>353</v>
      </c>
      <c r="AT41" s="841" t="s">
        <v>353</v>
      </c>
      <c r="AU41" s="841" t="s">
        <v>353</v>
      </c>
      <c r="AV41" s="841" t="s">
        <v>353</v>
      </c>
      <c r="AW41" s="841" t="s">
        <v>353</v>
      </c>
      <c r="AX41" s="841" t="s">
        <v>353</v>
      </c>
      <c r="AY41" s="841" t="s">
        <v>353</v>
      </c>
      <c r="AZ41" s="841" t="s">
        <v>353</v>
      </c>
      <c r="BA41" s="841" t="s">
        <v>353</v>
      </c>
      <c r="BB41" s="841" t="s">
        <v>353</v>
      </c>
      <c r="BC41" s="841" t="s">
        <v>353</v>
      </c>
      <c r="BD41" s="841" t="s">
        <v>353</v>
      </c>
      <c r="BE41" s="841" t="s">
        <v>353</v>
      </c>
      <c r="BF41" s="841" t="s">
        <v>353</v>
      </c>
      <c r="BG41" s="841" t="s">
        <v>353</v>
      </c>
      <c r="BH41" s="841" t="s">
        <v>353</v>
      </c>
      <c r="BI41" s="841" t="s">
        <v>353</v>
      </c>
      <c r="BJ41" s="841" t="s">
        <v>353</v>
      </c>
      <c r="BK41" s="841" t="s">
        <v>353</v>
      </c>
      <c r="BL41" s="841" t="s">
        <v>1810</v>
      </c>
      <c r="BM41" s="842">
        <v>44620.561805555553</v>
      </c>
      <c r="BN41" s="841" t="s">
        <v>353</v>
      </c>
      <c r="BO41" s="841" t="s">
        <v>353</v>
      </c>
      <c r="BP41" s="841" t="s">
        <v>353</v>
      </c>
      <c r="BQ41" s="841" t="s">
        <v>353</v>
      </c>
      <c r="BR41" s="841" t="s">
        <v>353</v>
      </c>
      <c r="BS41" s="841" t="s">
        <v>353</v>
      </c>
      <c r="BT41" s="841">
        <v>280000</v>
      </c>
      <c r="BU41" s="841" t="s">
        <v>353</v>
      </c>
      <c r="BV41" s="841" t="s">
        <v>353</v>
      </c>
      <c r="BW41" s="841" t="s">
        <v>353</v>
      </c>
      <c r="BX41" s="841" t="s">
        <v>353</v>
      </c>
      <c r="BY41" s="841" t="s">
        <v>353</v>
      </c>
      <c r="BZ41" s="841" t="s">
        <v>353</v>
      </c>
      <c r="CA41" s="841" t="s">
        <v>353</v>
      </c>
      <c r="CB41" s="841" t="s">
        <v>353</v>
      </c>
      <c r="CC41" s="841" t="s">
        <v>353</v>
      </c>
      <c r="CD41" s="841" t="s">
        <v>353</v>
      </c>
      <c r="CE41" s="841" t="s">
        <v>353</v>
      </c>
      <c r="CF41" s="841" t="s">
        <v>353</v>
      </c>
      <c r="CG41" s="841" t="s">
        <v>353</v>
      </c>
      <c r="CH41" s="841" t="s">
        <v>353</v>
      </c>
      <c r="CI41" s="841" t="s">
        <v>353</v>
      </c>
      <c r="CJ41" s="841" t="s">
        <v>353</v>
      </c>
      <c r="CK41" s="841">
        <v>9</v>
      </c>
      <c r="CL41" s="841" t="s">
        <v>353</v>
      </c>
      <c r="CM41" s="841">
        <v>11</v>
      </c>
      <c r="CN41" s="841" t="s">
        <v>353</v>
      </c>
      <c r="CO41" s="841" t="s">
        <v>353</v>
      </c>
      <c r="CP41" s="841" t="s">
        <v>1811</v>
      </c>
      <c r="CQ41" s="841" t="s">
        <v>353</v>
      </c>
      <c r="CR41" s="841" t="s">
        <v>353</v>
      </c>
      <c r="CS41" s="841" t="s">
        <v>353</v>
      </c>
      <c r="CT41" s="841" t="s">
        <v>353</v>
      </c>
      <c r="CU41" s="841" t="s">
        <v>1391</v>
      </c>
      <c r="CV41" s="841" t="s">
        <v>353</v>
      </c>
      <c r="CW41" s="841" t="s">
        <v>353</v>
      </c>
      <c r="CX41" s="841" t="s">
        <v>353</v>
      </c>
      <c r="CY41" s="841" t="s">
        <v>353</v>
      </c>
      <c r="CZ41" s="841" t="s">
        <v>353</v>
      </c>
      <c r="DA41" s="841" t="s">
        <v>353</v>
      </c>
      <c r="DB41" s="841" t="s">
        <v>353</v>
      </c>
      <c r="DC41" s="841" t="s">
        <v>353</v>
      </c>
      <c r="DD41" s="841" t="s">
        <v>353</v>
      </c>
      <c r="DE41" s="841" t="s">
        <v>353</v>
      </c>
      <c r="DF41" s="841" t="s">
        <v>353</v>
      </c>
      <c r="DG41" s="841" t="s">
        <v>353</v>
      </c>
      <c r="DH41" s="841" t="s">
        <v>353</v>
      </c>
      <c r="DI41" s="841" t="s">
        <v>353</v>
      </c>
      <c r="DJ41" s="841" t="s">
        <v>1812</v>
      </c>
      <c r="DK41" s="841" t="s">
        <v>353</v>
      </c>
      <c r="DL41" s="842">
        <v>44599.561805555553</v>
      </c>
      <c r="DM41" s="841" t="s">
        <v>353</v>
      </c>
      <c r="DN41" s="841" t="s">
        <v>353</v>
      </c>
      <c r="DO41" s="841" t="s">
        <v>673</v>
      </c>
      <c r="DP41" s="841" t="s">
        <v>1412</v>
      </c>
      <c r="DQ41" s="841" t="s">
        <v>1482</v>
      </c>
      <c r="DR41" s="841" t="s">
        <v>353</v>
      </c>
      <c r="DS41" s="841" t="s">
        <v>353</v>
      </c>
      <c r="DT41" s="841" t="s">
        <v>353</v>
      </c>
      <c r="DU41" s="841" t="s">
        <v>353</v>
      </c>
      <c r="DV41" s="841" t="s">
        <v>353</v>
      </c>
      <c r="DW41" s="841" t="s">
        <v>353</v>
      </c>
      <c r="DX41" s="841" t="s">
        <v>353</v>
      </c>
      <c r="DY41" s="841" t="s">
        <v>353</v>
      </c>
      <c r="DZ41" s="841" t="s">
        <v>353</v>
      </c>
      <c r="EA41" s="841" t="s">
        <v>353</v>
      </c>
      <c r="EB41" s="841" t="s">
        <v>353</v>
      </c>
      <c r="EC41" s="841" t="s">
        <v>353</v>
      </c>
      <c r="ED41" s="841" t="s">
        <v>353</v>
      </c>
      <c r="EE41" s="841" t="s">
        <v>353</v>
      </c>
      <c r="EF41" s="841" t="s">
        <v>353</v>
      </c>
      <c r="EG41" s="841" t="s">
        <v>353</v>
      </c>
      <c r="EH41" s="841" t="s">
        <v>353</v>
      </c>
      <c r="EI41" s="841" t="s">
        <v>353</v>
      </c>
      <c r="EJ41" s="841" t="s">
        <v>353</v>
      </c>
      <c r="EK41" s="841" t="s">
        <v>353</v>
      </c>
      <c r="EL41" s="841" t="s">
        <v>353</v>
      </c>
      <c r="EM41" s="841" t="s">
        <v>353</v>
      </c>
      <c r="EN41" s="841" t="s">
        <v>353</v>
      </c>
      <c r="EO41" s="841" t="s">
        <v>353</v>
      </c>
      <c r="EP41" s="841" t="s">
        <v>353</v>
      </c>
      <c r="EQ41" s="841" t="s">
        <v>353</v>
      </c>
      <c r="ER41" s="841" t="s">
        <v>353</v>
      </c>
      <c r="ES41" s="841" t="s">
        <v>353</v>
      </c>
      <c r="ET41" s="841" t="s">
        <v>1483</v>
      </c>
      <c r="EU41" s="841" t="s">
        <v>353</v>
      </c>
      <c r="EV41" s="841" t="s">
        <v>353</v>
      </c>
      <c r="EW41" s="841" t="s">
        <v>353</v>
      </c>
      <c r="EX41" s="841" t="s">
        <v>353</v>
      </c>
      <c r="EY41" s="842">
        <v>44607.5</v>
      </c>
      <c r="EZ41" s="841" t="s">
        <v>353</v>
      </c>
      <c r="FA41" s="841" t="s">
        <v>353</v>
      </c>
      <c r="FB41" s="841" t="s">
        <v>353</v>
      </c>
      <c r="FC41" s="841" t="s">
        <v>353</v>
      </c>
      <c r="FD41" s="841" t="s">
        <v>353</v>
      </c>
      <c r="FE41" s="842">
        <v>44599.56527777778</v>
      </c>
      <c r="FF41" s="841" t="s">
        <v>353</v>
      </c>
      <c r="FG41" s="841" t="s">
        <v>353</v>
      </c>
      <c r="FH41" s="841" t="s">
        <v>353</v>
      </c>
      <c r="FI41" s="841" t="s">
        <v>353</v>
      </c>
      <c r="FJ41" s="841" t="s">
        <v>353</v>
      </c>
      <c r="FK41" s="841" t="s">
        <v>353</v>
      </c>
      <c r="FL41" s="841" t="s">
        <v>353</v>
      </c>
      <c r="FM41" s="841" t="s">
        <v>353</v>
      </c>
      <c r="FN41" s="841" t="s">
        <v>353</v>
      </c>
      <c r="FO41" s="841" t="s">
        <v>353</v>
      </c>
      <c r="FP41" s="841" t="s">
        <v>353</v>
      </c>
      <c r="FQ41" s="841" t="s">
        <v>353</v>
      </c>
      <c r="FR41" s="841" t="s">
        <v>353</v>
      </c>
      <c r="FS41" s="841" t="s">
        <v>353</v>
      </c>
      <c r="FT41" s="841" t="s">
        <v>353</v>
      </c>
      <c r="FU41" s="841" t="s">
        <v>1394</v>
      </c>
      <c r="FV41" s="841" t="s">
        <v>353</v>
      </c>
      <c r="FW41" s="841" t="s">
        <v>353</v>
      </c>
      <c r="FX41" s="841" t="s">
        <v>353</v>
      </c>
      <c r="FY41" s="841" t="s">
        <v>353</v>
      </c>
      <c r="FZ41" s="841" t="s">
        <v>353</v>
      </c>
      <c r="GA41" s="841" t="s">
        <v>353</v>
      </c>
      <c r="GB41" s="841">
        <v>1</v>
      </c>
      <c r="GC41" s="841" t="s">
        <v>353</v>
      </c>
      <c r="GD41" s="841" t="s">
        <v>1417</v>
      </c>
      <c r="GE41" s="841" t="s">
        <v>353</v>
      </c>
      <c r="GF41" s="841" t="s">
        <v>353</v>
      </c>
      <c r="GG41" s="841" t="s">
        <v>353</v>
      </c>
      <c r="GH41" s="841" t="s">
        <v>353</v>
      </c>
      <c r="GI41" s="841" t="s">
        <v>353</v>
      </c>
      <c r="GJ41" s="841" t="s">
        <v>353</v>
      </c>
      <c r="GK41" s="841" t="s">
        <v>353</v>
      </c>
      <c r="GL41" s="841" t="s">
        <v>1813</v>
      </c>
      <c r="GM41" s="841" t="s">
        <v>353</v>
      </c>
      <c r="GN41" s="841" t="s">
        <v>353</v>
      </c>
      <c r="GO41" s="841" t="s">
        <v>353</v>
      </c>
      <c r="GP41" s="841" t="s">
        <v>353</v>
      </c>
      <c r="GQ41" s="841" t="s">
        <v>353</v>
      </c>
      <c r="GR41" s="842">
        <v>44607.5</v>
      </c>
      <c r="GS41" s="841" t="s">
        <v>353</v>
      </c>
      <c r="GT41" s="841" t="s">
        <v>353</v>
      </c>
      <c r="GU41" s="841" t="s">
        <v>353</v>
      </c>
      <c r="GV41" s="841" t="s">
        <v>1076</v>
      </c>
      <c r="GW41" s="841" t="s">
        <v>353</v>
      </c>
      <c r="GX41" s="841" t="s">
        <v>353</v>
      </c>
      <c r="GY41" s="841" t="s">
        <v>353</v>
      </c>
      <c r="GZ41" s="841" t="s">
        <v>353</v>
      </c>
      <c r="HA41" s="841" t="s">
        <v>353</v>
      </c>
      <c r="HB41" s="841" t="s">
        <v>353</v>
      </c>
      <c r="HC41" s="841" t="s">
        <v>353</v>
      </c>
      <c r="HD41" s="841" t="s">
        <v>1814</v>
      </c>
      <c r="HE41" s="841" t="s">
        <v>353</v>
      </c>
      <c r="HF41" s="841" t="s">
        <v>353</v>
      </c>
      <c r="HG41" s="841" t="s">
        <v>353</v>
      </c>
      <c r="HH41" s="841" t="s">
        <v>353</v>
      </c>
      <c r="HI41" s="841" t="s">
        <v>1439</v>
      </c>
      <c r="HJ41" s="841" t="s">
        <v>353</v>
      </c>
      <c r="HK41" s="841" t="s">
        <v>353</v>
      </c>
      <c r="HL41" s="841" t="s">
        <v>353</v>
      </c>
      <c r="HM41" s="841" t="s">
        <v>353</v>
      </c>
      <c r="HN41" s="841" t="s">
        <v>353</v>
      </c>
      <c r="HO41" s="841" t="s">
        <v>353</v>
      </c>
      <c r="HP41" s="841" t="s">
        <v>353</v>
      </c>
      <c r="HQ41" s="841" t="s">
        <v>353</v>
      </c>
      <c r="HR41" s="841" t="s">
        <v>353</v>
      </c>
      <c r="HS41" s="841" t="s">
        <v>353</v>
      </c>
      <c r="HT41" s="841" t="s">
        <v>353</v>
      </c>
      <c r="HU41" s="841" t="s">
        <v>353</v>
      </c>
      <c r="HV41" s="841" t="s">
        <v>353</v>
      </c>
      <c r="HW41" s="841">
        <v>194950</v>
      </c>
      <c r="HX41" s="841" t="s">
        <v>353</v>
      </c>
      <c r="HY41" s="841" t="s">
        <v>353</v>
      </c>
      <c r="HZ41" s="841">
        <v>179900</v>
      </c>
      <c r="IA41" s="841" t="s">
        <v>353</v>
      </c>
      <c r="IB41" s="841" t="s">
        <v>1440</v>
      </c>
      <c r="IC41" s="841" t="s">
        <v>353</v>
      </c>
      <c r="ID41" s="841" t="s">
        <v>353</v>
      </c>
      <c r="IE41" s="841" t="s">
        <v>353</v>
      </c>
      <c r="IF41" s="841" t="s">
        <v>353</v>
      </c>
      <c r="IG41" s="841" t="s">
        <v>353</v>
      </c>
      <c r="IH41" s="841" t="s">
        <v>353</v>
      </c>
      <c r="II41" s="841" t="s">
        <v>353</v>
      </c>
      <c r="IJ41" s="841" t="s">
        <v>353</v>
      </c>
      <c r="IK41" s="841" t="s">
        <v>353</v>
      </c>
      <c r="IL41" s="841" t="s">
        <v>353</v>
      </c>
      <c r="IM41" s="841" t="s">
        <v>353</v>
      </c>
      <c r="IN41" s="841" t="s">
        <v>353</v>
      </c>
      <c r="IO41" s="841" t="s">
        <v>353</v>
      </c>
      <c r="IP41" s="841" t="s">
        <v>353</v>
      </c>
      <c r="IQ41" s="841" t="s">
        <v>353</v>
      </c>
      <c r="IR41" s="841" t="s">
        <v>353</v>
      </c>
      <c r="IS41" s="841" t="s">
        <v>353</v>
      </c>
      <c r="IT41" s="841" t="s">
        <v>353</v>
      </c>
      <c r="IU41" s="841" t="s">
        <v>353</v>
      </c>
      <c r="IV41" s="841" t="s">
        <v>353</v>
      </c>
      <c r="IW41" s="841" t="s">
        <v>1815</v>
      </c>
      <c r="IX41" s="841" t="s">
        <v>353</v>
      </c>
      <c r="IY41" s="841" t="s">
        <v>353</v>
      </c>
      <c r="IZ41" s="841" t="s">
        <v>353</v>
      </c>
      <c r="JA41" s="841" t="s">
        <v>353</v>
      </c>
      <c r="JB41" s="841" t="s">
        <v>353</v>
      </c>
      <c r="JC41" s="841" t="s">
        <v>353</v>
      </c>
      <c r="JD41" s="841" t="s">
        <v>353</v>
      </c>
      <c r="JE41" s="841" t="s">
        <v>353</v>
      </c>
      <c r="JF41" s="841" t="s">
        <v>1816</v>
      </c>
      <c r="JG41" s="841" t="s">
        <v>1817</v>
      </c>
      <c r="JH41" s="841" t="s">
        <v>1818</v>
      </c>
      <c r="JI41" s="841" t="s">
        <v>1819</v>
      </c>
    </row>
    <row r="42" spans="1:269" x14ac:dyDescent="0.25">
      <c r="A42" s="841" t="s">
        <v>1820</v>
      </c>
      <c r="B42" s="841" t="s">
        <v>353</v>
      </c>
      <c r="C42" s="841" t="s">
        <v>353</v>
      </c>
      <c r="D42" s="841" t="s">
        <v>353</v>
      </c>
      <c r="E42" s="841" t="s">
        <v>353</v>
      </c>
      <c r="F42" s="841" t="s">
        <v>1821</v>
      </c>
      <c r="G42" s="841" t="s">
        <v>1428</v>
      </c>
      <c r="H42" s="841" t="s">
        <v>353</v>
      </c>
      <c r="I42" s="841" t="s">
        <v>353</v>
      </c>
      <c r="J42" s="841" t="s">
        <v>353</v>
      </c>
      <c r="K42" s="841" t="s">
        <v>353</v>
      </c>
      <c r="L42" s="842">
        <v>44600.697222222225</v>
      </c>
      <c r="M42" s="841" t="s">
        <v>353</v>
      </c>
      <c r="N42" s="841" t="s">
        <v>353</v>
      </c>
      <c r="O42" s="841" t="s">
        <v>353</v>
      </c>
      <c r="P42" s="841" t="s">
        <v>353</v>
      </c>
      <c r="Q42" s="841" t="s">
        <v>353</v>
      </c>
      <c r="R42" s="841" t="s">
        <v>353</v>
      </c>
      <c r="S42" s="841" t="s">
        <v>67</v>
      </c>
      <c r="T42" s="841" t="s">
        <v>1390</v>
      </c>
      <c r="U42" s="841" t="s">
        <v>353</v>
      </c>
      <c r="V42" s="841" t="s">
        <v>353</v>
      </c>
      <c r="W42" s="841" t="s">
        <v>1420</v>
      </c>
      <c r="X42" s="841" t="s">
        <v>1405</v>
      </c>
      <c r="Y42" s="841" t="s">
        <v>353</v>
      </c>
      <c r="Z42" s="841" t="s">
        <v>353</v>
      </c>
      <c r="AA42" s="841" t="s">
        <v>353</v>
      </c>
      <c r="AB42" s="841" t="s">
        <v>353</v>
      </c>
      <c r="AC42" s="841">
        <v>83200</v>
      </c>
      <c r="AD42" s="841" t="s">
        <v>353</v>
      </c>
      <c r="AE42" s="841" t="s">
        <v>353</v>
      </c>
      <c r="AF42" s="841" t="s">
        <v>353</v>
      </c>
      <c r="AG42" s="841" t="s">
        <v>353</v>
      </c>
      <c r="AH42" s="841">
        <v>5225</v>
      </c>
      <c r="AI42" s="841" t="s">
        <v>1521</v>
      </c>
      <c r="AJ42" s="841" t="s">
        <v>353</v>
      </c>
      <c r="AK42" s="841">
        <v>70</v>
      </c>
      <c r="AL42" s="841" t="s">
        <v>353</v>
      </c>
      <c r="AM42" s="841" t="s">
        <v>353</v>
      </c>
      <c r="AN42" s="841" t="s">
        <v>353</v>
      </c>
      <c r="AO42" s="841" t="s">
        <v>353</v>
      </c>
      <c r="AP42" s="841" t="s">
        <v>353</v>
      </c>
      <c r="AQ42" s="841" t="s">
        <v>353</v>
      </c>
      <c r="AR42" s="841" t="s">
        <v>353</v>
      </c>
      <c r="AS42" s="841" t="s">
        <v>353</v>
      </c>
      <c r="AT42" s="841" t="s">
        <v>353</v>
      </c>
      <c r="AU42" s="841" t="s">
        <v>353</v>
      </c>
      <c r="AV42" s="841" t="s">
        <v>353</v>
      </c>
      <c r="AW42" s="841" t="s">
        <v>353</v>
      </c>
      <c r="AX42" s="841" t="s">
        <v>353</v>
      </c>
      <c r="AY42" s="841" t="s">
        <v>353</v>
      </c>
      <c r="AZ42" s="841" t="s">
        <v>353</v>
      </c>
      <c r="BA42" s="841" t="s">
        <v>353</v>
      </c>
      <c r="BB42" s="841" t="s">
        <v>353</v>
      </c>
      <c r="BC42" s="841">
        <v>408720</v>
      </c>
      <c r="BD42" s="841" t="s">
        <v>353</v>
      </c>
      <c r="BE42" s="841" t="s">
        <v>353</v>
      </c>
      <c r="BF42" s="841" t="s">
        <v>353</v>
      </c>
      <c r="BG42" s="841" t="s">
        <v>353</v>
      </c>
      <c r="BH42" s="841" t="s">
        <v>353</v>
      </c>
      <c r="BI42" s="841" t="s">
        <v>353</v>
      </c>
      <c r="BJ42" s="841" t="s">
        <v>353</v>
      </c>
      <c r="BK42" s="841" t="s">
        <v>353</v>
      </c>
      <c r="BL42" s="841" t="s">
        <v>1822</v>
      </c>
      <c r="BM42" s="842">
        <v>44620.552083333336</v>
      </c>
      <c r="BN42" s="841" t="s">
        <v>353</v>
      </c>
      <c r="BO42" s="841" t="s">
        <v>353</v>
      </c>
      <c r="BP42" s="841" t="s">
        <v>353</v>
      </c>
      <c r="BQ42" s="841" t="s">
        <v>353</v>
      </c>
      <c r="BR42" s="841" t="s">
        <v>353</v>
      </c>
      <c r="BS42" s="841" t="s">
        <v>353</v>
      </c>
      <c r="BT42" s="841">
        <v>416000</v>
      </c>
      <c r="BU42" s="841" t="s">
        <v>353</v>
      </c>
      <c r="BV42" s="841" t="s">
        <v>1823</v>
      </c>
      <c r="BW42" s="841" t="s">
        <v>1578</v>
      </c>
      <c r="BX42" s="841" t="s">
        <v>353</v>
      </c>
      <c r="BY42" s="841" t="s">
        <v>353</v>
      </c>
      <c r="BZ42" s="841" t="s">
        <v>353</v>
      </c>
      <c r="CA42" s="841" t="s">
        <v>353</v>
      </c>
      <c r="CB42" s="841" t="s">
        <v>353</v>
      </c>
      <c r="CC42" s="841" t="s">
        <v>353</v>
      </c>
      <c r="CD42" s="841" t="s">
        <v>353</v>
      </c>
      <c r="CE42" s="841" t="s">
        <v>353</v>
      </c>
      <c r="CF42" s="841" t="s">
        <v>353</v>
      </c>
      <c r="CG42" s="841" t="s">
        <v>353</v>
      </c>
      <c r="CH42" s="841" t="s">
        <v>353</v>
      </c>
      <c r="CI42" s="841" t="s">
        <v>353</v>
      </c>
      <c r="CJ42" s="841" t="s">
        <v>353</v>
      </c>
      <c r="CK42" s="841">
        <v>1</v>
      </c>
      <c r="CL42" s="841" t="s">
        <v>353</v>
      </c>
      <c r="CM42" s="841">
        <v>1</v>
      </c>
      <c r="CN42" s="841" t="s">
        <v>353</v>
      </c>
      <c r="CO42" s="841" t="s">
        <v>353</v>
      </c>
      <c r="CP42" s="841" t="s">
        <v>1824</v>
      </c>
      <c r="CQ42" s="841" t="s">
        <v>353</v>
      </c>
      <c r="CR42" s="841" t="s">
        <v>353</v>
      </c>
      <c r="CS42" s="841" t="s">
        <v>1405</v>
      </c>
      <c r="CT42" s="841" t="s">
        <v>353</v>
      </c>
      <c r="CU42" s="841" t="s">
        <v>1391</v>
      </c>
      <c r="CV42" s="841" t="s">
        <v>353</v>
      </c>
      <c r="CW42" s="841" t="s">
        <v>353</v>
      </c>
      <c r="CX42" s="841" t="s">
        <v>353</v>
      </c>
      <c r="CY42" s="841" t="s">
        <v>353</v>
      </c>
      <c r="CZ42" s="841">
        <v>11</v>
      </c>
      <c r="DA42" s="841" t="s">
        <v>353</v>
      </c>
      <c r="DB42" s="841" t="s">
        <v>353</v>
      </c>
      <c r="DC42" s="841" t="s">
        <v>353</v>
      </c>
      <c r="DD42" s="841" t="s">
        <v>353</v>
      </c>
      <c r="DE42" s="841" t="s">
        <v>353</v>
      </c>
      <c r="DF42" s="841">
        <v>24</v>
      </c>
      <c r="DG42" s="841" t="s">
        <v>353</v>
      </c>
      <c r="DH42" s="841" t="s">
        <v>353</v>
      </c>
      <c r="DI42" s="841" t="s">
        <v>353</v>
      </c>
      <c r="DJ42" s="841" t="s">
        <v>1825</v>
      </c>
      <c r="DK42" s="841" t="s">
        <v>353</v>
      </c>
      <c r="DL42" s="842">
        <v>44599.552083333336</v>
      </c>
      <c r="DM42" s="841" t="s">
        <v>353</v>
      </c>
      <c r="DN42" s="841" t="s">
        <v>353</v>
      </c>
      <c r="DO42" s="841" t="s">
        <v>673</v>
      </c>
      <c r="DP42" s="841" t="s">
        <v>1481</v>
      </c>
      <c r="DQ42" s="841" t="s">
        <v>1565</v>
      </c>
      <c r="DR42" s="841" t="s">
        <v>353</v>
      </c>
      <c r="DS42" s="841">
        <v>24</v>
      </c>
      <c r="DT42" s="841" t="s">
        <v>353</v>
      </c>
      <c r="DU42" s="841" t="s">
        <v>353</v>
      </c>
      <c r="DV42" s="841">
        <v>408720</v>
      </c>
      <c r="DW42" s="841">
        <v>416000</v>
      </c>
      <c r="DX42" s="841" t="s">
        <v>353</v>
      </c>
      <c r="DY42" s="841" t="s">
        <v>353</v>
      </c>
      <c r="DZ42" s="841" t="s">
        <v>353</v>
      </c>
      <c r="EA42" s="841" t="s">
        <v>353</v>
      </c>
      <c r="EB42" s="841" t="s">
        <v>353</v>
      </c>
      <c r="EC42" s="841" t="s">
        <v>353</v>
      </c>
      <c r="ED42" s="841" t="s">
        <v>353</v>
      </c>
      <c r="EE42" s="841" t="s">
        <v>353</v>
      </c>
      <c r="EF42" s="841" t="s">
        <v>353</v>
      </c>
      <c r="EG42" s="841" t="s">
        <v>353</v>
      </c>
      <c r="EH42" s="841" t="s">
        <v>353</v>
      </c>
      <c r="EI42" s="841">
        <v>0</v>
      </c>
      <c r="EJ42" s="841" t="s">
        <v>353</v>
      </c>
      <c r="EK42" s="841" t="s">
        <v>353</v>
      </c>
      <c r="EL42" s="841" t="s">
        <v>1435</v>
      </c>
      <c r="EM42" s="841">
        <v>7280</v>
      </c>
      <c r="EN42" s="841" t="s">
        <v>353</v>
      </c>
      <c r="EO42" s="841" t="s">
        <v>353</v>
      </c>
      <c r="EP42" s="841" t="s">
        <v>353</v>
      </c>
      <c r="EQ42" s="841" t="s">
        <v>353</v>
      </c>
      <c r="ER42" s="841" t="s">
        <v>353</v>
      </c>
      <c r="ES42" s="841" t="s">
        <v>353</v>
      </c>
      <c r="ET42" s="841" t="s">
        <v>1512</v>
      </c>
      <c r="EU42" s="841" t="s">
        <v>353</v>
      </c>
      <c r="EV42" s="841" t="s">
        <v>353</v>
      </c>
      <c r="EW42" s="841" t="s">
        <v>353</v>
      </c>
      <c r="EX42" s="841" t="s">
        <v>353</v>
      </c>
      <c r="EY42" s="842">
        <v>44600.411805555559</v>
      </c>
      <c r="EZ42" s="841" t="s">
        <v>353</v>
      </c>
      <c r="FA42" s="841" t="s">
        <v>353</v>
      </c>
      <c r="FB42" s="841" t="s">
        <v>353</v>
      </c>
      <c r="FC42" s="841" t="s">
        <v>353</v>
      </c>
      <c r="FD42" s="841" t="s">
        <v>353</v>
      </c>
      <c r="FE42" s="842">
        <v>44600.696527777778</v>
      </c>
      <c r="FF42" s="841" t="s">
        <v>353</v>
      </c>
      <c r="FG42" s="841" t="s">
        <v>353</v>
      </c>
      <c r="FH42" s="841" t="s">
        <v>353</v>
      </c>
      <c r="FI42" s="841" t="s">
        <v>353</v>
      </c>
      <c r="FJ42" s="841" t="s">
        <v>353</v>
      </c>
      <c r="FK42" s="841" t="s">
        <v>353</v>
      </c>
      <c r="FL42" s="841" t="s">
        <v>353</v>
      </c>
      <c r="FM42" s="841" t="s">
        <v>353</v>
      </c>
      <c r="FN42" s="841" t="s">
        <v>353</v>
      </c>
      <c r="FO42" s="841" t="s">
        <v>1582</v>
      </c>
      <c r="FP42" s="841" t="s">
        <v>353</v>
      </c>
      <c r="FQ42" s="841" t="s">
        <v>353</v>
      </c>
      <c r="FR42" s="841" t="s">
        <v>353</v>
      </c>
      <c r="FS42" s="841" t="s">
        <v>353</v>
      </c>
      <c r="FT42" s="841" t="s">
        <v>353</v>
      </c>
      <c r="FU42" s="841" t="s">
        <v>1416</v>
      </c>
      <c r="FV42" s="841" t="s">
        <v>353</v>
      </c>
      <c r="FW42" s="841" t="s">
        <v>353</v>
      </c>
      <c r="FX42" s="841" t="s">
        <v>353</v>
      </c>
      <c r="FY42" s="841" t="s">
        <v>353</v>
      </c>
      <c r="FZ42" s="841" t="s">
        <v>353</v>
      </c>
      <c r="GA42" s="841" t="s">
        <v>353</v>
      </c>
      <c r="GB42" s="841">
        <v>1</v>
      </c>
      <c r="GC42" s="841" t="s">
        <v>353</v>
      </c>
      <c r="GD42" s="841" t="s">
        <v>1417</v>
      </c>
      <c r="GE42" s="841" t="s">
        <v>353</v>
      </c>
      <c r="GF42" s="841" t="s">
        <v>353</v>
      </c>
      <c r="GG42" s="841" t="s">
        <v>353</v>
      </c>
      <c r="GH42" s="841">
        <v>83200</v>
      </c>
      <c r="GI42" s="841" t="s">
        <v>353</v>
      </c>
      <c r="GJ42" s="841" t="s">
        <v>353</v>
      </c>
      <c r="GK42" s="841" t="s">
        <v>353</v>
      </c>
      <c r="GL42" s="841" t="s">
        <v>1567</v>
      </c>
      <c r="GM42" s="841" t="s">
        <v>353</v>
      </c>
      <c r="GN42" s="841" t="s">
        <v>353</v>
      </c>
      <c r="GO42" s="841" t="s">
        <v>353</v>
      </c>
      <c r="GP42" s="841" t="s">
        <v>353</v>
      </c>
      <c r="GQ42" s="841" t="s">
        <v>353</v>
      </c>
      <c r="GR42" s="842">
        <v>44600.411805555559</v>
      </c>
      <c r="GS42" s="841" t="s">
        <v>1823</v>
      </c>
      <c r="GT42" s="841" t="s">
        <v>353</v>
      </c>
      <c r="GU42" s="841" t="s">
        <v>353</v>
      </c>
      <c r="GV42" s="841" t="s">
        <v>1419</v>
      </c>
      <c r="GW42" s="841" t="s">
        <v>353</v>
      </c>
      <c r="GX42" s="841" t="s">
        <v>353</v>
      </c>
      <c r="GY42" s="841">
        <v>24</v>
      </c>
      <c r="GZ42" s="841" t="s">
        <v>1420</v>
      </c>
      <c r="HA42" s="841" t="s">
        <v>353</v>
      </c>
      <c r="HB42" s="841" t="s">
        <v>353</v>
      </c>
      <c r="HC42" s="841" t="s">
        <v>1421</v>
      </c>
      <c r="HD42" s="841" t="s">
        <v>1826</v>
      </c>
      <c r="HE42" s="841">
        <v>6240</v>
      </c>
      <c r="HF42" s="841" t="s">
        <v>353</v>
      </c>
      <c r="HG42" s="841" t="s">
        <v>353</v>
      </c>
      <c r="HH42" s="841" t="s">
        <v>353</v>
      </c>
      <c r="HI42" s="841" t="s">
        <v>1422</v>
      </c>
      <c r="HJ42" s="841" t="s">
        <v>1827</v>
      </c>
      <c r="HK42" s="841">
        <v>416000</v>
      </c>
      <c r="HL42" s="841" t="s">
        <v>353</v>
      </c>
      <c r="HM42" s="841" t="s">
        <v>1530</v>
      </c>
      <c r="HN42" s="841" t="s">
        <v>353</v>
      </c>
      <c r="HO42" s="841" t="s">
        <v>353</v>
      </c>
      <c r="HP42" s="841">
        <v>24086.400000000001</v>
      </c>
      <c r="HQ42" s="841" t="s">
        <v>353</v>
      </c>
      <c r="HR42" s="841" t="s">
        <v>353</v>
      </c>
      <c r="HS42" s="841">
        <v>416000</v>
      </c>
      <c r="HT42" s="841" t="s">
        <v>353</v>
      </c>
      <c r="HU42" s="841" t="s">
        <v>353</v>
      </c>
      <c r="HV42" s="841" t="s">
        <v>353</v>
      </c>
      <c r="HW42" s="841">
        <v>595000</v>
      </c>
      <c r="HX42" s="841" t="s">
        <v>353</v>
      </c>
      <c r="HY42" s="841" t="s">
        <v>353</v>
      </c>
      <c r="HZ42" s="841" t="s">
        <v>353</v>
      </c>
      <c r="IA42" s="841" t="s">
        <v>353</v>
      </c>
      <c r="IB42" s="841" t="s">
        <v>1828</v>
      </c>
      <c r="IC42" s="841" t="s">
        <v>353</v>
      </c>
      <c r="ID42" s="841" t="s">
        <v>353</v>
      </c>
      <c r="IE42" s="841" t="s">
        <v>353</v>
      </c>
      <c r="IF42" s="841" t="s">
        <v>353</v>
      </c>
      <c r="IG42" s="841" t="s">
        <v>353</v>
      </c>
      <c r="IH42" s="841" t="s">
        <v>353</v>
      </c>
      <c r="II42" s="841" t="s">
        <v>353</v>
      </c>
      <c r="IJ42" s="841" t="s">
        <v>353</v>
      </c>
      <c r="IK42" s="841" t="s">
        <v>353</v>
      </c>
      <c r="IL42" s="841">
        <v>416000</v>
      </c>
      <c r="IM42" s="841" t="s">
        <v>353</v>
      </c>
      <c r="IN42" s="841" t="s">
        <v>353</v>
      </c>
      <c r="IO42" s="841" t="s">
        <v>353</v>
      </c>
      <c r="IP42" s="841" t="s">
        <v>353</v>
      </c>
      <c r="IQ42" s="841" t="s">
        <v>353</v>
      </c>
      <c r="IR42" s="841">
        <v>0</v>
      </c>
      <c r="IS42" s="841" t="s">
        <v>353</v>
      </c>
      <c r="IT42" s="841" t="s">
        <v>353</v>
      </c>
      <c r="IU42" s="841" t="s">
        <v>353</v>
      </c>
      <c r="IV42" s="841" t="s">
        <v>353</v>
      </c>
      <c r="IW42" s="841" t="s">
        <v>353</v>
      </c>
      <c r="IX42" s="841" t="s">
        <v>353</v>
      </c>
      <c r="IY42" s="841" t="s">
        <v>1622</v>
      </c>
      <c r="IZ42" s="841" t="s">
        <v>353</v>
      </c>
      <c r="JA42" s="841">
        <v>416000</v>
      </c>
      <c r="JB42" s="841" t="s">
        <v>353</v>
      </c>
      <c r="JC42" s="841" t="s">
        <v>353</v>
      </c>
      <c r="JD42" s="841" t="s">
        <v>1413</v>
      </c>
      <c r="JE42" s="841" t="s">
        <v>353</v>
      </c>
      <c r="JF42" s="841" t="s">
        <v>353</v>
      </c>
      <c r="JG42" s="841" t="s">
        <v>353</v>
      </c>
      <c r="JH42" s="841" t="s">
        <v>1829</v>
      </c>
      <c r="JI42" s="841" t="s">
        <v>1830</v>
      </c>
    </row>
    <row r="43" spans="1:269" x14ac:dyDescent="0.25">
      <c r="A43" s="841" t="s">
        <v>1831</v>
      </c>
      <c r="B43" s="841" t="s">
        <v>353</v>
      </c>
      <c r="C43" s="841" t="s">
        <v>353</v>
      </c>
      <c r="D43" s="841" t="s">
        <v>353</v>
      </c>
      <c r="E43" s="841" t="s">
        <v>353</v>
      </c>
      <c r="F43" s="841" t="s">
        <v>353</v>
      </c>
      <c r="G43" s="841" t="s">
        <v>353</v>
      </c>
      <c r="H43" s="841" t="s">
        <v>353</v>
      </c>
      <c r="I43" s="841" t="s">
        <v>353</v>
      </c>
      <c r="J43" s="841" t="s">
        <v>353</v>
      </c>
      <c r="K43" s="841" t="s">
        <v>353</v>
      </c>
      <c r="L43" s="842">
        <v>44599.603472222225</v>
      </c>
      <c r="M43" s="841" t="s">
        <v>353</v>
      </c>
      <c r="N43" s="841" t="s">
        <v>353</v>
      </c>
      <c r="O43" s="841" t="s">
        <v>353</v>
      </c>
      <c r="P43" s="841" t="s">
        <v>353</v>
      </c>
      <c r="Q43" s="841" t="s">
        <v>353</v>
      </c>
      <c r="R43" s="841" t="s">
        <v>353</v>
      </c>
      <c r="S43" s="841" t="s">
        <v>353</v>
      </c>
      <c r="T43" s="841" t="s">
        <v>1390</v>
      </c>
      <c r="U43" s="841" t="s">
        <v>353</v>
      </c>
      <c r="V43" s="841" t="s">
        <v>353</v>
      </c>
      <c r="W43" s="841" t="s">
        <v>353</v>
      </c>
      <c r="X43" s="841" t="s">
        <v>353</v>
      </c>
      <c r="Y43" s="841" t="s">
        <v>353</v>
      </c>
      <c r="Z43" s="841" t="s">
        <v>353</v>
      </c>
      <c r="AA43" s="841" t="s">
        <v>353</v>
      </c>
      <c r="AB43" s="841" t="s">
        <v>353</v>
      </c>
      <c r="AC43" s="841">
        <v>18000</v>
      </c>
      <c r="AD43" s="841" t="s">
        <v>353</v>
      </c>
      <c r="AE43" s="841" t="s">
        <v>353</v>
      </c>
      <c r="AF43" s="841" t="s">
        <v>353</v>
      </c>
      <c r="AG43" s="841" t="s">
        <v>353</v>
      </c>
      <c r="AH43" s="841" t="s">
        <v>353</v>
      </c>
      <c r="AI43" s="841" t="s">
        <v>1406</v>
      </c>
      <c r="AJ43" s="841" t="s">
        <v>353</v>
      </c>
      <c r="AK43" s="841" t="s">
        <v>353</v>
      </c>
      <c r="AL43" s="841" t="s">
        <v>353</v>
      </c>
      <c r="AM43" s="841" t="s">
        <v>353</v>
      </c>
      <c r="AN43" s="841" t="s">
        <v>353</v>
      </c>
      <c r="AO43" s="841" t="s">
        <v>353</v>
      </c>
      <c r="AP43" s="841" t="s">
        <v>353</v>
      </c>
      <c r="AQ43" s="841" t="s">
        <v>353</v>
      </c>
      <c r="AR43" s="841" t="s">
        <v>353</v>
      </c>
      <c r="AS43" s="841" t="s">
        <v>353</v>
      </c>
      <c r="AT43" s="841" t="s">
        <v>353</v>
      </c>
      <c r="AU43" s="841" t="s">
        <v>353</v>
      </c>
      <c r="AV43" s="841" t="s">
        <v>353</v>
      </c>
      <c r="AW43" s="841" t="s">
        <v>353</v>
      </c>
      <c r="AX43" s="841" t="s">
        <v>353</v>
      </c>
      <c r="AY43" s="841" t="s">
        <v>353</v>
      </c>
      <c r="AZ43" s="841" t="s">
        <v>353</v>
      </c>
      <c r="BA43" s="841" t="s">
        <v>353</v>
      </c>
      <c r="BB43" s="841" t="s">
        <v>353</v>
      </c>
      <c r="BC43" s="841" t="s">
        <v>353</v>
      </c>
      <c r="BD43" s="841" t="s">
        <v>353</v>
      </c>
      <c r="BE43" s="841" t="s">
        <v>353</v>
      </c>
      <c r="BF43" s="841" t="s">
        <v>353</v>
      </c>
      <c r="BG43" s="841" t="s">
        <v>353</v>
      </c>
      <c r="BH43" s="841" t="s">
        <v>353</v>
      </c>
      <c r="BI43" s="841" t="s">
        <v>353</v>
      </c>
      <c r="BJ43" s="841" t="s">
        <v>353</v>
      </c>
      <c r="BK43" s="841" t="s">
        <v>353</v>
      </c>
      <c r="BL43" s="841" t="s">
        <v>1832</v>
      </c>
      <c r="BM43" s="842">
        <v>44620.527083333334</v>
      </c>
      <c r="BN43" s="841" t="s">
        <v>353</v>
      </c>
      <c r="BO43" s="841" t="s">
        <v>353</v>
      </c>
      <c r="BP43" s="841" t="s">
        <v>353</v>
      </c>
      <c r="BQ43" s="841" t="s">
        <v>353</v>
      </c>
      <c r="BR43" s="841" t="s">
        <v>353</v>
      </c>
      <c r="BS43" s="841" t="s">
        <v>353</v>
      </c>
      <c r="BT43" s="841">
        <v>180000</v>
      </c>
      <c r="BU43" s="841" t="s">
        <v>353</v>
      </c>
      <c r="BV43" s="841" t="s">
        <v>353</v>
      </c>
      <c r="BW43" s="841" t="s">
        <v>353</v>
      </c>
      <c r="BX43" s="841" t="s">
        <v>1833</v>
      </c>
      <c r="BY43" s="841" t="s">
        <v>353</v>
      </c>
      <c r="BZ43" s="841" t="s">
        <v>353</v>
      </c>
      <c r="CA43" s="841" t="s">
        <v>353</v>
      </c>
      <c r="CB43" s="841" t="s">
        <v>353</v>
      </c>
      <c r="CC43" s="841" t="s">
        <v>353</v>
      </c>
      <c r="CD43" s="841" t="s">
        <v>353</v>
      </c>
      <c r="CE43" s="841" t="s">
        <v>353</v>
      </c>
      <c r="CF43" s="841" t="s">
        <v>353</v>
      </c>
      <c r="CG43" s="841" t="s">
        <v>353</v>
      </c>
      <c r="CH43" s="841" t="s">
        <v>353</v>
      </c>
      <c r="CI43" s="841" t="s">
        <v>353</v>
      </c>
      <c r="CJ43" s="841" t="s">
        <v>353</v>
      </c>
      <c r="CK43" s="841">
        <v>0</v>
      </c>
      <c r="CL43" s="841" t="s">
        <v>353</v>
      </c>
      <c r="CM43" s="841">
        <v>1</v>
      </c>
      <c r="CN43" s="841" t="s">
        <v>353</v>
      </c>
      <c r="CO43" s="841" t="s">
        <v>353</v>
      </c>
      <c r="CP43" s="841" t="s">
        <v>353</v>
      </c>
      <c r="CQ43" s="841" t="s">
        <v>353</v>
      </c>
      <c r="CR43" s="841" t="s">
        <v>353</v>
      </c>
      <c r="CS43" s="841" t="s">
        <v>353</v>
      </c>
      <c r="CT43" s="841" t="s">
        <v>353</v>
      </c>
      <c r="CU43" s="841" t="s">
        <v>1391</v>
      </c>
      <c r="CV43" s="841" t="s">
        <v>353</v>
      </c>
      <c r="CW43" s="841" t="s">
        <v>353</v>
      </c>
      <c r="CX43" s="841" t="s">
        <v>353</v>
      </c>
      <c r="CY43" s="841" t="s">
        <v>353</v>
      </c>
      <c r="CZ43" s="841" t="s">
        <v>353</v>
      </c>
      <c r="DA43" s="841" t="s">
        <v>353</v>
      </c>
      <c r="DB43" s="841" t="s">
        <v>353</v>
      </c>
      <c r="DC43" s="841" t="s">
        <v>353</v>
      </c>
      <c r="DD43" s="841" t="s">
        <v>353</v>
      </c>
      <c r="DE43" s="841" t="s">
        <v>353</v>
      </c>
      <c r="DF43" s="841" t="s">
        <v>353</v>
      </c>
      <c r="DG43" s="841" t="s">
        <v>353</v>
      </c>
      <c r="DH43" s="841" t="s">
        <v>353</v>
      </c>
      <c r="DI43" s="841" t="s">
        <v>353</v>
      </c>
      <c r="DJ43" s="841" t="s">
        <v>1834</v>
      </c>
      <c r="DK43" s="841" t="s">
        <v>353</v>
      </c>
      <c r="DL43" s="842">
        <v>44599.527083333334</v>
      </c>
      <c r="DM43" s="841" t="s">
        <v>353</v>
      </c>
      <c r="DN43" s="841" t="s">
        <v>353</v>
      </c>
      <c r="DO43" s="841" t="s">
        <v>673</v>
      </c>
      <c r="DP43" s="841" t="s">
        <v>353</v>
      </c>
      <c r="DQ43" s="841" t="s">
        <v>1392</v>
      </c>
      <c r="DR43" s="841">
        <v>240000</v>
      </c>
      <c r="DS43" s="841" t="s">
        <v>353</v>
      </c>
      <c r="DT43" s="841" t="s">
        <v>353</v>
      </c>
      <c r="DU43" s="841" t="s">
        <v>353</v>
      </c>
      <c r="DV43" s="841" t="s">
        <v>353</v>
      </c>
      <c r="DW43" s="841">
        <v>180000</v>
      </c>
      <c r="DX43" s="841" t="s">
        <v>353</v>
      </c>
      <c r="DY43" s="841" t="s">
        <v>353</v>
      </c>
      <c r="DZ43" s="841" t="s">
        <v>353</v>
      </c>
      <c r="EA43" s="841" t="s">
        <v>353</v>
      </c>
      <c r="EB43" s="841" t="s">
        <v>353</v>
      </c>
      <c r="EC43" s="841" t="s">
        <v>353</v>
      </c>
      <c r="ED43" s="841" t="s">
        <v>353</v>
      </c>
      <c r="EE43" s="841" t="s">
        <v>353</v>
      </c>
      <c r="EF43" s="841" t="s">
        <v>353</v>
      </c>
      <c r="EG43" s="841" t="s">
        <v>353</v>
      </c>
      <c r="EH43" s="841" t="s">
        <v>353</v>
      </c>
      <c r="EI43" s="841" t="s">
        <v>353</v>
      </c>
      <c r="EJ43" s="841" t="s">
        <v>353</v>
      </c>
      <c r="EK43" s="841" t="s">
        <v>353</v>
      </c>
      <c r="EL43" s="841" t="s">
        <v>353</v>
      </c>
      <c r="EM43" s="841" t="s">
        <v>353</v>
      </c>
      <c r="EN43" s="841" t="s">
        <v>353</v>
      </c>
      <c r="EO43" s="841" t="s">
        <v>353</v>
      </c>
      <c r="EP43" s="841" t="s">
        <v>353</v>
      </c>
      <c r="EQ43" s="841" t="s">
        <v>353</v>
      </c>
      <c r="ER43" s="841" t="s">
        <v>353</v>
      </c>
      <c r="ES43" s="841" t="s">
        <v>353</v>
      </c>
      <c r="ET43" s="841" t="s">
        <v>1393</v>
      </c>
      <c r="EU43" s="841" t="s">
        <v>353</v>
      </c>
      <c r="EV43" s="841" t="s">
        <v>353</v>
      </c>
      <c r="EW43" s="841" t="s">
        <v>353</v>
      </c>
      <c r="EX43" s="841" t="s">
        <v>353</v>
      </c>
      <c r="EY43" s="842">
        <v>44599.603472222225</v>
      </c>
      <c r="EZ43" s="841" t="s">
        <v>353</v>
      </c>
      <c r="FA43" s="841" t="s">
        <v>353</v>
      </c>
      <c r="FB43" s="841" t="s">
        <v>353</v>
      </c>
      <c r="FC43" s="841" t="s">
        <v>353</v>
      </c>
      <c r="FD43" s="841" t="s">
        <v>353</v>
      </c>
      <c r="FE43" s="842">
        <v>44599.527777777781</v>
      </c>
      <c r="FF43" s="841" t="s">
        <v>353</v>
      </c>
      <c r="FG43" s="841" t="s">
        <v>353</v>
      </c>
      <c r="FH43" s="841" t="s">
        <v>353</v>
      </c>
      <c r="FI43" s="841" t="s">
        <v>353</v>
      </c>
      <c r="FJ43" s="841" t="s">
        <v>353</v>
      </c>
      <c r="FK43" s="841" t="s">
        <v>353</v>
      </c>
      <c r="FL43" s="841" t="s">
        <v>353</v>
      </c>
      <c r="FM43" s="841" t="s">
        <v>353</v>
      </c>
      <c r="FN43" s="841" t="s">
        <v>353</v>
      </c>
      <c r="FO43" s="841" t="s">
        <v>353</v>
      </c>
      <c r="FP43" s="841" t="s">
        <v>353</v>
      </c>
      <c r="FQ43" s="841" t="s">
        <v>353</v>
      </c>
      <c r="FR43" s="841" t="s">
        <v>353</v>
      </c>
      <c r="FS43" s="841" t="s">
        <v>353</v>
      </c>
      <c r="FT43" s="841" t="s">
        <v>353</v>
      </c>
      <c r="FU43" s="841" t="s">
        <v>1394</v>
      </c>
      <c r="FV43" s="841" t="s">
        <v>353</v>
      </c>
      <c r="FW43" s="841" t="s">
        <v>353</v>
      </c>
      <c r="FX43" s="841" t="s">
        <v>353</v>
      </c>
      <c r="FY43" s="841" t="s">
        <v>353</v>
      </c>
      <c r="FZ43" s="841" t="s">
        <v>353</v>
      </c>
      <c r="GA43" s="841" t="s">
        <v>353</v>
      </c>
      <c r="GB43" s="841">
        <v>1</v>
      </c>
      <c r="GC43" s="841" t="s">
        <v>353</v>
      </c>
      <c r="GD43" s="841" t="s">
        <v>1417</v>
      </c>
      <c r="GE43" s="841" t="s">
        <v>353</v>
      </c>
      <c r="GF43" s="841" t="s">
        <v>353</v>
      </c>
      <c r="GG43" s="841" t="s">
        <v>353</v>
      </c>
      <c r="GH43" s="841">
        <v>18000</v>
      </c>
      <c r="GI43" s="841" t="s">
        <v>353</v>
      </c>
      <c r="GJ43" s="841" t="s">
        <v>353</v>
      </c>
      <c r="GK43" s="841" t="s">
        <v>353</v>
      </c>
      <c r="GL43" s="841" t="s">
        <v>1541</v>
      </c>
      <c r="GM43" s="841" t="s">
        <v>353</v>
      </c>
      <c r="GN43" s="841" t="s">
        <v>353</v>
      </c>
      <c r="GO43" s="841" t="s">
        <v>353</v>
      </c>
      <c r="GP43" s="841" t="s">
        <v>353</v>
      </c>
      <c r="GQ43" s="841" t="s">
        <v>353</v>
      </c>
      <c r="GR43" s="841" t="s">
        <v>353</v>
      </c>
      <c r="GS43" s="841" t="s">
        <v>353</v>
      </c>
      <c r="GT43" s="841" t="s">
        <v>353</v>
      </c>
      <c r="GU43" s="841" t="s">
        <v>353</v>
      </c>
      <c r="GV43" s="841" t="s">
        <v>1076</v>
      </c>
      <c r="GW43" s="841" t="s">
        <v>353</v>
      </c>
      <c r="GX43" s="841" t="s">
        <v>353</v>
      </c>
      <c r="GY43" s="841" t="s">
        <v>353</v>
      </c>
      <c r="GZ43" s="841" t="s">
        <v>353</v>
      </c>
      <c r="HA43" s="841" t="s">
        <v>353</v>
      </c>
      <c r="HB43" s="841" t="s">
        <v>353</v>
      </c>
      <c r="HC43" s="841" t="s">
        <v>353</v>
      </c>
      <c r="HD43" s="841" t="s">
        <v>1835</v>
      </c>
      <c r="HE43" s="841" t="s">
        <v>353</v>
      </c>
      <c r="HF43" s="841" t="s">
        <v>353</v>
      </c>
      <c r="HG43" s="841" t="s">
        <v>353</v>
      </c>
      <c r="HH43" s="841" t="s">
        <v>353</v>
      </c>
      <c r="HI43" s="841" t="s">
        <v>1422</v>
      </c>
      <c r="HJ43" s="841" t="s">
        <v>353</v>
      </c>
      <c r="HK43" s="841">
        <v>180000</v>
      </c>
      <c r="HL43" s="841" t="s">
        <v>353</v>
      </c>
      <c r="HM43" s="841" t="s">
        <v>353</v>
      </c>
      <c r="HN43" s="841" t="s">
        <v>353</v>
      </c>
      <c r="HO43" s="841" t="s">
        <v>353</v>
      </c>
      <c r="HP43" s="841" t="s">
        <v>353</v>
      </c>
      <c r="HQ43" s="841" t="s">
        <v>353</v>
      </c>
      <c r="HR43" s="841" t="s">
        <v>353</v>
      </c>
      <c r="HS43" s="841" t="s">
        <v>353</v>
      </c>
      <c r="HT43" s="841" t="s">
        <v>353</v>
      </c>
      <c r="HU43" s="841" t="s">
        <v>353</v>
      </c>
      <c r="HV43" s="841" t="s">
        <v>353</v>
      </c>
      <c r="HW43" s="841" t="s">
        <v>353</v>
      </c>
      <c r="HX43" s="841" t="s">
        <v>353</v>
      </c>
      <c r="HY43" s="841" t="s">
        <v>353</v>
      </c>
      <c r="HZ43" s="841" t="s">
        <v>353</v>
      </c>
      <c r="IA43" s="841" t="s">
        <v>353</v>
      </c>
      <c r="IB43" s="841" t="s">
        <v>353</v>
      </c>
      <c r="IC43" s="841" t="s">
        <v>353</v>
      </c>
      <c r="ID43" s="841" t="s">
        <v>353</v>
      </c>
      <c r="IE43" s="841" t="s">
        <v>353</v>
      </c>
      <c r="IF43" s="841" t="s">
        <v>353</v>
      </c>
      <c r="IG43" s="841" t="s">
        <v>353</v>
      </c>
      <c r="IH43" s="841" t="s">
        <v>353</v>
      </c>
      <c r="II43" s="841" t="s">
        <v>353</v>
      </c>
      <c r="IJ43" s="841" t="s">
        <v>353</v>
      </c>
      <c r="IK43" s="841" t="s">
        <v>353</v>
      </c>
      <c r="IL43" s="841" t="s">
        <v>353</v>
      </c>
      <c r="IM43" s="841" t="s">
        <v>353</v>
      </c>
      <c r="IN43" s="841" t="s">
        <v>353</v>
      </c>
      <c r="IO43" s="841" t="s">
        <v>353</v>
      </c>
      <c r="IP43" s="841" t="s">
        <v>353</v>
      </c>
      <c r="IQ43" s="841" t="s">
        <v>353</v>
      </c>
      <c r="IR43" s="841" t="s">
        <v>353</v>
      </c>
      <c r="IS43" s="841" t="s">
        <v>353</v>
      </c>
      <c r="IT43" s="841" t="s">
        <v>353</v>
      </c>
      <c r="IU43" s="841" t="s">
        <v>353</v>
      </c>
      <c r="IV43" s="841" t="s">
        <v>353</v>
      </c>
      <c r="IW43" s="841" t="s">
        <v>353</v>
      </c>
      <c r="IX43" s="841" t="s">
        <v>353</v>
      </c>
      <c r="IY43" s="841" t="s">
        <v>353</v>
      </c>
      <c r="IZ43" s="841" t="s">
        <v>353</v>
      </c>
      <c r="JA43" s="841">
        <v>180000</v>
      </c>
      <c r="JB43" s="841" t="s">
        <v>353</v>
      </c>
      <c r="JC43" s="841" t="s">
        <v>353</v>
      </c>
      <c r="JD43" s="841" t="s">
        <v>353</v>
      </c>
      <c r="JE43" s="841" t="s">
        <v>353</v>
      </c>
      <c r="JF43" s="841" t="s">
        <v>1836</v>
      </c>
      <c r="JG43" s="841" t="s">
        <v>1837</v>
      </c>
      <c r="JH43" s="841" t="s">
        <v>1838</v>
      </c>
      <c r="JI43" s="841" t="s">
        <v>1839</v>
      </c>
    </row>
    <row r="44" spans="1:269" x14ac:dyDescent="0.25">
      <c r="A44" s="841" t="s">
        <v>1840</v>
      </c>
      <c r="B44" s="841" t="s">
        <v>353</v>
      </c>
      <c r="C44" s="841" t="s">
        <v>1403</v>
      </c>
      <c r="D44" s="841" t="s">
        <v>353</v>
      </c>
      <c r="E44" s="841" t="s">
        <v>353</v>
      </c>
      <c r="F44" s="841" t="s">
        <v>1405</v>
      </c>
      <c r="G44" s="841" t="s">
        <v>1841</v>
      </c>
      <c r="H44" s="841" t="s">
        <v>353</v>
      </c>
      <c r="I44" s="841" t="s">
        <v>353</v>
      </c>
      <c r="J44" s="841" t="s">
        <v>353</v>
      </c>
      <c r="K44" s="841" t="s">
        <v>353</v>
      </c>
      <c r="L44" s="842">
        <v>44600.746527777781</v>
      </c>
      <c r="M44" s="841" t="s">
        <v>353</v>
      </c>
      <c r="N44" s="841" t="s">
        <v>353</v>
      </c>
      <c r="O44" s="841" t="s">
        <v>353</v>
      </c>
      <c r="P44" s="841" t="s">
        <v>33</v>
      </c>
      <c r="Q44" s="841" t="s">
        <v>353</v>
      </c>
      <c r="R44" s="841" t="s">
        <v>353</v>
      </c>
      <c r="S44" s="841" t="s">
        <v>61</v>
      </c>
      <c r="T44" s="841" t="s">
        <v>1390</v>
      </c>
      <c r="U44" s="841" t="s">
        <v>353</v>
      </c>
      <c r="V44" s="841" t="s">
        <v>353</v>
      </c>
      <c r="W44" s="841" t="s">
        <v>1486</v>
      </c>
      <c r="X44" s="841" t="s">
        <v>1405</v>
      </c>
      <c r="Y44" s="841" t="s">
        <v>353</v>
      </c>
      <c r="Z44" s="841" t="s">
        <v>353</v>
      </c>
      <c r="AA44" s="841" t="s">
        <v>673</v>
      </c>
      <c r="AB44" s="841" t="s">
        <v>353</v>
      </c>
      <c r="AC44" s="841">
        <v>176500</v>
      </c>
      <c r="AD44" s="841" t="s">
        <v>353</v>
      </c>
      <c r="AE44" s="841" t="s">
        <v>33</v>
      </c>
      <c r="AF44" s="841">
        <v>1409.06</v>
      </c>
      <c r="AG44" s="841" t="s">
        <v>353</v>
      </c>
      <c r="AH44" s="841">
        <v>1800</v>
      </c>
      <c r="AI44" s="841" t="s">
        <v>1521</v>
      </c>
      <c r="AJ44" s="841" t="s">
        <v>353</v>
      </c>
      <c r="AK44" s="841">
        <v>75</v>
      </c>
      <c r="AL44" s="841" t="s">
        <v>353</v>
      </c>
      <c r="AM44" s="841" t="s">
        <v>353</v>
      </c>
      <c r="AN44" s="841" t="s">
        <v>353</v>
      </c>
      <c r="AO44" s="841" t="s">
        <v>353</v>
      </c>
      <c r="AP44" s="841" t="s">
        <v>353</v>
      </c>
      <c r="AQ44" s="841" t="s">
        <v>353</v>
      </c>
      <c r="AR44" s="841" t="s">
        <v>673</v>
      </c>
      <c r="AS44" s="841" t="s">
        <v>353</v>
      </c>
      <c r="AT44" s="841" t="s">
        <v>353</v>
      </c>
      <c r="AU44" s="841" t="s">
        <v>1405</v>
      </c>
      <c r="AV44" s="841" t="s">
        <v>353</v>
      </c>
      <c r="AW44" s="843">
        <v>44599</v>
      </c>
      <c r="AX44" s="841" t="s">
        <v>353</v>
      </c>
      <c r="AY44" s="841" t="s">
        <v>353</v>
      </c>
      <c r="AZ44" s="841" t="s">
        <v>353</v>
      </c>
      <c r="BA44" s="841" t="s">
        <v>353</v>
      </c>
      <c r="BB44" s="841" t="s">
        <v>353</v>
      </c>
      <c r="BC44" s="841">
        <v>347705</v>
      </c>
      <c r="BD44" s="841" t="s">
        <v>353</v>
      </c>
      <c r="BE44" s="841" t="s">
        <v>353</v>
      </c>
      <c r="BF44" s="841" t="s">
        <v>353</v>
      </c>
      <c r="BG44" s="841" t="s">
        <v>353</v>
      </c>
      <c r="BH44" s="841" t="s">
        <v>353</v>
      </c>
      <c r="BI44" s="841" t="s">
        <v>353</v>
      </c>
      <c r="BJ44" s="841" t="s">
        <v>353</v>
      </c>
      <c r="BK44" s="841">
        <v>222277</v>
      </c>
      <c r="BL44" s="841" t="s">
        <v>1842</v>
      </c>
      <c r="BM44" s="842">
        <v>44620.510416666664</v>
      </c>
      <c r="BN44" s="841" t="s">
        <v>353</v>
      </c>
      <c r="BO44" s="841" t="s">
        <v>353</v>
      </c>
      <c r="BP44" s="841" t="s">
        <v>353</v>
      </c>
      <c r="BQ44" s="841" t="s">
        <v>353</v>
      </c>
      <c r="BR44" s="841" t="s">
        <v>353</v>
      </c>
      <c r="BS44" s="841" t="s">
        <v>353</v>
      </c>
      <c r="BT44" s="841">
        <v>353000</v>
      </c>
      <c r="BU44" s="841" t="s">
        <v>353</v>
      </c>
      <c r="BV44" s="841" t="s">
        <v>1843</v>
      </c>
      <c r="BW44" s="841" t="s">
        <v>1578</v>
      </c>
      <c r="BX44" s="841" t="s">
        <v>1844</v>
      </c>
      <c r="BY44" s="841" t="s">
        <v>353</v>
      </c>
      <c r="BZ44" s="841" t="s">
        <v>353</v>
      </c>
      <c r="CA44" s="841" t="s">
        <v>353</v>
      </c>
      <c r="CB44" s="841" t="s">
        <v>353</v>
      </c>
      <c r="CC44" s="841" t="s">
        <v>353</v>
      </c>
      <c r="CD44" s="841" t="s">
        <v>353</v>
      </c>
      <c r="CE44" s="841" t="s">
        <v>353</v>
      </c>
      <c r="CF44" s="841" t="s">
        <v>353</v>
      </c>
      <c r="CG44" s="841" t="s">
        <v>353</v>
      </c>
      <c r="CH44" s="841" t="s">
        <v>353</v>
      </c>
      <c r="CI44" s="841" t="s">
        <v>33</v>
      </c>
      <c r="CJ44" s="841" t="s">
        <v>353</v>
      </c>
      <c r="CK44" s="841">
        <v>2</v>
      </c>
      <c r="CL44" s="841" t="s">
        <v>353</v>
      </c>
      <c r="CM44" s="841">
        <v>2</v>
      </c>
      <c r="CN44" s="841" t="s">
        <v>353</v>
      </c>
      <c r="CO44" s="841" t="s">
        <v>353</v>
      </c>
      <c r="CP44" s="841" t="s">
        <v>1845</v>
      </c>
      <c r="CQ44" s="841" t="s">
        <v>353</v>
      </c>
      <c r="CR44" s="841" t="s">
        <v>353</v>
      </c>
      <c r="CS44" s="841" t="s">
        <v>1405</v>
      </c>
      <c r="CT44" s="841" t="s">
        <v>353</v>
      </c>
      <c r="CU44" s="841" t="s">
        <v>1391</v>
      </c>
      <c r="CV44" s="841" t="s">
        <v>353</v>
      </c>
      <c r="CW44" s="841" t="s">
        <v>353</v>
      </c>
      <c r="CX44" s="841" t="s">
        <v>353</v>
      </c>
      <c r="CY44" s="841" t="s">
        <v>353</v>
      </c>
      <c r="CZ44" s="841" t="s">
        <v>353</v>
      </c>
      <c r="DA44" s="841" t="s">
        <v>353</v>
      </c>
      <c r="DB44" s="841" t="s">
        <v>353</v>
      </c>
      <c r="DC44" s="841" t="s">
        <v>353</v>
      </c>
      <c r="DD44" s="841" t="s">
        <v>353</v>
      </c>
      <c r="DE44" s="841" t="s">
        <v>353</v>
      </c>
      <c r="DF44" s="841">
        <v>24</v>
      </c>
      <c r="DG44" s="841" t="s">
        <v>353</v>
      </c>
      <c r="DH44" s="841" t="s">
        <v>353</v>
      </c>
      <c r="DI44" s="841" t="s">
        <v>353</v>
      </c>
      <c r="DJ44" s="841" t="s">
        <v>1846</v>
      </c>
      <c r="DK44" s="841" t="s">
        <v>353</v>
      </c>
      <c r="DL44" s="842">
        <v>44599.510416666664</v>
      </c>
      <c r="DM44" s="841" t="s">
        <v>353</v>
      </c>
      <c r="DN44" s="841" t="s">
        <v>33</v>
      </c>
      <c r="DO44" s="841" t="s">
        <v>673</v>
      </c>
      <c r="DP44" s="841" t="s">
        <v>1481</v>
      </c>
      <c r="DQ44" s="841" t="s">
        <v>673</v>
      </c>
      <c r="DR44" s="841" t="s">
        <v>353</v>
      </c>
      <c r="DS44" s="841">
        <v>24</v>
      </c>
      <c r="DT44" s="841" t="s">
        <v>353</v>
      </c>
      <c r="DU44" s="841" t="s">
        <v>353</v>
      </c>
      <c r="DV44" s="841">
        <v>347705</v>
      </c>
      <c r="DW44" s="841">
        <v>353000</v>
      </c>
      <c r="DX44" s="841" t="s">
        <v>673</v>
      </c>
      <c r="DY44" s="841" t="s">
        <v>353</v>
      </c>
      <c r="DZ44" s="841" t="s">
        <v>353</v>
      </c>
      <c r="EA44" s="841" t="s">
        <v>353</v>
      </c>
      <c r="EB44" s="841" t="s">
        <v>353</v>
      </c>
      <c r="EC44" s="841" t="s">
        <v>353</v>
      </c>
      <c r="ED44" s="841" t="s">
        <v>353</v>
      </c>
      <c r="EE44" s="841" t="s">
        <v>353</v>
      </c>
      <c r="EF44" s="841" t="s">
        <v>353</v>
      </c>
      <c r="EG44" s="841" t="s">
        <v>353</v>
      </c>
      <c r="EH44" s="841" t="s">
        <v>353</v>
      </c>
      <c r="EI44" s="841">
        <v>0</v>
      </c>
      <c r="EJ44" s="841" t="s">
        <v>353</v>
      </c>
      <c r="EK44" s="841" t="s">
        <v>1847</v>
      </c>
      <c r="EL44" s="841" t="s">
        <v>1435</v>
      </c>
      <c r="EM44" s="841">
        <v>5295</v>
      </c>
      <c r="EN44" s="841" t="s">
        <v>353</v>
      </c>
      <c r="EO44" s="841" t="s">
        <v>353</v>
      </c>
      <c r="EP44" s="841" t="s">
        <v>353</v>
      </c>
      <c r="EQ44" s="841" t="s">
        <v>353</v>
      </c>
      <c r="ER44" s="841" t="s">
        <v>353</v>
      </c>
      <c r="ES44" s="841" t="s">
        <v>33</v>
      </c>
      <c r="ET44" s="841" t="s">
        <v>1711</v>
      </c>
      <c r="EU44" s="841" t="s">
        <v>353</v>
      </c>
      <c r="EV44" s="841" t="s">
        <v>353</v>
      </c>
      <c r="EW44" s="841" t="s">
        <v>353</v>
      </c>
      <c r="EX44" s="841" t="s">
        <v>33</v>
      </c>
      <c r="EY44" s="842">
        <v>44600.746527777781</v>
      </c>
      <c r="EZ44" s="841" t="s">
        <v>353</v>
      </c>
      <c r="FA44" s="841" t="s">
        <v>353</v>
      </c>
      <c r="FB44" s="841" t="s">
        <v>353</v>
      </c>
      <c r="FC44" s="841" t="s">
        <v>353</v>
      </c>
      <c r="FD44" s="841" t="s">
        <v>353</v>
      </c>
      <c r="FE44" s="842">
        <v>44599.512499999997</v>
      </c>
      <c r="FF44" s="841" t="s">
        <v>353</v>
      </c>
      <c r="FG44" s="841" t="s">
        <v>1848</v>
      </c>
      <c r="FH44" s="841" t="s">
        <v>353</v>
      </c>
      <c r="FI44" s="841" t="s">
        <v>353</v>
      </c>
      <c r="FJ44" s="841" t="s">
        <v>353</v>
      </c>
      <c r="FK44" s="841" t="s">
        <v>353</v>
      </c>
      <c r="FL44" s="841" t="s">
        <v>353</v>
      </c>
      <c r="FM44" s="841" t="s">
        <v>353</v>
      </c>
      <c r="FN44" s="841" t="s">
        <v>353</v>
      </c>
      <c r="FO44" s="841" t="s">
        <v>1528</v>
      </c>
      <c r="FP44" s="841" t="s">
        <v>353</v>
      </c>
      <c r="FQ44" s="841" t="s">
        <v>353</v>
      </c>
      <c r="FR44" s="841" t="s">
        <v>353</v>
      </c>
      <c r="FS44" s="841" t="s">
        <v>353</v>
      </c>
      <c r="FT44" s="841" t="s">
        <v>353</v>
      </c>
      <c r="FU44" s="841" t="s">
        <v>1467</v>
      </c>
      <c r="FV44" s="841" t="s">
        <v>353</v>
      </c>
      <c r="FW44" s="841" t="s">
        <v>353</v>
      </c>
      <c r="FX44" s="841" t="s">
        <v>353</v>
      </c>
      <c r="FY44" s="841" t="s">
        <v>353</v>
      </c>
      <c r="FZ44" s="841" t="s">
        <v>353</v>
      </c>
      <c r="GA44" s="841" t="s">
        <v>353</v>
      </c>
      <c r="GB44" s="841">
        <v>1</v>
      </c>
      <c r="GC44" s="841" t="s">
        <v>353</v>
      </c>
      <c r="GD44" s="841" t="s">
        <v>1417</v>
      </c>
      <c r="GE44" s="841" t="s">
        <v>353</v>
      </c>
      <c r="GF44" s="841" t="s">
        <v>353</v>
      </c>
      <c r="GG44" s="841" t="s">
        <v>349</v>
      </c>
      <c r="GH44" s="841">
        <v>176500</v>
      </c>
      <c r="GI44" s="841" t="s">
        <v>353</v>
      </c>
      <c r="GJ44" s="841" t="s">
        <v>353</v>
      </c>
      <c r="GK44" s="841" t="s">
        <v>353</v>
      </c>
      <c r="GL44" s="841" t="s">
        <v>1418</v>
      </c>
      <c r="GM44" s="841" t="s">
        <v>353</v>
      </c>
      <c r="GN44" s="841" t="s">
        <v>353</v>
      </c>
      <c r="GO44" s="841" t="s">
        <v>353</v>
      </c>
      <c r="GP44" s="841" t="s">
        <v>353</v>
      </c>
      <c r="GQ44" s="841" t="s">
        <v>353</v>
      </c>
      <c r="GR44" s="842">
        <v>44600.746527777781</v>
      </c>
      <c r="GS44" s="841" t="s">
        <v>1843</v>
      </c>
      <c r="GT44" s="841" t="s">
        <v>353</v>
      </c>
      <c r="GU44" s="841" t="s">
        <v>353</v>
      </c>
      <c r="GV44" s="841" t="s">
        <v>1419</v>
      </c>
      <c r="GW44" s="841" t="s">
        <v>353</v>
      </c>
      <c r="GX44" s="841" t="s">
        <v>1849</v>
      </c>
      <c r="GY44" s="841">
        <v>24</v>
      </c>
      <c r="GZ44" s="841" t="s">
        <v>1575</v>
      </c>
      <c r="HA44" s="841" t="s">
        <v>353</v>
      </c>
      <c r="HB44" s="841" t="s">
        <v>353</v>
      </c>
      <c r="HC44" s="841" t="s">
        <v>1421</v>
      </c>
      <c r="HD44" s="841" t="s">
        <v>1845</v>
      </c>
      <c r="HE44" s="841">
        <v>3530</v>
      </c>
      <c r="HF44" s="841" t="s">
        <v>353</v>
      </c>
      <c r="HG44" s="841" t="s">
        <v>353</v>
      </c>
      <c r="HH44" s="841" t="s">
        <v>353</v>
      </c>
      <c r="HI44" s="841" t="s">
        <v>1422</v>
      </c>
      <c r="HJ44" s="841" t="s">
        <v>23</v>
      </c>
      <c r="HK44" s="841">
        <v>353000</v>
      </c>
      <c r="HL44" s="841" t="s">
        <v>353</v>
      </c>
      <c r="HM44" s="841" t="s">
        <v>1530</v>
      </c>
      <c r="HN44" s="841" t="s">
        <v>33</v>
      </c>
      <c r="HO44" s="841" t="s">
        <v>353</v>
      </c>
      <c r="HP44" s="841">
        <v>16908.7</v>
      </c>
      <c r="HQ44" s="841" t="s">
        <v>353</v>
      </c>
      <c r="HR44" s="841" t="s">
        <v>353</v>
      </c>
      <c r="HS44" s="841">
        <v>353000</v>
      </c>
      <c r="HT44" s="841" t="s">
        <v>353</v>
      </c>
      <c r="HU44" s="841" t="s">
        <v>353</v>
      </c>
      <c r="HV44" s="841" t="s">
        <v>353</v>
      </c>
      <c r="HW44" s="841">
        <v>471000</v>
      </c>
      <c r="HX44" s="841" t="s">
        <v>353</v>
      </c>
      <c r="HY44" s="841" t="s">
        <v>353</v>
      </c>
      <c r="HZ44" s="841" t="s">
        <v>353</v>
      </c>
      <c r="IA44" s="841" t="s">
        <v>353</v>
      </c>
      <c r="IB44" s="841" t="s">
        <v>1424</v>
      </c>
      <c r="IC44" s="843">
        <v>44596</v>
      </c>
      <c r="ID44" s="841" t="s">
        <v>353</v>
      </c>
      <c r="IE44" s="841" t="s">
        <v>353</v>
      </c>
      <c r="IF44" s="841" t="s">
        <v>353</v>
      </c>
      <c r="IG44" s="841" t="s">
        <v>353</v>
      </c>
      <c r="IH44" s="841" t="s">
        <v>353</v>
      </c>
      <c r="II44" s="841" t="s">
        <v>353</v>
      </c>
      <c r="IJ44" s="841" t="s">
        <v>353</v>
      </c>
      <c r="IK44" s="841" t="s">
        <v>353</v>
      </c>
      <c r="IL44" s="841">
        <v>353000</v>
      </c>
      <c r="IM44" s="841" t="s">
        <v>353</v>
      </c>
      <c r="IN44" s="841" t="s">
        <v>353</v>
      </c>
      <c r="IO44" s="841">
        <v>0</v>
      </c>
      <c r="IP44" s="841" t="s">
        <v>353</v>
      </c>
      <c r="IQ44" s="841" t="s">
        <v>353</v>
      </c>
      <c r="IR44" s="841">
        <v>0</v>
      </c>
      <c r="IS44" s="841" t="s">
        <v>33</v>
      </c>
      <c r="IT44" s="841" t="s">
        <v>353</v>
      </c>
      <c r="IU44" s="841" t="s">
        <v>353</v>
      </c>
      <c r="IV44" s="841" t="s">
        <v>353</v>
      </c>
      <c r="IW44" s="841" t="s">
        <v>353</v>
      </c>
      <c r="IX44" s="841" t="s">
        <v>353</v>
      </c>
      <c r="IY44" s="841" t="s">
        <v>353</v>
      </c>
      <c r="IZ44" s="841" t="s">
        <v>353</v>
      </c>
      <c r="JA44" s="841">
        <v>353000</v>
      </c>
      <c r="JB44" s="841" t="s">
        <v>353</v>
      </c>
      <c r="JC44" s="841" t="s">
        <v>353</v>
      </c>
      <c r="JD44" s="841" t="s">
        <v>1488</v>
      </c>
      <c r="JE44" s="841" t="s">
        <v>33</v>
      </c>
      <c r="JF44" s="841" t="s">
        <v>1850</v>
      </c>
      <c r="JG44" s="841" t="s">
        <v>1851</v>
      </c>
      <c r="JH44" s="841" t="s">
        <v>1852</v>
      </c>
      <c r="JI44" s="841" t="s">
        <v>1853</v>
      </c>
    </row>
    <row r="45" spans="1:269" x14ac:dyDescent="0.25">
      <c r="A45" s="841" t="s">
        <v>1854</v>
      </c>
      <c r="B45" s="841" t="s">
        <v>353</v>
      </c>
      <c r="C45" s="841" t="s">
        <v>1403</v>
      </c>
      <c r="D45" s="841" t="s">
        <v>353</v>
      </c>
      <c r="E45" s="841" t="s">
        <v>353</v>
      </c>
      <c r="F45" s="841" t="s">
        <v>1405</v>
      </c>
      <c r="G45" s="841" t="s">
        <v>1855</v>
      </c>
      <c r="H45" s="841" t="s">
        <v>353</v>
      </c>
      <c r="I45" s="841" t="s">
        <v>353</v>
      </c>
      <c r="J45" s="841" t="s">
        <v>353</v>
      </c>
      <c r="K45" s="841" t="s">
        <v>353</v>
      </c>
      <c r="L45" s="842">
        <v>44600.746527777781</v>
      </c>
      <c r="M45" s="841" t="s">
        <v>353</v>
      </c>
      <c r="N45" s="841" t="s">
        <v>353</v>
      </c>
      <c r="O45" s="841" t="s">
        <v>353</v>
      </c>
      <c r="P45" s="841" t="s">
        <v>33</v>
      </c>
      <c r="Q45" s="841" t="s">
        <v>353</v>
      </c>
      <c r="R45" s="841" t="s">
        <v>353</v>
      </c>
      <c r="S45" s="841" t="s">
        <v>61</v>
      </c>
      <c r="T45" s="841" t="s">
        <v>1390</v>
      </c>
      <c r="U45" s="841" t="s">
        <v>353</v>
      </c>
      <c r="V45" s="841" t="s">
        <v>353</v>
      </c>
      <c r="W45" s="841" t="s">
        <v>1575</v>
      </c>
      <c r="X45" s="841" t="s">
        <v>1856</v>
      </c>
      <c r="Y45" s="841" t="s">
        <v>353</v>
      </c>
      <c r="Z45" s="841" t="s">
        <v>353</v>
      </c>
      <c r="AA45" s="841" t="s">
        <v>673</v>
      </c>
      <c r="AB45" s="841" t="s">
        <v>353</v>
      </c>
      <c r="AC45" s="841">
        <v>135000</v>
      </c>
      <c r="AD45" s="841" t="s">
        <v>353</v>
      </c>
      <c r="AE45" s="841" t="s">
        <v>33</v>
      </c>
      <c r="AF45" s="841">
        <v>965.25</v>
      </c>
      <c r="AG45" s="841" t="s">
        <v>353</v>
      </c>
      <c r="AH45" s="841">
        <v>1200</v>
      </c>
      <c r="AI45" s="841" t="s">
        <v>1521</v>
      </c>
      <c r="AJ45" s="841" t="s">
        <v>353</v>
      </c>
      <c r="AK45" s="841">
        <v>75</v>
      </c>
      <c r="AL45" s="841" t="s">
        <v>353</v>
      </c>
      <c r="AM45" s="841" t="s">
        <v>353</v>
      </c>
      <c r="AN45" s="841" t="s">
        <v>353</v>
      </c>
      <c r="AO45" s="841" t="s">
        <v>353</v>
      </c>
      <c r="AP45" s="841" t="s">
        <v>353</v>
      </c>
      <c r="AQ45" s="841" t="s">
        <v>353</v>
      </c>
      <c r="AR45" s="841" t="s">
        <v>673</v>
      </c>
      <c r="AS45" s="841" t="s">
        <v>353</v>
      </c>
      <c r="AT45" s="841" t="s">
        <v>353</v>
      </c>
      <c r="AU45" s="841" t="s">
        <v>1405</v>
      </c>
      <c r="AV45" s="841" t="s">
        <v>353</v>
      </c>
      <c r="AW45" s="843">
        <v>44599</v>
      </c>
      <c r="AX45" s="841" t="s">
        <v>353</v>
      </c>
      <c r="AY45" s="841" t="s">
        <v>353</v>
      </c>
      <c r="AZ45" s="841" t="s">
        <v>353</v>
      </c>
      <c r="BA45" s="841" t="s">
        <v>353</v>
      </c>
      <c r="BB45" s="841" t="s">
        <v>353</v>
      </c>
      <c r="BC45" s="841">
        <v>263250</v>
      </c>
      <c r="BD45" s="841" t="s">
        <v>353</v>
      </c>
      <c r="BE45" s="841" t="s">
        <v>353</v>
      </c>
      <c r="BF45" s="841" t="s">
        <v>353</v>
      </c>
      <c r="BG45" s="841" t="s">
        <v>353</v>
      </c>
      <c r="BH45" s="841" t="s">
        <v>353</v>
      </c>
      <c r="BI45" s="841" t="s">
        <v>353</v>
      </c>
      <c r="BJ45" s="841" t="s">
        <v>353</v>
      </c>
      <c r="BK45" s="841">
        <v>150934</v>
      </c>
      <c r="BL45" s="841" t="s">
        <v>1842</v>
      </c>
      <c r="BM45" s="842">
        <v>44620.495833333334</v>
      </c>
      <c r="BN45" s="841" t="s">
        <v>353</v>
      </c>
      <c r="BO45" s="841" t="s">
        <v>353</v>
      </c>
      <c r="BP45" s="841" t="s">
        <v>353</v>
      </c>
      <c r="BQ45" s="841" t="s">
        <v>353</v>
      </c>
      <c r="BR45" s="841" t="s">
        <v>353</v>
      </c>
      <c r="BS45" s="841" t="s">
        <v>353</v>
      </c>
      <c r="BT45" s="841">
        <v>270000</v>
      </c>
      <c r="BU45" s="841" t="s">
        <v>353</v>
      </c>
      <c r="BV45" s="841" t="s">
        <v>1857</v>
      </c>
      <c r="BW45" s="841" t="s">
        <v>1578</v>
      </c>
      <c r="BX45" s="841" t="s">
        <v>1844</v>
      </c>
      <c r="BY45" s="841" t="s">
        <v>353</v>
      </c>
      <c r="BZ45" s="841" t="s">
        <v>353</v>
      </c>
      <c r="CA45" s="841" t="s">
        <v>353</v>
      </c>
      <c r="CB45" s="841" t="s">
        <v>353</v>
      </c>
      <c r="CC45" s="841" t="s">
        <v>353</v>
      </c>
      <c r="CD45" s="841" t="s">
        <v>353</v>
      </c>
      <c r="CE45" s="841" t="s">
        <v>353</v>
      </c>
      <c r="CF45" s="841" t="s">
        <v>353</v>
      </c>
      <c r="CG45" s="841" t="s">
        <v>353</v>
      </c>
      <c r="CH45" s="841" t="s">
        <v>353</v>
      </c>
      <c r="CI45" s="841" t="s">
        <v>33</v>
      </c>
      <c r="CJ45" s="841" t="s">
        <v>353</v>
      </c>
      <c r="CK45" s="841">
        <v>2</v>
      </c>
      <c r="CL45" s="841" t="s">
        <v>353</v>
      </c>
      <c r="CM45" s="841">
        <v>2</v>
      </c>
      <c r="CN45" s="841" t="s">
        <v>353</v>
      </c>
      <c r="CO45" s="841" t="s">
        <v>353</v>
      </c>
      <c r="CP45" s="841" t="s">
        <v>1858</v>
      </c>
      <c r="CQ45" s="841" t="s">
        <v>353</v>
      </c>
      <c r="CR45" s="841" t="s">
        <v>353</v>
      </c>
      <c r="CS45" s="841" t="s">
        <v>1405</v>
      </c>
      <c r="CT45" s="841" t="s">
        <v>353</v>
      </c>
      <c r="CU45" s="841" t="s">
        <v>1391</v>
      </c>
      <c r="CV45" s="841" t="s">
        <v>353</v>
      </c>
      <c r="CW45" s="841" t="s">
        <v>353</v>
      </c>
      <c r="CX45" s="841" t="s">
        <v>353</v>
      </c>
      <c r="CY45" s="841" t="s">
        <v>353</v>
      </c>
      <c r="CZ45" s="841" t="s">
        <v>353</v>
      </c>
      <c r="DA45" s="841" t="s">
        <v>353</v>
      </c>
      <c r="DB45" s="841" t="s">
        <v>353</v>
      </c>
      <c r="DC45" s="841" t="s">
        <v>353</v>
      </c>
      <c r="DD45" s="841" t="s">
        <v>353</v>
      </c>
      <c r="DE45" s="841" t="s">
        <v>353</v>
      </c>
      <c r="DF45" s="841">
        <v>24</v>
      </c>
      <c r="DG45" s="841" t="s">
        <v>353</v>
      </c>
      <c r="DH45" s="841" t="s">
        <v>353</v>
      </c>
      <c r="DI45" s="841" t="s">
        <v>353</v>
      </c>
      <c r="DJ45" s="841" t="s">
        <v>1846</v>
      </c>
      <c r="DK45" s="841" t="s">
        <v>353</v>
      </c>
      <c r="DL45" s="842">
        <v>44599.495833333334</v>
      </c>
      <c r="DM45" s="841" t="s">
        <v>353</v>
      </c>
      <c r="DN45" s="841" t="s">
        <v>33</v>
      </c>
      <c r="DO45" s="841" t="s">
        <v>673</v>
      </c>
      <c r="DP45" s="841" t="s">
        <v>1412</v>
      </c>
      <c r="DQ45" s="841" t="s">
        <v>673</v>
      </c>
      <c r="DR45" s="841" t="s">
        <v>353</v>
      </c>
      <c r="DS45" s="841">
        <v>24</v>
      </c>
      <c r="DT45" s="841" t="s">
        <v>353</v>
      </c>
      <c r="DU45" s="841" t="s">
        <v>353</v>
      </c>
      <c r="DV45" s="841">
        <v>265950</v>
      </c>
      <c r="DW45" s="841">
        <v>270000</v>
      </c>
      <c r="DX45" s="841" t="s">
        <v>673</v>
      </c>
      <c r="DY45" s="841" t="s">
        <v>353</v>
      </c>
      <c r="DZ45" s="841" t="s">
        <v>353</v>
      </c>
      <c r="EA45" s="841" t="s">
        <v>353</v>
      </c>
      <c r="EB45" s="841" t="s">
        <v>353</v>
      </c>
      <c r="EC45" s="841" t="s">
        <v>353</v>
      </c>
      <c r="ED45" s="841" t="s">
        <v>353</v>
      </c>
      <c r="EE45" s="841" t="s">
        <v>353</v>
      </c>
      <c r="EF45" s="841" t="s">
        <v>353</v>
      </c>
      <c r="EG45" s="841" t="s">
        <v>353</v>
      </c>
      <c r="EH45" s="841" t="s">
        <v>353</v>
      </c>
      <c r="EI45" s="841">
        <v>0</v>
      </c>
      <c r="EJ45" s="841" t="s">
        <v>353</v>
      </c>
      <c r="EK45" s="841" t="s">
        <v>1488</v>
      </c>
      <c r="EL45" s="841" t="s">
        <v>1435</v>
      </c>
      <c r="EM45" s="841">
        <v>4050</v>
      </c>
      <c r="EN45" s="841" t="s">
        <v>353</v>
      </c>
      <c r="EO45" s="841" t="s">
        <v>353</v>
      </c>
      <c r="EP45" s="841" t="s">
        <v>353</v>
      </c>
      <c r="EQ45" s="841" t="s">
        <v>353</v>
      </c>
      <c r="ER45" s="841" t="s">
        <v>353</v>
      </c>
      <c r="ES45" s="841" t="s">
        <v>33</v>
      </c>
      <c r="ET45" s="841" t="s">
        <v>1711</v>
      </c>
      <c r="EU45" s="841" t="s">
        <v>353</v>
      </c>
      <c r="EV45" s="841" t="s">
        <v>353</v>
      </c>
      <c r="EW45" s="841" t="s">
        <v>353</v>
      </c>
      <c r="EX45" s="841" t="s">
        <v>33</v>
      </c>
      <c r="EY45" s="842">
        <v>44600.746527777781</v>
      </c>
      <c r="EZ45" s="841" t="s">
        <v>353</v>
      </c>
      <c r="FA45" s="841" t="s">
        <v>353</v>
      </c>
      <c r="FB45" s="841" t="s">
        <v>353</v>
      </c>
      <c r="FC45" s="841" t="s">
        <v>353</v>
      </c>
      <c r="FD45" s="841" t="s">
        <v>353</v>
      </c>
      <c r="FE45" s="842">
        <v>44599.495833333334</v>
      </c>
      <c r="FF45" s="841" t="s">
        <v>353</v>
      </c>
      <c r="FG45" s="841" t="s">
        <v>1859</v>
      </c>
      <c r="FH45" s="841" t="s">
        <v>353</v>
      </c>
      <c r="FI45" s="841" t="s">
        <v>353</v>
      </c>
      <c r="FJ45" s="841" t="s">
        <v>353</v>
      </c>
      <c r="FK45" s="841" t="s">
        <v>353</v>
      </c>
      <c r="FL45" s="841" t="s">
        <v>353</v>
      </c>
      <c r="FM45" s="841" t="s">
        <v>353</v>
      </c>
      <c r="FN45" s="841" t="s">
        <v>353</v>
      </c>
      <c r="FO45" s="841" t="s">
        <v>1528</v>
      </c>
      <c r="FP45" s="841" t="s">
        <v>353</v>
      </c>
      <c r="FQ45" s="841" t="s">
        <v>353</v>
      </c>
      <c r="FR45" s="841" t="s">
        <v>353</v>
      </c>
      <c r="FS45" s="841" t="s">
        <v>353</v>
      </c>
      <c r="FT45" s="841" t="s">
        <v>353</v>
      </c>
      <c r="FU45" s="841" t="s">
        <v>1467</v>
      </c>
      <c r="FV45" s="841" t="s">
        <v>353</v>
      </c>
      <c r="FW45" s="841" t="s">
        <v>353</v>
      </c>
      <c r="FX45" s="841" t="s">
        <v>353</v>
      </c>
      <c r="FY45" s="841" t="s">
        <v>353</v>
      </c>
      <c r="FZ45" s="841" t="s">
        <v>353</v>
      </c>
      <c r="GA45" s="841" t="s">
        <v>353</v>
      </c>
      <c r="GB45" s="841">
        <v>1</v>
      </c>
      <c r="GC45" s="841" t="s">
        <v>353</v>
      </c>
      <c r="GD45" s="841" t="s">
        <v>1417</v>
      </c>
      <c r="GE45" s="841" t="s">
        <v>353</v>
      </c>
      <c r="GF45" s="841" t="s">
        <v>353</v>
      </c>
      <c r="GG45" s="841" t="s">
        <v>349</v>
      </c>
      <c r="GH45" s="841">
        <v>135000</v>
      </c>
      <c r="GI45" s="841" t="s">
        <v>353</v>
      </c>
      <c r="GJ45" s="841" t="s">
        <v>353</v>
      </c>
      <c r="GK45" s="841" t="s">
        <v>353</v>
      </c>
      <c r="GL45" s="841" t="s">
        <v>1418</v>
      </c>
      <c r="GM45" s="841" t="s">
        <v>353</v>
      </c>
      <c r="GN45" s="841" t="s">
        <v>353</v>
      </c>
      <c r="GO45" s="841" t="s">
        <v>353</v>
      </c>
      <c r="GP45" s="841" t="s">
        <v>353</v>
      </c>
      <c r="GQ45" s="841" t="s">
        <v>353</v>
      </c>
      <c r="GR45" s="842">
        <v>44600.746527777781</v>
      </c>
      <c r="GS45" s="841" t="s">
        <v>1857</v>
      </c>
      <c r="GT45" s="841" t="s">
        <v>353</v>
      </c>
      <c r="GU45" s="841" t="s">
        <v>353</v>
      </c>
      <c r="GV45" s="841" t="s">
        <v>1419</v>
      </c>
      <c r="GW45" s="841" t="s">
        <v>353</v>
      </c>
      <c r="GX45" s="841" t="s">
        <v>1860</v>
      </c>
      <c r="GY45" s="841">
        <v>24</v>
      </c>
      <c r="GZ45" s="841" t="s">
        <v>1486</v>
      </c>
      <c r="HA45" s="841" t="s">
        <v>353</v>
      </c>
      <c r="HB45" s="841" t="s">
        <v>353</v>
      </c>
      <c r="HC45" s="841" t="s">
        <v>1421</v>
      </c>
      <c r="HD45" s="841" t="s">
        <v>1858</v>
      </c>
      <c r="HE45" s="841">
        <v>2700</v>
      </c>
      <c r="HF45" s="841" t="s">
        <v>353</v>
      </c>
      <c r="HG45" s="841" t="s">
        <v>353</v>
      </c>
      <c r="HH45" s="841" t="s">
        <v>353</v>
      </c>
      <c r="HI45" s="841" t="s">
        <v>1422</v>
      </c>
      <c r="HJ45" s="841" t="s">
        <v>1861</v>
      </c>
      <c r="HK45" s="841">
        <v>270000</v>
      </c>
      <c r="HL45" s="841" t="s">
        <v>353</v>
      </c>
      <c r="HM45" s="841" t="s">
        <v>1423</v>
      </c>
      <c r="HN45" s="841" t="s">
        <v>33</v>
      </c>
      <c r="HO45" s="841" t="s">
        <v>353</v>
      </c>
      <c r="HP45" s="841">
        <v>12933</v>
      </c>
      <c r="HQ45" s="841" t="s">
        <v>353</v>
      </c>
      <c r="HR45" s="841" t="s">
        <v>353</v>
      </c>
      <c r="HS45" s="841">
        <v>270000</v>
      </c>
      <c r="HT45" s="841" t="s">
        <v>353</v>
      </c>
      <c r="HU45" s="841" t="s">
        <v>353</v>
      </c>
      <c r="HV45" s="841" t="s">
        <v>353</v>
      </c>
      <c r="HW45" s="841">
        <v>361000</v>
      </c>
      <c r="HX45" s="841" t="s">
        <v>353</v>
      </c>
      <c r="HY45" s="841" t="s">
        <v>353</v>
      </c>
      <c r="HZ45" s="841" t="s">
        <v>353</v>
      </c>
      <c r="IA45" s="841" t="s">
        <v>353</v>
      </c>
      <c r="IB45" s="841" t="s">
        <v>1424</v>
      </c>
      <c r="IC45" s="843">
        <v>44596</v>
      </c>
      <c r="ID45" s="841" t="s">
        <v>353</v>
      </c>
      <c r="IE45" s="841" t="s">
        <v>353</v>
      </c>
      <c r="IF45" s="841" t="s">
        <v>353</v>
      </c>
      <c r="IG45" s="841" t="s">
        <v>353</v>
      </c>
      <c r="IH45" s="841" t="s">
        <v>353</v>
      </c>
      <c r="II45" s="841" t="s">
        <v>353</v>
      </c>
      <c r="IJ45" s="841">
        <v>66</v>
      </c>
      <c r="IK45" s="841" t="s">
        <v>353</v>
      </c>
      <c r="IL45" s="841">
        <v>267300</v>
      </c>
      <c r="IM45" s="841" t="s">
        <v>353</v>
      </c>
      <c r="IN45" s="841" t="s">
        <v>353</v>
      </c>
      <c r="IO45" s="841">
        <v>0</v>
      </c>
      <c r="IP45" s="841" t="s">
        <v>353</v>
      </c>
      <c r="IQ45" s="841" t="s">
        <v>353</v>
      </c>
      <c r="IR45" s="841">
        <v>0</v>
      </c>
      <c r="IS45" s="841" t="s">
        <v>33</v>
      </c>
      <c r="IT45" s="841" t="s">
        <v>353</v>
      </c>
      <c r="IU45" s="841" t="s">
        <v>353</v>
      </c>
      <c r="IV45" s="841" t="s">
        <v>353</v>
      </c>
      <c r="IW45" s="841" t="s">
        <v>353</v>
      </c>
      <c r="IX45" s="841" t="s">
        <v>353</v>
      </c>
      <c r="IY45" s="841" t="s">
        <v>353</v>
      </c>
      <c r="IZ45" s="841" t="s">
        <v>353</v>
      </c>
      <c r="JA45" s="841">
        <v>270000</v>
      </c>
      <c r="JB45" s="841" t="s">
        <v>353</v>
      </c>
      <c r="JC45" s="841" t="s">
        <v>353</v>
      </c>
      <c r="JD45" s="841" t="s">
        <v>1488</v>
      </c>
      <c r="JE45" s="841" t="s">
        <v>33</v>
      </c>
      <c r="JF45" s="841" t="s">
        <v>1850</v>
      </c>
      <c r="JG45" s="841" t="s">
        <v>1851</v>
      </c>
      <c r="JH45" s="841" t="s">
        <v>1852</v>
      </c>
      <c r="JI45" s="841" t="s">
        <v>1853</v>
      </c>
    </row>
    <row r="46" spans="1:269" x14ac:dyDescent="0.25">
      <c r="A46" s="841" t="s">
        <v>1862</v>
      </c>
      <c r="B46" s="841" t="s">
        <v>353</v>
      </c>
      <c r="C46" s="841" t="s">
        <v>353</v>
      </c>
      <c r="D46" s="841" t="s">
        <v>353</v>
      </c>
      <c r="E46" s="841" t="s">
        <v>353</v>
      </c>
      <c r="F46" s="841" t="s">
        <v>353</v>
      </c>
      <c r="G46" s="841" t="s">
        <v>353</v>
      </c>
      <c r="H46" s="841" t="s">
        <v>353</v>
      </c>
      <c r="I46" s="841" t="s">
        <v>353</v>
      </c>
      <c r="J46" s="841" t="s">
        <v>353</v>
      </c>
      <c r="K46" s="841" t="s">
        <v>353</v>
      </c>
      <c r="L46" s="842">
        <v>44607.38958333333</v>
      </c>
      <c r="M46" s="841" t="s">
        <v>353</v>
      </c>
      <c r="N46" s="841" t="s">
        <v>353</v>
      </c>
      <c r="O46" s="841" t="s">
        <v>353</v>
      </c>
      <c r="P46" s="841" t="s">
        <v>353</v>
      </c>
      <c r="Q46" s="841" t="s">
        <v>353</v>
      </c>
      <c r="R46" s="841" t="s">
        <v>353</v>
      </c>
      <c r="S46" s="841" t="s">
        <v>353</v>
      </c>
      <c r="T46" s="841" t="s">
        <v>1390</v>
      </c>
      <c r="U46" s="841" t="s">
        <v>353</v>
      </c>
      <c r="V46" s="841" t="s">
        <v>353</v>
      </c>
      <c r="W46" s="841" t="s">
        <v>353</v>
      </c>
      <c r="X46" s="841" t="s">
        <v>353</v>
      </c>
      <c r="Y46" s="841" t="s">
        <v>353</v>
      </c>
      <c r="Z46" s="841" t="s">
        <v>353</v>
      </c>
      <c r="AA46" s="841" t="s">
        <v>353</v>
      </c>
      <c r="AB46" s="841" t="s">
        <v>353</v>
      </c>
      <c r="AC46" s="841">
        <v>21500</v>
      </c>
      <c r="AD46" s="841" t="s">
        <v>353</v>
      </c>
      <c r="AE46" s="841" t="s">
        <v>353</v>
      </c>
      <c r="AF46" s="841" t="s">
        <v>353</v>
      </c>
      <c r="AG46" s="841" t="s">
        <v>353</v>
      </c>
      <c r="AH46" s="841" t="s">
        <v>353</v>
      </c>
      <c r="AI46" s="841" t="s">
        <v>1521</v>
      </c>
      <c r="AJ46" s="841" t="s">
        <v>353</v>
      </c>
      <c r="AK46" s="841" t="s">
        <v>353</v>
      </c>
      <c r="AL46" s="841" t="s">
        <v>353</v>
      </c>
      <c r="AM46" s="841" t="s">
        <v>353</v>
      </c>
      <c r="AN46" s="841" t="s">
        <v>353</v>
      </c>
      <c r="AO46" s="841" t="s">
        <v>353</v>
      </c>
      <c r="AP46" s="841" t="s">
        <v>353</v>
      </c>
      <c r="AQ46" s="841" t="s">
        <v>353</v>
      </c>
      <c r="AR46" s="841" t="s">
        <v>353</v>
      </c>
      <c r="AS46" s="841" t="s">
        <v>353</v>
      </c>
      <c r="AT46" s="841" t="s">
        <v>353</v>
      </c>
      <c r="AU46" s="841" t="s">
        <v>353</v>
      </c>
      <c r="AV46" s="841" t="s">
        <v>353</v>
      </c>
      <c r="AW46" s="841" t="s">
        <v>353</v>
      </c>
      <c r="AX46" s="841" t="s">
        <v>353</v>
      </c>
      <c r="AY46" s="841" t="s">
        <v>353</v>
      </c>
      <c r="AZ46" s="841" t="s">
        <v>353</v>
      </c>
      <c r="BA46" s="841" t="s">
        <v>353</v>
      </c>
      <c r="BB46" s="841" t="s">
        <v>353</v>
      </c>
      <c r="BC46" s="841">
        <v>211238</v>
      </c>
      <c r="BD46" s="841" t="s">
        <v>353</v>
      </c>
      <c r="BE46" s="841" t="s">
        <v>353</v>
      </c>
      <c r="BF46" s="841" t="s">
        <v>353</v>
      </c>
      <c r="BG46" s="841" t="s">
        <v>353</v>
      </c>
      <c r="BH46" s="841" t="s">
        <v>353</v>
      </c>
      <c r="BI46" s="841" t="s">
        <v>353</v>
      </c>
      <c r="BJ46" s="841" t="s">
        <v>353</v>
      </c>
      <c r="BK46" s="841" t="s">
        <v>353</v>
      </c>
      <c r="BL46" s="841" t="s">
        <v>1863</v>
      </c>
      <c r="BM46" s="842">
        <v>44620.488194444442</v>
      </c>
      <c r="BN46" s="841" t="s">
        <v>353</v>
      </c>
      <c r="BO46" s="841" t="s">
        <v>353</v>
      </c>
      <c r="BP46" s="841" t="s">
        <v>353</v>
      </c>
      <c r="BQ46" s="841" t="s">
        <v>353</v>
      </c>
      <c r="BR46" s="841" t="s">
        <v>353</v>
      </c>
      <c r="BS46" s="841" t="s">
        <v>353</v>
      </c>
      <c r="BT46" s="841">
        <v>215000</v>
      </c>
      <c r="BU46" s="841" t="s">
        <v>353</v>
      </c>
      <c r="BV46" s="841" t="s">
        <v>353</v>
      </c>
      <c r="BW46" s="841" t="s">
        <v>353</v>
      </c>
      <c r="BX46" s="841" t="s">
        <v>353</v>
      </c>
      <c r="BY46" s="841" t="s">
        <v>353</v>
      </c>
      <c r="BZ46" s="841" t="s">
        <v>353</v>
      </c>
      <c r="CA46" s="841" t="s">
        <v>353</v>
      </c>
      <c r="CB46" s="841" t="s">
        <v>353</v>
      </c>
      <c r="CC46" s="841" t="s">
        <v>353</v>
      </c>
      <c r="CD46" s="841" t="s">
        <v>353</v>
      </c>
      <c r="CE46" s="841" t="s">
        <v>353</v>
      </c>
      <c r="CF46" s="841" t="s">
        <v>353</v>
      </c>
      <c r="CG46" s="841" t="s">
        <v>353</v>
      </c>
      <c r="CH46" s="841" t="s">
        <v>353</v>
      </c>
      <c r="CI46" s="841" t="s">
        <v>353</v>
      </c>
      <c r="CJ46" s="841" t="s">
        <v>353</v>
      </c>
      <c r="CK46" s="841">
        <v>4</v>
      </c>
      <c r="CL46" s="841" t="s">
        <v>353</v>
      </c>
      <c r="CM46" s="841">
        <v>5</v>
      </c>
      <c r="CN46" s="841" t="s">
        <v>353</v>
      </c>
      <c r="CO46" s="841" t="s">
        <v>353</v>
      </c>
      <c r="CP46" s="841" t="s">
        <v>353</v>
      </c>
      <c r="CQ46" s="841" t="s">
        <v>353</v>
      </c>
      <c r="CR46" s="841" t="s">
        <v>353</v>
      </c>
      <c r="CS46" s="841" t="s">
        <v>353</v>
      </c>
      <c r="CT46" s="841" t="s">
        <v>353</v>
      </c>
      <c r="CU46" s="841" t="s">
        <v>1391</v>
      </c>
      <c r="CV46" s="841" t="s">
        <v>353</v>
      </c>
      <c r="CW46" s="841" t="s">
        <v>353</v>
      </c>
      <c r="CX46" s="841" t="s">
        <v>353</v>
      </c>
      <c r="CY46" s="841" t="s">
        <v>353</v>
      </c>
      <c r="CZ46" s="841" t="s">
        <v>353</v>
      </c>
      <c r="DA46" s="841" t="s">
        <v>353</v>
      </c>
      <c r="DB46" s="841" t="s">
        <v>353</v>
      </c>
      <c r="DC46" s="841" t="s">
        <v>353</v>
      </c>
      <c r="DD46" s="841" t="s">
        <v>353</v>
      </c>
      <c r="DE46" s="841" t="s">
        <v>353</v>
      </c>
      <c r="DF46" s="841" t="s">
        <v>353</v>
      </c>
      <c r="DG46" s="841" t="s">
        <v>353</v>
      </c>
      <c r="DH46" s="841" t="s">
        <v>353</v>
      </c>
      <c r="DI46" s="841" t="s">
        <v>353</v>
      </c>
      <c r="DJ46" s="841" t="s">
        <v>1834</v>
      </c>
      <c r="DK46" s="841" t="s">
        <v>353</v>
      </c>
      <c r="DL46" s="842">
        <v>44599.488194444442</v>
      </c>
      <c r="DM46" s="841" t="s">
        <v>353</v>
      </c>
      <c r="DN46" s="841" t="s">
        <v>353</v>
      </c>
      <c r="DO46" s="841" t="s">
        <v>353</v>
      </c>
      <c r="DP46" s="841" t="s">
        <v>353</v>
      </c>
      <c r="DQ46" s="841" t="s">
        <v>1451</v>
      </c>
      <c r="DR46" s="841" t="s">
        <v>353</v>
      </c>
      <c r="DS46" s="841" t="s">
        <v>353</v>
      </c>
      <c r="DT46" s="841" t="s">
        <v>353</v>
      </c>
      <c r="DU46" s="841" t="s">
        <v>353</v>
      </c>
      <c r="DV46" s="841" t="s">
        <v>353</v>
      </c>
      <c r="DW46" s="841">
        <v>215000</v>
      </c>
      <c r="DX46" s="841" t="s">
        <v>353</v>
      </c>
      <c r="DY46" s="841" t="s">
        <v>353</v>
      </c>
      <c r="DZ46" s="841" t="s">
        <v>353</v>
      </c>
      <c r="EA46" s="841" t="s">
        <v>353</v>
      </c>
      <c r="EB46" s="841" t="s">
        <v>353</v>
      </c>
      <c r="EC46" s="841" t="s">
        <v>353</v>
      </c>
      <c r="ED46" s="841" t="s">
        <v>353</v>
      </c>
      <c r="EE46" s="841" t="s">
        <v>353</v>
      </c>
      <c r="EF46" s="841" t="s">
        <v>353</v>
      </c>
      <c r="EG46" s="841" t="s">
        <v>353</v>
      </c>
      <c r="EH46" s="841" t="s">
        <v>353</v>
      </c>
      <c r="EI46" s="841" t="s">
        <v>353</v>
      </c>
      <c r="EJ46" s="841" t="s">
        <v>353</v>
      </c>
      <c r="EK46" s="841" t="s">
        <v>353</v>
      </c>
      <c r="EL46" s="841" t="s">
        <v>353</v>
      </c>
      <c r="EM46" s="841" t="s">
        <v>353</v>
      </c>
      <c r="EN46" s="841" t="s">
        <v>353</v>
      </c>
      <c r="EO46" s="841" t="s">
        <v>353</v>
      </c>
      <c r="EP46" s="841" t="s">
        <v>353</v>
      </c>
      <c r="EQ46" s="841" t="s">
        <v>353</v>
      </c>
      <c r="ER46" s="841" t="s">
        <v>353</v>
      </c>
      <c r="ES46" s="841" t="s">
        <v>353</v>
      </c>
      <c r="ET46" s="841" t="s">
        <v>1452</v>
      </c>
      <c r="EU46" s="841" t="s">
        <v>353</v>
      </c>
      <c r="EV46" s="841" t="s">
        <v>353</v>
      </c>
      <c r="EW46" s="841" t="s">
        <v>353</v>
      </c>
      <c r="EX46" s="841" t="s">
        <v>353</v>
      </c>
      <c r="EY46" s="842">
        <v>44607.388888888891</v>
      </c>
      <c r="EZ46" s="841" t="s">
        <v>353</v>
      </c>
      <c r="FA46" s="841" t="s">
        <v>353</v>
      </c>
      <c r="FB46" s="841" t="s">
        <v>353</v>
      </c>
      <c r="FC46" s="841" t="s">
        <v>353</v>
      </c>
      <c r="FD46" s="841" t="s">
        <v>353</v>
      </c>
      <c r="FE46" s="842">
        <v>44600.541666666664</v>
      </c>
      <c r="FF46" s="841" t="s">
        <v>353</v>
      </c>
      <c r="FG46" s="841" t="s">
        <v>353</v>
      </c>
      <c r="FH46" s="841" t="s">
        <v>353</v>
      </c>
      <c r="FI46" s="841" t="s">
        <v>353</v>
      </c>
      <c r="FJ46" s="841" t="s">
        <v>353</v>
      </c>
      <c r="FK46" s="841" t="s">
        <v>353</v>
      </c>
      <c r="FL46" s="841" t="s">
        <v>353</v>
      </c>
      <c r="FM46" s="841" t="s">
        <v>353</v>
      </c>
      <c r="FN46" s="841" t="s">
        <v>353</v>
      </c>
      <c r="FO46" s="841" t="s">
        <v>353</v>
      </c>
      <c r="FP46" s="841" t="s">
        <v>353</v>
      </c>
      <c r="FQ46" s="841" t="s">
        <v>353</v>
      </c>
      <c r="FR46" s="841" t="s">
        <v>353</v>
      </c>
      <c r="FS46" s="841" t="s">
        <v>353</v>
      </c>
      <c r="FT46" s="841" t="s">
        <v>353</v>
      </c>
      <c r="FU46" s="841" t="s">
        <v>1394</v>
      </c>
      <c r="FV46" s="841" t="s">
        <v>353</v>
      </c>
      <c r="FW46" s="841" t="s">
        <v>353</v>
      </c>
      <c r="FX46" s="841" t="s">
        <v>353</v>
      </c>
      <c r="FY46" s="841" t="s">
        <v>353</v>
      </c>
      <c r="FZ46" s="841" t="s">
        <v>353</v>
      </c>
      <c r="GA46" s="841" t="s">
        <v>353</v>
      </c>
      <c r="GB46" s="841">
        <v>1</v>
      </c>
      <c r="GC46" s="841" t="s">
        <v>353</v>
      </c>
      <c r="GD46" s="841" t="s">
        <v>1417</v>
      </c>
      <c r="GE46" s="841" t="s">
        <v>353</v>
      </c>
      <c r="GF46" s="841" t="s">
        <v>353</v>
      </c>
      <c r="GG46" s="841" t="s">
        <v>353</v>
      </c>
      <c r="GH46" s="841">
        <v>21500</v>
      </c>
      <c r="GI46" s="841" t="s">
        <v>353</v>
      </c>
      <c r="GJ46" s="841" t="s">
        <v>353</v>
      </c>
      <c r="GK46" s="841" t="s">
        <v>353</v>
      </c>
      <c r="GL46" s="841" t="s">
        <v>1453</v>
      </c>
      <c r="GM46" s="841" t="s">
        <v>353</v>
      </c>
      <c r="GN46" s="841" t="s">
        <v>353</v>
      </c>
      <c r="GO46" s="841" t="s">
        <v>353</v>
      </c>
      <c r="GP46" s="841" t="s">
        <v>353</v>
      </c>
      <c r="GQ46" s="841" t="s">
        <v>353</v>
      </c>
      <c r="GR46" s="842">
        <v>44607.388888888891</v>
      </c>
      <c r="GS46" s="841" t="s">
        <v>353</v>
      </c>
      <c r="GT46" s="841" t="s">
        <v>353</v>
      </c>
      <c r="GU46" s="841" t="s">
        <v>353</v>
      </c>
      <c r="GV46" s="841" t="s">
        <v>1076</v>
      </c>
      <c r="GW46" s="841" t="s">
        <v>353</v>
      </c>
      <c r="GX46" s="841" t="s">
        <v>353</v>
      </c>
      <c r="GY46" s="841" t="s">
        <v>353</v>
      </c>
      <c r="GZ46" s="841" t="s">
        <v>353</v>
      </c>
      <c r="HA46" s="841" t="s">
        <v>353</v>
      </c>
      <c r="HB46" s="841" t="s">
        <v>353</v>
      </c>
      <c r="HC46" s="841" t="s">
        <v>353</v>
      </c>
      <c r="HD46" s="841" t="s">
        <v>1864</v>
      </c>
      <c r="HE46" s="841" t="s">
        <v>353</v>
      </c>
      <c r="HF46" s="841" t="s">
        <v>353</v>
      </c>
      <c r="HG46" s="841" t="s">
        <v>353</v>
      </c>
      <c r="HH46" s="841" t="s">
        <v>353</v>
      </c>
      <c r="HI46" s="841" t="s">
        <v>353</v>
      </c>
      <c r="HJ46" s="841" t="s">
        <v>353</v>
      </c>
      <c r="HK46" s="841">
        <v>215000</v>
      </c>
      <c r="HL46" s="841" t="s">
        <v>353</v>
      </c>
      <c r="HM46" s="841" t="s">
        <v>353</v>
      </c>
      <c r="HN46" s="841" t="s">
        <v>353</v>
      </c>
      <c r="HO46" s="841" t="s">
        <v>353</v>
      </c>
      <c r="HP46" s="841" t="s">
        <v>353</v>
      </c>
      <c r="HQ46" s="841" t="s">
        <v>353</v>
      </c>
      <c r="HR46" s="841" t="s">
        <v>353</v>
      </c>
      <c r="HS46" s="841" t="s">
        <v>353</v>
      </c>
      <c r="HT46" s="841" t="s">
        <v>353</v>
      </c>
      <c r="HU46" s="841" t="s">
        <v>353</v>
      </c>
      <c r="HV46" s="841" t="s">
        <v>353</v>
      </c>
      <c r="HW46" s="841" t="s">
        <v>353</v>
      </c>
      <c r="HX46" s="841" t="s">
        <v>353</v>
      </c>
      <c r="HY46" s="841" t="s">
        <v>353</v>
      </c>
      <c r="HZ46" s="841" t="s">
        <v>353</v>
      </c>
      <c r="IA46" s="841" t="s">
        <v>353</v>
      </c>
      <c r="IB46" s="841" t="s">
        <v>353</v>
      </c>
      <c r="IC46" s="841" t="s">
        <v>353</v>
      </c>
      <c r="ID46" s="841" t="s">
        <v>353</v>
      </c>
      <c r="IE46" s="841" t="s">
        <v>353</v>
      </c>
      <c r="IF46" s="841" t="s">
        <v>353</v>
      </c>
      <c r="IG46" s="841" t="s">
        <v>353</v>
      </c>
      <c r="IH46" s="841" t="s">
        <v>353</v>
      </c>
      <c r="II46" s="841" t="s">
        <v>353</v>
      </c>
      <c r="IJ46" s="841" t="s">
        <v>353</v>
      </c>
      <c r="IK46" s="841" t="s">
        <v>353</v>
      </c>
      <c r="IL46" s="841" t="s">
        <v>353</v>
      </c>
      <c r="IM46" s="841" t="s">
        <v>353</v>
      </c>
      <c r="IN46" s="841" t="s">
        <v>353</v>
      </c>
      <c r="IO46" s="841" t="s">
        <v>353</v>
      </c>
      <c r="IP46" s="841" t="s">
        <v>353</v>
      </c>
      <c r="IQ46" s="841" t="s">
        <v>353</v>
      </c>
      <c r="IR46" s="841" t="s">
        <v>353</v>
      </c>
      <c r="IS46" s="841" t="s">
        <v>353</v>
      </c>
      <c r="IT46" s="841" t="s">
        <v>353</v>
      </c>
      <c r="IU46" s="841" t="s">
        <v>353</v>
      </c>
      <c r="IV46" s="841" t="s">
        <v>353</v>
      </c>
      <c r="IW46" s="841" t="s">
        <v>353</v>
      </c>
      <c r="IX46" s="841" t="s">
        <v>353</v>
      </c>
      <c r="IY46" s="841" t="s">
        <v>353</v>
      </c>
      <c r="IZ46" s="841" t="s">
        <v>353</v>
      </c>
      <c r="JA46" s="841">
        <v>215000</v>
      </c>
      <c r="JB46" s="841" t="s">
        <v>353</v>
      </c>
      <c r="JC46" s="841" t="s">
        <v>353</v>
      </c>
      <c r="JD46" s="841" t="s">
        <v>353</v>
      </c>
      <c r="JE46" s="841" t="s">
        <v>353</v>
      </c>
      <c r="JF46" s="841" t="s">
        <v>1865</v>
      </c>
      <c r="JG46" s="841" t="s">
        <v>1866</v>
      </c>
      <c r="JH46" s="841" t="s">
        <v>1867</v>
      </c>
      <c r="JI46" s="841" t="s">
        <v>1868</v>
      </c>
    </row>
    <row r="47" spans="1:269" x14ac:dyDescent="0.25">
      <c r="A47" s="841" t="s">
        <v>1869</v>
      </c>
      <c r="B47" s="841" t="s">
        <v>353</v>
      </c>
      <c r="C47" s="841" t="s">
        <v>1403</v>
      </c>
      <c r="D47" s="841" t="s">
        <v>353</v>
      </c>
      <c r="E47" s="841" t="s">
        <v>353</v>
      </c>
      <c r="F47" s="841" t="s">
        <v>1405</v>
      </c>
      <c r="G47" s="841" t="s">
        <v>1841</v>
      </c>
      <c r="H47" s="841" t="s">
        <v>353</v>
      </c>
      <c r="I47" s="841" t="s">
        <v>353</v>
      </c>
      <c r="J47" s="841" t="s">
        <v>353</v>
      </c>
      <c r="K47" s="841" t="s">
        <v>353</v>
      </c>
      <c r="L47" s="842">
        <v>44600.746527777781</v>
      </c>
      <c r="M47" s="841" t="s">
        <v>353</v>
      </c>
      <c r="N47" s="841" t="s">
        <v>353</v>
      </c>
      <c r="O47" s="841" t="s">
        <v>353</v>
      </c>
      <c r="P47" s="841" t="s">
        <v>33</v>
      </c>
      <c r="Q47" s="841" t="s">
        <v>353</v>
      </c>
      <c r="R47" s="841" t="s">
        <v>353</v>
      </c>
      <c r="S47" s="841" t="s">
        <v>61</v>
      </c>
      <c r="T47" s="841" t="s">
        <v>1390</v>
      </c>
      <c r="U47" s="841" t="s">
        <v>353</v>
      </c>
      <c r="V47" s="841" t="s">
        <v>353</v>
      </c>
      <c r="W47" s="841" t="s">
        <v>1575</v>
      </c>
      <c r="X47" s="841" t="s">
        <v>1405</v>
      </c>
      <c r="Y47" s="841" t="s">
        <v>353</v>
      </c>
      <c r="Z47" s="841" t="s">
        <v>353</v>
      </c>
      <c r="AA47" s="841" t="s">
        <v>33</v>
      </c>
      <c r="AB47" s="841" t="s">
        <v>353</v>
      </c>
      <c r="AC47" s="841">
        <v>79000</v>
      </c>
      <c r="AD47" s="841" t="s">
        <v>353</v>
      </c>
      <c r="AE47" s="841" t="s">
        <v>33</v>
      </c>
      <c r="AF47" s="841">
        <v>630.67999999999995</v>
      </c>
      <c r="AG47" s="841" t="s">
        <v>353</v>
      </c>
      <c r="AH47" s="841">
        <v>1050</v>
      </c>
      <c r="AI47" s="841" t="s">
        <v>1521</v>
      </c>
      <c r="AJ47" s="841" t="s">
        <v>353</v>
      </c>
      <c r="AK47" s="841">
        <v>75</v>
      </c>
      <c r="AL47" s="841" t="s">
        <v>353</v>
      </c>
      <c r="AM47" s="841" t="s">
        <v>353</v>
      </c>
      <c r="AN47" s="841" t="s">
        <v>353</v>
      </c>
      <c r="AO47" s="841" t="s">
        <v>353</v>
      </c>
      <c r="AP47" s="841" t="s">
        <v>353</v>
      </c>
      <c r="AQ47" s="841" t="s">
        <v>353</v>
      </c>
      <c r="AR47" s="841" t="s">
        <v>673</v>
      </c>
      <c r="AS47" s="841" t="s">
        <v>353</v>
      </c>
      <c r="AT47" s="841" t="s">
        <v>353</v>
      </c>
      <c r="AU47" s="841" t="s">
        <v>1405</v>
      </c>
      <c r="AV47" s="841" t="s">
        <v>353</v>
      </c>
      <c r="AW47" s="843">
        <v>44599</v>
      </c>
      <c r="AX47" s="841" t="s">
        <v>353</v>
      </c>
      <c r="AY47" s="841" t="s">
        <v>353</v>
      </c>
      <c r="AZ47" s="841" t="s">
        <v>353</v>
      </c>
      <c r="BA47" s="841" t="s">
        <v>353</v>
      </c>
      <c r="BB47" s="841" t="s">
        <v>353</v>
      </c>
      <c r="BC47" s="841">
        <v>155630</v>
      </c>
      <c r="BD47" s="841" t="s">
        <v>353</v>
      </c>
      <c r="BE47" s="841" t="s">
        <v>353</v>
      </c>
      <c r="BF47" s="841" t="s">
        <v>353</v>
      </c>
      <c r="BG47" s="841" t="s">
        <v>353</v>
      </c>
      <c r="BH47" s="841" t="s">
        <v>353</v>
      </c>
      <c r="BI47" s="841" t="s">
        <v>353</v>
      </c>
      <c r="BJ47" s="841" t="s">
        <v>353</v>
      </c>
      <c r="BK47" s="841">
        <v>78450</v>
      </c>
      <c r="BL47" s="841" t="s">
        <v>1842</v>
      </c>
      <c r="BM47" s="842">
        <v>44620.46597222222</v>
      </c>
      <c r="BN47" s="841" t="s">
        <v>353</v>
      </c>
      <c r="BO47" s="841" t="s">
        <v>353</v>
      </c>
      <c r="BP47" s="841" t="s">
        <v>353</v>
      </c>
      <c r="BQ47" s="841" t="s">
        <v>353</v>
      </c>
      <c r="BR47" s="841" t="s">
        <v>353</v>
      </c>
      <c r="BS47" s="841" t="s">
        <v>353</v>
      </c>
      <c r="BT47" s="841">
        <v>158000</v>
      </c>
      <c r="BU47" s="841" t="s">
        <v>353</v>
      </c>
      <c r="BV47" s="841" t="s">
        <v>1870</v>
      </c>
      <c r="BW47" s="841" t="s">
        <v>1578</v>
      </c>
      <c r="BX47" s="841" t="s">
        <v>1844</v>
      </c>
      <c r="BY47" s="841" t="s">
        <v>353</v>
      </c>
      <c r="BZ47" s="841" t="s">
        <v>353</v>
      </c>
      <c r="CA47" s="841" t="s">
        <v>353</v>
      </c>
      <c r="CB47" s="841" t="s">
        <v>353</v>
      </c>
      <c r="CC47" s="841" t="s">
        <v>353</v>
      </c>
      <c r="CD47" s="841" t="s">
        <v>353</v>
      </c>
      <c r="CE47" s="841" t="s">
        <v>353</v>
      </c>
      <c r="CF47" s="841" t="s">
        <v>353</v>
      </c>
      <c r="CG47" s="841" t="s">
        <v>353</v>
      </c>
      <c r="CH47" s="841" t="s">
        <v>353</v>
      </c>
      <c r="CI47" s="841" t="s">
        <v>33</v>
      </c>
      <c r="CJ47" s="841" t="s">
        <v>353</v>
      </c>
      <c r="CK47" s="841">
        <v>2</v>
      </c>
      <c r="CL47" s="841" t="s">
        <v>353</v>
      </c>
      <c r="CM47" s="841">
        <v>2</v>
      </c>
      <c r="CN47" s="841" t="s">
        <v>353</v>
      </c>
      <c r="CO47" s="841" t="s">
        <v>353</v>
      </c>
      <c r="CP47" s="841" t="s">
        <v>1871</v>
      </c>
      <c r="CQ47" s="841" t="s">
        <v>353</v>
      </c>
      <c r="CR47" s="841" t="s">
        <v>353</v>
      </c>
      <c r="CS47" s="841" t="s">
        <v>1405</v>
      </c>
      <c r="CT47" s="841" t="s">
        <v>353</v>
      </c>
      <c r="CU47" s="841" t="s">
        <v>1391</v>
      </c>
      <c r="CV47" s="841" t="s">
        <v>353</v>
      </c>
      <c r="CW47" s="841" t="s">
        <v>353</v>
      </c>
      <c r="CX47" s="841" t="s">
        <v>353</v>
      </c>
      <c r="CY47" s="841" t="s">
        <v>353</v>
      </c>
      <c r="CZ47" s="841" t="s">
        <v>353</v>
      </c>
      <c r="DA47" s="841" t="s">
        <v>353</v>
      </c>
      <c r="DB47" s="841" t="s">
        <v>353</v>
      </c>
      <c r="DC47" s="841" t="s">
        <v>353</v>
      </c>
      <c r="DD47" s="841" t="s">
        <v>353</v>
      </c>
      <c r="DE47" s="841" t="s">
        <v>353</v>
      </c>
      <c r="DF47" s="841">
        <v>24</v>
      </c>
      <c r="DG47" s="841" t="s">
        <v>353</v>
      </c>
      <c r="DH47" s="841" t="s">
        <v>353</v>
      </c>
      <c r="DI47" s="841" t="s">
        <v>353</v>
      </c>
      <c r="DJ47" s="841" t="s">
        <v>1872</v>
      </c>
      <c r="DK47" s="841" t="s">
        <v>353</v>
      </c>
      <c r="DL47" s="842">
        <v>44599.46597222222</v>
      </c>
      <c r="DM47" s="841" t="s">
        <v>353</v>
      </c>
      <c r="DN47" s="841" t="s">
        <v>33</v>
      </c>
      <c r="DO47" s="841" t="s">
        <v>673</v>
      </c>
      <c r="DP47" s="841" t="s">
        <v>1412</v>
      </c>
      <c r="DQ47" s="841" t="s">
        <v>673</v>
      </c>
      <c r="DR47" s="841" t="s">
        <v>353</v>
      </c>
      <c r="DS47" s="841">
        <v>24</v>
      </c>
      <c r="DT47" s="841" t="s">
        <v>353</v>
      </c>
      <c r="DU47" s="841" t="s">
        <v>353</v>
      </c>
      <c r="DV47" s="841">
        <v>155630</v>
      </c>
      <c r="DW47" s="841">
        <v>158000</v>
      </c>
      <c r="DX47" s="841" t="s">
        <v>673</v>
      </c>
      <c r="DY47" s="841" t="s">
        <v>353</v>
      </c>
      <c r="DZ47" s="841" t="s">
        <v>353</v>
      </c>
      <c r="EA47" s="841" t="s">
        <v>353</v>
      </c>
      <c r="EB47" s="841" t="s">
        <v>353</v>
      </c>
      <c r="EC47" s="841" t="s">
        <v>353</v>
      </c>
      <c r="ED47" s="841" t="s">
        <v>353</v>
      </c>
      <c r="EE47" s="841" t="s">
        <v>353</v>
      </c>
      <c r="EF47" s="841" t="s">
        <v>353</v>
      </c>
      <c r="EG47" s="841" t="s">
        <v>353</v>
      </c>
      <c r="EH47" s="841" t="s">
        <v>353</v>
      </c>
      <c r="EI47" s="841">
        <v>0</v>
      </c>
      <c r="EJ47" s="841" t="s">
        <v>353</v>
      </c>
      <c r="EK47" s="841" t="s">
        <v>1488</v>
      </c>
      <c r="EL47" s="841" t="s">
        <v>1435</v>
      </c>
      <c r="EM47" s="841">
        <v>2370</v>
      </c>
      <c r="EN47" s="841" t="s">
        <v>353</v>
      </c>
      <c r="EO47" s="841" t="s">
        <v>353</v>
      </c>
      <c r="EP47" s="841" t="s">
        <v>353</v>
      </c>
      <c r="EQ47" s="841" t="s">
        <v>353</v>
      </c>
      <c r="ER47" s="841" t="s">
        <v>353</v>
      </c>
      <c r="ES47" s="841" t="s">
        <v>33</v>
      </c>
      <c r="ET47" s="841" t="s">
        <v>1711</v>
      </c>
      <c r="EU47" s="841" t="s">
        <v>353</v>
      </c>
      <c r="EV47" s="841" t="s">
        <v>353</v>
      </c>
      <c r="EW47" s="841" t="s">
        <v>353</v>
      </c>
      <c r="EX47" s="841" t="s">
        <v>33</v>
      </c>
      <c r="EY47" s="842">
        <v>44600.746527777781</v>
      </c>
      <c r="EZ47" s="841" t="s">
        <v>353</v>
      </c>
      <c r="FA47" s="841" t="s">
        <v>353</v>
      </c>
      <c r="FB47" s="841" t="s">
        <v>353</v>
      </c>
      <c r="FC47" s="841" t="s">
        <v>353</v>
      </c>
      <c r="FD47" s="841" t="s">
        <v>353</v>
      </c>
      <c r="FE47" s="842">
        <v>44599.46597222222</v>
      </c>
      <c r="FF47" s="841" t="s">
        <v>353</v>
      </c>
      <c r="FG47" s="841" t="s">
        <v>1873</v>
      </c>
      <c r="FH47" s="841" t="s">
        <v>353</v>
      </c>
      <c r="FI47" s="841" t="s">
        <v>353</v>
      </c>
      <c r="FJ47" s="841" t="s">
        <v>353</v>
      </c>
      <c r="FK47" s="841" t="s">
        <v>353</v>
      </c>
      <c r="FL47" s="841" t="s">
        <v>353</v>
      </c>
      <c r="FM47" s="841" t="s">
        <v>353</v>
      </c>
      <c r="FN47" s="841" t="s">
        <v>353</v>
      </c>
      <c r="FO47" s="841" t="s">
        <v>1528</v>
      </c>
      <c r="FP47" s="841" t="s">
        <v>353</v>
      </c>
      <c r="FQ47" s="841" t="s">
        <v>353</v>
      </c>
      <c r="FR47" s="841" t="s">
        <v>353</v>
      </c>
      <c r="FS47" s="841" t="s">
        <v>353</v>
      </c>
      <c r="FT47" s="841" t="s">
        <v>353</v>
      </c>
      <c r="FU47" s="841" t="s">
        <v>1467</v>
      </c>
      <c r="FV47" s="841" t="s">
        <v>353</v>
      </c>
      <c r="FW47" s="841" t="s">
        <v>353</v>
      </c>
      <c r="FX47" s="841" t="s">
        <v>353</v>
      </c>
      <c r="FY47" s="841" t="s">
        <v>353</v>
      </c>
      <c r="FZ47" s="841" t="s">
        <v>353</v>
      </c>
      <c r="GA47" s="841" t="s">
        <v>353</v>
      </c>
      <c r="GB47" s="841">
        <v>1</v>
      </c>
      <c r="GC47" s="841" t="s">
        <v>353</v>
      </c>
      <c r="GD47" s="841" t="s">
        <v>1417</v>
      </c>
      <c r="GE47" s="841" t="s">
        <v>353</v>
      </c>
      <c r="GF47" s="841" t="s">
        <v>353</v>
      </c>
      <c r="GG47" s="841" t="s">
        <v>349</v>
      </c>
      <c r="GH47" s="841">
        <v>79000</v>
      </c>
      <c r="GI47" s="841" t="s">
        <v>353</v>
      </c>
      <c r="GJ47" s="841" t="s">
        <v>353</v>
      </c>
      <c r="GK47" s="841" t="s">
        <v>353</v>
      </c>
      <c r="GL47" s="841" t="s">
        <v>1418</v>
      </c>
      <c r="GM47" s="841" t="s">
        <v>353</v>
      </c>
      <c r="GN47" s="841" t="s">
        <v>353</v>
      </c>
      <c r="GO47" s="841" t="s">
        <v>353</v>
      </c>
      <c r="GP47" s="841" t="s">
        <v>353</v>
      </c>
      <c r="GQ47" s="841" t="s">
        <v>353</v>
      </c>
      <c r="GR47" s="842">
        <v>44600.746527777781</v>
      </c>
      <c r="GS47" s="841" t="s">
        <v>1870</v>
      </c>
      <c r="GT47" s="841" t="s">
        <v>353</v>
      </c>
      <c r="GU47" s="841" t="s">
        <v>353</v>
      </c>
      <c r="GV47" s="841" t="s">
        <v>1419</v>
      </c>
      <c r="GW47" s="841" t="s">
        <v>353</v>
      </c>
      <c r="GX47" s="841" t="s">
        <v>1874</v>
      </c>
      <c r="GY47" s="841">
        <v>24</v>
      </c>
      <c r="GZ47" s="841" t="s">
        <v>1575</v>
      </c>
      <c r="HA47" s="841" t="s">
        <v>353</v>
      </c>
      <c r="HB47" s="841" t="s">
        <v>353</v>
      </c>
      <c r="HC47" s="841" t="s">
        <v>1421</v>
      </c>
      <c r="HD47" s="841" t="s">
        <v>1871</v>
      </c>
      <c r="HE47" s="841">
        <v>1580</v>
      </c>
      <c r="HF47" s="841" t="s">
        <v>353</v>
      </c>
      <c r="HG47" s="841" t="s">
        <v>353</v>
      </c>
      <c r="HH47" s="841" t="s">
        <v>353</v>
      </c>
      <c r="HI47" s="841" t="s">
        <v>1422</v>
      </c>
      <c r="HJ47" s="841" t="s">
        <v>23</v>
      </c>
      <c r="HK47" s="841">
        <v>158000</v>
      </c>
      <c r="HL47" s="841" t="s">
        <v>353</v>
      </c>
      <c r="HM47" s="841" t="s">
        <v>1423</v>
      </c>
      <c r="HN47" s="841" t="s">
        <v>33</v>
      </c>
      <c r="HO47" s="841" t="s">
        <v>353</v>
      </c>
      <c r="HP47" s="841">
        <v>7568.2</v>
      </c>
      <c r="HQ47" s="841" t="s">
        <v>353</v>
      </c>
      <c r="HR47" s="841" t="s">
        <v>353</v>
      </c>
      <c r="HS47" s="841">
        <v>158000</v>
      </c>
      <c r="HT47" s="841" t="s">
        <v>353</v>
      </c>
      <c r="HU47" s="841" t="s">
        <v>353</v>
      </c>
      <c r="HV47" s="841" t="s">
        <v>353</v>
      </c>
      <c r="HW47" s="841">
        <v>211000</v>
      </c>
      <c r="HX47" s="841" t="s">
        <v>353</v>
      </c>
      <c r="HY47" s="841" t="s">
        <v>353</v>
      </c>
      <c r="HZ47" s="841" t="s">
        <v>353</v>
      </c>
      <c r="IA47" s="841" t="s">
        <v>353</v>
      </c>
      <c r="IB47" s="841" t="s">
        <v>1424</v>
      </c>
      <c r="IC47" s="843">
        <v>44596</v>
      </c>
      <c r="ID47" s="841" t="s">
        <v>353</v>
      </c>
      <c r="IE47" s="841" t="s">
        <v>353</v>
      </c>
      <c r="IF47" s="841" t="s">
        <v>353</v>
      </c>
      <c r="IG47" s="841" t="s">
        <v>353</v>
      </c>
      <c r="IH47" s="841" t="s">
        <v>353</v>
      </c>
      <c r="II47" s="841" t="s">
        <v>353</v>
      </c>
      <c r="IJ47" s="841">
        <v>108</v>
      </c>
      <c r="IK47" s="841" t="s">
        <v>353</v>
      </c>
      <c r="IL47" s="841">
        <v>158000</v>
      </c>
      <c r="IM47" s="841" t="s">
        <v>353</v>
      </c>
      <c r="IN47" s="841" t="s">
        <v>353</v>
      </c>
      <c r="IO47" s="841">
        <v>0</v>
      </c>
      <c r="IP47" s="841" t="s">
        <v>353</v>
      </c>
      <c r="IQ47" s="841" t="s">
        <v>353</v>
      </c>
      <c r="IR47" s="841">
        <v>0</v>
      </c>
      <c r="IS47" s="841" t="s">
        <v>33</v>
      </c>
      <c r="IT47" s="841" t="s">
        <v>353</v>
      </c>
      <c r="IU47" s="841" t="s">
        <v>353</v>
      </c>
      <c r="IV47" s="841" t="s">
        <v>353</v>
      </c>
      <c r="IW47" s="841" t="s">
        <v>353</v>
      </c>
      <c r="IX47" s="841" t="s">
        <v>353</v>
      </c>
      <c r="IY47" s="841" t="s">
        <v>353</v>
      </c>
      <c r="IZ47" s="841" t="s">
        <v>353</v>
      </c>
      <c r="JA47" s="841">
        <v>158000</v>
      </c>
      <c r="JB47" s="841" t="s">
        <v>353</v>
      </c>
      <c r="JC47" s="841" t="s">
        <v>353</v>
      </c>
      <c r="JD47" s="841" t="s">
        <v>1488</v>
      </c>
      <c r="JE47" s="841" t="s">
        <v>33</v>
      </c>
      <c r="JF47" s="841" t="s">
        <v>1850</v>
      </c>
      <c r="JG47" s="841" t="s">
        <v>1851</v>
      </c>
      <c r="JH47" s="841" t="s">
        <v>1852</v>
      </c>
      <c r="JI47" s="841" t="s">
        <v>1853</v>
      </c>
    </row>
    <row r="48" spans="1:269" x14ac:dyDescent="0.25">
      <c r="A48" s="841" t="s">
        <v>1875</v>
      </c>
      <c r="B48" s="841" t="s">
        <v>353</v>
      </c>
      <c r="C48" s="841" t="s">
        <v>353</v>
      </c>
      <c r="D48" s="841" t="s">
        <v>353</v>
      </c>
      <c r="E48" s="841" t="s">
        <v>353</v>
      </c>
      <c r="F48" s="841" t="s">
        <v>353</v>
      </c>
      <c r="G48" s="841" t="s">
        <v>1876</v>
      </c>
      <c r="H48" s="841" t="s">
        <v>353</v>
      </c>
      <c r="I48" s="841" t="s">
        <v>353</v>
      </c>
      <c r="J48" s="841" t="s">
        <v>353</v>
      </c>
      <c r="K48" s="841" t="s">
        <v>353</v>
      </c>
      <c r="L48" s="842">
        <v>44599.433333333334</v>
      </c>
      <c r="M48" s="841" t="s">
        <v>353</v>
      </c>
      <c r="N48" s="841" t="s">
        <v>353</v>
      </c>
      <c r="O48" s="841" t="s">
        <v>353</v>
      </c>
      <c r="P48" s="841" t="s">
        <v>353</v>
      </c>
      <c r="Q48" s="841" t="s">
        <v>353</v>
      </c>
      <c r="R48" s="841" t="s">
        <v>353</v>
      </c>
      <c r="S48" s="841" t="s">
        <v>64</v>
      </c>
      <c r="T48" s="841" t="s">
        <v>1390</v>
      </c>
      <c r="U48" s="841" t="s">
        <v>353</v>
      </c>
      <c r="V48" s="841" t="s">
        <v>353</v>
      </c>
      <c r="W48" s="841" t="s">
        <v>1420</v>
      </c>
      <c r="X48" s="841" t="s">
        <v>1405</v>
      </c>
      <c r="Y48" s="841" t="s">
        <v>353</v>
      </c>
      <c r="Z48" s="841" t="s">
        <v>353</v>
      </c>
      <c r="AA48" s="841" t="s">
        <v>353</v>
      </c>
      <c r="AB48" s="841" t="s">
        <v>353</v>
      </c>
      <c r="AC48" s="841">
        <v>82400</v>
      </c>
      <c r="AD48" s="841" t="s">
        <v>353</v>
      </c>
      <c r="AE48" s="841" t="s">
        <v>353</v>
      </c>
      <c r="AF48" s="841" t="s">
        <v>353</v>
      </c>
      <c r="AG48" s="841" t="s">
        <v>353</v>
      </c>
      <c r="AH48" s="841">
        <v>1841</v>
      </c>
      <c r="AI48" s="841" t="s">
        <v>1535</v>
      </c>
      <c r="AJ48" s="841" t="s">
        <v>353</v>
      </c>
      <c r="AK48" s="841" t="s">
        <v>353</v>
      </c>
      <c r="AL48" s="841" t="s">
        <v>353</v>
      </c>
      <c r="AM48" s="841" t="s">
        <v>353</v>
      </c>
      <c r="AN48" s="841" t="s">
        <v>353</v>
      </c>
      <c r="AO48" s="841" t="s">
        <v>353</v>
      </c>
      <c r="AP48" s="841" t="s">
        <v>353</v>
      </c>
      <c r="AQ48" s="841" t="s">
        <v>353</v>
      </c>
      <c r="AR48" s="841" t="s">
        <v>353</v>
      </c>
      <c r="AS48" s="841" t="s">
        <v>353</v>
      </c>
      <c r="AT48" s="841" t="s">
        <v>353</v>
      </c>
      <c r="AU48" s="841" t="s">
        <v>353</v>
      </c>
      <c r="AV48" s="841" t="s">
        <v>353</v>
      </c>
      <c r="AW48" s="841" t="s">
        <v>353</v>
      </c>
      <c r="AX48" s="841" t="s">
        <v>353</v>
      </c>
      <c r="AY48" s="841" t="s">
        <v>353</v>
      </c>
      <c r="AZ48" s="841" t="s">
        <v>353</v>
      </c>
      <c r="BA48" s="841" t="s">
        <v>353</v>
      </c>
      <c r="BB48" s="841" t="s">
        <v>353</v>
      </c>
      <c r="BC48" s="841" t="s">
        <v>353</v>
      </c>
      <c r="BD48" s="841" t="s">
        <v>353</v>
      </c>
      <c r="BE48" s="841" t="s">
        <v>353</v>
      </c>
      <c r="BF48" s="841" t="s">
        <v>353</v>
      </c>
      <c r="BG48" s="841" t="s">
        <v>353</v>
      </c>
      <c r="BH48" s="841" t="s">
        <v>353</v>
      </c>
      <c r="BI48" s="841" t="s">
        <v>353</v>
      </c>
      <c r="BJ48" s="841" t="s">
        <v>353</v>
      </c>
      <c r="BK48" s="841" t="s">
        <v>353</v>
      </c>
      <c r="BL48" s="841" t="s">
        <v>1877</v>
      </c>
      <c r="BM48" s="842">
        <v>44620.394444444442</v>
      </c>
      <c r="BN48" s="841" t="s">
        <v>353</v>
      </c>
      <c r="BO48" s="841" t="s">
        <v>353</v>
      </c>
      <c r="BP48" s="841" t="s">
        <v>353</v>
      </c>
      <c r="BQ48" s="841" t="s">
        <v>353</v>
      </c>
      <c r="BR48" s="841" t="s">
        <v>353</v>
      </c>
      <c r="BS48" s="841" t="s">
        <v>353</v>
      </c>
      <c r="BT48" s="841">
        <v>412000</v>
      </c>
      <c r="BU48" s="841" t="s">
        <v>353</v>
      </c>
      <c r="BV48" s="841" t="s">
        <v>1616</v>
      </c>
      <c r="BW48" s="841" t="s">
        <v>353</v>
      </c>
      <c r="BX48" s="841" t="s">
        <v>353</v>
      </c>
      <c r="BY48" s="841" t="s">
        <v>353</v>
      </c>
      <c r="BZ48" s="841" t="s">
        <v>353</v>
      </c>
      <c r="CA48" s="841" t="s">
        <v>353</v>
      </c>
      <c r="CB48" s="841" t="s">
        <v>353</v>
      </c>
      <c r="CC48" s="841" t="s">
        <v>353</v>
      </c>
      <c r="CD48" s="841" t="s">
        <v>353</v>
      </c>
      <c r="CE48" s="841" t="s">
        <v>353</v>
      </c>
      <c r="CF48" s="841" t="s">
        <v>353</v>
      </c>
      <c r="CG48" s="841" t="s">
        <v>353</v>
      </c>
      <c r="CH48" s="841" t="s">
        <v>353</v>
      </c>
      <c r="CI48" s="841" t="s">
        <v>353</v>
      </c>
      <c r="CJ48" s="841" t="s">
        <v>353</v>
      </c>
      <c r="CK48" s="841" t="s">
        <v>353</v>
      </c>
      <c r="CL48" s="841" t="s">
        <v>353</v>
      </c>
      <c r="CM48" s="841" t="s">
        <v>353</v>
      </c>
      <c r="CN48" s="841" t="s">
        <v>353</v>
      </c>
      <c r="CO48" s="841" t="s">
        <v>353</v>
      </c>
      <c r="CP48" s="841" t="s">
        <v>1878</v>
      </c>
      <c r="CQ48" s="841" t="s">
        <v>353</v>
      </c>
      <c r="CR48" s="841" t="s">
        <v>353</v>
      </c>
      <c r="CS48" s="841" t="s">
        <v>1803</v>
      </c>
      <c r="CT48" s="841" t="s">
        <v>353</v>
      </c>
      <c r="CU48" s="841" t="s">
        <v>1391</v>
      </c>
      <c r="CV48" s="841" t="s">
        <v>353</v>
      </c>
      <c r="CW48" s="841" t="s">
        <v>353</v>
      </c>
      <c r="CX48" s="841" t="s">
        <v>353</v>
      </c>
      <c r="CY48" s="841" t="s">
        <v>353</v>
      </c>
      <c r="CZ48" s="841">
        <v>1</v>
      </c>
      <c r="DA48" s="841" t="s">
        <v>353</v>
      </c>
      <c r="DB48" s="841" t="s">
        <v>353</v>
      </c>
      <c r="DC48" s="841" t="s">
        <v>353</v>
      </c>
      <c r="DD48" s="841" t="s">
        <v>353</v>
      </c>
      <c r="DE48" s="841" t="s">
        <v>353</v>
      </c>
      <c r="DF48" s="841">
        <v>30</v>
      </c>
      <c r="DG48" s="841" t="s">
        <v>353</v>
      </c>
      <c r="DH48" s="841" t="s">
        <v>353</v>
      </c>
      <c r="DI48" s="841" t="s">
        <v>353</v>
      </c>
      <c r="DJ48" s="841" t="s">
        <v>1879</v>
      </c>
      <c r="DK48" s="841" t="s">
        <v>353</v>
      </c>
      <c r="DL48" s="842">
        <v>44599.394444444442</v>
      </c>
      <c r="DM48" s="841" t="s">
        <v>353</v>
      </c>
      <c r="DN48" s="841" t="s">
        <v>353</v>
      </c>
      <c r="DO48" s="841" t="s">
        <v>353</v>
      </c>
      <c r="DP48" s="841" t="s">
        <v>353</v>
      </c>
      <c r="DQ48" s="841" t="s">
        <v>1392</v>
      </c>
      <c r="DR48" s="841" t="s">
        <v>353</v>
      </c>
      <c r="DS48" s="841">
        <v>30</v>
      </c>
      <c r="DT48" s="841" t="s">
        <v>353</v>
      </c>
      <c r="DU48" s="841" t="s">
        <v>353</v>
      </c>
      <c r="DV48" s="841">
        <v>274021.2</v>
      </c>
      <c r="DW48" s="841">
        <v>412000</v>
      </c>
      <c r="DX48" s="841" t="s">
        <v>353</v>
      </c>
      <c r="DY48" s="841" t="s">
        <v>353</v>
      </c>
      <c r="DZ48" s="841" t="s">
        <v>353</v>
      </c>
      <c r="EA48" s="841" t="s">
        <v>353</v>
      </c>
      <c r="EB48" s="841" t="s">
        <v>353</v>
      </c>
      <c r="EC48" s="841" t="s">
        <v>353</v>
      </c>
      <c r="ED48" s="841" t="s">
        <v>353</v>
      </c>
      <c r="EE48" s="841" t="s">
        <v>353</v>
      </c>
      <c r="EF48" s="841" t="s">
        <v>353</v>
      </c>
      <c r="EG48" s="841" t="s">
        <v>353</v>
      </c>
      <c r="EH48" s="841" t="s">
        <v>353</v>
      </c>
      <c r="EI48" s="841">
        <v>130768.8</v>
      </c>
      <c r="EJ48" s="841" t="s">
        <v>353</v>
      </c>
      <c r="EK48" s="841" t="s">
        <v>353</v>
      </c>
      <c r="EL48" s="841" t="s">
        <v>353</v>
      </c>
      <c r="EM48" s="841">
        <v>7210</v>
      </c>
      <c r="EN48" s="841" t="s">
        <v>353</v>
      </c>
      <c r="EO48" s="841" t="s">
        <v>353</v>
      </c>
      <c r="EP48" s="841" t="s">
        <v>353</v>
      </c>
      <c r="EQ48" s="841" t="s">
        <v>353</v>
      </c>
      <c r="ER48" s="841" t="s">
        <v>353</v>
      </c>
      <c r="ES48" s="841" t="s">
        <v>353</v>
      </c>
      <c r="ET48" s="841" t="s">
        <v>1512</v>
      </c>
      <c r="EU48" s="841" t="s">
        <v>353</v>
      </c>
      <c r="EV48" s="841" t="s">
        <v>353</v>
      </c>
      <c r="EW48" s="841" t="s">
        <v>353</v>
      </c>
      <c r="EX48" s="841" t="s">
        <v>353</v>
      </c>
      <c r="EY48" s="841" t="s">
        <v>353</v>
      </c>
      <c r="EZ48" s="841" t="s">
        <v>353</v>
      </c>
      <c r="FA48" s="841" t="s">
        <v>353</v>
      </c>
      <c r="FB48" s="841" t="s">
        <v>353</v>
      </c>
      <c r="FC48" s="841" t="s">
        <v>353</v>
      </c>
      <c r="FD48" s="841" t="s">
        <v>353</v>
      </c>
      <c r="FE48" s="842">
        <v>44599.400694444441</v>
      </c>
      <c r="FF48" s="841" t="s">
        <v>353</v>
      </c>
      <c r="FG48" s="841" t="s">
        <v>353</v>
      </c>
      <c r="FH48" s="841" t="s">
        <v>353</v>
      </c>
      <c r="FI48" s="841" t="s">
        <v>353</v>
      </c>
      <c r="FJ48" s="841" t="s">
        <v>353</v>
      </c>
      <c r="FK48" s="841" t="s">
        <v>353</v>
      </c>
      <c r="FL48" s="841" t="s">
        <v>353</v>
      </c>
      <c r="FM48" s="841" t="s">
        <v>353</v>
      </c>
      <c r="FN48" s="841" t="s">
        <v>353</v>
      </c>
      <c r="FO48" s="841" t="s">
        <v>1729</v>
      </c>
      <c r="FP48" s="841" t="s">
        <v>353</v>
      </c>
      <c r="FQ48" s="841" t="s">
        <v>353</v>
      </c>
      <c r="FR48" s="841" t="s">
        <v>353</v>
      </c>
      <c r="FS48" s="841" t="s">
        <v>353</v>
      </c>
      <c r="FT48" s="841" t="s">
        <v>353</v>
      </c>
      <c r="FU48" s="841" t="s">
        <v>1416</v>
      </c>
      <c r="FV48" s="841" t="s">
        <v>353</v>
      </c>
      <c r="FW48" s="841" t="s">
        <v>353</v>
      </c>
      <c r="FX48" s="841" t="s">
        <v>353</v>
      </c>
      <c r="FY48" s="841" t="s">
        <v>353</v>
      </c>
      <c r="FZ48" s="841" t="s">
        <v>353</v>
      </c>
      <c r="GA48" s="841" t="s">
        <v>353</v>
      </c>
      <c r="GB48" s="841">
        <v>1</v>
      </c>
      <c r="GC48" s="841" t="s">
        <v>353</v>
      </c>
      <c r="GD48" s="841" t="s">
        <v>1417</v>
      </c>
      <c r="GE48" s="841" t="s">
        <v>353</v>
      </c>
      <c r="GF48" s="841" t="s">
        <v>353</v>
      </c>
      <c r="GG48" s="841" t="s">
        <v>353</v>
      </c>
      <c r="GH48" s="841">
        <v>82400</v>
      </c>
      <c r="GI48" s="841" t="s">
        <v>353</v>
      </c>
      <c r="GJ48" s="841" t="s">
        <v>353</v>
      </c>
      <c r="GK48" s="841" t="s">
        <v>353</v>
      </c>
      <c r="GL48" s="841" t="s">
        <v>1541</v>
      </c>
      <c r="GM48" s="841" t="s">
        <v>353</v>
      </c>
      <c r="GN48" s="841" t="s">
        <v>353</v>
      </c>
      <c r="GO48" s="841" t="s">
        <v>353</v>
      </c>
      <c r="GP48" s="841" t="s">
        <v>353</v>
      </c>
      <c r="GQ48" s="841" t="s">
        <v>353</v>
      </c>
      <c r="GR48" s="841" t="s">
        <v>353</v>
      </c>
      <c r="GS48" s="841" t="s">
        <v>1616</v>
      </c>
      <c r="GT48" s="841" t="s">
        <v>353</v>
      </c>
      <c r="GU48" s="841" t="s">
        <v>353</v>
      </c>
      <c r="GV48" s="841" t="s">
        <v>1419</v>
      </c>
      <c r="GW48" s="841" t="s">
        <v>353</v>
      </c>
      <c r="GX48" s="841" t="s">
        <v>353</v>
      </c>
      <c r="GY48" s="841">
        <v>36</v>
      </c>
      <c r="GZ48" s="841" t="s">
        <v>1420</v>
      </c>
      <c r="HA48" s="841" t="s">
        <v>353</v>
      </c>
      <c r="HB48" s="841" t="s">
        <v>353</v>
      </c>
      <c r="HC48" s="841" t="s">
        <v>1421</v>
      </c>
      <c r="HD48" s="841" t="s">
        <v>1880</v>
      </c>
      <c r="HE48" s="841" t="s">
        <v>353</v>
      </c>
      <c r="HF48" s="841" t="s">
        <v>353</v>
      </c>
      <c r="HG48" s="841" t="s">
        <v>353</v>
      </c>
      <c r="HH48" s="841" t="s">
        <v>353</v>
      </c>
      <c r="HI48" s="841" t="s">
        <v>1422</v>
      </c>
      <c r="HJ48" s="841" t="s">
        <v>1881</v>
      </c>
      <c r="HK48" s="841">
        <v>412000</v>
      </c>
      <c r="HL48" s="841" t="s">
        <v>353</v>
      </c>
      <c r="HM48" s="841" t="s">
        <v>1423</v>
      </c>
      <c r="HN48" s="841" t="s">
        <v>353</v>
      </c>
      <c r="HO48" s="841" t="s">
        <v>353</v>
      </c>
      <c r="HP48" s="841">
        <v>21794.799999999999</v>
      </c>
      <c r="HQ48" s="841" t="s">
        <v>353</v>
      </c>
      <c r="HR48" s="841" t="s">
        <v>353</v>
      </c>
      <c r="HS48" s="841">
        <v>281231.2</v>
      </c>
      <c r="HT48" s="841" t="s">
        <v>353</v>
      </c>
      <c r="HU48" s="841" t="s">
        <v>353</v>
      </c>
      <c r="HV48" s="841" t="s">
        <v>353</v>
      </c>
      <c r="HW48" s="841">
        <v>550000</v>
      </c>
      <c r="HX48" s="841" t="s">
        <v>353</v>
      </c>
      <c r="HY48" s="841" t="s">
        <v>353</v>
      </c>
      <c r="HZ48" s="841" t="s">
        <v>353</v>
      </c>
      <c r="IA48" s="841" t="s">
        <v>353</v>
      </c>
      <c r="IB48" s="841" t="s">
        <v>1424</v>
      </c>
      <c r="IC48" s="841" t="s">
        <v>353</v>
      </c>
      <c r="ID48" s="841" t="s">
        <v>353</v>
      </c>
      <c r="IE48" s="841" t="s">
        <v>353</v>
      </c>
      <c r="IF48" s="841" t="s">
        <v>353</v>
      </c>
      <c r="IG48" s="841" t="s">
        <v>353</v>
      </c>
      <c r="IH48" s="841" t="s">
        <v>353</v>
      </c>
      <c r="II48" s="841" t="s">
        <v>353</v>
      </c>
      <c r="IJ48" s="841" t="s">
        <v>353</v>
      </c>
      <c r="IK48" s="841" t="s">
        <v>353</v>
      </c>
      <c r="IL48" s="841" t="s">
        <v>353</v>
      </c>
      <c r="IM48" s="841" t="s">
        <v>353</v>
      </c>
      <c r="IN48" s="841" t="s">
        <v>353</v>
      </c>
      <c r="IO48" s="841" t="s">
        <v>353</v>
      </c>
      <c r="IP48" s="841" t="s">
        <v>353</v>
      </c>
      <c r="IQ48" s="841" t="s">
        <v>353</v>
      </c>
      <c r="IR48" s="841">
        <v>6</v>
      </c>
      <c r="IS48" s="841" t="s">
        <v>353</v>
      </c>
      <c r="IT48" s="841" t="s">
        <v>353</v>
      </c>
      <c r="IU48" s="841" t="s">
        <v>353</v>
      </c>
      <c r="IV48" s="841" t="s">
        <v>353</v>
      </c>
      <c r="IW48" s="841" t="s">
        <v>353</v>
      </c>
      <c r="IX48" s="841" t="s">
        <v>353</v>
      </c>
      <c r="IY48" s="841" t="s">
        <v>1578</v>
      </c>
      <c r="IZ48" s="841" t="s">
        <v>353</v>
      </c>
      <c r="JA48" s="841">
        <v>412000</v>
      </c>
      <c r="JB48" s="841" t="s">
        <v>353</v>
      </c>
      <c r="JC48" s="841" t="s">
        <v>353</v>
      </c>
      <c r="JD48" s="841" t="s">
        <v>1456</v>
      </c>
      <c r="JE48" s="841" t="s">
        <v>353</v>
      </c>
      <c r="JF48" s="841" t="s">
        <v>1759</v>
      </c>
      <c r="JG48" s="841" t="s">
        <v>1760</v>
      </c>
      <c r="JH48" s="841" t="s">
        <v>1761</v>
      </c>
      <c r="JI48" s="841" t="s">
        <v>1762</v>
      </c>
    </row>
    <row r="49" spans="1:269" x14ac:dyDescent="0.25">
      <c r="A49" s="841" t="s">
        <v>1882</v>
      </c>
      <c r="B49" s="841" t="s">
        <v>353</v>
      </c>
      <c r="C49" s="841" t="s">
        <v>353</v>
      </c>
      <c r="D49" s="841" t="s">
        <v>353</v>
      </c>
      <c r="E49" s="841" t="s">
        <v>33</v>
      </c>
      <c r="F49" s="841" t="s">
        <v>1405</v>
      </c>
      <c r="G49" s="841" t="s">
        <v>1428</v>
      </c>
      <c r="H49" s="841" t="s">
        <v>353</v>
      </c>
      <c r="I49" s="841" t="s">
        <v>353</v>
      </c>
      <c r="J49" s="841" t="s">
        <v>353</v>
      </c>
      <c r="K49" s="841" t="s">
        <v>353</v>
      </c>
      <c r="L49" s="842">
        <v>44608.42083333333</v>
      </c>
      <c r="M49" s="841" t="s">
        <v>353</v>
      </c>
      <c r="N49" s="841" t="s">
        <v>353</v>
      </c>
      <c r="O49" s="841" t="s">
        <v>353</v>
      </c>
      <c r="P49" s="841" t="s">
        <v>33</v>
      </c>
      <c r="Q49" s="841" t="s">
        <v>353</v>
      </c>
      <c r="R49" s="841" t="s">
        <v>353</v>
      </c>
      <c r="S49" s="841" t="s">
        <v>67</v>
      </c>
      <c r="T49" s="841" t="s">
        <v>1390</v>
      </c>
      <c r="U49" s="841" t="s">
        <v>353</v>
      </c>
      <c r="V49" s="841" t="s">
        <v>353</v>
      </c>
      <c r="W49" s="841" t="s">
        <v>1420</v>
      </c>
      <c r="X49" s="841" t="s">
        <v>1405</v>
      </c>
      <c r="Y49" s="841" t="s">
        <v>353</v>
      </c>
      <c r="Z49" s="841" t="s">
        <v>353</v>
      </c>
      <c r="AA49" s="841" t="s">
        <v>33</v>
      </c>
      <c r="AB49" s="841" t="s">
        <v>353</v>
      </c>
      <c r="AC49" s="841">
        <v>310200</v>
      </c>
      <c r="AD49" s="841" t="s">
        <v>353</v>
      </c>
      <c r="AE49" s="841" t="s">
        <v>33</v>
      </c>
      <c r="AF49" s="841" t="s">
        <v>353</v>
      </c>
      <c r="AG49" s="841" t="s">
        <v>353</v>
      </c>
      <c r="AH49" s="841">
        <v>3700</v>
      </c>
      <c r="AI49" s="841" t="s">
        <v>1592</v>
      </c>
      <c r="AJ49" s="841" t="s">
        <v>353</v>
      </c>
      <c r="AK49" s="841">
        <v>75</v>
      </c>
      <c r="AL49" s="841" t="s">
        <v>353</v>
      </c>
      <c r="AM49" s="841" t="s">
        <v>353</v>
      </c>
      <c r="AN49" s="841" t="s">
        <v>353</v>
      </c>
      <c r="AO49" s="841" t="s">
        <v>353</v>
      </c>
      <c r="AP49" s="841" t="s">
        <v>353</v>
      </c>
      <c r="AQ49" s="841" t="s">
        <v>353</v>
      </c>
      <c r="AR49" s="841" t="s">
        <v>33</v>
      </c>
      <c r="AS49" s="841" t="s">
        <v>353</v>
      </c>
      <c r="AT49" s="841" t="s">
        <v>353</v>
      </c>
      <c r="AU49" s="841" t="s">
        <v>353</v>
      </c>
      <c r="AV49" s="841" t="s">
        <v>353</v>
      </c>
      <c r="AW49" s="843">
        <v>44596</v>
      </c>
      <c r="AX49" s="841" t="s">
        <v>353</v>
      </c>
      <c r="AY49" s="841" t="s">
        <v>353</v>
      </c>
      <c r="AZ49" s="841" t="s">
        <v>353</v>
      </c>
      <c r="BA49" s="841" t="s">
        <v>353</v>
      </c>
      <c r="BB49" s="841" t="s">
        <v>353</v>
      </c>
      <c r="BC49" s="841">
        <v>507952</v>
      </c>
      <c r="BD49" s="841" t="s">
        <v>353</v>
      </c>
      <c r="BE49" s="841" t="s">
        <v>353</v>
      </c>
      <c r="BF49" s="841" t="s">
        <v>353</v>
      </c>
      <c r="BG49" s="841" t="s">
        <v>353</v>
      </c>
      <c r="BH49" s="841" t="s">
        <v>353</v>
      </c>
      <c r="BI49" s="841" t="s">
        <v>353</v>
      </c>
      <c r="BJ49" s="841" t="s">
        <v>353</v>
      </c>
      <c r="BK49" s="841" t="s">
        <v>353</v>
      </c>
      <c r="BL49" s="841" t="s">
        <v>1883</v>
      </c>
      <c r="BM49" s="842">
        <v>44620.68472222222</v>
      </c>
      <c r="BN49" s="841" t="s">
        <v>353</v>
      </c>
      <c r="BO49" s="841" t="s">
        <v>353</v>
      </c>
      <c r="BP49" s="841" t="s">
        <v>353</v>
      </c>
      <c r="BQ49" s="841" t="s">
        <v>353</v>
      </c>
      <c r="BR49" s="841" t="s">
        <v>353</v>
      </c>
      <c r="BS49" s="841" t="s">
        <v>353</v>
      </c>
      <c r="BT49" s="841">
        <v>517000</v>
      </c>
      <c r="BU49" s="841" t="s">
        <v>353</v>
      </c>
      <c r="BV49" s="841" t="s">
        <v>1884</v>
      </c>
      <c r="BW49" s="841" t="s">
        <v>1578</v>
      </c>
      <c r="BX49" s="841" t="s">
        <v>1885</v>
      </c>
      <c r="BY49" s="841" t="s">
        <v>353</v>
      </c>
      <c r="BZ49" s="841" t="s">
        <v>353</v>
      </c>
      <c r="CA49" s="841" t="s">
        <v>353</v>
      </c>
      <c r="CB49" s="841" t="s">
        <v>353</v>
      </c>
      <c r="CC49" s="841" t="s">
        <v>353</v>
      </c>
      <c r="CD49" s="841" t="s">
        <v>353</v>
      </c>
      <c r="CE49" s="841" t="s">
        <v>353</v>
      </c>
      <c r="CF49" s="841" t="s">
        <v>353</v>
      </c>
      <c r="CG49" s="841" t="s">
        <v>353</v>
      </c>
      <c r="CH49" s="841" t="s">
        <v>353</v>
      </c>
      <c r="CI49" s="841" t="s">
        <v>33</v>
      </c>
      <c r="CJ49" s="841">
        <v>900</v>
      </c>
      <c r="CK49" s="841" t="s">
        <v>353</v>
      </c>
      <c r="CL49" s="841" t="s">
        <v>353</v>
      </c>
      <c r="CM49" s="841" t="s">
        <v>353</v>
      </c>
      <c r="CN49" s="841" t="s">
        <v>353</v>
      </c>
      <c r="CO49" s="841" t="s">
        <v>353</v>
      </c>
      <c r="CP49" s="841" t="s">
        <v>1886</v>
      </c>
      <c r="CQ49" s="841" t="s">
        <v>353</v>
      </c>
      <c r="CR49" s="841" t="s">
        <v>353</v>
      </c>
      <c r="CS49" s="841" t="s">
        <v>1405</v>
      </c>
      <c r="CT49" s="841" t="s">
        <v>353</v>
      </c>
      <c r="CU49" s="841" t="s">
        <v>1391</v>
      </c>
      <c r="CV49" s="841" t="s">
        <v>353</v>
      </c>
      <c r="CW49" s="841" t="s">
        <v>353</v>
      </c>
      <c r="CX49" s="841" t="s">
        <v>353</v>
      </c>
      <c r="CY49" s="841" t="s">
        <v>353</v>
      </c>
      <c r="CZ49" s="841">
        <v>2</v>
      </c>
      <c r="DA49" s="841" t="s">
        <v>353</v>
      </c>
      <c r="DB49" s="843">
        <v>44601</v>
      </c>
      <c r="DC49" s="841" t="s">
        <v>353</v>
      </c>
      <c r="DD49" s="841" t="s">
        <v>353</v>
      </c>
      <c r="DE49" s="841" t="s">
        <v>353</v>
      </c>
      <c r="DF49" s="841">
        <v>24</v>
      </c>
      <c r="DG49" s="841" t="s">
        <v>353</v>
      </c>
      <c r="DH49" s="841" t="s">
        <v>353</v>
      </c>
      <c r="DI49" s="841" t="s">
        <v>353</v>
      </c>
      <c r="DJ49" s="841" t="s">
        <v>1887</v>
      </c>
      <c r="DK49" s="841" t="s">
        <v>353</v>
      </c>
      <c r="DL49" s="842">
        <v>44596.68472222222</v>
      </c>
      <c r="DM49" s="841" t="s">
        <v>353</v>
      </c>
      <c r="DN49" s="841" t="s">
        <v>33</v>
      </c>
      <c r="DO49" s="841" t="s">
        <v>673</v>
      </c>
      <c r="DP49" s="841" t="s">
        <v>1481</v>
      </c>
      <c r="DQ49" s="841" t="s">
        <v>1451</v>
      </c>
      <c r="DR49" s="841" t="s">
        <v>353</v>
      </c>
      <c r="DS49" s="841">
        <v>24</v>
      </c>
      <c r="DT49" s="841" t="s">
        <v>353</v>
      </c>
      <c r="DU49" s="841" t="s">
        <v>353</v>
      </c>
      <c r="DV49" s="841">
        <v>507952.5</v>
      </c>
      <c r="DW49" s="841">
        <v>517000</v>
      </c>
      <c r="DX49" s="841" t="s">
        <v>33</v>
      </c>
      <c r="DY49" s="841" t="s">
        <v>353</v>
      </c>
      <c r="DZ49" s="841" t="s">
        <v>353</v>
      </c>
      <c r="EA49" s="841" t="s">
        <v>353</v>
      </c>
      <c r="EB49" s="841" t="s">
        <v>353</v>
      </c>
      <c r="EC49" s="841" t="s">
        <v>353</v>
      </c>
      <c r="ED49" s="841" t="s">
        <v>353</v>
      </c>
      <c r="EE49" s="841" t="s">
        <v>33</v>
      </c>
      <c r="EF49" s="841" t="s">
        <v>353</v>
      </c>
      <c r="EG49" s="841" t="s">
        <v>353</v>
      </c>
      <c r="EH49" s="841" t="s">
        <v>33</v>
      </c>
      <c r="EI49" s="841">
        <v>0</v>
      </c>
      <c r="EJ49" s="841" t="s">
        <v>353</v>
      </c>
      <c r="EK49" s="841" t="s">
        <v>353</v>
      </c>
      <c r="EL49" s="841" t="s">
        <v>1435</v>
      </c>
      <c r="EM49" s="841">
        <v>9047.5</v>
      </c>
      <c r="EN49" s="841" t="s">
        <v>353</v>
      </c>
      <c r="EO49" s="841" t="s">
        <v>353</v>
      </c>
      <c r="EP49" s="841" t="s">
        <v>353</v>
      </c>
      <c r="EQ49" s="841" t="s">
        <v>353</v>
      </c>
      <c r="ER49" s="841" t="s">
        <v>353</v>
      </c>
      <c r="ES49" s="841" t="s">
        <v>33</v>
      </c>
      <c r="ET49" s="841" t="s">
        <v>1512</v>
      </c>
      <c r="EU49" s="841" t="s">
        <v>1888</v>
      </c>
      <c r="EV49" s="841" t="s">
        <v>353</v>
      </c>
      <c r="EW49" s="841" t="s">
        <v>353</v>
      </c>
      <c r="EX49" s="841" t="s">
        <v>33</v>
      </c>
      <c r="EY49" s="841" t="s">
        <v>353</v>
      </c>
      <c r="EZ49" s="841" t="s">
        <v>353</v>
      </c>
      <c r="FA49" s="841" t="s">
        <v>353</v>
      </c>
      <c r="FB49" s="841" t="s">
        <v>353</v>
      </c>
      <c r="FC49" s="841" t="s">
        <v>353</v>
      </c>
      <c r="FD49" s="841" t="s">
        <v>353</v>
      </c>
      <c r="FE49" s="842">
        <v>44596.685416666667</v>
      </c>
      <c r="FF49" s="841" t="s">
        <v>353</v>
      </c>
      <c r="FG49" s="841" t="s">
        <v>353</v>
      </c>
      <c r="FH49" s="841" t="s">
        <v>353</v>
      </c>
      <c r="FI49" s="841" t="s">
        <v>353</v>
      </c>
      <c r="FJ49" s="841" t="s">
        <v>353</v>
      </c>
      <c r="FK49" s="841" t="s">
        <v>353</v>
      </c>
      <c r="FL49" s="841" t="s">
        <v>353</v>
      </c>
      <c r="FM49" s="841" t="s">
        <v>353</v>
      </c>
      <c r="FN49" s="841" t="s">
        <v>353</v>
      </c>
      <c r="FO49" s="841" t="s">
        <v>1729</v>
      </c>
      <c r="FP49" s="841" t="s">
        <v>353</v>
      </c>
      <c r="FQ49" s="841" t="s">
        <v>353</v>
      </c>
      <c r="FR49" s="841" t="s">
        <v>353</v>
      </c>
      <c r="FS49" s="841" t="s">
        <v>353</v>
      </c>
      <c r="FT49" s="841" t="s">
        <v>353</v>
      </c>
      <c r="FU49" s="841" t="s">
        <v>1714</v>
      </c>
      <c r="FV49" s="841" t="s">
        <v>353</v>
      </c>
      <c r="FW49" s="841" t="s">
        <v>353</v>
      </c>
      <c r="FX49" s="841" t="s">
        <v>353</v>
      </c>
      <c r="FY49" s="841" t="s">
        <v>353</v>
      </c>
      <c r="FZ49" s="841" t="s">
        <v>353</v>
      </c>
      <c r="GA49" s="841" t="s">
        <v>353</v>
      </c>
      <c r="GB49" s="841">
        <v>1</v>
      </c>
      <c r="GC49" s="841" t="s">
        <v>353</v>
      </c>
      <c r="GD49" s="841" t="s">
        <v>1395</v>
      </c>
      <c r="GE49" s="841" t="s">
        <v>353</v>
      </c>
      <c r="GF49" s="841" t="s">
        <v>353</v>
      </c>
      <c r="GG49" s="841" t="s">
        <v>349</v>
      </c>
      <c r="GH49" s="841">
        <v>310200</v>
      </c>
      <c r="GI49" s="841" t="s">
        <v>353</v>
      </c>
      <c r="GJ49" s="841" t="s">
        <v>353</v>
      </c>
      <c r="GK49" s="841" t="s">
        <v>353</v>
      </c>
      <c r="GL49" s="841" t="s">
        <v>1468</v>
      </c>
      <c r="GM49" s="841" t="s">
        <v>353</v>
      </c>
      <c r="GN49" s="841" t="s">
        <v>353</v>
      </c>
      <c r="GO49" s="841" t="s">
        <v>353</v>
      </c>
      <c r="GP49" s="841" t="s">
        <v>353</v>
      </c>
      <c r="GQ49" s="841" t="s">
        <v>353</v>
      </c>
      <c r="GR49" s="841" t="s">
        <v>353</v>
      </c>
      <c r="GS49" s="841" t="s">
        <v>1884</v>
      </c>
      <c r="GT49" s="841" t="s">
        <v>353</v>
      </c>
      <c r="GU49" s="841" t="s">
        <v>353</v>
      </c>
      <c r="GV49" s="841" t="s">
        <v>1419</v>
      </c>
      <c r="GW49" s="841" t="s">
        <v>353</v>
      </c>
      <c r="GX49" s="841" t="s">
        <v>353</v>
      </c>
      <c r="GY49" s="841">
        <v>24</v>
      </c>
      <c r="GZ49" s="841" t="s">
        <v>1420</v>
      </c>
      <c r="HA49" s="841" t="s">
        <v>353</v>
      </c>
      <c r="HB49" s="841" t="s">
        <v>353</v>
      </c>
      <c r="HC49" s="841" t="s">
        <v>1421</v>
      </c>
      <c r="HD49" s="841" t="s">
        <v>1889</v>
      </c>
      <c r="HE49" s="841">
        <v>5170</v>
      </c>
      <c r="HF49" s="841" t="s">
        <v>353</v>
      </c>
      <c r="HG49" s="841" t="s">
        <v>353</v>
      </c>
      <c r="HH49" s="841">
        <v>780</v>
      </c>
      <c r="HI49" s="841" t="s">
        <v>1422</v>
      </c>
      <c r="HJ49" s="841" t="s">
        <v>1890</v>
      </c>
      <c r="HK49" s="841">
        <v>517000</v>
      </c>
      <c r="HL49" s="841" t="s">
        <v>353</v>
      </c>
      <c r="HM49" s="841" t="s">
        <v>1530</v>
      </c>
      <c r="HN49" s="841" t="s">
        <v>33</v>
      </c>
      <c r="HO49" s="841" t="s">
        <v>353</v>
      </c>
      <c r="HP49" s="841">
        <v>29934.3</v>
      </c>
      <c r="HQ49" s="841" t="s">
        <v>353</v>
      </c>
      <c r="HR49" s="841" t="s">
        <v>353</v>
      </c>
      <c r="HS49" s="841">
        <v>517000</v>
      </c>
      <c r="HT49" s="841" t="s">
        <v>353</v>
      </c>
      <c r="HU49" s="841" t="s">
        <v>353</v>
      </c>
      <c r="HV49" s="841" t="s">
        <v>353</v>
      </c>
      <c r="HW49" s="841">
        <v>690000</v>
      </c>
      <c r="HX49" s="841" t="s">
        <v>353</v>
      </c>
      <c r="HY49" s="841" t="s">
        <v>353</v>
      </c>
      <c r="HZ49" s="841" t="s">
        <v>353</v>
      </c>
      <c r="IA49" s="841" t="s">
        <v>353</v>
      </c>
      <c r="IB49" s="841" t="s">
        <v>1424</v>
      </c>
      <c r="IC49" s="843">
        <v>44596</v>
      </c>
      <c r="ID49" s="841" t="s">
        <v>353</v>
      </c>
      <c r="IE49" s="841" t="s">
        <v>353</v>
      </c>
      <c r="IF49" s="841" t="s">
        <v>353</v>
      </c>
      <c r="IG49" s="841" t="s">
        <v>353</v>
      </c>
      <c r="IH49" s="841" t="s">
        <v>353</v>
      </c>
      <c r="II49" s="841" t="s">
        <v>353</v>
      </c>
      <c r="IJ49" s="841" t="s">
        <v>353</v>
      </c>
      <c r="IK49" s="841" t="s">
        <v>353</v>
      </c>
      <c r="IL49" s="841">
        <v>517000</v>
      </c>
      <c r="IM49" s="841" t="s">
        <v>353</v>
      </c>
      <c r="IN49" s="841" t="s">
        <v>353</v>
      </c>
      <c r="IO49" s="841">
        <v>199</v>
      </c>
      <c r="IP49" s="841" t="s">
        <v>353</v>
      </c>
      <c r="IQ49" s="841" t="s">
        <v>353</v>
      </c>
      <c r="IR49" s="841">
        <v>0</v>
      </c>
      <c r="IS49" s="841" t="s">
        <v>33</v>
      </c>
      <c r="IT49" s="841" t="s">
        <v>353</v>
      </c>
      <c r="IU49" s="841" t="s">
        <v>353</v>
      </c>
      <c r="IV49" s="841" t="s">
        <v>353</v>
      </c>
      <c r="IW49" s="841" t="s">
        <v>353</v>
      </c>
      <c r="IX49" s="841" t="s">
        <v>353</v>
      </c>
      <c r="IY49" s="841" t="s">
        <v>1578</v>
      </c>
      <c r="IZ49" s="841" t="s">
        <v>353</v>
      </c>
      <c r="JA49" s="841">
        <v>517000</v>
      </c>
      <c r="JB49" s="841" t="s">
        <v>353</v>
      </c>
      <c r="JC49" s="841" t="s">
        <v>353</v>
      </c>
      <c r="JD49" s="841" t="s">
        <v>1413</v>
      </c>
      <c r="JE49" s="841" t="s">
        <v>33</v>
      </c>
      <c r="JF49" s="841" t="s">
        <v>1891</v>
      </c>
      <c r="JG49" s="841" t="s">
        <v>1892</v>
      </c>
      <c r="JH49" s="841" t="s">
        <v>1893</v>
      </c>
      <c r="JI49" s="841" t="s">
        <v>1894</v>
      </c>
    </row>
    <row r="50" spans="1:269" x14ac:dyDescent="0.25">
      <c r="A50" s="841" t="s">
        <v>1895</v>
      </c>
      <c r="B50" s="841" t="s">
        <v>353</v>
      </c>
      <c r="C50" s="841" t="s">
        <v>353</v>
      </c>
      <c r="D50" s="841" t="s">
        <v>353</v>
      </c>
      <c r="E50" s="841" t="s">
        <v>353</v>
      </c>
      <c r="F50" s="841" t="s">
        <v>353</v>
      </c>
      <c r="G50" s="841" t="s">
        <v>353</v>
      </c>
      <c r="H50" s="841" t="s">
        <v>353</v>
      </c>
      <c r="I50" s="841" t="s">
        <v>353</v>
      </c>
      <c r="J50" s="841" t="s">
        <v>353</v>
      </c>
      <c r="K50" s="841" t="s">
        <v>353</v>
      </c>
      <c r="L50" s="842">
        <v>44596.644444444442</v>
      </c>
      <c r="M50" s="841" t="s">
        <v>353</v>
      </c>
      <c r="N50" s="841" t="s">
        <v>353</v>
      </c>
      <c r="O50" s="841" t="s">
        <v>353</v>
      </c>
      <c r="P50" s="841" t="s">
        <v>353</v>
      </c>
      <c r="Q50" s="841" t="s">
        <v>353</v>
      </c>
      <c r="R50" s="841" t="s">
        <v>353</v>
      </c>
      <c r="S50" s="841" t="s">
        <v>353</v>
      </c>
      <c r="T50" s="841" t="s">
        <v>1390</v>
      </c>
      <c r="U50" s="841" t="s">
        <v>353</v>
      </c>
      <c r="V50" s="841" t="s">
        <v>353</v>
      </c>
      <c r="W50" s="841" t="s">
        <v>353</v>
      </c>
      <c r="X50" s="841" t="s">
        <v>353</v>
      </c>
      <c r="Y50" s="841" t="s">
        <v>353</v>
      </c>
      <c r="Z50" s="841" t="s">
        <v>353</v>
      </c>
      <c r="AA50" s="841" t="s">
        <v>353</v>
      </c>
      <c r="AB50" s="841" t="s">
        <v>353</v>
      </c>
      <c r="AC50" s="841" t="s">
        <v>353</v>
      </c>
      <c r="AD50" s="841" t="s">
        <v>353</v>
      </c>
      <c r="AE50" s="841" t="s">
        <v>353</v>
      </c>
      <c r="AF50" s="841" t="s">
        <v>353</v>
      </c>
      <c r="AG50" s="841" t="s">
        <v>353</v>
      </c>
      <c r="AH50" s="841" t="s">
        <v>353</v>
      </c>
      <c r="AI50" s="841" t="s">
        <v>1406</v>
      </c>
      <c r="AJ50" s="841" t="s">
        <v>353</v>
      </c>
      <c r="AK50" s="841" t="s">
        <v>353</v>
      </c>
      <c r="AL50" s="841" t="s">
        <v>353</v>
      </c>
      <c r="AM50" s="841" t="s">
        <v>353</v>
      </c>
      <c r="AN50" s="841" t="s">
        <v>353</v>
      </c>
      <c r="AO50" s="841" t="s">
        <v>353</v>
      </c>
      <c r="AP50" s="841" t="s">
        <v>353</v>
      </c>
      <c r="AQ50" s="841" t="s">
        <v>353</v>
      </c>
      <c r="AR50" s="841" t="s">
        <v>353</v>
      </c>
      <c r="AS50" s="841" t="s">
        <v>353</v>
      </c>
      <c r="AT50" s="841" t="s">
        <v>353</v>
      </c>
      <c r="AU50" s="841" t="s">
        <v>353</v>
      </c>
      <c r="AV50" s="841" t="s">
        <v>353</v>
      </c>
      <c r="AW50" s="841" t="s">
        <v>353</v>
      </c>
      <c r="AX50" s="841" t="s">
        <v>353</v>
      </c>
      <c r="AY50" s="841" t="s">
        <v>353</v>
      </c>
      <c r="AZ50" s="841" t="s">
        <v>353</v>
      </c>
      <c r="BA50" s="841" t="s">
        <v>353</v>
      </c>
      <c r="BB50" s="841" t="s">
        <v>353</v>
      </c>
      <c r="BC50" s="841" t="s">
        <v>353</v>
      </c>
      <c r="BD50" s="841" t="s">
        <v>353</v>
      </c>
      <c r="BE50" s="841" t="s">
        <v>353</v>
      </c>
      <c r="BF50" s="841" t="s">
        <v>353</v>
      </c>
      <c r="BG50" s="841" t="s">
        <v>353</v>
      </c>
      <c r="BH50" s="841" t="s">
        <v>353</v>
      </c>
      <c r="BI50" s="841" t="s">
        <v>353</v>
      </c>
      <c r="BJ50" s="841" t="s">
        <v>353</v>
      </c>
      <c r="BK50" s="841" t="s">
        <v>353</v>
      </c>
      <c r="BL50" s="841" t="s">
        <v>1896</v>
      </c>
      <c r="BM50" s="842">
        <v>44620.640277777777</v>
      </c>
      <c r="BN50" s="841" t="s">
        <v>353</v>
      </c>
      <c r="BO50" s="841" t="s">
        <v>353</v>
      </c>
      <c r="BP50" s="841" t="s">
        <v>353</v>
      </c>
      <c r="BQ50" s="841" t="s">
        <v>353</v>
      </c>
      <c r="BR50" s="841" t="s">
        <v>353</v>
      </c>
      <c r="BS50" s="841" t="s">
        <v>353</v>
      </c>
      <c r="BT50" s="841">
        <v>174000</v>
      </c>
      <c r="BU50" s="841" t="s">
        <v>353</v>
      </c>
      <c r="BV50" s="841" t="s">
        <v>353</v>
      </c>
      <c r="BW50" s="841" t="s">
        <v>353</v>
      </c>
      <c r="BX50" s="841" t="s">
        <v>1897</v>
      </c>
      <c r="BY50" s="841" t="s">
        <v>353</v>
      </c>
      <c r="BZ50" s="841" t="s">
        <v>353</v>
      </c>
      <c r="CA50" s="841" t="s">
        <v>353</v>
      </c>
      <c r="CB50" s="841" t="s">
        <v>353</v>
      </c>
      <c r="CC50" s="841" t="s">
        <v>353</v>
      </c>
      <c r="CD50" s="841" t="s">
        <v>353</v>
      </c>
      <c r="CE50" s="841" t="s">
        <v>353</v>
      </c>
      <c r="CF50" s="841" t="s">
        <v>353</v>
      </c>
      <c r="CG50" s="841" t="s">
        <v>353</v>
      </c>
      <c r="CH50" s="841" t="s">
        <v>353</v>
      </c>
      <c r="CI50" s="841" t="s">
        <v>353</v>
      </c>
      <c r="CJ50" s="841" t="s">
        <v>353</v>
      </c>
      <c r="CK50" s="841">
        <v>0</v>
      </c>
      <c r="CL50" s="841" t="s">
        <v>353</v>
      </c>
      <c r="CM50" s="841">
        <v>1</v>
      </c>
      <c r="CN50" s="841" t="s">
        <v>353</v>
      </c>
      <c r="CO50" s="841" t="s">
        <v>353</v>
      </c>
      <c r="CP50" s="841" t="s">
        <v>1898</v>
      </c>
      <c r="CQ50" s="841" t="s">
        <v>353</v>
      </c>
      <c r="CR50" s="841" t="s">
        <v>353</v>
      </c>
      <c r="CS50" s="841" t="s">
        <v>353</v>
      </c>
      <c r="CT50" s="841" t="s">
        <v>353</v>
      </c>
      <c r="CU50" s="841" t="s">
        <v>1391</v>
      </c>
      <c r="CV50" s="841" t="s">
        <v>353</v>
      </c>
      <c r="CW50" s="841" t="s">
        <v>353</v>
      </c>
      <c r="CX50" s="841" t="s">
        <v>353</v>
      </c>
      <c r="CY50" s="841" t="s">
        <v>353</v>
      </c>
      <c r="CZ50" s="841" t="s">
        <v>353</v>
      </c>
      <c r="DA50" s="841" t="s">
        <v>353</v>
      </c>
      <c r="DB50" s="841" t="s">
        <v>353</v>
      </c>
      <c r="DC50" s="841" t="s">
        <v>353</v>
      </c>
      <c r="DD50" s="841" t="s">
        <v>353</v>
      </c>
      <c r="DE50" s="841" t="s">
        <v>353</v>
      </c>
      <c r="DF50" s="841" t="s">
        <v>353</v>
      </c>
      <c r="DG50" s="841" t="s">
        <v>353</v>
      </c>
      <c r="DH50" s="841" t="s">
        <v>353</v>
      </c>
      <c r="DI50" s="841" t="s">
        <v>353</v>
      </c>
      <c r="DJ50" s="841" t="s">
        <v>353</v>
      </c>
      <c r="DK50" s="841" t="s">
        <v>353</v>
      </c>
      <c r="DL50" s="842">
        <v>44596.640277777777</v>
      </c>
      <c r="DM50" s="841" t="s">
        <v>353</v>
      </c>
      <c r="DN50" s="841" t="s">
        <v>353</v>
      </c>
      <c r="DO50" s="841" t="s">
        <v>353</v>
      </c>
      <c r="DP50" s="841" t="s">
        <v>353</v>
      </c>
      <c r="DQ50" s="841" t="s">
        <v>1451</v>
      </c>
      <c r="DR50" s="841" t="s">
        <v>353</v>
      </c>
      <c r="DS50" s="841" t="s">
        <v>353</v>
      </c>
      <c r="DT50" s="841" t="s">
        <v>353</v>
      </c>
      <c r="DU50" s="841" t="s">
        <v>353</v>
      </c>
      <c r="DV50" s="841" t="s">
        <v>353</v>
      </c>
      <c r="DW50" s="841" t="s">
        <v>353</v>
      </c>
      <c r="DX50" s="841" t="s">
        <v>353</v>
      </c>
      <c r="DY50" s="841" t="s">
        <v>353</v>
      </c>
      <c r="DZ50" s="841" t="s">
        <v>353</v>
      </c>
      <c r="EA50" s="841" t="s">
        <v>353</v>
      </c>
      <c r="EB50" s="841" t="s">
        <v>353</v>
      </c>
      <c r="EC50" s="841" t="s">
        <v>353</v>
      </c>
      <c r="ED50" s="841" t="s">
        <v>353</v>
      </c>
      <c r="EE50" s="841" t="s">
        <v>353</v>
      </c>
      <c r="EF50" s="841" t="s">
        <v>353</v>
      </c>
      <c r="EG50" s="841" t="s">
        <v>353</v>
      </c>
      <c r="EH50" s="841" t="s">
        <v>353</v>
      </c>
      <c r="EI50" s="841" t="s">
        <v>353</v>
      </c>
      <c r="EJ50" s="841" t="s">
        <v>353</v>
      </c>
      <c r="EK50" s="841" t="s">
        <v>353</v>
      </c>
      <c r="EL50" s="841" t="s">
        <v>353</v>
      </c>
      <c r="EM50" s="841" t="s">
        <v>353</v>
      </c>
      <c r="EN50" s="841" t="s">
        <v>353</v>
      </c>
      <c r="EO50" s="841" t="s">
        <v>353</v>
      </c>
      <c r="EP50" s="841" t="s">
        <v>353</v>
      </c>
      <c r="EQ50" s="841" t="s">
        <v>353</v>
      </c>
      <c r="ER50" s="841" t="s">
        <v>353</v>
      </c>
      <c r="ES50" s="841" t="s">
        <v>353</v>
      </c>
      <c r="ET50" s="841" t="s">
        <v>1496</v>
      </c>
      <c r="EU50" s="841" t="s">
        <v>353</v>
      </c>
      <c r="EV50" s="841" t="s">
        <v>353</v>
      </c>
      <c r="EW50" s="841" t="s">
        <v>353</v>
      </c>
      <c r="EX50" s="841" t="s">
        <v>353</v>
      </c>
      <c r="EY50" s="842">
        <v>44596.643750000003</v>
      </c>
      <c r="EZ50" s="841" t="s">
        <v>353</v>
      </c>
      <c r="FA50" s="841" t="s">
        <v>353</v>
      </c>
      <c r="FB50" s="841" t="s">
        <v>353</v>
      </c>
      <c r="FC50" s="841" t="s">
        <v>353</v>
      </c>
      <c r="FD50" s="841" t="s">
        <v>353</v>
      </c>
      <c r="FE50" s="842">
        <v>44596.640972222223</v>
      </c>
      <c r="FF50" s="841" t="s">
        <v>353</v>
      </c>
      <c r="FG50" s="841" t="s">
        <v>353</v>
      </c>
      <c r="FH50" s="841" t="s">
        <v>353</v>
      </c>
      <c r="FI50" s="841" t="s">
        <v>353</v>
      </c>
      <c r="FJ50" s="841" t="s">
        <v>353</v>
      </c>
      <c r="FK50" s="841" t="s">
        <v>353</v>
      </c>
      <c r="FL50" s="841" t="s">
        <v>353</v>
      </c>
      <c r="FM50" s="841" t="s">
        <v>353</v>
      </c>
      <c r="FN50" s="841" t="s">
        <v>353</v>
      </c>
      <c r="FO50" s="841" t="s">
        <v>353</v>
      </c>
      <c r="FP50" s="841" t="s">
        <v>353</v>
      </c>
      <c r="FQ50" s="841" t="s">
        <v>353</v>
      </c>
      <c r="FR50" s="841" t="s">
        <v>353</v>
      </c>
      <c r="FS50" s="841" t="s">
        <v>353</v>
      </c>
      <c r="FT50" s="841" t="s">
        <v>353</v>
      </c>
      <c r="FU50" s="841" t="s">
        <v>1394</v>
      </c>
      <c r="FV50" s="841" t="s">
        <v>353</v>
      </c>
      <c r="FW50" s="841" t="s">
        <v>353</v>
      </c>
      <c r="FX50" s="841" t="s">
        <v>353</v>
      </c>
      <c r="FY50" s="841" t="s">
        <v>353</v>
      </c>
      <c r="FZ50" s="841" t="s">
        <v>353</v>
      </c>
      <c r="GA50" s="841" t="s">
        <v>353</v>
      </c>
      <c r="GB50" s="841">
        <v>1</v>
      </c>
      <c r="GC50" s="841" t="s">
        <v>353</v>
      </c>
      <c r="GD50" s="841" t="s">
        <v>1395</v>
      </c>
      <c r="GE50" s="841" t="s">
        <v>353</v>
      </c>
      <c r="GF50" s="841" t="s">
        <v>353</v>
      </c>
      <c r="GG50" s="841" t="s">
        <v>353</v>
      </c>
      <c r="GH50" s="841" t="s">
        <v>353</v>
      </c>
      <c r="GI50" s="841" t="s">
        <v>353</v>
      </c>
      <c r="GJ50" s="841" t="s">
        <v>353</v>
      </c>
      <c r="GK50" s="841" t="s">
        <v>353</v>
      </c>
      <c r="GL50" s="841" t="s">
        <v>1497</v>
      </c>
      <c r="GM50" s="841" t="s">
        <v>353</v>
      </c>
      <c r="GN50" s="841" t="s">
        <v>353</v>
      </c>
      <c r="GO50" s="841" t="s">
        <v>353</v>
      </c>
      <c r="GP50" s="841" t="s">
        <v>353</v>
      </c>
      <c r="GQ50" s="841" t="s">
        <v>353</v>
      </c>
      <c r="GR50" s="841" t="s">
        <v>353</v>
      </c>
      <c r="GS50" s="841" t="s">
        <v>353</v>
      </c>
      <c r="GT50" s="841" t="s">
        <v>353</v>
      </c>
      <c r="GU50" s="841" t="s">
        <v>353</v>
      </c>
      <c r="GV50" s="841" t="s">
        <v>1419</v>
      </c>
      <c r="GW50" s="841" t="s">
        <v>353</v>
      </c>
      <c r="GX50" s="841" t="s">
        <v>353</v>
      </c>
      <c r="GY50" s="841" t="s">
        <v>353</v>
      </c>
      <c r="GZ50" s="841" t="s">
        <v>353</v>
      </c>
      <c r="HA50" s="841" t="s">
        <v>353</v>
      </c>
      <c r="HB50" s="841" t="s">
        <v>353</v>
      </c>
      <c r="HC50" s="841" t="s">
        <v>353</v>
      </c>
      <c r="HD50" s="841" t="s">
        <v>1899</v>
      </c>
      <c r="HE50" s="841" t="s">
        <v>353</v>
      </c>
      <c r="HF50" s="841" t="s">
        <v>353</v>
      </c>
      <c r="HG50" s="841" t="s">
        <v>353</v>
      </c>
      <c r="HH50" s="841" t="s">
        <v>353</v>
      </c>
      <c r="HI50" s="841" t="s">
        <v>353</v>
      </c>
      <c r="HJ50" s="841" t="s">
        <v>353</v>
      </c>
      <c r="HK50" s="841" t="s">
        <v>353</v>
      </c>
      <c r="HL50" s="841" t="s">
        <v>353</v>
      </c>
      <c r="HM50" s="841" t="s">
        <v>353</v>
      </c>
      <c r="HN50" s="841" t="s">
        <v>353</v>
      </c>
      <c r="HO50" s="841" t="s">
        <v>353</v>
      </c>
      <c r="HP50" s="841" t="s">
        <v>353</v>
      </c>
      <c r="HQ50" s="841" t="s">
        <v>353</v>
      </c>
      <c r="HR50" s="841" t="s">
        <v>353</v>
      </c>
      <c r="HS50" s="841" t="s">
        <v>353</v>
      </c>
      <c r="HT50" s="841" t="s">
        <v>353</v>
      </c>
      <c r="HU50" s="841" t="s">
        <v>353</v>
      </c>
      <c r="HV50" s="841" t="s">
        <v>353</v>
      </c>
      <c r="HW50" s="841" t="s">
        <v>353</v>
      </c>
      <c r="HX50" s="841" t="s">
        <v>353</v>
      </c>
      <c r="HY50" s="841" t="s">
        <v>353</v>
      </c>
      <c r="HZ50" s="841" t="s">
        <v>353</v>
      </c>
      <c r="IA50" s="841" t="s">
        <v>353</v>
      </c>
      <c r="IB50" s="841" t="s">
        <v>353</v>
      </c>
      <c r="IC50" s="841" t="s">
        <v>353</v>
      </c>
      <c r="ID50" s="841" t="s">
        <v>353</v>
      </c>
      <c r="IE50" s="841" t="s">
        <v>353</v>
      </c>
      <c r="IF50" s="841" t="s">
        <v>353</v>
      </c>
      <c r="IG50" s="841" t="s">
        <v>353</v>
      </c>
      <c r="IH50" s="841" t="s">
        <v>353</v>
      </c>
      <c r="II50" s="841" t="s">
        <v>353</v>
      </c>
      <c r="IJ50" s="841" t="s">
        <v>353</v>
      </c>
      <c r="IK50" s="841" t="s">
        <v>353</v>
      </c>
      <c r="IL50" s="841" t="s">
        <v>353</v>
      </c>
      <c r="IM50" s="841" t="s">
        <v>353</v>
      </c>
      <c r="IN50" s="841" t="s">
        <v>353</v>
      </c>
      <c r="IO50" s="841" t="s">
        <v>353</v>
      </c>
      <c r="IP50" s="841" t="s">
        <v>353</v>
      </c>
      <c r="IQ50" s="841" t="s">
        <v>353</v>
      </c>
      <c r="IR50" s="841" t="s">
        <v>353</v>
      </c>
      <c r="IS50" s="841" t="s">
        <v>353</v>
      </c>
      <c r="IT50" s="841" t="s">
        <v>353</v>
      </c>
      <c r="IU50" s="841" t="s">
        <v>353</v>
      </c>
      <c r="IV50" s="841" t="s">
        <v>353</v>
      </c>
      <c r="IW50" s="841" t="s">
        <v>353</v>
      </c>
      <c r="IX50" s="841" t="s">
        <v>353</v>
      </c>
      <c r="IY50" s="841" t="s">
        <v>353</v>
      </c>
      <c r="IZ50" s="841" t="s">
        <v>353</v>
      </c>
      <c r="JA50" s="841" t="s">
        <v>353</v>
      </c>
      <c r="JB50" s="841" t="s">
        <v>353</v>
      </c>
      <c r="JC50" s="841" t="s">
        <v>353</v>
      </c>
      <c r="JD50" s="841" t="s">
        <v>353</v>
      </c>
      <c r="JE50" s="841" t="s">
        <v>353</v>
      </c>
      <c r="JF50" s="841" t="s">
        <v>1900</v>
      </c>
      <c r="JG50" s="841" t="s">
        <v>1901</v>
      </c>
      <c r="JH50" s="841" t="s">
        <v>1902</v>
      </c>
      <c r="JI50" s="841" t="s">
        <v>1903</v>
      </c>
    </row>
    <row r="51" spans="1:269" x14ac:dyDescent="0.25">
      <c r="A51" s="841" t="s">
        <v>1904</v>
      </c>
      <c r="B51" s="841" t="s">
        <v>353</v>
      </c>
      <c r="C51" s="841" t="s">
        <v>353</v>
      </c>
      <c r="D51" s="841" t="s">
        <v>353</v>
      </c>
      <c r="E51" s="841" t="s">
        <v>353</v>
      </c>
      <c r="F51" s="841" t="s">
        <v>353</v>
      </c>
      <c r="G51" s="841" t="s">
        <v>353</v>
      </c>
      <c r="H51" s="841" t="s">
        <v>353</v>
      </c>
      <c r="I51" s="841" t="s">
        <v>353</v>
      </c>
      <c r="J51" s="841" t="s">
        <v>353</v>
      </c>
      <c r="K51" s="841" t="s">
        <v>353</v>
      </c>
      <c r="L51" s="842">
        <v>44600.744444444441</v>
      </c>
      <c r="M51" s="841" t="s">
        <v>353</v>
      </c>
      <c r="N51" s="841" t="s">
        <v>353</v>
      </c>
      <c r="O51" s="841" t="s">
        <v>353</v>
      </c>
      <c r="P51" s="841" t="s">
        <v>353</v>
      </c>
      <c r="Q51" s="841" t="s">
        <v>353</v>
      </c>
      <c r="R51" s="841" t="s">
        <v>353</v>
      </c>
      <c r="S51" s="841" t="s">
        <v>353</v>
      </c>
      <c r="T51" s="841" t="s">
        <v>1390</v>
      </c>
      <c r="U51" s="841" t="s">
        <v>353</v>
      </c>
      <c r="V51" s="841" t="s">
        <v>353</v>
      </c>
      <c r="W51" s="841" t="s">
        <v>353</v>
      </c>
      <c r="X51" s="841" t="s">
        <v>353</v>
      </c>
      <c r="Y51" s="841" t="s">
        <v>353</v>
      </c>
      <c r="Z51" s="841" t="s">
        <v>353</v>
      </c>
      <c r="AA51" s="841" t="s">
        <v>353</v>
      </c>
      <c r="AB51" s="841" t="s">
        <v>353</v>
      </c>
      <c r="AC51" s="841" t="s">
        <v>353</v>
      </c>
      <c r="AD51" s="841" t="s">
        <v>353</v>
      </c>
      <c r="AE51" s="841" t="s">
        <v>353</v>
      </c>
      <c r="AF51" s="841" t="s">
        <v>353</v>
      </c>
      <c r="AG51" s="841" t="s">
        <v>353</v>
      </c>
      <c r="AH51" s="841" t="s">
        <v>353</v>
      </c>
      <c r="AI51" s="841" t="s">
        <v>353</v>
      </c>
      <c r="AJ51" s="841" t="s">
        <v>353</v>
      </c>
      <c r="AK51" s="841" t="s">
        <v>353</v>
      </c>
      <c r="AL51" s="841" t="s">
        <v>353</v>
      </c>
      <c r="AM51" s="841" t="s">
        <v>353</v>
      </c>
      <c r="AN51" s="841" t="s">
        <v>353</v>
      </c>
      <c r="AO51" s="841" t="s">
        <v>353</v>
      </c>
      <c r="AP51" s="841" t="s">
        <v>353</v>
      </c>
      <c r="AQ51" s="841" t="s">
        <v>353</v>
      </c>
      <c r="AR51" s="841" t="s">
        <v>353</v>
      </c>
      <c r="AS51" s="841" t="s">
        <v>353</v>
      </c>
      <c r="AT51" s="841" t="s">
        <v>353</v>
      </c>
      <c r="AU51" s="841" t="s">
        <v>353</v>
      </c>
      <c r="AV51" s="841" t="s">
        <v>353</v>
      </c>
      <c r="AW51" s="841" t="s">
        <v>353</v>
      </c>
      <c r="AX51" s="841" t="s">
        <v>353</v>
      </c>
      <c r="AY51" s="841" t="s">
        <v>353</v>
      </c>
      <c r="AZ51" s="841" t="s">
        <v>353</v>
      </c>
      <c r="BA51" s="841" t="s">
        <v>353</v>
      </c>
      <c r="BB51" s="841" t="s">
        <v>353</v>
      </c>
      <c r="BC51" s="841" t="s">
        <v>353</v>
      </c>
      <c r="BD51" s="841" t="s">
        <v>353</v>
      </c>
      <c r="BE51" s="841" t="s">
        <v>353</v>
      </c>
      <c r="BF51" s="841" t="s">
        <v>353</v>
      </c>
      <c r="BG51" s="841" t="s">
        <v>353</v>
      </c>
      <c r="BH51" s="841" t="s">
        <v>353</v>
      </c>
      <c r="BI51" s="841" t="s">
        <v>353</v>
      </c>
      <c r="BJ51" s="841" t="s">
        <v>353</v>
      </c>
      <c r="BK51" s="841" t="s">
        <v>353</v>
      </c>
      <c r="BL51" s="841" t="s">
        <v>353</v>
      </c>
      <c r="BM51" s="842">
        <v>44620.616666666669</v>
      </c>
      <c r="BN51" s="841" t="s">
        <v>353</v>
      </c>
      <c r="BO51" s="841" t="s">
        <v>353</v>
      </c>
      <c r="BP51" s="841" t="s">
        <v>353</v>
      </c>
      <c r="BQ51" s="841" t="s">
        <v>353</v>
      </c>
      <c r="BR51" s="841" t="s">
        <v>353</v>
      </c>
      <c r="BS51" s="841" t="s">
        <v>353</v>
      </c>
      <c r="BT51" s="841">
        <v>1065000</v>
      </c>
      <c r="BU51" s="841" t="s">
        <v>353</v>
      </c>
      <c r="BV51" s="841" t="s">
        <v>353</v>
      </c>
      <c r="BW51" s="841" t="s">
        <v>353</v>
      </c>
      <c r="BX51" s="841" t="s">
        <v>353</v>
      </c>
      <c r="BY51" s="841" t="s">
        <v>353</v>
      </c>
      <c r="BZ51" s="841" t="s">
        <v>353</v>
      </c>
      <c r="CA51" s="841" t="s">
        <v>353</v>
      </c>
      <c r="CB51" s="841" t="s">
        <v>353</v>
      </c>
      <c r="CC51" s="841" t="s">
        <v>353</v>
      </c>
      <c r="CD51" s="841" t="s">
        <v>353</v>
      </c>
      <c r="CE51" s="841" t="s">
        <v>353</v>
      </c>
      <c r="CF51" s="841" t="s">
        <v>353</v>
      </c>
      <c r="CG51" s="841" t="s">
        <v>353</v>
      </c>
      <c r="CH51" s="841" t="s">
        <v>353</v>
      </c>
      <c r="CI51" s="841" t="s">
        <v>353</v>
      </c>
      <c r="CJ51" s="841" t="s">
        <v>353</v>
      </c>
      <c r="CK51" s="841">
        <v>2</v>
      </c>
      <c r="CL51" s="841" t="s">
        <v>353</v>
      </c>
      <c r="CM51" s="841">
        <v>2</v>
      </c>
      <c r="CN51" s="841" t="s">
        <v>353</v>
      </c>
      <c r="CO51" s="841" t="s">
        <v>353</v>
      </c>
      <c r="CP51" s="841" t="s">
        <v>353</v>
      </c>
      <c r="CQ51" s="841" t="s">
        <v>353</v>
      </c>
      <c r="CR51" s="841" t="s">
        <v>353</v>
      </c>
      <c r="CS51" s="841" t="s">
        <v>353</v>
      </c>
      <c r="CT51" s="841" t="s">
        <v>353</v>
      </c>
      <c r="CU51" s="841" t="s">
        <v>1391</v>
      </c>
      <c r="CV51" s="841" t="s">
        <v>353</v>
      </c>
      <c r="CW51" s="841" t="s">
        <v>353</v>
      </c>
      <c r="CX51" s="841" t="s">
        <v>353</v>
      </c>
      <c r="CY51" s="841" t="s">
        <v>353</v>
      </c>
      <c r="CZ51" s="841" t="s">
        <v>353</v>
      </c>
      <c r="DA51" s="841" t="s">
        <v>353</v>
      </c>
      <c r="DB51" s="841" t="s">
        <v>353</v>
      </c>
      <c r="DC51" s="841" t="s">
        <v>353</v>
      </c>
      <c r="DD51" s="841" t="s">
        <v>353</v>
      </c>
      <c r="DE51" s="841" t="s">
        <v>353</v>
      </c>
      <c r="DF51" s="841" t="s">
        <v>353</v>
      </c>
      <c r="DG51" s="841" t="s">
        <v>353</v>
      </c>
      <c r="DH51" s="841" t="s">
        <v>353</v>
      </c>
      <c r="DI51" s="841" t="s">
        <v>353</v>
      </c>
      <c r="DJ51" s="841" t="s">
        <v>353</v>
      </c>
      <c r="DK51" s="841" t="s">
        <v>353</v>
      </c>
      <c r="DL51" s="842">
        <v>44596.616666666669</v>
      </c>
      <c r="DM51" s="841" t="s">
        <v>353</v>
      </c>
      <c r="DN51" s="841" t="s">
        <v>353</v>
      </c>
      <c r="DO51" s="841" t="s">
        <v>353</v>
      </c>
      <c r="DP51" s="841" t="s">
        <v>353</v>
      </c>
      <c r="DQ51" s="841" t="s">
        <v>673</v>
      </c>
      <c r="DR51" s="841" t="s">
        <v>353</v>
      </c>
      <c r="DS51" s="841" t="s">
        <v>353</v>
      </c>
      <c r="DT51" s="841" t="s">
        <v>353</v>
      </c>
      <c r="DU51" s="841" t="s">
        <v>353</v>
      </c>
      <c r="DV51" s="841" t="s">
        <v>353</v>
      </c>
      <c r="DW51" s="841" t="s">
        <v>353</v>
      </c>
      <c r="DX51" s="841" t="s">
        <v>353</v>
      </c>
      <c r="DY51" s="841" t="s">
        <v>353</v>
      </c>
      <c r="DZ51" s="841" t="s">
        <v>353</v>
      </c>
      <c r="EA51" s="841" t="s">
        <v>353</v>
      </c>
      <c r="EB51" s="841" t="s">
        <v>353</v>
      </c>
      <c r="EC51" s="841" t="s">
        <v>353</v>
      </c>
      <c r="ED51" s="841" t="s">
        <v>353</v>
      </c>
      <c r="EE51" s="841" t="s">
        <v>353</v>
      </c>
      <c r="EF51" s="841" t="s">
        <v>353</v>
      </c>
      <c r="EG51" s="841" t="s">
        <v>353</v>
      </c>
      <c r="EH51" s="841" t="s">
        <v>353</v>
      </c>
      <c r="EI51" s="841" t="s">
        <v>353</v>
      </c>
      <c r="EJ51" s="841" t="s">
        <v>353</v>
      </c>
      <c r="EK51" s="841" t="s">
        <v>353</v>
      </c>
      <c r="EL51" s="841" t="s">
        <v>353</v>
      </c>
      <c r="EM51" s="841" t="s">
        <v>353</v>
      </c>
      <c r="EN51" s="841" t="s">
        <v>353</v>
      </c>
      <c r="EO51" s="841" t="s">
        <v>353</v>
      </c>
      <c r="EP51" s="841" t="s">
        <v>353</v>
      </c>
      <c r="EQ51" s="841" t="s">
        <v>353</v>
      </c>
      <c r="ER51" s="841" t="s">
        <v>353</v>
      </c>
      <c r="ES51" s="841" t="s">
        <v>353</v>
      </c>
      <c r="ET51" s="841" t="s">
        <v>1711</v>
      </c>
      <c r="EU51" s="841" t="s">
        <v>353</v>
      </c>
      <c r="EV51" s="841" t="s">
        <v>353</v>
      </c>
      <c r="EW51" s="841" t="s">
        <v>353</v>
      </c>
      <c r="EX51" s="841" t="s">
        <v>353</v>
      </c>
      <c r="EY51" s="842">
        <v>44600.447916666664</v>
      </c>
      <c r="EZ51" s="841" t="s">
        <v>353</v>
      </c>
      <c r="FA51" s="841" t="s">
        <v>353</v>
      </c>
      <c r="FB51" s="841" t="s">
        <v>353</v>
      </c>
      <c r="FC51" s="841" t="s">
        <v>353</v>
      </c>
      <c r="FD51" s="841" t="s">
        <v>353</v>
      </c>
      <c r="FE51" s="842">
        <v>44596.65625</v>
      </c>
      <c r="FF51" s="841" t="s">
        <v>353</v>
      </c>
      <c r="FG51" s="841" t="s">
        <v>353</v>
      </c>
      <c r="FH51" s="841" t="s">
        <v>353</v>
      </c>
      <c r="FI51" s="841" t="s">
        <v>353</v>
      </c>
      <c r="FJ51" s="841" t="s">
        <v>353</v>
      </c>
      <c r="FK51" s="841" t="s">
        <v>353</v>
      </c>
      <c r="FL51" s="841" t="s">
        <v>353</v>
      </c>
      <c r="FM51" s="841" t="s">
        <v>353</v>
      </c>
      <c r="FN51" s="841" t="s">
        <v>353</v>
      </c>
      <c r="FO51" s="841" t="s">
        <v>353</v>
      </c>
      <c r="FP51" s="841" t="s">
        <v>353</v>
      </c>
      <c r="FQ51" s="841" t="s">
        <v>353</v>
      </c>
      <c r="FR51" s="841" t="s">
        <v>353</v>
      </c>
      <c r="FS51" s="841" t="s">
        <v>353</v>
      </c>
      <c r="FT51" s="841" t="s">
        <v>353</v>
      </c>
      <c r="FU51" s="841" t="s">
        <v>1394</v>
      </c>
      <c r="FV51" s="841" t="s">
        <v>353</v>
      </c>
      <c r="FW51" s="841" t="s">
        <v>353</v>
      </c>
      <c r="FX51" s="841" t="s">
        <v>353</v>
      </c>
      <c r="FY51" s="841" t="s">
        <v>353</v>
      </c>
      <c r="FZ51" s="841" t="s">
        <v>353</v>
      </c>
      <c r="GA51" s="841" t="s">
        <v>353</v>
      </c>
      <c r="GB51" s="841">
        <v>1</v>
      </c>
      <c r="GC51" s="841" t="s">
        <v>353</v>
      </c>
      <c r="GD51" s="841" t="s">
        <v>1395</v>
      </c>
      <c r="GE51" s="841" t="s">
        <v>353</v>
      </c>
      <c r="GF51" s="841" t="s">
        <v>353</v>
      </c>
      <c r="GG51" s="841" t="s">
        <v>353</v>
      </c>
      <c r="GH51" s="841" t="s">
        <v>353</v>
      </c>
      <c r="GI51" s="841" t="s">
        <v>353</v>
      </c>
      <c r="GJ51" s="841" t="s">
        <v>353</v>
      </c>
      <c r="GK51" s="841" t="s">
        <v>353</v>
      </c>
      <c r="GL51" s="841" t="s">
        <v>1468</v>
      </c>
      <c r="GM51" s="841" t="s">
        <v>353</v>
      </c>
      <c r="GN51" s="841" t="s">
        <v>353</v>
      </c>
      <c r="GO51" s="841" t="s">
        <v>353</v>
      </c>
      <c r="GP51" s="841" t="s">
        <v>353</v>
      </c>
      <c r="GQ51" s="841" t="s">
        <v>353</v>
      </c>
      <c r="GR51" s="842">
        <v>44600.447916666664</v>
      </c>
      <c r="GS51" s="841" t="s">
        <v>353</v>
      </c>
      <c r="GT51" s="841" t="s">
        <v>353</v>
      </c>
      <c r="GU51" s="841" t="s">
        <v>353</v>
      </c>
      <c r="GV51" s="841" t="s">
        <v>1419</v>
      </c>
      <c r="GW51" s="841" t="s">
        <v>353</v>
      </c>
      <c r="GX51" s="841" t="s">
        <v>353</v>
      </c>
      <c r="GY51" s="841" t="s">
        <v>353</v>
      </c>
      <c r="GZ51" s="841" t="s">
        <v>353</v>
      </c>
      <c r="HA51" s="841" t="s">
        <v>353</v>
      </c>
      <c r="HB51" s="841" t="s">
        <v>353</v>
      </c>
      <c r="HC51" s="841" t="s">
        <v>353</v>
      </c>
      <c r="HD51" s="841" t="s">
        <v>1905</v>
      </c>
      <c r="HE51" s="841" t="s">
        <v>353</v>
      </c>
      <c r="HF51" s="841" t="s">
        <v>353</v>
      </c>
      <c r="HG51" s="841" t="s">
        <v>353</v>
      </c>
      <c r="HH51" s="841" t="s">
        <v>353</v>
      </c>
      <c r="HI51" s="841" t="s">
        <v>353</v>
      </c>
      <c r="HJ51" s="841" t="s">
        <v>353</v>
      </c>
      <c r="HK51" s="841" t="s">
        <v>353</v>
      </c>
      <c r="HL51" s="841" t="s">
        <v>353</v>
      </c>
      <c r="HM51" s="841" t="s">
        <v>353</v>
      </c>
      <c r="HN51" s="841" t="s">
        <v>353</v>
      </c>
      <c r="HO51" s="841" t="s">
        <v>353</v>
      </c>
      <c r="HP51" s="841" t="s">
        <v>353</v>
      </c>
      <c r="HQ51" s="841" t="s">
        <v>353</v>
      </c>
      <c r="HR51" s="841" t="s">
        <v>353</v>
      </c>
      <c r="HS51" s="841" t="s">
        <v>353</v>
      </c>
      <c r="HT51" s="841" t="s">
        <v>353</v>
      </c>
      <c r="HU51" s="841" t="s">
        <v>353</v>
      </c>
      <c r="HV51" s="841" t="s">
        <v>353</v>
      </c>
      <c r="HW51" s="841" t="s">
        <v>353</v>
      </c>
      <c r="HX51" s="841" t="s">
        <v>353</v>
      </c>
      <c r="HY51" s="841" t="s">
        <v>353</v>
      </c>
      <c r="HZ51" s="841" t="s">
        <v>353</v>
      </c>
      <c r="IA51" s="841" t="s">
        <v>353</v>
      </c>
      <c r="IB51" s="841" t="s">
        <v>353</v>
      </c>
      <c r="IC51" s="841" t="s">
        <v>353</v>
      </c>
      <c r="ID51" s="841" t="s">
        <v>353</v>
      </c>
      <c r="IE51" s="841" t="s">
        <v>353</v>
      </c>
      <c r="IF51" s="841" t="s">
        <v>353</v>
      </c>
      <c r="IG51" s="841" t="s">
        <v>353</v>
      </c>
      <c r="IH51" s="841" t="s">
        <v>353</v>
      </c>
      <c r="II51" s="841" t="s">
        <v>353</v>
      </c>
      <c r="IJ51" s="841" t="s">
        <v>353</v>
      </c>
      <c r="IK51" s="841" t="s">
        <v>353</v>
      </c>
      <c r="IL51" s="841" t="s">
        <v>353</v>
      </c>
      <c r="IM51" s="841" t="s">
        <v>353</v>
      </c>
      <c r="IN51" s="841" t="s">
        <v>353</v>
      </c>
      <c r="IO51" s="841" t="s">
        <v>353</v>
      </c>
      <c r="IP51" s="841" t="s">
        <v>353</v>
      </c>
      <c r="IQ51" s="841" t="s">
        <v>353</v>
      </c>
      <c r="IR51" s="841" t="s">
        <v>353</v>
      </c>
      <c r="IS51" s="841" t="s">
        <v>353</v>
      </c>
      <c r="IT51" s="841" t="s">
        <v>353</v>
      </c>
      <c r="IU51" s="841" t="s">
        <v>353</v>
      </c>
      <c r="IV51" s="841" t="s">
        <v>353</v>
      </c>
      <c r="IW51" s="841" t="s">
        <v>353</v>
      </c>
      <c r="IX51" s="841" t="s">
        <v>353</v>
      </c>
      <c r="IY51" s="841" t="s">
        <v>353</v>
      </c>
      <c r="IZ51" s="841" t="s">
        <v>353</v>
      </c>
      <c r="JA51" s="841" t="s">
        <v>353</v>
      </c>
      <c r="JB51" s="841" t="s">
        <v>353</v>
      </c>
      <c r="JC51" s="841" t="s">
        <v>353</v>
      </c>
      <c r="JD51" s="841" t="s">
        <v>353</v>
      </c>
      <c r="JE51" s="841" t="s">
        <v>353</v>
      </c>
      <c r="JF51" s="841" t="s">
        <v>1906</v>
      </c>
      <c r="JG51" s="841" t="s">
        <v>1907</v>
      </c>
      <c r="JH51" s="841" t="s">
        <v>1908</v>
      </c>
      <c r="JI51" s="841" t="s">
        <v>1909</v>
      </c>
    </row>
    <row r="52" spans="1:269" x14ac:dyDescent="0.25">
      <c r="A52" s="841" t="s">
        <v>1910</v>
      </c>
      <c r="B52" s="841" t="s">
        <v>353</v>
      </c>
      <c r="C52" s="841" t="s">
        <v>353</v>
      </c>
      <c r="D52" s="841" t="s">
        <v>353</v>
      </c>
      <c r="E52" s="841" t="s">
        <v>353</v>
      </c>
      <c r="F52" s="841" t="s">
        <v>353</v>
      </c>
      <c r="G52" s="841" t="s">
        <v>353</v>
      </c>
      <c r="H52" s="841" t="s">
        <v>353</v>
      </c>
      <c r="I52" s="841" t="s">
        <v>353</v>
      </c>
      <c r="J52" s="841" t="s">
        <v>353</v>
      </c>
      <c r="K52" s="841" t="s">
        <v>353</v>
      </c>
      <c r="L52" s="842">
        <v>44600.745833333334</v>
      </c>
      <c r="M52" s="841" t="s">
        <v>353</v>
      </c>
      <c r="N52" s="841" t="s">
        <v>353</v>
      </c>
      <c r="O52" s="841" t="s">
        <v>353</v>
      </c>
      <c r="P52" s="841" t="s">
        <v>353</v>
      </c>
      <c r="Q52" s="841" t="s">
        <v>353</v>
      </c>
      <c r="R52" s="841" t="s">
        <v>353</v>
      </c>
      <c r="S52" s="841" t="s">
        <v>353</v>
      </c>
      <c r="T52" s="841" t="s">
        <v>1390</v>
      </c>
      <c r="U52" s="841" t="s">
        <v>353</v>
      </c>
      <c r="V52" s="841" t="s">
        <v>353</v>
      </c>
      <c r="W52" s="841" t="s">
        <v>353</v>
      </c>
      <c r="X52" s="841" t="s">
        <v>353</v>
      </c>
      <c r="Y52" s="841" t="s">
        <v>353</v>
      </c>
      <c r="Z52" s="841" t="s">
        <v>353</v>
      </c>
      <c r="AA52" s="841" t="s">
        <v>353</v>
      </c>
      <c r="AB52" s="841" t="s">
        <v>353</v>
      </c>
      <c r="AC52" s="841" t="s">
        <v>353</v>
      </c>
      <c r="AD52" s="841" t="s">
        <v>353</v>
      </c>
      <c r="AE52" s="841" t="s">
        <v>353</v>
      </c>
      <c r="AF52" s="841" t="s">
        <v>353</v>
      </c>
      <c r="AG52" s="841" t="s">
        <v>353</v>
      </c>
      <c r="AH52" s="841" t="s">
        <v>353</v>
      </c>
      <c r="AI52" s="841" t="s">
        <v>353</v>
      </c>
      <c r="AJ52" s="841" t="s">
        <v>353</v>
      </c>
      <c r="AK52" s="841" t="s">
        <v>353</v>
      </c>
      <c r="AL52" s="841" t="s">
        <v>353</v>
      </c>
      <c r="AM52" s="841" t="s">
        <v>353</v>
      </c>
      <c r="AN52" s="841" t="s">
        <v>353</v>
      </c>
      <c r="AO52" s="841" t="s">
        <v>353</v>
      </c>
      <c r="AP52" s="841" t="s">
        <v>353</v>
      </c>
      <c r="AQ52" s="841" t="s">
        <v>353</v>
      </c>
      <c r="AR52" s="841" t="s">
        <v>353</v>
      </c>
      <c r="AS52" s="841" t="s">
        <v>353</v>
      </c>
      <c r="AT52" s="841" t="s">
        <v>353</v>
      </c>
      <c r="AU52" s="841" t="s">
        <v>353</v>
      </c>
      <c r="AV52" s="841" t="s">
        <v>353</v>
      </c>
      <c r="AW52" s="841" t="s">
        <v>353</v>
      </c>
      <c r="AX52" s="841" t="s">
        <v>353</v>
      </c>
      <c r="AY52" s="841" t="s">
        <v>353</v>
      </c>
      <c r="AZ52" s="841" t="s">
        <v>353</v>
      </c>
      <c r="BA52" s="841" t="s">
        <v>353</v>
      </c>
      <c r="BB52" s="841" t="s">
        <v>353</v>
      </c>
      <c r="BC52" s="841" t="s">
        <v>353</v>
      </c>
      <c r="BD52" s="841" t="s">
        <v>353</v>
      </c>
      <c r="BE52" s="841" t="s">
        <v>353</v>
      </c>
      <c r="BF52" s="841" t="s">
        <v>353</v>
      </c>
      <c r="BG52" s="841" t="s">
        <v>353</v>
      </c>
      <c r="BH52" s="841" t="s">
        <v>353</v>
      </c>
      <c r="BI52" s="841" t="s">
        <v>353</v>
      </c>
      <c r="BJ52" s="841" t="s">
        <v>353</v>
      </c>
      <c r="BK52" s="841" t="s">
        <v>353</v>
      </c>
      <c r="BL52" s="841" t="s">
        <v>353</v>
      </c>
      <c r="BM52" s="842">
        <v>44620.614583333336</v>
      </c>
      <c r="BN52" s="841" t="s">
        <v>353</v>
      </c>
      <c r="BO52" s="841" t="s">
        <v>353</v>
      </c>
      <c r="BP52" s="841" t="s">
        <v>353</v>
      </c>
      <c r="BQ52" s="841" t="s">
        <v>353</v>
      </c>
      <c r="BR52" s="841" t="s">
        <v>353</v>
      </c>
      <c r="BS52" s="841" t="s">
        <v>353</v>
      </c>
      <c r="BT52" s="841">
        <v>350000</v>
      </c>
      <c r="BU52" s="841" t="s">
        <v>353</v>
      </c>
      <c r="BV52" s="841" t="s">
        <v>353</v>
      </c>
      <c r="BW52" s="841" t="s">
        <v>353</v>
      </c>
      <c r="BX52" s="841" t="s">
        <v>353</v>
      </c>
      <c r="BY52" s="841" t="s">
        <v>353</v>
      </c>
      <c r="BZ52" s="841" t="s">
        <v>353</v>
      </c>
      <c r="CA52" s="841" t="s">
        <v>353</v>
      </c>
      <c r="CB52" s="841" t="s">
        <v>353</v>
      </c>
      <c r="CC52" s="841" t="s">
        <v>353</v>
      </c>
      <c r="CD52" s="841" t="s">
        <v>353</v>
      </c>
      <c r="CE52" s="841" t="s">
        <v>353</v>
      </c>
      <c r="CF52" s="841" t="s">
        <v>353</v>
      </c>
      <c r="CG52" s="841" t="s">
        <v>353</v>
      </c>
      <c r="CH52" s="841" t="s">
        <v>353</v>
      </c>
      <c r="CI52" s="841" t="s">
        <v>353</v>
      </c>
      <c r="CJ52" s="841" t="s">
        <v>353</v>
      </c>
      <c r="CK52" s="841">
        <v>2</v>
      </c>
      <c r="CL52" s="841" t="s">
        <v>353</v>
      </c>
      <c r="CM52" s="841">
        <v>2</v>
      </c>
      <c r="CN52" s="841" t="s">
        <v>353</v>
      </c>
      <c r="CO52" s="841" t="s">
        <v>353</v>
      </c>
      <c r="CP52" s="841" t="s">
        <v>353</v>
      </c>
      <c r="CQ52" s="841" t="s">
        <v>353</v>
      </c>
      <c r="CR52" s="841" t="s">
        <v>353</v>
      </c>
      <c r="CS52" s="841" t="s">
        <v>353</v>
      </c>
      <c r="CT52" s="841" t="s">
        <v>353</v>
      </c>
      <c r="CU52" s="841" t="s">
        <v>1391</v>
      </c>
      <c r="CV52" s="841" t="s">
        <v>353</v>
      </c>
      <c r="CW52" s="841" t="s">
        <v>353</v>
      </c>
      <c r="CX52" s="841" t="s">
        <v>353</v>
      </c>
      <c r="CY52" s="841" t="s">
        <v>353</v>
      </c>
      <c r="CZ52" s="841" t="s">
        <v>353</v>
      </c>
      <c r="DA52" s="841" t="s">
        <v>353</v>
      </c>
      <c r="DB52" s="841" t="s">
        <v>353</v>
      </c>
      <c r="DC52" s="841" t="s">
        <v>353</v>
      </c>
      <c r="DD52" s="841" t="s">
        <v>353</v>
      </c>
      <c r="DE52" s="841" t="s">
        <v>353</v>
      </c>
      <c r="DF52" s="841" t="s">
        <v>353</v>
      </c>
      <c r="DG52" s="841" t="s">
        <v>353</v>
      </c>
      <c r="DH52" s="841" t="s">
        <v>353</v>
      </c>
      <c r="DI52" s="841" t="s">
        <v>353</v>
      </c>
      <c r="DJ52" s="841" t="s">
        <v>353</v>
      </c>
      <c r="DK52" s="841" t="s">
        <v>353</v>
      </c>
      <c r="DL52" s="842">
        <v>44596.614583333336</v>
      </c>
      <c r="DM52" s="841" t="s">
        <v>353</v>
      </c>
      <c r="DN52" s="841" t="s">
        <v>353</v>
      </c>
      <c r="DO52" s="841" t="s">
        <v>353</v>
      </c>
      <c r="DP52" s="841" t="s">
        <v>353</v>
      </c>
      <c r="DQ52" s="841" t="s">
        <v>673</v>
      </c>
      <c r="DR52" s="841" t="s">
        <v>353</v>
      </c>
      <c r="DS52" s="841" t="s">
        <v>353</v>
      </c>
      <c r="DT52" s="841" t="s">
        <v>353</v>
      </c>
      <c r="DU52" s="841" t="s">
        <v>353</v>
      </c>
      <c r="DV52" s="841" t="s">
        <v>353</v>
      </c>
      <c r="DW52" s="841" t="s">
        <v>353</v>
      </c>
      <c r="DX52" s="841" t="s">
        <v>353</v>
      </c>
      <c r="DY52" s="841" t="s">
        <v>353</v>
      </c>
      <c r="DZ52" s="841" t="s">
        <v>353</v>
      </c>
      <c r="EA52" s="841" t="s">
        <v>353</v>
      </c>
      <c r="EB52" s="841" t="s">
        <v>353</v>
      </c>
      <c r="EC52" s="841" t="s">
        <v>353</v>
      </c>
      <c r="ED52" s="841" t="s">
        <v>353</v>
      </c>
      <c r="EE52" s="841" t="s">
        <v>353</v>
      </c>
      <c r="EF52" s="841" t="s">
        <v>353</v>
      </c>
      <c r="EG52" s="841" t="s">
        <v>353</v>
      </c>
      <c r="EH52" s="841" t="s">
        <v>353</v>
      </c>
      <c r="EI52" s="841" t="s">
        <v>353</v>
      </c>
      <c r="EJ52" s="841" t="s">
        <v>353</v>
      </c>
      <c r="EK52" s="841" t="s">
        <v>353</v>
      </c>
      <c r="EL52" s="841" t="s">
        <v>353</v>
      </c>
      <c r="EM52" s="841" t="s">
        <v>353</v>
      </c>
      <c r="EN52" s="841" t="s">
        <v>353</v>
      </c>
      <c r="EO52" s="841" t="s">
        <v>353</v>
      </c>
      <c r="EP52" s="841" t="s">
        <v>353</v>
      </c>
      <c r="EQ52" s="841" t="s">
        <v>353</v>
      </c>
      <c r="ER52" s="841" t="s">
        <v>353</v>
      </c>
      <c r="ES52" s="841" t="s">
        <v>353</v>
      </c>
      <c r="ET52" s="841" t="s">
        <v>1711</v>
      </c>
      <c r="EU52" s="841" t="s">
        <v>353</v>
      </c>
      <c r="EV52" s="841" t="s">
        <v>353</v>
      </c>
      <c r="EW52" s="841" t="s">
        <v>353</v>
      </c>
      <c r="EX52" s="841" t="s">
        <v>353</v>
      </c>
      <c r="EY52" s="842">
        <v>44600.745138888888</v>
      </c>
      <c r="EZ52" s="841" t="s">
        <v>353</v>
      </c>
      <c r="FA52" s="841" t="s">
        <v>353</v>
      </c>
      <c r="FB52" s="841" t="s">
        <v>353</v>
      </c>
      <c r="FC52" s="841" t="s">
        <v>353</v>
      </c>
      <c r="FD52" s="841" t="s">
        <v>353</v>
      </c>
      <c r="FE52" s="842">
        <v>44596.615277777775</v>
      </c>
      <c r="FF52" s="841" t="s">
        <v>353</v>
      </c>
      <c r="FG52" s="841" t="s">
        <v>353</v>
      </c>
      <c r="FH52" s="841" t="s">
        <v>353</v>
      </c>
      <c r="FI52" s="841" t="s">
        <v>353</v>
      </c>
      <c r="FJ52" s="841" t="s">
        <v>353</v>
      </c>
      <c r="FK52" s="841" t="s">
        <v>353</v>
      </c>
      <c r="FL52" s="841" t="s">
        <v>353</v>
      </c>
      <c r="FM52" s="841" t="s">
        <v>353</v>
      </c>
      <c r="FN52" s="841" t="s">
        <v>353</v>
      </c>
      <c r="FO52" s="841" t="s">
        <v>353</v>
      </c>
      <c r="FP52" s="841" t="s">
        <v>353</v>
      </c>
      <c r="FQ52" s="841" t="s">
        <v>353</v>
      </c>
      <c r="FR52" s="841" t="s">
        <v>353</v>
      </c>
      <c r="FS52" s="841" t="s">
        <v>353</v>
      </c>
      <c r="FT52" s="841" t="s">
        <v>353</v>
      </c>
      <c r="FU52" s="841" t="s">
        <v>1394</v>
      </c>
      <c r="FV52" s="841" t="s">
        <v>353</v>
      </c>
      <c r="FW52" s="841" t="s">
        <v>353</v>
      </c>
      <c r="FX52" s="841" t="s">
        <v>353</v>
      </c>
      <c r="FY52" s="841" t="s">
        <v>353</v>
      </c>
      <c r="FZ52" s="841" t="s">
        <v>353</v>
      </c>
      <c r="GA52" s="841" t="s">
        <v>353</v>
      </c>
      <c r="GB52" s="841">
        <v>1</v>
      </c>
      <c r="GC52" s="841" t="s">
        <v>353</v>
      </c>
      <c r="GD52" s="841" t="s">
        <v>1395</v>
      </c>
      <c r="GE52" s="841" t="s">
        <v>353</v>
      </c>
      <c r="GF52" s="841" t="s">
        <v>353</v>
      </c>
      <c r="GG52" s="841" t="s">
        <v>353</v>
      </c>
      <c r="GH52" s="841" t="s">
        <v>353</v>
      </c>
      <c r="GI52" s="841" t="s">
        <v>353</v>
      </c>
      <c r="GJ52" s="841" t="s">
        <v>353</v>
      </c>
      <c r="GK52" s="841" t="s">
        <v>353</v>
      </c>
      <c r="GL52" s="841" t="s">
        <v>1468</v>
      </c>
      <c r="GM52" s="841" t="s">
        <v>353</v>
      </c>
      <c r="GN52" s="841" t="s">
        <v>353</v>
      </c>
      <c r="GO52" s="841" t="s">
        <v>353</v>
      </c>
      <c r="GP52" s="841" t="s">
        <v>353</v>
      </c>
      <c r="GQ52" s="841" t="s">
        <v>353</v>
      </c>
      <c r="GR52" s="842">
        <v>44600.745138888888</v>
      </c>
      <c r="GS52" s="841" t="s">
        <v>353</v>
      </c>
      <c r="GT52" s="841" t="s">
        <v>353</v>
      </c>
      <c r="GU52" s="841" t="s">
        <v>353</v>
      </c>
      <c r="GV52" s="841" t="s">
        <v>1419</v>
      </c>
      <c r="GW52" s="841" t="s">
        <v>353</v>
      </c>
      <c r="GX52" s="841" t="s">
        <v>353</v>
      </c>
      <c r="GY52" s="841" t="s">
        <v>353</v>
      </c>
      <c r="GZ52" s="841" t="s">
        <v>353</v>
      </c>
      <c r="HA52" s="841" t="s">
        <v>353</v>
      </c>
      <c r="HB52" s="841" t="s">
        <v>353</v>
      </c>
      <c r="HC52" s="841" t="s">
        <v>353</v>
      </c>
      <c r="HD52" s="841" t="s">
        <v>1911</v>
      </c>
      <c r="HE52" s="841" t="s">
        <v>353</v>
      </c>
      <c r="HF52" s="841" t="s">
        <v>353</v>
      </c>
      <c r="HG52" s="841" t="s">
        <v>353</v>
      </c>
      <c r="HH52" s="841" t="s">
        <v>353</v>
      </c>
      <c r="HI52" s="841" t="s">
        <v>353</v>
      </c>
      <c r="HJ52" s="841" t="s">
        <v>353</v>
      </c>
      <c r="HK52" s="841" t="s">
        <v>353</v>
      </c>
      <c r="HL52" s="841" t="s">
        <v>353</v>
      </c>
      <c r="HM52" s="841" t="s">
        <v>353</v>
      </c>
      <c r="HN52" s="841" t="s">
        <v>353</v>
      </c>
      <c r="HO52" s="841" t="s">
        <v>353</v>
      </c>
      <c r="HP52" s="841" t="s">
        <v>353</v>
      </c>
      <c r="HQ52" s="841" t="s">
        <v>353</v>
      </c>
      <c r="HR52" s="841" t="s">
        <v>353</v>
      </c>
      <c r="HS52" s="841" t="s">
        <v>353</v>
      </c>
      <c r="HT52" s="841" t="s">
        <v>353</v>
      </c>
      <c r="HU52" s="841" t="s">
        <v>353</v>
      </c>
      <c r="HV52" s="841" t="s">
        <v>353</v>
      </c>
      <c r="HW52" s="841" t="s">
        <v>353</v>
      </c>
      <c r="HX52" s="841" t="s">
        <v>353</v>
      </c>
      <c r="HY52" s="841" t="s">
        <v>353</v>
      </c>
      <c r="HZ52" s="841" t="s">
        <v>353</v>
      </c>
      <c r="IA52" s="841" t="s">
        <v>353</v>
      </c>
      <c r="IB52" s="841" t="s">
        <v>353</v>
      </c>
      <c r="IC52" s="841" t="s">
        <v>353</v>
      </c>
      <c r="ID52" s="841" t="s">
        <v>353</v>
      </c>
      <c r="IE52" s="841" t="s">
        <v>353</v>
      </c>
      <c r="IF52" s="841" t="s">
        <v>353</v>
      </c>
      <c r="IG52" s="841" t="s">
        <v>353</v>
      </c>
      <c r="IH52" s="841" t="s">
        <v>353</v>
      </c>
      <c r="II52" s="841" t="s">
        <v>353</v>
      </c>
      <c r="IJ52" s="841" t="s">
        <v>353</v>
      </c>
      <c r="IK52" s="841" t="s">
        <v>353</v>
      </c>
      <c r="IL52" s="841" t="s">
        <v>353</v>
      </c>
      <c r="IM52" s="841" t="s">
        <v>353</v>
      </c>
      <c r="IN52" s="841" t="s">
        <v>353</v>
      </c>
      <c r="IO52" s="841" t="s">
        <v>353</v>
      </c>
      <c r="IP52" s="841" t="s">
        <v>353</v>
      </c>
      <c r="IQ52" s="841" t="s">
        <v>353</v>
      </c>
      <c r="IR52" s="841" t="s">
        <v>353</v>
      </c>
      <c r="IS52" s="841" t="s">
        <v>353</v>
      </c>
      <c r="IT52" s="841" t="s">
        <v>353</v>
      </c>
      <c r="IU52" s="841" t="s">
        <v>353</v>
      </c>
      <c r="IV52" s="841" t="s">
        <v>353</v>
      </c>
      <c r="IW52" s="841" t="s">
        <v>353</v>
      </c>
      <c r="IX52" s="841" t="s">
        <v>353</v>
      </c>
      <c r="IY52" s="841" t="s">
        <v>353</v>
      </c>
      <c r="IZ52" s="841" t="s">
        <v>353</v>
      </c>
      <c r="JA52" s="841" t="s">
        <v>353</v>
      </c>
      <c r="JB52" s="841" t="s">
        <v>353</v>
      </c>
      <c r="JC52" s="841" t="s">
        <v>353</v>
      </c>
      <c r="JD52" s="841" t="s">
        <v>353</v>
      </c>
      <c r="JE52" s="841" t="s">
        <v>353</v>
      </c>
      <c r="JF52" s="841" t="s">
        <v>1912</v>
      </c>
      <c r="JG52" s="841" t="s">
        <v>1913</v>
      </c>
      <c r="JH52" s="841" t="s">
        <v>1914</v>
      </c>
      <c r="JI52" s="841" t="s">
        <v>1915</v>
      </c>
    </row>
    <row r="53" spans="1:269" x14ac:dyDescent="0.25">
      <c r="A53" s="841" t="s">
        <v>1916</v>
      </c>
      <c r="B53" s="841" t="s">
        <v>353</v>
      </c>
      <c r="C53" s="841" t="s">
        <v>353</v>
      </c>
      <c r="D53" s="841" t="s">
        <v>353</v>
      </c>
      <c r="E53" s="841" t="s">
        <v>353</v>
      </c>
      <c r="F53" s="841" t="s">
        <v>353</v>
      </c>
      <c r="G53" s="841" t="s">
        <v>353</v>
      </c>
      <c r="H53" s="841" t="s">
        <v>353</v>
      </c>
      <c r="I53" s="841" t="s">
        <v>353</v>
      </c>
      <c r="J53" s="841" t="s">
        <v>353</v>
      </c>
      <c r="K53" s="841" t="s">
        <v>353</v>
      </c>
      <c r="L53" s="842">
        <v>44596.476388888892</v>
      </c>
      <c r="M53" s="841" t="s">
        <v>353</v>
      </c>
      <c r="N53" s="841" t="s">
        <v>353</v>
      </c>
      <c r="O53" s="841" t="s">
        <v>353</v>
      </c>
      <c r="P53" s="841" t="s">
        <v>353</v>
      </c>
      <c r="Q53" s="841" t="s">
        <v>353</v>
      </c>
      <c r="R53" s="841" t="s">
        <v>353</v>
      </c>
      <c r="S53" s="841" t="s">
        <v>353</v>
      </c>
      <c r="T53" s="841" t="s">
        <v>1390</v>
      </c>
      <c r="U53" s="841" t="s">
        <v>353</v>
      </c>
      <c r="V53" s="841" t="s">
        <v>353</v>
      </c>
      <c r="W53" s="841" t="s">
        <v>353</v>
      </c>
      <c r="X53" s="841" t="s">
        <v>353</v>
      </c>
      <c r="Y53" s="841" t="s">
        <v>353</v>
      </c>
      <c r="Z53" s="841" t="s">
        <v>353</v>
      </c>
      <c r="AA53" s="841" t="s">
        <v>353</v>
      </c>
      <c r="AB53" s="841" t="s">
        <v>353</v>
      </c>
      <c r="AC53" s="841" t="s">
        <v>353</v>
      </c>
      <c r="AD53" s="841" t="s">
        <v>353</v>
      </c>
      <c r="AE53" s="841" t="s">
        <v>353</v>
      </c>
      <c r="AF53" s="841" t="s">
        <v>353</v>
      </c>
      <c r="AG53" s="841" t="s">
        <v>353</v>
      </c>
      <c r="AH53" s="841" t="s">
        <v>353</v>
      </c>
      <c r="AI53" s="841" t="s">
        <v>353</v>
      </c>
      <c r="AJ53" s="841" t="s">
        <v>353</v>
      </c>
      <c r="AK53" s="841" t="s">
        <v>353</v>
      </c>
      <c r="AL53" s="841" t="s">
        <v>353</v>
      </c>
      <c r="AM53" s="841" t="s">
        <v>353</v>
      </c>
      <c r="AN53" s="841" t="s">
        <v>353</v>
      </c>
      <c r="AO53" s="841" t="s">
        <v>353</v>
      </c>
      <c r="AP53" s="841" t="s">
        <v>353</v>
      </c>
      <c r="AQ53" s="841" t="s">
        <v>353</v>
      </c>
      <c r="AR53" s="841" t="s">
        <v>353</v>
      </c>
      <c r="AS53" s="841" t="s">
        <v>353</v>
      </c>
      <c r="AT53" s="841" t="s">
        <v>353</v>
      </c>
      <c r="AU53" s="841" t="s">
        <v>353</v>
      </c>
      <c r="AV53" s="841" t="s">
        <v>353</v>
      </c>
      <c r="AW53" s="841" t="s">
        <v>353</v>
      </c>
      <c r="AX53" s="841" t="s">
        <v>353</v>
      </c>
      <c r="AY53" s="841" t="s">
        <v>353</v>
      </c>
      <c r="AZ53" s="841" t="s">
        <v>353</v>
      </c>
      <c r="BA53" s="841" t="s">
        <v>353</v>
      </c>
      <c r="BB53" s="841" t="s">
        <v>353</v>
      </c>
      <c r="BC53" s="841" t="s">
        <v>353</v>
      </c>
      <c r="BD53" s="841" t="s">
        <v>353</v>
      </c>
      <c r="BE53" s="841" t="s">
        <v>353</v>
      </c>
      <c r="BF53" s="841" t="s">
        <v>353</v>
      </c>
      <c r="BG53" s="841" t="s">
        <v>353</v>
      </c>
      <c r="BH53" s="841" t="s">
        <v>353</v>
      </c>
      <c r="BI53" s="841" t="s">
        <v>353</v>
      </c>
      <c r="BJ53" s="841" t="s">
        <v>353</v>
      </c>
      <c r="BK53" s="841" t="s">
        <v>353</v>
      </c>
      <c r="BL53" s="841" t="s">
        <v>353</v>
      </c>
      <c r="BM53" s="842">
        <v>44620.442361111112</v>
      </c>
      <c r="BN53" s="841" t="s">
        <v>353</v>
      </c>
      <c r="BO53" s="841" t="s">
        <v>353</v>
      </c>
      <c r="BP53" s="841" t="s">
        <v>353</v>
      </c>
      <c r="BQ53" s="841" t="s">
        <v>353</v>
      </c>
      <c r="BR53" s="841" t="s">
        <v>353</v>
      </c>
      <c r="BS53" s="841" t="s">
        <v>353</v>
      </c>
      <c r="BT53" s="841">
        <v>1400000</v>
      </c>
      <c r="BU53" s="841" t="s">
        <v>353</v>
      </c>
      <c r="BV53" s="841" t="s">
        <v>353</v>
      </c>
      <c r="BW53" s="841" t="s">
        <v>353</v>
      </c>
      <c r="BX53" s="841" t="s">
        <v>353</v>
      </c>
      <c r="BY53" s="841" t="s">
        <v>353</v>
      </c>
      <c r="BZ53" s="841" t="s">
        <v>353</v>
      </c>
      <c r="CA53" s="841" t="s">
        <v>353</v>
      </c>
      <c r="CB53" s="841" t="s">
        <v>353</v>
      </c>
      <c r="CC53" s="841" t="s">
        <v>353</v>
      </c>
      <c r="CD53" s="841" t="s">
        <v>353</v>
      </c>
      <c r="CE53" s="841" t="s">
        <v>353</v>
      </c>
      <c r="CF53" s="841" t="s">
        <v>353</v>
      </c>
      <c r="CG53" s="841" t="s">
        <v>353</v>
      </c>
      <c r="CH53" s="841" t="s">
        <v>353</v>
      </c>
      <c r="CI53" s="841" t="s">
        <v>353</v>
      </c>
      <c r="CJ53" s="841" t="s">
        <v>353</v>
      </c>
      <c r="CK53" s="841">
        <v>1</v>
      </c>
      <c r="CL53" s="841" t="s">
        <v>353</v>
      </c>
      <c r="CM53" s="841">
        <v>1</v>
      </c>
      <c r="CN53" s="841" t="s">
        <v>353</v>
      </c>
      <c r="CO53" s="841" t="s">
        <v>353</v>
      </c>
      <c r="CP53" s="841" t="s">
        <v>353</v>
      </c>
      <c r="CQ53" s="841" t="s">
        <v>353</v>
      </c>
      <c r="CR53" s="841" t="s">
        <v>353</v>
      </c>
      <c r="CS53" s="841" t="s">
        <v>353</v>
      </c>
      <c r="CT53" s="841" t="s">
        <v>353</v>
      </c>
      <c r="CU53" s="841" t="s">
        <v>1391</v>
      </c>
      <c r="CV53" s="841" t="s">
        <v>353</v>
      </c>
      <c r="CW53" s="841" t="s">
        <v>353</v>
      </c>
      <c r="CX53" s="841" t="s">
        <v>353</v>
      </c>
      <c r="CY53" s="841" t="s">
        <v>353</v>
      </c>
      <c r="CZ53" s="841" t="s">
        <v>353</v>
      </c>
      <c r="DA53" s="841" t="s">
        <v>353</v>
      </c>
      <c r="DB53" s="841" t="s">
        <v>353</v>
      </c>
      <c r="DC53" s="841" t="s">
        <v>353</v>
      </c>
      <c r="DD53" s="841" t="s">
        <v>353</v>
      </c>
      <c r="DE53" s="841" t="s">
        <v>353</v>
      </c>
      <c r="DF53" s="841" t="s">
        <v>353</v>
      </c>
      <c r="DG53" s="841" t="s">
        <v>353</v>
      </c>
      <c r="DH53" s="841" t="s">
        <v>353</v>
      </c>
      <c r="DI53" s="841" t="s">
        <v>353</v>
      </c>
      <c r="DJ53" s="841" t="s">
        <v>1917</v>
      </c>
      <c r="DK53" s="841" t="s">
        <v>353</v>
      </c>
      <c r="DL53" s="842">
        <v>44596.442361111112</v>
      </c>
      <c r="DM53" s="841" t="s">
        <v>353</v>
      </c>
      <c r="DN53" s="841" t="s">
        <v>353</v>
      </c>
      <c r="DO53" s="841" t="s">
        <v>353</v>
      </c>
      <c r="DP53" s="841" t="s">
        <v>353</v>
      </c>
      <c r="DQ53" s="841" t="s">
        <v>673</v>
      </c>
      <c r="DR53" s="841" t="s">
        <v>353</v>
      </c>
      <c r="DS53" s="841" t="s">
        <v>353</v>
      </c>
      <c r="DT53" s="841" t="s">
        <v>353</v>
      </c>
      <c r="DU53" s="841" t="s">
        <v>353</v>
      </c>
      <c r="DV53" s="841" t="s">
        <v>353</v>
      </c>
      <c r="DW53" s="841" t="s">
        <v>353</v>
      </c>
      <c r="DX53" s="841" t="s">
        <v>353</v>
      </c>
      <c r="DY53" s="841" t="s">
        <v>353</v>
      </c>
      <c r="DZ53" s="841" t="s">
        <v>353</v>
      </c>
      <c r="EA53" s="841" t="s">
        <v>353</v>
      </c>
      <c r="EB53" s="841" t="s">
        <v>353</v>
      </c>
      <c r="EC53" s="841" t="s">
        <v>353</v>
      </c>
      <c r="ED53" s="841" t="s">
        <v>353</v>
      </c>
      <c r="EE53" s="841" t="s">
        <v>353</v>
      </c>
      <c r="EF53" s="841" t="s">
        <v>353</v>
      </c>
      <c r="EG53" s="841" t="s">
        <v>353</v>
      </c>
      <c r="EH53" s="841" t="s">
        <v>353</v>
      </c>
      <c r="EI53" s="841" t="s">
        <v>353</v>
      </c>
      <c r="EJ53" s="841" t="s">
        <v>353</v>
      </c>
      <c r="EK53" s="841" t="s">
        <v>353</v>
      </c>
      <c r="EL53" s="841" t="s">
        <v>353</v>
      </c>
      <c r="EM53" s="841" t="s">
        <v>353</v>
      </c>
      <c r="EN53" s="841" t="s">
        <v>353</v>
      </c>
      <c r="EO53" s="841" t="s">
        <v>353</v>
      </c>
      <c r="EP53" s="841" t="s">
        <v>353</v>
      </c>
      <c r="EQ53" s="841" t="s">
        <v>353</v>
      </c>
      <c r="ER53" s="841" t="s">
        <v>353</v>
      </c>
      <c r="ES53" s="841" t="s">
        <v>353</v>
      </c>
      <c r="ET53" s="841" t="s">
        <v>1711</v>
      </c>
      <c r="EU53" s="841" t="s">
        <v>353</v>
      </c>
      <c r="EV53" s="841" t="s">
        <v>353</v>
      </c>
      <c r="EW53" s="841" t="s">
        <v>353</v>
      </c>
      <c r="EX53" s="841" t="s">
        <v>353</v>
      </c>
      <c r="EY53" s="842">
        <v>44596.447916666664</v>
      </c>
      <c r="EZ53" s="841" t="s">
        <v>353</v>
      </c>
      <c r="FA53" s="841" t="s">
        <v>353</v>
      </c>
      <c r="FB53" s="841" t="s">
        <v>353</v>
      </c>
      <c r="FC53" s="841" t="s">
        <v>353</v>
      </c>
      <c r="FD53" s="841" t="s">
        <v>353</v>
      </c>
      <c r="FE53" s="842">
        <v>44596.443055555559</v>
      </c>
      <c r="FF53" s="841" t="s">
        <v>353</v>
      </c>
      <c r="FG53" s="841" t="s">
        <v>353</v>
      </c>
      <c r="FH53" s="841" t="s">
        <v>353</v>
      </c>
      <c r="FI53" s="841" t="s">
        <v>353</v>
      </c>
      <c r="FJ53" s="841" t="s">
        <v>353</v>
      </c>
      <c r="FK53" s="841" t="s">
        <v>353</v>
      </c>
      <c r="FL53" s="841" t="s">
        <v>353</v>
      </c>
      <c r="FM53" s="841" t="s">
        <v>353</v>
      </c>
      <c r="FN53" s="841" t="s">
        <v>353</v>
      </c>
      <c r="FO53" s="841" t="s">
        <v>353</v>
      </c>
      <c r="FP53" s="841" t="s">
        <v>353</v>
      </c>
      <c r="FQ53" s="841" t="s">
        <v>353</v>
      </c>
      <c r="FR53" s="841" t="s">
        <v>353</v>
      </c>
      <c r="FS53" s="841" t="s">
        <v>353</v>
      </c>
      <c r="FT53" s="841" t="s">
        <v>353</v>
      </c>
      <c r="FU53" s="841" t="s">
        <v>1394</v>
      </c>
      <c r="FV53" s="841" t="s">
        <v>353</v>
      </c>
      <c r="FW53" s="841" t="s">
        <v>353</v>
      </c>
      <c r="FX53" s="841" t="s">
        <v>353</v>
      </c>
      <c r="FY53" s="841" t="s">
        <v>353</v>
      </c>
      <c r="FZ53" s="841" t="s">
        <v>353</v>
      </c>
      <c r="GA53" s="841" t="s">
        <v>353</v>
      </c>
      <c r="GB53" s="841">
        <v>1</v>
      </c>
      <c r="GC53" s="841" t="s">
        <v>353</v>
      </c>
      <c r="GD53" s="841" t="s">
        <v>1395</v>
      </c>
      <c r="GE53" s="841" t="s">
        <v>353</v>
      </c>
      <c r="GF53" s="841" t="s">
        <v>353</v>
      </c>
      <c r="GG53" s="841" t="s">
        <v>353</v>
      </c>
      <c r="GH53" s="841" t="s">
        <v>353</v>
      </c>
      <c r="GI53" s="841" t="s">
        <v>353</v>
      </c>
      <c r="GJ53" s="841" t="s">
        <v>353</v>
      </c>
      <c r="GK53" s="841" t="s">
        <v>353</v>
      </c>
      <c r="GL53" s="841" t="s">
        <v>1468</v>
      </c>
      <c r="GM53" s="841" t="s">
        <v>353</v>
      </c>
      <c r="GN53" s="841" t="s">
        <v>353</v>
      </c>
      <c r="GO53" s="841" t="s">
        <v>353</v>
      </c>
      <c r="GP53" s="841" t="s">
        <v>353</v>
      </c>
      <c r="GQ53" s="841" t="s">
        <v>353</v>
      </c>
      <c r="GR53" s="842">
        <v>44596.447916666664</v>
      </c>
      <c r="GS53" s="841" t="s">
        <v>353</v>
      </c>
      <c r="GT53" s="841" t="s">
        <v>353</v>
      </c>
      <c r="GU53" s="841" t="s">
        <v>353</v>
      </c>
      <c r="GV53" s="841" t="s">
        <v>1419</v>
      </c>
      <c r="GW53" s="841" t="s">
        <v>353</v>
      </c>
      <c r="GX53" s="841" t="s">
        <v>353</v>
      </c>
      <c r="GY53" s="841" t="s">
        <v>353</v>
      </c>
      <c r="GZ53" s="841" t="s">
        <v>353</v>
      </c>
      <c r="HA53" s="841" t="s">
        <v>353</v>
      </c>
      <c r="HB53" s="841" t="s">
        <v>353</v>
      </c>
      <c r="HC53" s="841" t="s">
        <v>353</v>
      </c>
      <c r="HD53" s="841" t="s">
        <v>1918</v>
      </c>
      <c r="HE53" s="841" t="s">
        <v>353</v>
      </c>
      <c r="HF53" s="841" t="s">
        <v>353</v>
      </c>
      <c r="HG53" s="841" t="s">
        <v>353</v>
      </c>
      <c r="HH53" s="841" t="s">
        <v>353</v>
      </c>
      <c r="HI53" s="841" t="s">
        <v>353</v>
      </c>
      <c r="HJ53" s="841" t="s">
        <v>353</v>
      </c>
      <c r="HK53" s="841" t="s">
        <v>353</v>
      </c>
      <c r="HL53" s="841" t="s">
        <v>353</v>
      </c>
      <c r="HM53" s="841" t="s">
        <v>353</v>
      </c>
      <c r="HN53" s="841" t="s">
        <v>353</v>
      </c>
      <c r="HO53" s="841" t="s">
        <v>353</v>
      </c>
      <c r="HP53" s="841" t="s">
        <v>353</v>
      </c>
      <c r="HQ53" s="841" t="s">
        <v>353</v>
      </c>
      <c r="HR53" s="841" t="s">
        <v>353</v>
      </c>
      <c r="HS53" s="841" t="s">
        <v>353</v>
      </c>
      <c r="HT53" s="841" t="s">
        <v>353</v>
      </c>
      <c r="HU53" s="841" t="s">
        <v>353</v>
      </c>
      <c r="HV53" s="841" t="s">
        <v>353</v>
      </c>
      <c r="HW53" s="841" t="s">
        <v>353</v>
      </c>
      <c r="HX53" s="841" t="s">
        <v>353</v>
      </c>
      <c r="HY53" s="841" t="s">
        <v>353</v>
      </c>
      <c r="HZ53" s="841" t="s">
        <v>353</v>
      </c>
      <c r="IA53" s="841" t="s">
        <v>353</v>
      </c>
      <c r="IB53" s="841" t="s">
        <v>353</v>
      </c>
      <c r="IC53" s="841" t="s">
        <v>353</v>
      </c>
      <c r="ID53" s="841" t="s">
        <v>353</v>
      </c>
      <c r="IE53" s="841" t="s">
        <v>353</v>
      </c>
      <c r="IF53" s="841" t="s">
        <v>353</v>
      </c>
      <c r="IG53" s="841" t="s">
        <v>353</v>
      </c>
      <c r="IH53" s="841" t="s">
        <v>353</v>
      </c>
      <c r="II53" s="841" t="s">
        <v>353</v>
      </c>
      <c r="IJ53" s="841" t="s">
        <v>353</v>
      </c>
      <c r="IK53" s="841" t="s">
        <v>353</v>
      </c>
      <c r="IL53" s="841" t="s">
        <v>353</v>
      </c>
      <c r="IM53" s="841" t="s">
        <v>353</v>
      </c>
      <c r="IN53" s="841" t="s">
        <v>353</v>
      </c>
      <c r="IO53" s="841" t="s">
        <v>353</v>
      </c>
      <c r="IP53" s="841" t="s">
        <v>353</v>
      </c>
      <c r="IQ53" s="841" t="s">
        <v>353</v>
      </c>
      <c r="IR53" s="841" t="s">
        <v>353</v>
      </c>
      <c r="IS53" s="841" t="s">
        <v>353</v>
      </c>
      <c r="IT53" s="841" t="s">
        <v>353</v>
      </c>
      <c r="IU53" s="841" t="s">
        <v>353</v>
      </c>
      <c r="IV53" s="841" t="s">
        <v>353</v>
      </c>
      <c r="IW53" s="841" t="s">
        <v>353</v>
      </c>
      <c r="IX53" s="841" t="s">
        <v>353</v>
      </c>
      <c r="IY53" s="841" t="s">
        <v>353</v>
      </c>
      <c r="IZ53" s="841" t="s">
        <v>353</v>
      </c>
      <c r="JA53" s="841" t="s">
        <v>353</v>
      </c>
      <c r="JB53" s="841" t="s">
        <v>353</v>
      </c>
      <c r="JC53" s="841" t="s">
        <v>353</v>
      </c>
      <c r="JD53" s="841" t="s">
        <v>353</v>
      </c>
      <c r="JE53" s="841" t="s">
        <v>353</v>
      </c>
      <c r="JF53" s="841" t="s">
        <v>1919</v>
      </c>
      <c r="JG53" s="841" t="s">
        <v>1920</v>
      </c>
      <c r="JH53" s="841" t="s">
        <v>1921</v>
      </c>
      <c r="JI53" s="841" t="s">
        <v>1922</v>
      </c>
    </row>
    <row r="54" spans="1:269" x14ac:dyDescent="0.25">
      <c r="A54" s="841" t="s">
        <v>1923</v>
      </c>
      <c r="B54" s="841" t="s">
        <v>353</v>
      </c>
      <c r="C54" s="841" t="s">
        <v>1403</v>
      </c>
      <c r="D54" s="841" t="s">
        <v>353</v>
      </c>
      <c r="E54" s="841" t="s">
        <v>33</v>
      </c>
      <c r="F54" s="841" t="s">
        <v>1405</v>
      </c>
      <c r="G54" s="841" t="s">
        <v>1405</v>
      </c>
      <c r="H54" s="841" t="s">
        <v>353</v>
      </c>
      <c r="I54" s="841" t="s">
        <v>353</v>
      </c>
      <c r="J54" s="841" t="s">
        <v>353</v>
      </c>
      <c r="K54" s="841" t="s">
        <v>353</v>
      </c>
      <c r="L54" s="842">
        <v>44607.438194444447</v>
      </c>
      <c r="M54" s="841" t="s">
        <v>353</v>
      </c>
      <c r="N54" s="841" t="s">
        <v>353</v>
      </c>
      <c r="O54" s="841" t="s">
        <v>353</v>
      </c>
      <c r="P54" s="841" t="s">
        <v>673</v>
      </c>
      <c r="Q54" s="841" t="s">
        <v>353</v>
      </c>
      <c r="R54" s="841" t="s">
        <v>353</v>
      </c>
      <c r="S54" s="841" t="s">
        <v>1520</v>
      </c>
      <c r="T54" s="841" t="s">
        <v>1390</v>
      </c>
      <c r="U54" s="841" t="s">
        <v>353</v>
      </c>
      <c r="V54" s="841" t="s">
        <v>353</v>
      </c>
      <c r="W54" s="841" t="s">
        <v>1529</v>
      </c>
      <c r="X54" s="841" t="s">
        <v>353</v>
      </c>
      <c r="Y54" s="841" t="s">
        <v>353</v>
      </c>
      <c r="Z54" s="841" t="s">
        <v>353</v>
      </c>
      <c r="AA54" s="841" t="s">
        <v>673</v>
      </c>
      <c r="AB54" s="841" t="s">
        <v>353</v>
      </c>
      <c r="AC54" s="841">
        <v>231000</v>
      </c>
      <c r="AD54" s="841" t="s">
        <v>353</v>
      </c>
      <c r="AE54" s="841" t="s">
        <v>673</v>
      </c>
      <c r="AF54" s="841" t="s">
        <v>353</v>
      </c>
      <c r="AG54" s="841" t="s">
        <v>353</v>
      </c>
      <c r="AH54" s="841" t="s">
        <v>353</v>
      </c>
      <c r="AI54" s="841" t="s">
        <v>1521</v>
      </c>
      <c r="AJ54" s="841" t="s">
        <v>353</v>
      </c>
      <c r="AK54" s="841">
        <v>70</v>
      </c>
      <c r="AL54" s="841" t="s">
        <v>353</v>
      </c>
      <c r="AM54" s="841" t="s">
        <v>353</v>
      </c>
      <c r="AN54" s="841" t="s">
        <v>353</v>
      </c>
      <c r="AO54" s="841" t="s">
        <v>353</v>
      </c>
      <c r="AP54" s="841" t="s">
        <v>353</v>
      </c>
      <c r="AQ54" s="841" t="s">
        <v>353</v>
      </c>
      <c r="AR54" s="841" t="s">
        <v>673</v>
      </c>
      <c r="AS54" s="841" t="s">
        <v>353</v>
      </c>
      <c r="AT54" s="841" t="s">
        <v>353</v>
      </c>
      <c r="AU54" s="841" t="s">
        <v>353</v>
      </c>
      <c r="AV54" s="841" t="s">
        <v>353</v>
      </c>
      <c r="AW54" s="843">
        <v>44600</v>
      </c>
      <c r="AX54" s="841" t="s">
        <v>353</v>
      </c>
      <c r="AY54" s="841" t="s">
        <v>353</v>
      </c>
      <c r="AZ54" s="841" t="s">
        <v>353</v>
      </c>
      <c r="BA54" s="841" t="s">
        <v>353</v>
      </c>
      <c r="BB54" s="841" t="s">
        <v>353</v>
      </c>
      <c r="BC54" s="841">
        <v>377300</v>
      </c>
      <c r="BD54" s="841" t="s">
        <v>353</v>
      </c>
      <c r="BE54" s="841" t="s">
        <v>353</v>
      </c>
      <c r="BF54" s="841" t="s">
        <v>353</v>
      </c>
      <c r="BG54" s="841" t="s">
        <v>353</v>
      </c>
      <c r="BH54" s="841" t="s">
        <v>353</v>
      </c>
      <c r="BI54" s="841" t="s">
        <v>353</v>
      </c>
      <c r="BJ54" s="841" t="s">
        <v>353</v>
      </c>
      <c r="BK54" s="841" t="s">
        <v>353</v>
      </c>
      <c r="BL54" s="841" t="s">
        <v>1924</v>
      </c>
      <c r="BM54" s="842">
        <v>44620.384722222225</v>
      </c>
      <c r="BN54" s="841" t="s">
        <v>353</v>
      </c>
      <c r="BO54" s="841" t="s">
        <v>353</v>
      </c>
      <c r="BP54" s="841" t="s">
        <v>353</v>
      </c>
      <c r="BQ54" s="841" t="s">
        <v>353</v>
      </c>
      <c r="BR54" s="841" t="s">
        <v>353</v>
      </c>
      <c r="BS54" s="841" t="s">
        <v>353</v>
      </c>
      <c r="BT54" s="841">
        <v>385000</v>
      </c>
      <c r="BU54" s="841" t="s">
        <v>353</v>
      </c>
      <c r="BV54" s="841" t="s">
        <v>1925</v>
      </c>
      <c r="BW54" s="841" t="s">
        <v>1578</v>
      </c>
      <c r="BX54" s="841" t="s">
        <v>1926</v>
      </c>
      <c r="BY54" s="841" t="s">
        <v>353</v>
      </c>
      <c r="BZ54" s="841" t="s">
        <v>353</v>
      </c>
      <c r="CA54" s="841" t="s">
        <v>353</v>
      </c>
      <c r="CB54" s="841" t="s">
        <v>353</v>
      </c>
      <c r="CC54" s="841" t="s">
        <v>353</v>
      </c>
      <c r="CD54" s="841" t="s">
        <v>353</v>
      </c>
      <c r="CE54" s="841" t="s">
        <v>353</v>
      </c>
      <c r="CF54" s="841" t="s">
        <v>353</v>
      </c>
      <c r="CG54" s="841" t="s">
        <v>353</v>
      </c>
      <c r="CH54" s="841" t="s">
        <v>353</v>
      </c>
      <c r="CI54" s="841" t="s">
        <v>33</v>
      </c>
      <c r="CJ54" s="841">
        <v>1260</v>
      </c>
      <c r="CK54" s="841">
        <v>2</v>
      </c>
      <c r="CL54" s="841" t="s">
        <v>353</v>
      </c>
      <c r="CM54" s="841">
        <v>8</v>
      </c>
      <c r="CN54" s="841" t="s">
        <v>353</v>
      </c>
      <c r="CO54" s="841" t="s">
        <v>353</v>
      </c>
      <c r="CP54" s="841" t="s">
        <v>1927</v>
      </c>
      <c r="CQ54" s="841" t="s">
        <v>353</v>
      </c>
      <c r="CR54" s="841" t="s">
        <v>353</v>
      </c>
      <c r="CS54" s="841" t="s">
        <v>353</v>
      </c>
      <c r="CT54" s="841" t="s">
        <v>353</v>
      </c>
      <c r="CU54" s="841" t="s">
        <v>1928</v>
      </c>
      <c r="CV54" s="841" t="s">
        <v>353</v>
      </c>
      <c r="CW54" s="841" t="s">
        <v>353</v>
      </c>
      <c r="CX54" s="841" t="s">
        <v>353</v>
      </c>
      <c r="CY54" s="841" t="s">
        <v>353</v>
      </c>
      <c r="CZ54" s="841" t="s">
        <v>353</v>
      </c>
      <c r="DA54" s="841" t="s">
        <v>353</v>
      </c>
      <c r="DB54" s="841" t="s">
        <v>353</v>
      </c>
      <c r="DC54" s="841" t="s">
        <v>353</v>
      </c>
      <c r="DD54" s="841" t="s">
        <v>353</v>
      </c>
      <c r="DE54" s="841" t="s">
        <v>353</v>
      </c>
      <c r="DF54" s="841">
        <v>24</v>
      </c>
      <c r="DG54" s="841" t="s">
        <v>353</v>
      </c>
      <c r="DH54" s="841" t="s">
        <v>353</v>
      </c>
      <c r="DI54" s="841" t="s">
        <v>353</v>
      </c>
      <c r="DJ54" s="841" t="s">
        <v>1929</v>
      </c>
      <c r="DK54" s="841" t="s">
        <v>353</v>
      </c>
      <c r="DL54" s="842">
        <v>44596.384722222225</v>
      </c>
      <c r="DM54" s="841" t="s">
        <v>353</v>
      </c>
      <c r="DN54" s="841" t="s">
        <v>33</v>
      </c>
      <c r="DO54" s="841" t="s">
        <v>353</v>
      </c>
      <c r="DP54" s="841" t="s">
        <v>1481</v>
      </c>
      <c r="DQ54" s="841" t="s">
        <v>673</v>
      </c>
      <c r="DR54" s="841">
        <v>550000</v>
      </c>
      <c r="DS54" s="841">
        <v>24</v>
      </c>
      <c r="DT54" s="841" t="s">
        <v>353</v>
      </c>
      <c r="DU54" s="841" t="s">
        <v>353</v>
      </c>
      <c r="DV54" s="841">
        <v>377300</v>
      </c>
      <c r="DW54" s="841">
        <v>385000</v>
      </c>
      <c r="DX54" s="841" t="s">
        <v>33</v>
      </c>
      <c r="DY54" s="841" t="s">
        <v>353</v>
      </c>
      <c r="DZ54" s="841" t="s">
        <v>353</v>
      </c>
      <c r="EA54" s="841" t="s">
        <v>353</v>
      </c>
      <c r="EB54" s="841" t="s">
        <v>353</v>
      </c>
      <c r="EC54" s="841" t="s">
        <v>353</v>
      </c>
      <c r="ED54" s="841" t="s">
        <v>353</v>
      </c>
      <c r="EE54" s="841" t="s">
        <v>33</v>
      </c>
      <c r="EF54" s="841" t="s">
        <v>353</v>
      </c>
      <c r="EG54" s="841" t="s">
        <v>353</v>
      </c>
      <c r="EH54" s="841" t="s">
        <v>33</v>
      </c>
      <c r="EI54" s="841">
        <v>0</v>
      </c>
      <c r="EJ54" s="841" t="s">
        <v>353</v>
      </c>
      <c r="EK54" s="841" t="s">
        <v>353</v>
      </c>
      <c r="EL54" s="841" t="s">
        <v>1930</v>
      </c>
      <c r="EM54" s="841">
        <v>7700</v>
      </c>
      <c r="EN54" s="841" t="s">
        <v>353</v>
      </c>
      <c r="EO54" s="841" t="s">
        <v>353</v>
      </c>
      <c r="EP54" s="841" t="s">
        <v>353</v>
      </c>
      <c r="EQ54" s="841" t="s">
        <v>353</v>
      </c>
      <c r="ER54" s="841" t="s">
        <v>353</v>
      </c>
      <c r="ES54" s="841" t="s">
        <v>33</v>
      </c>
      <c r="ET54" s="841" t="s">
        <v>1414</v>
      </c>
      <c r="EU54" s="841" t="s">
        <v>1712</v>
      </c>
      <c r="EV54" s="841" t="s">
        <v>353</v>
      </c>
      <c r="EW54" s="841" t="s">
        <v>353</v>
      </c>
      <c r="EX54" s="841" t="s">
        <v>33</v>
      </c>
      <c r="EY54" s="842">
        <v>44606.422222222223</v>
      </c>
      <c r="EZ54" s="842">
        <v>44609.333333333336</v>
      </c>
      <c r="FA54" s="841" t="s">
        <v>353</v>
      </c>
      <c r="FB54" s="841" t="s">
        <v>353</v>
      </c>
      <c r="FC54" s="841" t="s">
        <v>353</v>
      </c>
      <c r="FD54" s="841" t="s">
        <v>353</v>
      </c>
      <c r="FE54" s="842">
        <v>44600.611111111109</v>
      </c>
      <c r="FF54" s="841" t="s">
        <v>353</v>
      </c>
      <c r="FG54" s="841" t="s">
        <v>353</v>
      </c>
      <c r="FH54" s="841" t="s">
        <v>353</v>
      </c>
      <c r="FI54" s="841" t="s">
        <v>353</v>
      </c>
      <c r="FJ54" s="841" t="s">
        <v>353</v>
      </c>
      <c r="FK54" s="841" t="s">
        <v>353</v>
      </c>
      <c r="FL54" s="841" t="s">
        <v>353</v>
      </c>
      <c r="FM54" s="841" t="s">
        <v>353</v>
      </c>
      <c r="FN54" s="841" t="s">
        <v>353</v>
      </c>
      <c r="FO54" s="841" t="s">
        <v>353</v>
      </c>
      <c r="FP54" s="841" t="s">
        <v>353</v>
      </c>
      <c r="FQ54" s="841" t="s">
        <v>353</v>
      </c>
      <c r="FR54" s="841" t="s">
        <v>353</v>
      </c>
      <c r="FS54" s="841" t="s">
        <v>353</v>
      </c>
      <c r="FT54" s="841" t="s">
        <v>353</v>
      </c>
      <c r="FU54" s="841" t="s">
        <v>1714</v>
      </c>
      <c r="FV54" s="841" t="s">
        <v>353</v>
      </c>
      <c r="FW54" s="841" t="s">
        <v>353</v>
      </c>
      <c r="FX54" s="841" t="s">
        <v>353</v>
      </c>
      <c r="FY54" s="841" t="s">
        <v>353</v>
      </c>
      <c r="FZ54" s="841" t="s">
        <v>353</v>
      </c>
      <c r="GA54" s="841" t="s">
        <v>353</v>
      </c>
      <c r="GB54" s="841">
        <v>1</v>
      </c>
      <c r="GC54" s="841" t="s">
        <v>353</v>
      </c>
      <c r="GD54" s="841" t="s">
        <v>1931</v>
      </c>
      <c r="GE54" s="841" t="s">
        <v>353</v>
      </c>
      <c r="GF54" s="841" t="s">
        <v>353</v>
      </c>
      <c r="GG54" s="841" t="s">
        <v>349</v>
      </c>
      <c r="GH54" s="841">
        <v>231000</v>
      </c>
      <c r="GI54" s="841" t="s">
        <v>353</v>
      </c>
      <c r="GJ54" s="841" t="s">
        <v>353</v>
      </c>
      <c r="GK54" s="841" t="s">
        <v>353</v>
      </c>
      <c r="GL54" s="841" t="s">
        <v>353</v>
      </c>
      <c r="GM54" s="841" t="s">
        <v>353</v>
      </c>
      <c r="GN54" s="841" t="s">
        <v>353</v>
      </c>
      <c r="GO54" s="841" t="s">
        <v>353</v>
      </c>
      <c r="GP54" s="841" t="s">
        <v>353</v>
      </c>
      <c r="GQ54" s="841" t="s">
        <v>353</v>
      </c>
      <c r="GR54" s="842">
        <v>44602.724305555559</v>
      </c>
      <c r="GS54" s="841" t="s">
        <v>1662</v>
      </c>
      <c r="GT54" s="841" t="s">
        <v>353</v>
      </c>
      <c r="GU54" s="841" t="s">
        <v>353</v>
      </c>
      <c r="GV54" s="841" t="s">
        <v>1419</v>
      </c>
      <c r="GW54" s="841" t="s">
        <v>353</v>
      </c>
      <c r="GX54" s="841" t="s">
        <v>353</v>
      </c>
      <c r="GY54" s="841">
        <v>24</v>
      </c>
      <c r="GZ54" s="841" t="s">
        <v>1529</v>
      </c>
      <c r="HA54" s="841" t="s">
        <v>353</v>
      </c>
      <c r="HB54" s="841" t="s">
        <v>353</v>
      </c>
      <c r="HC54" s="841" t="s">
        <v>1421</v>
      </c>
      <c r="HD54" s="841" t="s">
        <v>1927</v>
      </c>
      <c r="HE54" s="841">
        <v>3850</v>
      </c>
      <c r="HF54" s="841" t="s">
        <v>353</v>
      </c>
      <c r="HG54" s="841" t="s">
        <v>353</v>
      </c>
      <c r="HH54" s="841">
        <v>1155</v>
      </c>
      <c r="HI54" s="841" t="s">
        <v>1422</v>
      </c>
      <c r="HJ54" s="841" t="s">
        <v>353</v>
      </c>
      <c r="HK54" s="841">
        <v>385000</v>
      </c>
      <c r="HL54" s="841" t="s">
        <v>353</v>
      </c>
      <c r="HM54" s="841" t="s">
        <v>353</v>
      </c>
      <c r="HN54" s="841" t="s">
        <v>353</v>
      </c>
      <c r="HO54" s="841" t="s">
        <v>353</v>
      </c>
      <c r="HP54" s="841">
        <v>23061.5</v>
      </c>
      <c r="HQ54" s="841" t="s">
        <v>353</v>
      </c>
      <c r="HR54" s="841" t="s">
        <v>353</v>
      </c>
      <c r="HS54" s="841">
        <v>385000</v>
      </c>
      <c r="HT54" s="841" t="s">
        <v>353</v>
      </c>
      <c r="HU54" s="841" t="s">
        <v>353</v>
      </c>
      <c r="HV54" s="841" t="s">
        <v>353</v>
      </c>
      <c r="HW54" s="841" t="s">
        <v>353</v>
      </c>
      <c r="HX54" s="841" t="s">
        <v>353</v>
      </c>
      <c r="HY54" s="841" t="s">
        <v>353</v>
      </c>
      <c r="HZ54" s="841" t="s">
        <v>353</v>
      </c>
      <c r="IA54" s="841" t="s">
        <v>353</v>
      </c>
      <c r="IB54" s="841" t="s">
        <v>1424</v>
      </c>
      <c r="IC54" s="841" t="s">
        <v>353</v>
      </c>
      <c r="ID54" s="841" t="s">
        <v>353</v>
      </c>
      <c r="IE54" s="841" t="s">
        <v>353</v>
      </c>
      <c r="IF54" s="841" t="s">
        <v>353</v>
      </c>
      <c r="IG54" s="841" t="s">
        <v>353</v>
      </c>
      <c r="IH54" s="841" t="s">
        <v>353</v>
      </c>
      <c r="II54" s="841" t="s">
        <v>353</v>
      </c>
      <c r="IJ54" s="841" t="s">
        <v>353</v>
      </c>
      <c r="IK54" s="841" t="s">
        <v>353</v>
      </c>
      <c r="IL54" s="841">
        <v>377300</v>
      </c>
      <c r="IM54" s="841" t="s">
        <v>353</v>
      </c>
      <c r="IN54" s="841" t="s">
        <v>353</v>
      </c>
      <c r="IO54" s="841">
        <v>0</v>
      </c>
      <c r="IP54" s="841" t="s">
        <v>353</v>
      </c>
      <c r="IQ54" s="841" t="s">
        <v>353</v>
      </c>
      <c r="IR54" s="841">
        <v>0</v>
      </c>
      <c r="IS54" s="841" t="s">
        <v>33</v>
      </c>
      <c r="IT54" s="841" t="s">
        <v>353</v>
      </c>
      <c r="IU54" s="841" t="s">
        <v>353</v>
      </c>
      <c r="IV54" s="841" t="s">
        <v>353</v>
      </c>
      <c r="IW54" s="841" t="s">
        <v>353</v>
      </c>
      <c r="IX54" s="841" t="s">
        <v>353</v>
      </c>
      <c r="IY54" s="841" t="s">
        <v>353</v>
      </c>
      <c r="IZ54" s="841" t="s">
        <v>353</v>
      </c>
      <c r="JA54" s="841">
        <v>385000</v>
      </c>
      <c r="JB54" s="841" t="s">
        <v>353</v>
      </c>
      <c r="JC54" s="841" t="s">
        <v>353</v>
      </c>
      <c r="JD54" s="841" t="s">
        <v>1527</v>
      </c>
      <c r="JE54" s="841" t="s">
        <v>33</v>
      </c>
      <c r="JF54" s="841" t="s">
        <v>353</v>
      </c>
      <c r="JG54" s="841" t="s">
        <v>353</v>
      </c>
      <c r="JH54" s="841" t="s">
        <v>1932</v>
      </c>
      <c r="JI54" s="841" t="s">
        <v>1933</v>
      </c>
    </row>
    <row r="55" spans="1:269" x14ac:dyDescent="0.25">
      <c r="A55" s="841" t="s">
        <v>1934</v>
      </c>
      <c r="B55" s="841" t="s">
        <v>353</v>
      </c>
      <c r="C55" s="841" t="s">
        <v>1403</v>
      </c>
      <c r="D55" s="841" t="s">
        <v>353</v>
      </c>
      <c r="E55" s="841" t="s">
        <v>353</v>
      </c>
      <c r="F55" s="841" t="s">
        <v>1405</v>
      </c>
      <c r="G55" s="841" t="s">
        <v>1841</v>
      </c>
      <c r="H55" s="841" t="s">
        <v>353</v>
      </c>
      <c r="I55" s="841" t="s">
        <v>353</v>
      </c>
      <c r="J55" s="841" t="s">
        <v>353</v>
      </c>
      <c r="K55" s="841" t="s">
        <v>353</v>
      </c>
      <c r="L55" s="842">
        <v>44600.746527777781</v>
      </c>
      <c r="M55" s="841" t="s">
        <v>353</v>
      </c>
      <c r="N55" s="841" t="s">
        <v>353</v>
      </c>
      <c r="O55" s="841" t="s">
        <v>353</v>
      </c>
      <c r="P55" s="841" t="s">
        <v>33</v>
      </c>
      <c r="Q55" s="841" t="s">
        <v>353</v>
      </c>
      <c r="R55" s="841" t="s">
        <v>353</v>
      </c>
      <c r="S55" s="841" t="s">
        <v>61</v>
      </c>
      <c r="T55" s="841" t="s">
        <v>1390</v>
      </c>
      <c r="U55" s="841" t="s">
        <v>353</v>
      </c>
      <c r="V55" s="841" t="s">
        <v>353</v>
      </c>
      <c r="W55" s="841" t="s">
        <v>1575</v>
      </c>
      <c r="X55" s="841" t="s">
        <v>1405</v>
      </c>
      <c r="Y55" s="841" t="s">
        <v>353</v>
      </c>
      <c r="Z55" s="841" t="s">
        <v>353</v>
      </c>
      <c r="AA55" s="841" t="s">
        <v>673</v>
      </c>
      <c r="AB55" s="841" t="s">
        <v>353</v>
      </c>
      <c r="AC55" s="841">
        <v>170000</v>
      </c>
      <c r="AD55" s="841" t="s">
        <v>353</v>
      </c>
      <c r="AE55" s="841" t="s">
        <v>33</v>
      </c>
      <c r="AF55" s="841">
        <v>1357.17</v>
      </c>
      <c r="AG55" s="841" t="s">
        <v>353</v>
      </c>
      <c r="AH55" s="841">
        <v>1800</v>
      </c>
      <c r="AI55" s="841" t="s">
        <v>1521</v>
      </c>
      <c r="AJ55" s="841" t="s">
        <v>353</v>
      </c>
      <c r="AK55" s="841">
        <v>75</v>
      </c>
      <c r="AL55" s="841" t="s">
        <v>353</v>
      </c>
      <c r="AM55" s="841" t="s">
        <v>353</v>
      </c>
      <c r="AN55" s="841" t="s">
        <v>353</v>
      </c>
      <c r="AO55" s="841" t="s">
        <v>353</v>
      </c>
      <c r="AP55" s="841" t="s">
        <v>353</v>
      </c>
      <c r="AQ55" s="841" t="s">
        <v>353</v>
      </c>
      <c r="AR55" s="841" t="s">
        <v>673</v>
      </c>
      <c r="AS55" s="841" t="s">
        <v>353</v>
      </c>
      <c r="AT55" s="841" t="s">
        <v>353</v>
      </c>
      <c r="AU55" s="841" t="s">
        <v>1405</v>
      </c>
      <c r="AV55" s="841" t="s">
        <v>353</v>
      </c>
      <c r="AW55" s="843">
        <v>44599</v>
      </c>
      <c r="AX55" s="841" t="s">
        <v>353</v>
      </c>
      <c r="AY55" s="841" t="s">
        <v>353</v>
      </c>
      <c r="AZ55" s="841" t="s">
        <v>353</v>
      </c>
      <c r="BA55" s="841" t="s">
        <v>353</v>
      </c>
      <c r="BB55" s="841" t="s">
        <v>353</v>
      </c>
      <c r="BC55" s="841">
        <v>334900</v>
      </c>
      <c r="BD55" s="841" t="s">
        <v>353</v>
      </c>
      <c r="BE55" s="841" t="s">
        <v>353</v>
      </c>
      <c r="BF55" s="841" t="s">
        <v>353</v>
      </c>
      <c r="BG55" s="841" t="s">
        <v>353</v>
      </c>
      <c r="BH55" s="841" t="s">
        <v>353</v>
      </c>
      <c r="BI55" s="841" t="s">
        <v>353</v>
      </c>
      <c r="BJ55" s="841" t="s">
        <v>353</v>
      </c>
      <c r="BK55" s="841">
        <v>182836</v>
      </c>
      <c r="BL55" s="841" t="s">
        <v>1842</v>
      </c>
      <c r="BM55" s="842">
        <v>44620.739583333336</v>
      </c>
      <c r="BN55" s="841" t="s">
        <v>353</v>
      </c>
      <c r="BO55" s="841" t="s">
        <v>353</v>
      </c>
      <c r="BP55" s="841" t="s">
        <v>353</v>
      </c>
      <c r="BQ55" s="841" t="s">
        <v>353</v>
      </c>
      <c r="BR55" s="841" t="s">
        <v>353</v>
      </c>
      <c r="BS55" s="841" t="s">
        <v>353</v>
      </c>
      <c r="BT55" s="841">
        <v>600000</v>
      </c>
      <c r="BU55" s="841" t="s">
        <v>353</v>
      </c>
      <c r="BV55" s="841" t="s">
        <v>1935</v>
      </c>
      <c r="BW55" s="841" t="s">
        <v>1578</v>
      </c>
      <c r="BX55" s="841" t="s">
        <v>1844</v>
      </c>
      <c r="BY55" s="841" t="s">
        <v>353</v>
      </c>
      <c r="BZ55" s="841" t="s">
        <v>353</v>
      </c>
      <c r="CA55" s="841" t="s">
        <v>353</v>
      </c>
      <c r="CB55" s="841" t="s">
        <v>353</v>
      </c>
      <c r="CC55" s="841" t="s">
        <v>353</v>
      </c>
      <c r="CD55" s="841" t="s">
        <v>353</v>
      </c>
      <c r="CE55" s="841" t="s">
        <v>353</v>
      </c>
      <c r="CF55" s="841" t="s">
        <v>353</v>
      </c>
      <c r="CG55" s="841" t="s">
        <v>353</v>
      </c>
      <c r="CH55" s="841" t="s">
        <v>353</v>
      </c>
      <c r="CI55" s="841" t="s">
        <v>33</v>
      </c>
      <c r="CJ55" s="841" t="s">
        <v>353</v>
      </c>
      <c r="CK55" s="841">
        <v>3</v>
      </c>
      <c r="CL55" s="841" t="s">
        <v>353</v>
      </c>
      <c r="CM55" s="841">
        <v>3</v>
      </c>
      <c r="CN55" s="841" t="s">
        <v>353</v>
      </c>
      <c r="CO55" s="841" t="s">
        <v>353</v>
      </c>
      <c r="CP55" s="841" t="s">
        <v>1936</v>
      </c>
      <c r="CQ55" s="841" t="s">
        <v>353</v>
      </c>
      <c r="CR55" s="841" t="s">
        <v>353</v>
      </c>
      <c r="CS55" s="841" t="s">
        <v>1405</v>
      </c>
      <c r="CT55" s="841" t="s">
        <v>353</v>
      </c>
      <c r="CU55" s="841" t="s">
        <v>1391</v>
      </c>
      <c r="CV55" s="841" t="s">
        <v>353</v>
      </c>
      <c r="CW55" s="841" t="s">
        <v>353</v>
      </c>
      <c r="CX55" s="841" t="s">
        <v>353</v>
      </c>
      <c r="CY55" s="841" t="s">
        <v>353</v>
      </c>
      <c r="CZ55" s="841" t="s">
        <v>353</v>
      </c>
      <c r="DA55" s="841" t="s">
        <v>353</v>
      </c>
      <c r="DB55" s="841" t="s">
        <v>353</v>
      </c>
      <c r="DC55" s="841" t="s">
        <v>353</v>
      </c>
      <c r="DD55" s="841" t="s">
        <v>353</v>
      </c>
      <c r="DE55" s="841" t="s">
        <v>353</v>
      </c>
      <c r="DF55" s="841">
        <v>24</v>
      </c>
      <c r="DG55" s="841" t="s">
        <v>353</v>
      </c>
      <c r="DH55" s="841" t="s">
        <v>353</v>
      </c>
      <c r="DI55" s="841" t="s">
        <v>353</v>
      </c>
      <c r="DJ55" s="841" t="s">
        <v>1937</v>
      </c>
      <c r="DK55" s="841" t="s">
        <v>353</v>
      </c>
      <c r="DL55" s="842">
        <v>44595.739583333336</v>
      </c>
      <c r="DM55" s="841" t="s">
        <v>353</v>
      </c>
      <c r="DN55" s="841" t="s">
        <v>33</v>
      </c>
      <c r="DO55" s="841" t="s">
        <v>673</v>
      </c>
      <c r="DP55" s="841" t="s">
        <v>1481</v>
      </c>
      <c r="DQ55" s="841" t="s">
        <v>673</v>
      </c>
      <c r="DR55" s="841" t="s">
        <v>353</v>
      </c>
      <c r="DS55" s="841">
        <v>24</v>
      </c>
      <c r="DT55" s="841" t="s">
        <v>353</v>
      </c>
      <c r="DU55" s="841" t="s">
        <v>353</v>
      </c>
      <c r="DV55" s="841">
        <v>334900</v>
      </c>
      <c r="DW55" s="841">
        <v>340000</v>
      </c>
      <c r="DX55" s="841" t="s">
        <v>673</v>
      </c>
      <c r="DY55" s="841" t="s">
        <v>353</v>
      </c>
      <c r="DZ55" s="841" t="s">
        <v>353</v>
      </c>
      <c r="EA55" s="841" t="s">
        <v>353</v>
      </c>
      <c r="EB55" s="841" t="s">
        <v>353</v>
      </c>
      <c r="EC55" s="841" t="s">
        <v>353</v>
      </c>
      <c r="ED55" s="841" t="s">
        <v>353</v>
      </c>
      <c r="EE55" s="841" t="s">
        <v>353</v>
      </c>
      <c r="EF55" s="841" t="s">
        <v>353</v>
      </c>
      <c r="EG55" s="841" t="s">
        <v>353</v>
      </c>
      <c r="EH55" s="841" t="s">
        <v>353</v>
      </c>
      <c r="EI55" s="841">
        <v>0</v>
      </c>
      <c r="EJ55" s="841" t="s">
        <v>353</v>
      </c>
      <c r="EK55" s="841" t="s">
        <v>1488</v>
      </c>
      <c r="EL55" s="841" t="s">
        <v>1435</v>
      </c>
      <c r="EM55" s="841">
        <v>5100</v>
      </c>
      <c r="EN55" s="841" t="s">
        <v>353</v>
      </c>
      <c r="EO55" s="841" t="s">
        <v>353</v>
      </c>
      <c r="EP55" s="841" t="s">
        <v>353</v>
      </c>
      <c r="EQ55" s="841" t="s">
        <v>353</v>
      </c>
      <c r="ER55" s="841" t="s">
        <v>353</v>
      </c>
      <c r="ES55" s="841" t="s">
        <v>33</v>
      </c>
      <c r="ET55" s="841" t="s">
        <v>1711</v>
      </c>
      <c r="EU55" s="841" t="s">
        <v>353</v>
      </c>
      <c r="EV55" s="841" t="s">
        <v>353</v>
      </c>
      <c r="EW55" s="841" t="s">
        <v>353</v>
      </c>
      <c r="EX55" s="841" t="s">
        <v>33</v>
      </c>
      <c r="EY55" s="842">
        <v>44600.746527777781</v>
      </c>
      <c r="EZ55" s="841" t="s">
        <v>353</v>
      </c>
      <c r="FA55" s="841" t="s">
        <v>353</v>
      </c>
      <c r="FB55" s="841" t="s">
        <v>353</v>
      </c>
      <c r="FC55" s="841" t="s">
        <v>353</v>
      </c>
      <c r="FD55" s="841" t="s">
        <v>353</v>
      </c>
      <c r="FE55" s="842">
        <v>44595.739583333336</v>
      </c>
      <c r="FF55" s="841" t="s">
        <v>353</v>
      </c>
      <c r="FG55" s="841" t="s">
        <v>1938</v>
      </c>
      <c r="FH55" s="841" t="s">
        <v>353</v>
      </c>
      <c r="FI55" s="841" t="s">
        <v>353</v>
      </c>
      <c r="FJ55" s="841" t="s">
        <v>353</v>
      </c>
      <c r="FK55" s="841" t="s">
        <v>353</v>
      </c>
      <c r="FL55" s="841" t="s">
        <v>353</v>
      </c>
      <c r="FM55" s="841" t="s">
        <v>353</v>
      </c>
      <c r="FN55" s="841" t="s">
        <v>353</v>
      </c>
      <c r="FO55" s="841" t="s">
        <v>1528</v>
      </c>
      <c r="FP55" s="841" t="s">
        <v>353</v>
      </c>
      <c r="FQ55" s="841" t="s">
        <v>353</v>
      </c>
      <c r="FR55" s="841" t="s">
        <v>353</v>
      </c>
      <c r="FS55" s="841" t="s">
        <v>353</v>
      </c>
      <c r="FT55" s="841" t="s">
        <v>353</v>
      </c>
      <c r="FU55" s="841" t="s">
        <v>1467</v>
      </c>
      <c r="FV55" s="841" t="s">
        <v>353</v>
      </c>
      <c r="FW55" s="841" t="s">
        <v>353</v>
      </c>
      <c r="FX55" s="841" t="s">
        <v>353</v>
      </c>
      <c r="FY55" s="841" t="s">
        <v>353</v>
      </c>
      <c r="FZ55" s="841" t="s">
        <v>353</v>
      </c>
      <c r="GA55" s="841" t="s">
        <v>353</v>
      </c>
      <c r="GB55" s="841">
        <v>1</v>
      </c>
      <c r="GC55" s="841" t="s">
        <v>353</v>
      </c>
      <c r="GD55" s="841" t="s">
        <v>1417</v>
      </c>
      <c r="GE55" s="841" t="s">
        <v>353</v>
      </c>
      <c r="GF55" s="841" t="s">
        <v>353</v>
      </c>
      <c r="GG55" s="841" t="s">
        <v>349</v>
      </c>
      <c r="GH55" s="841">
        <v>170000</v>
      </c>
      <c r="GI55" s="841" t="s">
        <v>353</v>
      </c>
      <c r="GJ55" s="841" t="s">
        <v>353</v>
      </c>
      <c r="GK55" s="841" t="s">
        <v>353</v>
      </c>
      <c r="GL55" s="841" t="s">
        <v>1418</v>
      </c>
      <c r="GM55" s="841" t="s">
        <v>353</v>
      </c>
      <c r="GN55" s="841" t="s">
        <v>353</v>
      </c>
      <c r="GO55" s="841" t="s">
        <v>353</v>
      </c>
      <c r="GP55" s="841" t="s">
        <v>353</v>
      </c>
      <c r="GQ55" s="841" t="s">
        <v>353</v>
      </c>
      <c r="GR55" s="842">
        <v>44600.746527777781</v>
      </c>
      <c r="GS55" s="841" t="s">
        <v>1935</v>
      </c>
      <c r="GT55" s="841" t="s">
        <v>353</v>
      </c>
      <c r="GU55" s="841" t="s">
        <v>353</v>
      </c>
      <c r="GV55" s="841" t="s">
        <v>1419</v>
      </c>
      <c r="GW55" s="841" t="s">
        <v>353</v>
      </c>
      <c r="GX55" s="841" t="s">
        <v>1939</v>
      </c>
      <c r="GY55" s="841">
        <v>24</v>
      </c>
      <c r="GZ55" s="841" t="s">
        <v>1575</v>
      </c>
      <c r="HA55" s="841" t="s">
        <v>353</v>
      </c>
      <c r="HB55" s="841" t="s">
        <v>353</v>
      </c>
      <c r="HC55" s="841" t="s">
        <v>1421</v>
      </c>
      <c r="HD55" s="841" t="s">
        <v>1936</v>
      </c>
      <c r="HE55" s="841">
        <v>3400</v>
      </c>
      <c r="HF55" s="841" t="s">
        <v>353</v>
      </c>
      <c r="HG55" s="841" t="s">
        <v>353</v>
      </c>
      <c r="HH55" s="841" t="s">
        <v>353</v>
      </c>
      <c r="HI55" s="841" t="s">
        <v>1422</v>
      </c>
      <c r="HJ55" s="841" t="s">
        <v>23</v>
      </c>
      <c r="HK55" s="841">
        <v>340000</v>
      </c>
      <c r="HL55" s="841" t="s">
        <v>353</v>
      </c>
      <c r="HM55" s="841" t="s">
        <v>1530</v>
      </c>
      <c r="HN55" s="841" t="s">
        <v>33</v>
      </c>
      <c r="HO55" s="841" t="s">
        <v>353</v>
      </c>
      <c r="HP55" s="841">
        <v>16286</v>
      </c>
      <c r="HQ55" s="841" t="s">
        <v>353</v>
      </c>
      <c r="HR55" s="841" t="s">
        <v>353</v>
      </c>
      <c r="HS55" s="841">
        <v>340000</v>
      </c>
      <c r="HT55" s="841" t="s">
        <v>353</v>
      </c>
      <c r="HU55" s="841" t="s">
        <v>353</v>
      </c>
      <c r="HV55" s="841" t="s">
        <v>353</v>
      </c>
      <c r="HW55" s="841">
        <v>454000</v>
      </c>
      <c r="HX55" s="841" t="s">
        <v>353</v>
      </c>
      <c r="HY55" s="841" t="s">
        <v>353</v>
      </c>
      <c r="HZ55" s="841" t="s">
        <v>353</v>
      </c>
      <c r="IA55" s="841" t="s">
        <v>353</v>
      </c>
      <c r="IB55" s="841" t="s">
        <v>1424</v>
      </c>
      <c r="IC55" s="843">
        <v>44596</v>
      </c>
      <c r="ID55" s="841" t="s">
        <v>353</v>
      </c>
      <c r="IE55" s="841" t="s">
        <v>353</v>
      </c>
      <c r="IF55" s="841" t="s">
        <v>353</v>
      </c>
      <c r="IG55" s="841" t="s">
        <v>353</v>
      </c>
      <c r="IH55" s="841" t="s">
        <v>353</v>
      </c>
      <c r="II55" s="841" t="s">
        <v>353</v>
      </c>
      <c r="IJ55" s="841" t="s">
        <v>353</v>
      </c>
      <c r="IK55" s="841" t="s">
        <v>353</v>
      </c>
      <c r="IL55" s="841">
        <v>340000</v>
      </c>
      <c r="IM55" s="841" t="s">
        <v>353</v>
      </c>
      <c r="IN55" s="841" t="s">
        <v>353</v>
      </c>
      <c r="IO55" s="841">
        <v>0</v>
      </c>
      <c r="IP55" s="841" t="s">
        <v>353</v>
      </c>
      <c r="IQ55" s="841" t="s">
        <v>353</v>
      </c>
      <c r="IR55" s="841">
        <v>0</v>
      </c>
      <c r="IS55" s="841" t="s">
        <v>33</v>
      </c>
      <c r="IT55" s="841" t="s">
        <v>353</v>
      </c>
      <c r="IU55" s="841" t="s">
        <v>353</v>
      </c>
      <c r="IV55" s="841" t="s">
        <v>353</v>
      </c>
      <c r="IW55" s="841" t="s">
        <v>353</v>
      </c>
      <c r="IX55" s="841" t="s">
        <v>353</v>
      </c>
      <c r="IY55" s="841" t="s">
        <v>353</v>
      </c>
      <c r="IZ55" s="841" t="s">
        <v>353</v>
      </c>
      <c r="JA55" s="841">
        <v>340000</v>
      </c>
      <c r="JB55" s="841" t="s">
        <v>353</v>
      </c>
      <c r="JC55" s="841" t="s">
        <v>353</v>
      </c>
      <c r="JD55" s="841" t="s">
        <v>1488</v>
      </c>
      <c r="JE55" s="841" t="s">
        <v>33</v>
      </c>
      <c r="JF55" s="841" t="s">
        <v>1850</v>
      </c>
      <c r="JG55" s="841" t="s">
        <v>1851</v>
      </c>
      <c r="JH55" s="841" t="s">
        <v>1852</v>
      </c>
      <c r="JI55" s="841" t="s">
        <v>1853</v>
      </c>
    </row>
    <row r="56" spans="1:269" x14ac:dyDescent="0.25">
      <c r="A56" s="841" t="s">
        <v>1940</v>
      </c>
      <c r="B56" s="841" t="s">
        <v>353</v>
      </c>
      <c r="C56" s="841" t="s">
        <v>353</v>
      </c>
      <c r="D56" s="841" t="s">
        <v>353</v>
      </c>
      <c r="E56" s="841" t="s">
        <v>353</v>
      </c>
      <c r="F56" s="841" t="s">
        <v>353</v>
      </c>
      <c r="G56" s="841" t="s">
        <v>1428</v>
      </c>
      <c r="H56" s="841" t="s">
        <v>353</v>
      </c>
      <c r="I56" s="841" t="s">
        <v>353</v>
      </c>
      <c r="J56" s="841" t="s">
        <v>353</v>
      </c>
      <c r="K56" s="841" t="s">
        <v>353</v>
      </c>
      <c r="L56" s="842">
        <v>44596.410416666666</v>
      </c>
      <c r="M56" s="841" t="s">
        <v>353</v>
      </c>
      <c r="N56" s="841" t="s">
        <v>353</v>
      </c>
      <c r="O56" s="841" t="s">
        <v>353</v>
      </c>
      <c r="P56" s="841" t="s">
        <v>353</v>
      </c>
      <c r="Q56" s="841" t="s">
        <v>353</v>
      </c>
      <c r="R56" s="841" t="s">
        <v>353</v>
      </c>
      <c r="S56" s="841" t="s">
        <v>67</v>
      </c>
      <c r="T56" s="841" t="s">
        <v>1390</v>
      </c>
      <c r="U56" s="841" t="s">
        <v>353</v>
      </c>
      <c r="V56" s="841" t="s">
        <v>353</v>
      </c>
      <c r="W56" s="841" t="s">
        <v>353</v>
      </c>
      <c r="X56" s="841" t="s">
        <v>1405</v>
      </c>
      <c r="Y56" s="841" t="s">
        <v>353</v>
      </c>
      <c r="Z56" s="841" t="s">
        <v>353</v>
      </c>
      <c r="AA56" s="841" t="s">
        <v>353</v>
      </c>
      <c r="AB56" s="841" t="s">
        <v>353</v>
      </c>
      <c r="AC56" s="841">
        <v>98000</v>
      </c>
      <c r="AD56" s="841" t="s">
        <v>353</v>
      </c>
      <c r="AE56" s="841" t="s">
        <v>353</v>
      </c>
      <c r="AF56" s="841" t="s">
        <v>353</v>
      </c>
      <c r="AG56" s="841" t="s">
        <v>353</v>
      </c>
      <c r="AH56" s="841">
        <v>5850</v>
      </c>
      <c r="AI56" s="841" t="s">
        <v>1406</v>
      </c>
      <c r="AJ56" s="841" t="s">
        <v>353</v>
      </c>
      <c r="AK56" s="841">
        <v>70</v>
      </c>
      <c r="AL56" s="841" t="s">
        <v>353</v>
      </c>
      <c r="AM56" s="841" t="s">
        <v>353</v>
      </c>
      <c r="AN56" s="841" t="s">
        <v>353</v>
      </c>
      <c r="AO56" s="841" t="s">
        <v>353</v>
      </c>
      <c r="AP56" s="841" t="s">
        <v>353</v>
      </c>
      <c r="AQ56" s="841" t="s">
        <v>353</v>
      </c>
      <c r="AR56" s="841" t="s">
        <v>353</v>
      </c>
      <c r="AS56" s="841" t="s">
        <v>353</v>
      </c>
      <c r="AT56" s="841" t="s">
        <v>353</v>
      </c>
      <c r="AU56" s="841" t="s">
        <v>353</v>
      </c>
      <c r="AV56" s="841" t="s">
        <v>353</v>
      </c>
      <c r="AW56" s="841" t="s">
        <v>353</v>
      </c>
      <c r="AX56" s="841" t="s">
        <v>353</v>
      </c>
      <c r="AY56" s="841" t="s">
        <v>353</v>
      </c>
      <c r="AZ56" s="841" t="s">
        <v>353</v>
      </c>
      <c r="BA56" s="841" t="s">
        <v>353</v>
      </c>
      <c r="BB56" s="841" t="s">
        <v>353</v>
      </c>
      <c r="BC56" s="841">
        <v>481425</v>
      </c>
      <c r="BD56" s="841" t="s">
        <v>353</v>
      </c>
      <c r="BE56" s="841" t="s">
        <v>353</v>
      </c>
      <c r="BF56" s="841" t="s">
        <v>353</v>
      </c>
      <c r="BG56" s="841" t="s">
        <v>353</v>
      </c>
      <c r="BH56" s="841" t="s">
        <v>353</v>
      </c>
      <c r="BI56" s="841" t="s">
        <v>353</v>
      </c>
      <c r="BJ56" s="841" t="s">
        <v>353</v>
      </c>
      <c r="BK56" s="841" t="s">
        <v>353</v>
      </c>
      <c r="BL56" s="841" t="s">
        <v>1941</v>
      </c>
      <c r="BM56" s="842">
        <v>44620.580555555556</v>
      </c>
      <c r="BN56" s="841" t="s">
        <v>353</v>
      </c>
      <c r="BO56" s="841" t="s">
        <v>353</v>
      </c>
      <c r="BP56" s="841" t="s">
        <v>353</v>
      </c>
      <c r="BQ56" s="841" t="s">
        <v>353</v>
      </c>
      <c r="BR56" s="841" t="s">
        <v>353</v>
      </c>
      <c r="BS56" s="841" t="s">
        <v>353</v>
      </c>
      <c r="BT56" s="841">
        <v>525000</v>
      </c>
      <c r="BU56" s="841" t="s">
        <v>353</v>
      </c>
      <c r="BV56" s="841" t="s">
        <v>1823</v>
      </c>
      <c r="BW56" s="841" t="s">
        <v>353</v>
      </c>
      <c r="BX56" s="841" t="s">
        <v>1942</v>
      </c>
      <c r="BY56" s="841" t="s">
        <v>353</v>
      </c>
      <c r="BZ56" s="841" t="s">
        <v>353</v>
      </c>
      <c r="CA56" s="841" t="s">
        <v>353</v>
      </c>
      <c r="CB56" s="841" t="s">
        <v>353</v>
      </c>
      <c r="CC56" s="841" t="s">
        <v>353</v>
      </c>
      <c r="CD56" s="841" t="s">
        <v>353</v>
      </c>
      <c r="CE56" s="841" t="s">
        <v>353</v>
      </c>
      <c r="CF56" s="841" t="s">
        <v>353</v>
      </c>
      <c r="CG56" s="841" t="s">
        <v>353</v>
      </c>
      <c r="CH56" s="841" t="s">
        <v>353</v>
      </c>
      <c r="CI56" s="841" t="s">
        <v>353</v>
      </c>
      <c r="CJ56" s="841" t="s">
        <v>353</v>
      </c>
      <c r="CK56" s="841">
        <v>5</v>
      </c>
      <c r="CL56" s="841" t="s">
        <v>353</v>
      </c>
      <c r="CM56" s="841">
        <v>6</v>
      </c>
      <c r="CN56" s="841" t="s">
        <v>353</v>
      </c>
      <c r="CO56" s="841" t="s">
        <v>353</v>
      </c>
      <c r="CP56" s="841" t="s">
        <v>1943</v>
      </c>
      <c r="CQ56" s="841" t="s">
        <v>353</v>
      </c>
      <c r="CR56" s="841" t="s">
        <v>353</v>
      </c>
      <c r="CS56" s="841" t="s">
        <v>353</v>
      </c>
      <c r="CT56" s="841" t="s">
        <v>353</v>
      </c>
      <c r="CU56" s="841" t="s">
        <v>1391</v>
      </c>
      <c r="CV56" s="841" t="s">
        <v>353</v>
      </c>
      <c r="CW56" s="841" t="s">
        <v>353</v>
      </c>
      <c r="CX56" s="841" t="s">
        <v>353</v>
      </c>
      <c r="CY56" s="841" t="s">
        <v>353</v>
      </c>
      <c r="CZ56" s="841">
        <v>9</v>
      </c>
      <c r="DA56" s="841" t="s">
        <v>353</v>
      </c>
      <c r="DB56" s="841" t="s">
        <v>353</v>
      </c>
      <c r="DC56" s="841" t="s">
        <v>353</v>
      </c>
      <c r="DD56" s="841" t="s">
        <v>353</v>
      </c>
      <c r="DE56" s="841" t="s">
        <v>353</v>
      </c>
      <c r="DF56" s="841">
        <v>24</v>
      </c>
      <c r="DG56" s="841" t="s">
        <v>353</v>
      </c>
      <c r="DH56" s="841" t="s">
        <v>353</v>
      </c>
      <c r="DI56" s="841" t="s">
        <v>353</v>
      </c>
      <c r="DJ56" s="841" t="s">
        <v>1944</v>
      </c>
      <c r="DK56" s="841" t="s">
        <v>353</v>
      </c>
      <c r="DL56" s="842">
        <v>44595.580555555556</v>
      </c>
      <c r="DM56" s="841" t="s">
        <v>353</v>
      </c>
      <c r="DN56" s="841" t="s">
        <v>353</v>
      </c>
      <c r="DO56" s="841" t="s">
        <v>353</v>
      </c>
      <c r="DP56" s="841" t="s">
        <v>1412</v>
      </c>
      <c r="DQ56" s="841" t="s">
        <v>1482</v>
      </c>
      <c r="DR56" s="841" t="s">
        <v>353</v>
      </c>
      <c r="DS56" s="841">
        <v>24</v>
      </c>
      <c r="DT56" s="841" t="s">
        <v>353</v>
      </c>
      <c r="DU56" s="841" t="s">
        <v>353</v>
      </c>
      <c r="DV56" s="841" t="s">
        <v>353</v>
      </c>
      <c r="DW56" s="841">
        <v>490000</v>
      </c>
      <c r="DX56" s="841" t="s">
        <v>353</v>
      </c>
      <c r="DY56" s="841" t="s">
        <v>353</v>
      </c>
      <c r="DZ56" s="841" t="s">
        <v>353</v>
      </c>
      <c r="EA56" s="841" t="s">
        <v>353</v>
      </c>
      <c r="EB56" s="841" t="s">
        <v>353</v>
      </c>
      <c r="EC56" s="841" t="s">
        <v>353</v>
      </c>
      <c r="ED56" s="841" t="s">
        <v>353</v>
      </c>
      <c r="EE56" s="841" t="s">
        <v>353</v>
      </c>
      <c r="EF56" s="841" t="s">
        <v>353</v>
      </c>
      <c r="EG56" s="841" t="s">
        <v>353</v>
      </c>
      <c r="EH56" s="841" t="s">
        <v>353</v>
      </c>
      <c r="EI56" s="841">
        <v>0</v>
      </c>
      <c r="EJ56" s="841" t="s">
        <v>353</v>
      </c>
      <c r="EK56" s="841" t="s">
        <v>353</v>
      </c>
      <c r="EL56" s="841" t="s">
        <v>353</v>
      </c>
      <c r="EM56" s="841" t="s">
        <v>353</v>
      </c>
      <c r="EN56" s="841" t="s">
        <v>353</v>
      </c>
      <c r="EO56" s="841" t="s">
        <v>353</v>
      </c>
      <c r="EP56" s="841" t="s">
        <v>353</v>
      </c>
      <c r="EQ56" s="841" t="s">
        <v>353</v>
      </c>
      <c r="ER56" s="841" t="s">
        <v>353</v>
      </c>
      <c r="ES56" s="841" t="s">
        <v>353</v>
      </c>
      <c r="ET56" s="841" t="s">
        <v>1496</v>
      </c>
      <c r="EU56" s="841" t="s">
        <v>353</v>
      </c>
      <c r="EV56" s="841" t="s">
        <v>353</v>
      </c>
      <c r="EW56" s="841" t="s">
        <v>353</v>
      </c>
      <c r="EX56" s="841" t="s">
        <v>353</v>
      </c>
      <c r="EY56" s="842">
        <v>44596.410416666666</v>
      </c>
      <c r="EZ56" s="841" t="s">
        <v>353</v>
      </c>
      <c r="FA56" s="841" t="s">
        <v>353</v>
      </c>
      <c r="FB56" s="841" t="s">
        <v>353</v>
      </c>
      <c r="FC56" s="841" t="s">
        <v>353</v>
      </c>
      <c r="FD56" s="841" t="s">
        <v>353</v>
      </c>
      <c r="FE56" s="842">
        <v>44596.410416666666</v>
      </c>
      <c r="FF56" s="841" t="s">
        <v>353</v>
      </c>
      <c r="FG56" s="841" t="s">
        <v>1945</v>
      </c>
      <c r="FH56" s="841" t="s">
        <v>353</v>
      </c>
      <c r="FI56" s="841" t="s">
        <v>353</v>
      </c>
      <c r="FJ56" s="841" t="s">
        <v>353</v>
      </c>
      <c r="FK56" s="841" t="s">
        <v>353</v>
      </c>
      <c r="FL56" s="841" t="s">
        <v>353</v>
      </c>
      <c r="FM56" s="841" t="s">
        <v>353</v>
      </c>
      <c r="FN56" s="841" t="s">
        <v>353</v>
      </c>
      <c r="FO56" s="841" t="s">
        <v>353</v>
      </c>
      <c r="FP56" s="841" t="s">
        <v>353</v>
      </c>
      <c r="FQ56" s="841" t="s">
        <v>353</v>
      </c>
      <c r="FR56" s="841" t="s">
        <v>353</v>
      </c>
      <c r="FS56" s="841" t="s">
        <v>353</v>
      </c>
      <c r="FT56" s="841" t="s">
        <v>353</v>
      </c>
      <c r="FU56" s="841" t="s">
        <v>1416</v>
      </c>
      <c r="FV56" s="841" t="s">
        <v>353</v>
      </c>
      <c r="FW56" s="841" t="s">
        <v>353</v>
      </c>
      <c r="FX56" s="841" t="s">
        <v>353</v>
      </c>
      <c r="FY56" s="841" t="s">
        <v>353</v>
      </c>
      <c r="FZ56" s="841" t="s">
        <v>353</v>
      </c>
      <c r="GA56" s="841" t="s">
        <v>353</v>
      </c>
      <c r="GB56" s="841">
        <v>1</v>
      </c>
      <c r="GC56" s="841" t="s">
        <v>353</v>
      </c>
      <c r="GD56" s="841" t="s">
        <v>1417</v>
      </c>
      <c r="GE56" s="841" t="s">
        <v>353</v>
      </c>
      <c r="GF56" s="841" t="s">
        <v>353</v>
      </c>
      <c r="GG56" s="841" t="s">
        <v>353</v>
      </c>
      <c r="GH56" s="841">
        <v>98000</v>
      </c>
      <c r="GI56" s="841" t="s">
        <v>353</v>
      </c>
      <c r="GJ56" s="841" t="s">
        <v>353</v>
      </c>
      <c r="GK56" s="841" t="s">
        <v>353</v>
      </c>
      <c r="GL56" s="841" t="s">
        <v>1946</v>
      </c>
      <c r="GM56" s="841" t="s">
        <v>353</v>
      </c>
      <c r="GN56" s="841" t="s">
        <v>353</v>
      </c>
      <c r="GO56" s="841" t="s">
        <v>353</v>
      </c>
      <c r="GP56" s="841" t="s">
        <v>353</v>
      </c>
      <c r="GQ56" s="841" t="s">
        <v>353</v>
      </c>
      <c r="GR56" s="842">
        <v>44595.69027777778</v>
      </c>
      <c r="GS56" s="841" t="s">
        <v>1823</v>
      </c>
      <c r="GT56" s="841" t="s">
        <v>353</v>
      </c>
      <c r="GU56" s="841" t="s">
        <v>353</v>
      </c>
      <c r="GV56" s="841" t="s">
        <v>1419</v>
      </c>
      <c r="GW56" s="841" t="s">
        <v>353</v>
      </c>
      <c r="GX56" s="841" t="s">
        <v>1947</v>
      </c>
      <c r="GY56" s="841">
        <v>24</v>
      </c>
      <c r="GZ56" s="841" t="s">
        <v>1420</v>
      </c>
      <c r="HA56" s="841" t="s">
        <v>353</v>
      </c>
      <c r="HB56" s="841" t="s">
        <v>353</v>
      </c>
      <c r="HC56" s="841" t="s">
        <v>1421</v>
      </c>
      <c r="HD56" s="841" t="s">
        <v>1948</v>
      </c>
      <c r="HE56" s="841" t="s">
        <v>353</v>
      </c>
      <c r="HF56" s="841" t="s">
        <v>353</v>
      </c>
      <c r="HG56" s="841" t="s">
        <v>353</v>
      </c>
      <c r="HH56" s="841" t="s">
        <v>353</v>
      </c>
      <c r="HI56" s="841" t="s">
        <v>1422</v>
      </c>
      <c r="HJ56" s="841" t="s">
        <v>353</v>
      </c>
      <c r="HK56" s="841">
        <v>490000</v>
      </c>
      <c r="HL56" s="841" t="s">
        <v>353</v>
      </c>
      <c r="HM56" s="841" t="s">
        <v>1530</v>
      </c>
      <c r="HN56" s="841" t="s">
        <v>353</v>
      </c>
      <c r="HO56" s="841" t="s">
        <v>353</v>
      </c>
      <c r="HP56" s="841">
        <v>28371</v>
      </c>
      <c r="HQ56" s="841" t="s">
        <v>353</v>
      </c>
      <c r="HR56" s="841" t="s">
        <v>353</v>
      </c>
      <c r="HS56" s="841" t="s">
        <v>353</v>
      </c>
      <c r="HT56" s="841" t="s">
        <v>353</v>
      </c>
      <c r="HU56" s="841" t="s">
        <v>353</v>
      </c>
      <c r="HV56" s="841" t="s">
        <v>353</v>
      </c>
      <c r="HW56" s="841">
        <v>700000</v>
      </c>
      <c r="HX56" s="841" t="s">
        <v>353</v>
      </c>
      <c r="HY56" s="841" t="s">
        <v>353</v>
      </c>
      <c r="HZ56" s="841" t="s">
        <v>353</v>
      </c>
      <c r="IA56" s="841" t="s">
        <v>353</v>
      </c>
      <c r="IB56" s="841" t="s">
        <v>1455</v>
      </c>
      <c r="IC56" s="841" t="s">
        <v>353</v>
      </c>
      <c r="ID56" s="841" t="s">
        <v>353</v>
      </c>
      <c r="IE56" s="841" t="s">
        <v>353</v>
      </c>
      <c r="IF56" s="841" t="s">
        <v>353</v>
      </c>
      <c r="IG56" s="841" t="s">
        <v>353</v>
      </c>
      <c r="IH56" s="841" t="s">
        <v>353</v>
      </c>
      <c r="II56" s="841" t="s">
        <v>353</v>
      </c>
      <c r="IJ56" s="841">
        <v>867</v>
      </c>
      <c r="IK56" s="841" t="s">
        <v>353</v>
      </c>
      <c r="IL56" s="841" t="s">
        <v>353</v>
      </c>
      <c r="IM56" s="841" t="s">
        <v>353</v>
      </c>
      <c r="IN56" s="841" t="s">
        <v>353</v>
      </c>
      <c r="IO56" s="841" t="s">
        <v>353</v>
      </c>
      <c r="IP56" s="841" t="s">
        <v>353</v>
      </c>
      <c r="IQ56" s="841" t="s">
        <v>353</v>
      </c>
      <c r="IR56" s="841">
        <v>0</v>
      </c>
      <c r="IS56" s="841" t="s">
        <v>353</v>
      </c>
      <c r="IT56" s="841" t="s">
        <v>353</v>
      </c>
      <c r="IU56" s="841" t="s">
        <v>353</v>
      </c>
      <c r="IV56" s="841" t="s">
        <v>353</v>
      </c>
      <c r="IW56" s="841" t="s">
        <v>353</v>
      </c>
      <c r="IX56" s="841" t="s">
        <v>353</v>
      </c>
      <c r="IY56" s="841" t="s">
        <v>1578</v>
      </c>
      <c r="IZ56" s="841" t="s">
        <v>353</v>
      </c>
      <c r="JA56" s="841">
        <v>490000</v>
      </c>
      <c r="JB56" s="841" t="s">
        <v>353</v>
      </c>
      <c r="JC56" s="841" t="s">
        <v>353</v>
      </c>
      <c r="JD56" s="841" t="s">
        <v>1413</v>
      </c>
      <c r="JE56" s="841" t="s">
        <v>353</v>
      </c>
      <c r="JF56" s="841" t="s">
        <v>1949</v>
      </c>
      <c r="JG56" s="841" t="s">
        <v>1950</v>
      </c>
      <c r="JH56" s="841" t="s">
        <v>1951</v>
      </c>
      <c r="JI56" s="841" t="s">
        <v>1952</v>
      </c>
    </row>
    <row r="57" spans="1:269" x14ac:dyDescent="0.25">
      <c r="A57" s="841" t="s">
        <v>1953</v>
      </c>
      <c r="B57" s="841" t="s">
        <v>353</v>
      </c>
      <c r="C57" s="841" t="s">
        <v>353</v>
      </c>
      <c r="D57" s="841" t="s">
        <v>353</v>
      </c>
      <c r="E57" s="841" t="s">
        <v>353</v>
      </c>
      <c r="F57" s="841" t="s">
        <v>1405</v>
      </c>
      <c r="G57" s="841" t="s">
        <v>1954</v>
      </c>
      <c r="H57" s="841" t="s">
        <v>353</v>
      </c>
      <c r="I57" s="841" t="s">
        <v>353</v>
      </c>
      <c r="J57" s="841" t="s">
        <v>353</v>
      </c>
      <c r="K57" s="841" t="s">
        <v>353</v>
      </c>
      <c r="L57" s="842">
        <v>44603.404861111114</v>
      </c>
      <c r="M57" s="841" t="s">
        <v>353</v>
      </c>
      <c r="N57" s="841" t="s">
        <v>353</v>
      </c>
      <c r="O57" s="841" t="s">
        <v>353</v>
      </c>
      <c r="P57" s="841" t="s">
        <v>33</v>
      </c>
      <c r="Q57" s="841" t="s">
        <v>353</v>
      </c>
      <c r="R57" s="841" t="s">
        <v>353</v>
      </c>
      <c r="S57" s="841" t="s">
        <v>61</v>
      </c>
      <c r="T57" s="841" t="s">
        <v>1390</v>
      </c>
      <c r="U57" s="841" t="s">
        <v>353</v>
      </c>
      <c r="V57" s="841" t="s">
        <v>353</v>
      </c>
      <c r="W57" s="841" t="s">
        <v>1486</v>
      </c>
      <c r="X57" s="841" t="s">
        <v>1930</v>
      </c>
      <c r="Y57" s="841" t="s">
        <v>353</v>
      </c>
      <c r="Z57" s="841" t="s">
        <v>353</v>
      </c>
      <c r="AA57" s="841" t="s">
        <v>33</v>
      </c>
      <c r="AB57" s="841" t="s">
        <v>353</v>
      </c>
      <c r="AC57" s="841">
        <v>206000</v>
      </c>
      <c r="AD57" s="841" t="s">
        <v>353</v>
      </c>
      <c r="AE57" s="841" t="s">
        <v>33</v>
      </c>
      <c r="AF57" s="841">
        <v>1301.23</v>
      </c>
      <c r="AG57" s="841" t="s">
        <v>353</v>
      </c>
      <c r="AH57" s="841">
        <v>1850</v>
      </c>
      <c r="AI57" s="841" t="s">
        <v>1521</v>
      </c>
      <c r="AJ57" s="841" t="s">
        <v>353</v>
      </c>
      <c r="AK57" s="841">
        <v>75</v>
      </c>
      <c r="AL57" s="841" t="s">
        <v>353</v>
      </c>
      <c r="AM57" s="841" t="s">
        <v>353</v>
      </c>
      <c r="AN57" s="841" t="s">
        <v>353</v>
      </c>
      <c r="AO57" s="841" t="s">
        <v>353</v>
      </c>
      <c r="AP57" s="841" t="s">
        <v>353</v>
      </c>
      <c r="AQ57" s="841" t="s">
        <v>353</v>
      </c>
      <c r="AR57" s="841" t="s">
        <v>33</v>
      </c>
      <c r="AS57" s="841" t="s">
        <v>353</v>
      </c>
      <c r="AT57" s="841" t="s">
        <v>353</v>
      </c>
      <c r="AU57" s="841" t="s">
        <v>1405</v>
      </c>
      <c r="AV57" s="841" t="s">
        <v>353</v>
      </c>
      <c r="AW57" s="843">
        <v>44602</v>
      </c>
      <c r="AX57" s="841" t="s">
        <v>353</v>
      </c>
      <c r="AY57" s="841" t="s">
        <v>353</v>
      </c>
      <c r="AZ57" s="841" t="s">
        <v>353</v>
      </c>
      <c r="BA57" s="841" t="s">
        <v>353</v>
      </c>
      <c r="BB57" s="841" t="s">
        <v>353</v>
      </c>
      <c r="BC57" s="841">
        <v>393460</v>
      </c>
      <c r="BD57" s="841" t="s">
        <v>353</v>
      </c>
      <c r="BE57" s="841" t="s">
        <v>353</v>
      </c>
      <c r="BF57" s="841" t="s">
        <v>353</v>
      </c>
      <c r="BG57" s="841" t="s">
        <v>353</v>
      </c>
      <c r="BH57" s="841" t="s">
        <v>353</v>
      </c>
      <c r="BI57" s="841" t="s">
        <v>353</v>
      </c>
      <c r="BJ57" s="841" t="s">
        <v>353</v>
      </c>
      <c r="BK57" s="841">
        <v>239000</v>
      </c>
      <c r="BL57" s="841" t="s">
        <v>1536</v>
      </c>
      <c r="BM57" s="842">
        <v>44620.558333333334</v>
      </c>
      <c r="BN57" s="841" t="s">
        <v>353</v>
      </c>
      <c r="BO57" s="841" t="s">
        <v>353</v>
      </c>
      <c r="BP57" s="841" t="s">
        <v>353</v>
      </c>
      <c r="BQ57" s="841" t="s">
        <v>353</v>
      </c>
      <c r="BR57" s="841" t="s">
        <v>353</v>
      </c>
      <c r="BS57" s="841" t="s">
        <v>353</v>
      </c>
      <c r="BT57" s="841">
        <v>412000</v>
      </c>
      <c r="BU57" s="841" t="s">
        <v>353</v>
      </c>
      <c r="BV57" s="841" t="s">
        <v>1955</v>
      </c>
      <c r="BW57" s="841" t="s">
        <v>1578</v>
      </c>
      <c r="BX57" s="841" t="s">
        <v>1956</v>
      </c>
      <c r="BY57" s="841" t="s">
        <v>353</v>
      </c>
      <c r="BZ57" s="841" t="s">
        <v>353</v>
      </c>
      <c r="CA57" s="841" t="s">
        <v>353</v>
      </c>
      <c r="CB57" s="841" t="s">
        <v>353</v>
      </c>
      <c r="CC57" s="841" t="s">
        <v>353</v>
      </c>
      <c r="CD57" s="841" t="s">
        <v>353</v>
      </c>
      <c r="CE57" s="841" t="s">
        <v>353</v>
      </c>
      <c r="CF57" s="841" t="s">
        <v>353</v>
      </c>
      <c r="CG57" s="841" t="s">
        <v>353</v>
      </c>
      <c r="CH57" s="841" t="s">
        <v>353</v>
      </c>
      <c r="CI57" s="841" t="s">
        <v>33</v>
      </c>
      <c r="CJ57" s="841" t="s">
        <v>353</v>
      </c>
      <c r="CK57" s="841">
        <v>2</v>
      </c>
      <c r="CL57" s="841" t="s">
        <v>353</v>
      </c>
      <c r="CM57" s="841">
        <v>4</v>
      </c>
      <c r="CN57" s="841" t="s">
        <v>353</v>
      </c>
      <c r="CO57" s="841" t="s">
        <v>353</v>
      </c>
      <c r="CP57" s="841" t="s">
        <v>1957</v>
      </c>
      <c r="CQ57" s="841" t="s">
        <v>353</v>
      </c>
      <c r="CR57" s="841" t="s">
        <v>353</v>
      </c>
      <c r="CS57" s="841" t="s">
        <v>353</v>
      </c>
      <c r="CT57" s="841" t="s">
        <v>353</v>
      </c>
      <c r="CU57" s="841" t="s">
        <v>1391</v>
      </c>
      <c r="CV57" s="841" t="s">
        <v>353</v>
      </c>
      <c r="CW57" s="841" t="s">
        <v>353</v>
      </c>
      <c r="CX57" s="841" t="s">
        <v>353</v>
      </c>
      <c r="CY57" s="841" t="s">
        <v>353</v>
      </c>
      <c r="CZ57" s="841">
        <v>3</v>
      </c>
      <c r="DA57" s="841" t="s">
        <v>353</v>
      </c>
      <c r="DB57" s="841" t="s">
        <v>353</v>
      </c>
      <c r="DC57" s="841" t="s">
        <v>353</v>
      </c>
      <c r="DD57" s="841" t="s">
        <v>353</v>
      </c>
      <c r="DE57" s="841" t="s">
        <v>353</v>
      </c>
      <c r="DF57" s="841">
        <v>0</v>
      </c>
      <c r="DG57" s="841" t="s">
        <v>353</v>
      </c>
      <c r="DH57" s="841" t="s">
        <v>353</v>
      </c>
      <c r="DI57" s="841" t="s">
        <v>353</v>
      </c>
      <c r="DJ57" s="841" t="s">
        <v>1958</v>
      </c>
      <c r="DK57" s="841" t="s">
        <v>353</v>
      </c>
      <c r="DL57" s="842">
        <v>44595.558333333334</v>
      </c>
      <c r="DM57" s="841" t="s">
        <v>353</v>
      </c>
      <c r="DN57" s="841" t="s">
        <v>33</v>
      </c>
      <c r="DO57" s="841" t="s">
        <v>353</v>
      </c>
      <c r="DP57" s="841" t="s">
        <v>1481</v>
      </c>
      <c r="DQ57" s="841" t="s">
        <v>1392</v>
      </c>
      <c r="DR57" s="841" t="s">
        <v>353</v>
      </c>
      <c r="DS57" s="841">
        <v>36</v>
      </c>
      <c r="DT57" s="841" t="s">
        <v>353</v>
      </c>
      <c r="DU57" s="841" t="s">
        <v>353</v>
      </c>
      <c r="DV57" s="841">
        <v>405820</v>
      </c>
      <c r="DW57" s="841">
        <v>412000</v>
      </c>
      <c r="DX57" s="841" t="s">
        <v>33</v>
      </c>
      <c r="DY57" s="841" t="s">
        <v>353</v>
      </c>
      <c r="DZ57" s="841" t="s">
        <v>353</v>
      </c>
      <c r="EA57" s="841" t="s">
        <v>353</v>
      </c>
      <c r="EB57" s="841" t="s">
        <v>353</v>
      </c>
      <c r="EC57" s="841" t="s">
        <v>353</v>
      </c>
      <c r="ED57" s="841" t="s">
        <v>353</v>
      </c>
      <c r="EE57" s="841" t="s">
        <v>353</v>
      </c>
      <c r="EF57" s="841" t="s">
        <v>353</v>
      </c>
      <c r="EG57" s="841" t="s">
        <v>353</v>
      </c>
      <c r="EH57" s="841" t="s">
        <v>353</v>
      </c>
      <c r="EI57" s="841">
        <v>0</v>
      </c>
      <c r="EJ57" s="841" t="s">
        <v>353</v>
      </c>
      <c r="EK57" s="841" t="s">
        <v>353</v>
      </c>
      <c r="EL57" s="841" t="s">
        <v>1930</v>
      </c>
      <c r="EM57" s="841">
        <v>6180</v>
      </c>
      <c r="EN57" s="841" t="s">
        <v>353</v>
      </c>
      <c r="EO57" s="841" t="s">
        <v>353</v>
      </c>
      <c r="EP57" s="841" t="s">
        <v>353</v>
      </c>
      <c r="EQ57" s="841" t="s">
        <v>353</v>
      </c>
      <c r="ER57" s="841" t="s">
        <v>353</v>
      </c>
      <c r="ES57" s="841" t="s">
        <v>33</v>
      </c>
      <c r="ET57" s="841" t="s">
        <v>1496</v>
      </c>
      <c r="EU57" s="841" t="s">
        <v>353</v>
      </c>
      <c r="EV57" s="841" t="s">
        <v>353</v>
      </c>
      <c r="EW57" s="841" t="s">
        <v>353</v>
      </c>
      <c r="EX57" s="841" t="s">
        <v>33</v>
      </c>
      <c r="EY57" s="842">
        <v>44602.73541666667</v>
      </c>
      <c r="EZ57" s="841" t="s">
        <v>353</v>
      </c>
      <c r="FA57" s="841" t="s">
        <v>353</v>
      </c>
      <c r="FB57" s="841" t="s">
        <v>353</v>
      </c>
      <c r="FC57" s="841" t="s">
        <v>353</v>
      </c>
      <c r="FD57" s="841" t="s">
        <v>353</v>
      </c>
      <c r="FE57" s="842">
        <v>44596.529861111114</v>
      </c>
      <c r="FF57" s="841" t="s">
        <v>353</v>
      </c>
      <c r="FG57" s="841" t="s">
        <v>1959</v>
      </c>
      <c r="FH57" s="841" t="s">
        <v>353</v>
      </c>
      <c r="FI57" s="841" t="s">
        <v>353</v>
      </c>
      <c r="FJ57" s="841" t="s">
        <v>353</v>
      </c>
      <c r="FK57" s="841" t="s">
        <v>353</v>
      </c>
      <c r="FL57" s="841" t="s">
        <v>353</v>
      </c>
      <c r="FM57" s="841" t="s">
        <v>353</v>
      </c>
      <c r="FN57" s="841" t="s">
        <v>353</v>
      </c>
      <c r="FO57" s="841" t="s">
        <v>1528</v>
      </c>
      <c r="FP57" s="841" t="s">
        <v>353</v>
      </c>
      <c r="FQ57" s="841" t="s">
        <v>353</v>
      </c>
      <c r="FR57" s="841" t="s">
        <v>353</v>
      </c>
      <c r="FS57" s="841" t="s">
        <v>353</v>
      </c>
      <c r="FT57" s="841" t="s">
        <v>353</v>
      </c>
      <c r="FU57" s="841" t="s">
        <v>1467</v>
      </c>
      <c r="FV57" s="841" t="s">
        <v>353</v>
      </c>
      <c r="FW57" s="841" t="s">
        <v>353</v>
      </c>
      <c r="FX57" s="841" t="s">
        <v>353</v>
      </c>
      <c r="FY57" s="841" t="s">
        <v>353</v>
      </c>
      <c r="FZ57" s="841" t="s">
        <v>353</v>
      </c>
      <c r="GA57" s="841" t="s">
        <v>353</v>
      </c>
      <c r="GB57" s="841">
        <v>1</v>
      </c>
      <c r="GC57" s="841" t="s">
        <v>353</v>
      </c>
      <c r="GD57" s="841" t="s">
        <v>1417</v>
      </c>
      <c r="GE57" s="841" t="s">
        <v>353</v>
      </c>
      <c r="GF57" s="841" t="s">
        <v>353</v>
      </c>
      <c r="GG57" s="841" t="s">
        <v>353</v>
      </c>
      <c r="GH57" s="841">
        <v>206000</v>
      </c>
      <c r="GI57" s="841" t="s">
        <v>353</v>
      </c>
      <c r="GJ57" s="841" t="s">
        <v>353</v>
      </c>
      <c r="GK57" s="841" t="s">
        <v>353</v>
      </c>
      <c r="GL57" s="841" t="s">
        <v>1541</v>
      </c>
      <c r="GM57" s="841" t="s">
        <v>353</v>
      </c>
      <c r="GN57" s="841" t="s">
        <v>353</v>
      </c>
      <c r="GO57" s="841" t="s">
        <v>353</v>
      </c>
      <c r="GP57" s="841" t="s">
        <v>353</v>
      </c>
      <c r="GQ57" s="841" t="s">
        <v>353</v>
      </c>
      <c r="GR57" s="842">
        <v>44596.448611111111</v>
      </c>
      <c r="GS57" s="841" t="s">
        <v>1955</v>
      </c>
      <c r="GT57" s="841" t="s">
        <v>353</v>
      </c>
      <c r="GU57" s="841" t="s">
        <v>353</v>
      </c>
      <c r="GV57" s="841" t="s">
        <v>1419</v>
      </c>
      <c r="GW57" s="841" t="s">
        <v>353</v>
      </c>
      <c r="GX57" s="841" t="s">
        <v>1960</v>
      </c>
      <c r="GY57" s="841">
        <v>36</v>
      </c>
      <c r="GZ57" s="841" t="s">
        <v>1486</v>
      </c>
      <c r="HA57" s="841" t="s">
        <v>353</v>
      </c>
      <c r="HB57" s="841" t="s">
        <v>353</v>
      </c>
      <c r="HC57" s="841" t="s">
        <v>1421</v>
      </c>
      <c r="HD57" s="841" t="s">
        <v>1961</v>
      </c>
      <c r="HE57" s="841">
        <v>4120</v>
      </c>
      <c r="HF57" s="841" t="s">
        <v>353</v>
      </c>
      <c r="HG57" s="841" t="s">
        <v>353</v>
      </c>
      <c r="HH57" s="841" t="s">
        <v>353</v>
      </c>
      <c r="HI57" s="841" t="s">
        <v>1422</v>
      </c>
      <c r="HJ57" s="841" t="s">
        <v>353</v>
      </c>
      <c r="HK57" s="841">
        <v>412000</v>
      </c>
      <c r="HL57" s="841" t="s">
        <v>353</v>
      </c>
      <c r="HM57" s="841" t="s">
        <v>1530</v>
      </c>
      <c r="HN57" s="841" t="s">
        <v>353</v>
      </c>
      <c r="HO57" s="841" t="s">
        <v>353</v>
      </c>
      <c r="HP57" s="841">
        <v>19734.8</v>
      </c>
      <c r="HQ57" s="841" t="s">
        <v>353</v>
      </c>
      <c r="HR57" s="841" t="s">
        <v>353</v>
      </c>
      <c r="HS57" s="841">
        <v>412000</v>
      </c>
      <c r="HT57" s="841" t="s">
        <v>353</v>
      </c>
      <c r="HU57" s="841" t="s">
        <v>353</v>
      </c>
      <c r="HV57" s="841" t="s">
        <v>353</v>
      </c>
      <c r="HW57" s="841">
        <v>550000</v>
      </c>
      <c r="HX57" s="841" t="s">
        <v>353</v>
      </c>
      <c r="HY57" s="841" t="s">
        <v>353</v>
      </c>
      <c r="HZ57" s="841" t="s">
        <v>353</v>
      </c>
      <c r="IA57" s="841" t="s">
        <v>353</v>
      </c>
      <c r="IB57" s="841" t="s">
        <v>1424</v>
      </c>
      <c r="IC57" s="841" t="s">
        <v>353</v>
      </c>
      <c r="ID57" s="841" t="s">
        <v>353</v>
      </c>
      <c r="IE57" s="841" t="s">
        <v>353</v>
      </c>
      <c r="IF57" s="841" t="s">
        <v>353</v>
      </c>
      <c r="IG57" s="841" t="s">
        <v>353</v>
      </c>
      <c r="IH57" s="841" t="s">
        <v>353</v>
      </c>
      <c r="II57" s="841" t="s">
        <v>353</v>
      </c>
      <c r="IJ57" s="841" t="s">
        <v>353</v>
      </c>
      <c r="IK57" s="841" t="s">
        <v>353</v>
      </c>
      <c r="IL57" s="841">
        <v>399640</v>
      </c>
      <c r="IM57" s="841" t="s">
        <v>353</v>
      </c>
      <c r="IN57" s="841" t="s">
        <v>353</v>
      </c>
      <c r="IO57" s="841">
        <v>199</v>
      </c>
      <c r="IP57" s="841" t="s">
        <v>353</v>
      </c>
      <c r="IQ57" s="841" t="s">
        <v>353</v>
      </c>
      <c r="IR57" s="841">
        <v>0</v>
      </c>
      <c r="IS57" s="841" t="s">
        <v>33</v>
      </c>
      <c r="IT57" s="841" t="s">
        <v>353</v>
      </c>
      <c r="IU57" s="841" t="s">
        <v>353</v>
      </c>
      <c r="IV57" s="841" t="s">
        <v>353</v>
      </c>
      <c r="IW57" s="841" t="s">
        <v>353</v>
      </c>
      <c r="IX57" s="841" t="s">
        <v>353</v>
      </c>
      <c r="IY57" s="841" t="s">
        <v>353</v>
      </c>
      <c r="IZ57" s="841" t="s">
        <v>353</v>
      </c>
      <c r="JA57" s="841">
        <v>412000</v>
      </c>
      <c r="JB57" s="841" t="s">
        <v>353</v>
      </c>
      <c r="JC57" s="841" t="s">
        <v>353</v>
      </c>
      <c r="JD57" s="841" t="s">
        <v>1488</v>
      </c>
      <c r="JE57" s="841" t="s">
        <v>33</v>
      </c>
      <c r="JF57" s="841" t="s">
        <v>1398</v>
      </c>
      <c r="JG57" s="841" t="s">
        <v>1399</v>
      </c>
      <c r="JH57" s="841" t="s">
        <v>1549</v>
      </c>
      <c r="JI57" s="841" t="s">
        <v>1550</v>
      </c>
    </row>
    <row r="58" spans="1:269" x14ac:dyDescent="0.25">
      <c r="A58" s="841" t="s">
        <v>1962</v>
      </c>
      <c r="B58" s="841" t="s">
        <v>353</v>
      </c>
      <c r="C58" s="841" t="s">
        <v>353</v>
      </c>
      <c r="D58" s="841" t="s">
        <v>353</v>
      </c>
      <c r="E58" s="841" t="s">
        <v>353</v>
      </c>
      <c r="F58" s="841" t="s">
        <v>353</v>
      </c>
      <c r="G58" s="841" t="s">
        <v>1428</v>
      </c>
      <c r="H58" s="841" t="s">
        <v>353</v>
      </c>
      <c r="I58" s="841" t="s">
        <v>353</v>
      </c>
      <c r="J58" s="841" t="s">
        <v>353</v>
      </c>
      <c r="K58" s="841" t="s">
        <v>353</v>
      </c>
      <c r="L58" s="842">
        <v>44594.706250000003</v>
      </c>
      <c r="M58" s="841" t="s">
        <v>353</v>
      </c>
      <c r="N58" s="841" t="s">
        <v>353</v>
      </c>
      <c r="O58" s="841" t="s">
        <v>353</v>
      </c>
      <c r="P58" s="841" t="s">
        <v>353</v>
      </c>
      <c r="Q58" s="841" t="s">
        <v>353</v>
      </c>
      <c r="R58" s="841" t="s">
        <v>353</v>
      </c>
      <c r="S58" s="841" t="s">
        <v>67</v>
      </c>
      <c r="T58" s="841" t="s">
        <v>1390</v>
      </c>
      <c r="U58" s="841" t="s">
        <v>353</v>
      </c>
      <c r="V58" s="841" t="s">
        <v>353</v>
      </c>
      <c r="W58" s="841" t="s">
        <v>353</v>
      </c>
      <c r="X58" s="841" t="s">
        <v>353</v>
      </c>
      <c r="Y58" s="841" t="s">
        <v>353</v>
      </c>
      <c r="Z58" s="841" t="s">
        <v>353</v>
      </c>
      <c r="AA58" s="841" t="s">
        <v>353</v>
      </c>
      <c r="AB58" s="841" t="s">
        <v>353</v>
      </c>
      <c r="AC58" s="841" t="s">
        <v>353</v>
      </c>
      <c r="AD58" s="841" t="s">
        <v>353</v>
      </c>
      <c r="AE58" s="841" t="s">
        <v>353</v>
      </c>
      <c r="AF58" s="841" t="s">
        <v>353</v>
      </c>
      <c r="AG58" s="841" t="s">
        <v>353</v>
      </c>
      <c r="AH58" s="841" t="s">
        <v>353</v>
      </c>
      <c r="AI58" s="841" t="s">
        <v>1592</v>
      </c>
      <c r="AJ58" s="841" t="s">
        <v>353</v>
      </c>
      <c r="AK58" s="841" t="s">
        <v>353</v>
      </c>
      <c r="AL58" s="841" t="s">
        <v>353</v>
      </c>
      <c r="AM58" s="841" t="s">
        <v>353</v>
      </c>
      <c r="AN58" s="841" t="s">
        <v>353</v>
      </c>
      <c r="AO58" s="841" t="s">
        <v>353</v>
      </c>
      <c r="AP58" s="841" t="s">
        <v>353</v>
      </c>
      <c r="AQ58" s="841" t="s">
        <v>353</v>
      </c>
      <c r="AR58" s="841" t="s">
        <v>353</v>
      </c>
      <c r="AS58" s="841" t="s">
        <v>353</v>
      </c>
      <c r="AT58" s="841" t="s">
        <v>353</v>
      </c>
      <c r="AU58" s="841" t="s">
        <v>353</v>
      </c>
      <c r="AV58" s="841" t="s">
        <v>353</v>
      </c>
      <c r="AW58" s="841" t="s">
        <v>353</v>
      </c>
      <c r="AX58" s="841" t="s">
        <v>353</v>
      </c>
      <c r="AY58" s="841" t="s">
        <v>353</v>
      </c>
      <c r="AZ58" s="841" t="s">
        <v>353</v>
      </c>
      <c r="BA58" s="841" t="s">
        <v>353</v>
      </c>
      <c r="BB58" s="841" t="s">
        <v>353</v>
      </c>
      <c r="BC58" s="841" t="s">
        <v>353</v>
      </c>
      <c r="BD58" s="841" t="s">
        <v>353</v>
      </c>
      <c r="BE58" s="841" t="s">
        <v>353</v>
      </c>
      <c r="BF58" s="841" t="s">
        <v>353</v>
      </c>
      <c r="BG58" s="841" t="s">
        <v>353</v>
      </c>
      <c r="BH58" s="841" t="s">
        <v>353</v>
      </c>
      <c r="BI58" s="841" t="s">
        <v>353</v>
      </c>
      <c r="BJ58" s="841" t="s">
        <v>353</v>
      </c>
      <c r="BK58" s="841" t="s">
        <v>353</v>
      </c>
      <c r="BL58" s="841" t="s">
        <v>1863</v>
      </c>
      <c r="BM58" s="842">
        <v>44620.695833333331</v>
      </c>
      <c r="BN58" s="841" t="s">
        <v>353</v>
      </c>
      <c r="BO58" s="841" t="s">
        <v>353</v>
      </c>
      <c r="BP58" s="841" t="s">
        <v>353</v>
      </c>
      <c r="BQ58" s="841" t="s">
        <v>353</v>
      </c>
      <c r="BR58" s="841" t="s">
        <v>353</v>
      </c>
      <c r="BS58" s="841" t="s">
        <v>353</v>
      </c>
      <c r="BT58" s="841">
        <v>218000</v>
      </c>
      <c r="BU58" s="841" t="s">
        <v>353</v>
      </c>
      <c r="BV58" s="841" t="s">
        <v>1963</v>
      </c>
      <c r="BW58" s="841" t="s">
        <v>353</v>
      </c>
      <c r="BX58" s="841" t="s">
        <v>353</v>
      </c>
      <c r="BY58" s="841" t="s">
        <v>353</v>
      </c>
      <c r="BZ58" s="841" t="s">
        <v>353</v>
      </c>
      <c r="CA58" s="841" t="s">
        <v>353</v>
      </c>
      <c r="CB58" s="841" t="s">
        <v>353</v>
      </c>
      <c r="CC58" s="841" t="s">
        <v>353</v>
      </c>
      <c r="CD58" s="841" t="s">
        <v>353</v>
      </c>
      <c r="CE58" s="841" t="s">
        <v>353</v>
      </c>
      <c r="CF58" s="841" t="s">
        <v>353</v>
      </c>
      <c r="CG58" s="841" t="s">
        <v>353</v>
      </c>
      <c r="CH58" s="841" t="s">
        <v>353</v>
      </c>
      <c r="CI58" s="841" t="s">
        <v>353</v>
      </c>
      <c r="CJ58" s="841" t="s">
        <v>353</v>
      </c>
      <c r="CK58" s="841">
        <v>1</v>
      </c>
      <c r="CL58" s="841" t="s">
        <v>353</v>
      </c>
      <c r="CM58" s="841">
        <v>3</v>
      </c>
      <c r="CN58" s="841" t="s">
        <v>353</v>
      </c>
      <c r="CO58" s="841" t="s">
        <v>353</v>
      </c>
      <c r="CP58" s="841" t="s">
        <v>1964</v>
      </c>
      <c r="CQ58" s="841" t="s">
        <v>353</v>
      </c>
      <c r="CR58" s="841" t="s">
        <v>353</v>
      </c>
      <c r="CS58" s="841" t="s">
        <v>353</v>
      </c>
      <c r="CT58" s="841" t="s">
        <v>353</v>
      </c>
      <c r="CU58" s="841" t="s">
        <v>1391</v>
      </c>
      <c r="CV58" s="841" t="s">
        <v>353</v>
      </c>
      <c r="CW58" s="841" t="s">
        <v>353</v>
      </c>
      <c r="CX58" s="841" t="s">
        <v>353</v>
      </c>
      <c r="CY58" s="841" t="s">
        <v>353</v>
      </c>
      <c r="CZ58" s="841" t="s">
        <v>353</v>
      </c>
      <c r="DA58" s="841" t="s">
        <v>353</v>
      </c>
      <c r="DB58" s="841" t="s">
        <v>353</v>
      </c>
      <c r="DC58" s="841" t="s">
        <v>353</v>
      </c>
      <c r="DD58" s="841" t="s">
        <v>353</v>
      </c>
      <c r="DE58" s="841" t="s">
        <v>353</v>
      </c>
      <c r="DF58" s="841" t="s">
        <v>353</v>
      </c>
      <c r="DG58" s="841" t="s">
        <v>353</v>
      </c>
      <c r="DH58" s="841" t="s">
        <v>353</v>
      </c>
      <c r="DI58" s="841" t="s">
        <v>353</v>
      </c>
      <c r="DJ58" s="841" t="s">
        <v>1965</v>
      </c>
      <c r="DK58" s="841" t="s">
        <v>353</v>
      </c>
      <c r="DL58" s="842">
        <v>44594.695833333331</v>
      </c>
      <c r="DM58" s="841" t="s">
        <v>353</v>
      </c>
      <c r="DN58" s="841" t="s">
        <v>353</v>
      </c>
      <c r="DO58" s="841" t="s">
        <v>353</v>
      </c>
      <c r="DP58" s="841" t="s">
        <v>353</v>
      </c>
      <c r="DQ58" s="841" t="s">
        <v>1451</v>
      </c>
      <c r="DR58" s="841" t="s">
        <v>353</v>
      </c>
      <c r="DS58" s="841" t="s">
        <v>353</v>
      </c>
      <c r="DT58" s="841" t="s">
        <v>353</v>
      </c>
      <c r="DU58" s="841" t="s">
        <v>353</v>
      </c>
      <c r="DV58" s="841" t="s">
        <v>353</v>
      </c>
      <c r="DW58" s="841" t="s">
        <v>353</v>
      </c>
      <c r="DX58" s="841" t="s">
        <v>353</v>
      </c>
      <c r="DY58" s="841" t="s">
        <v>353</v>
      </c>
      <c r="DZ58" s="841" t="s">
        <v>353</v>
      </c>
      <c r="EA58" s="841" t="s">
        <v>353</v>
      </c>
      <c r="EB58" s="841" t="s">
        <v>353</v>
      </c>
      <c r="EC58" s="841" t="s">
        <v>353</v>
      </c>
      <c r="ED58" s="841" t="s">
        <v>353</v>
      </c>
      <c r="EE58" s="841" t="s">
        <v>353</v>
      </c>
      <c r="EF58" s="841" t="s">
        <v>353</v>
      </c>
      <c r="EG58" s="841" t="s">
        <v>353</v>
      </c>
      <c r="EH58" s="841" t="s">
        <v>353</v>
      </c>
      <c r="EI58" s="841" t="s">
        <v>353</v>
      </c>
      <c r="EJ58" s="841" t="s">
        <v>353</v>
      </c>
      <c r="EK58" s="841" t="s">
        <v>353</v>
      </c>
      <c r="EL58" s="841" t="s">
        <v>353</v>
      </c>
      <c r="EM58" s="841" t="s">
        <v>353</v>
      </c>
      <c r="EN58" s="841" t="s">
        <v>353</v>
      </c>
      <c r="EO58" s="841" t="s">
        <v>353</v>
      </c>
      <c r="EP58" s="841" t="s">
        <v>353</v>
      </c>
      <c r="EQ58" s="841" t="s">
        <v>353</v>
      </c>
      <c r="ER58" s="841" t="s">
        <v>353</v>
      </c>
      <c r="ES58" s="841" t="s">
        <v>353</v>
      </c>
      <c r="ET58" s="841" t="s">
        <v>1496</v>
      </c>
      <c r="EU58" s="841" t="s">
        <v>353</v>
      </c>
      <c r="EV58" s="841" t="s">
        <v>353</v>
      </c>
      <c r="EW58" s="841" t="s">
        <v>353</v>
      </c>
      <c r="EX58" s="841" t="s">
        <v>353</v>
      </c>
      <c r="EY58" s="842">
        <v>44594.706250000003</v>
      </c>
      <c r="EZ58" s="841" t="s">
        <v>353</v>
      </c>
      <c r="FA58" s="841" t="s">
        <v>353</v>
      </c>
      <c r="FB58" s="841" t="s">
        <v>353</v>
      </c>
      <c r="FC58" s="841" t="s">
        <v>353</v>
      </c>
      <c r="FD58" s="841" t="s">
        <v>353</v>
      </c>
      <c r="FE58" s="842">
        <v>44594.7</v>
      </c>
      <c r="FF58" s="841" t="s">
        <v>353</v>
      </c>
      <c r="FG58" s="841" t="s">
        <v>353</v>
      </c>
      <c r="FH58" s="841" t="s">
        <v>353</v>
      </c>
      <c r="FI58" s="841" t="s">
        <v>353</v>
      </c>
      <c r="FJ58" s="841" t="s">
        <v>353</v>
      </c>
      <c r="FK58" s="841" t="s">
        <v>353</v>
      </c>
      <c r="FL58" s="841" t="s">
        <v>353</v>
      </c>
      <c r="FM58" s="841" t="s">
        <v>353</v>
      </c>
      <c r="FN58" s="841" t="s">
        <v>353</v>
      </c>
      <c r="FO58" s="841" t="s">
        <v>353</v>
      </c>
      <c r="FP58" s="841" t="s">
        <v>353</v>
      </c>
      <c r="FQ58" s="841" t="s">
        <v>353</v>
      </c>
      <c r="FR58" s="841" t="s">
        <v>353</v>
      </c>
      <c r="FS58" s="841" t="s">
        <v>353</v>
      </c>
      <c r="FT58" s="841" t="s">
        <v>353</v>
      </c>
      <c r="FU58" s="841" t="s">
        <v>1416</v>
      </c>
      <c r="FV58" s="841" t="s">
        <v>353</v>
      </c>
      <c r="FW58" s="841" t="s">
        <v>353</v>
      </c>
      <c r="FX58" s="841" t="s">
        <v>353</v>
      </c>
      <c r="FY58" s="841" t="s">
        <v>353</v>
      </c>
      <c r="FZ58" s="841" t="s">
        <v>353</v>
      </c>
      <c r="GA58" s="841" t="s">
        <v>353</v>
      </c>
      <c r="GB58" s="841">
        <v>1</v>
      </c>
      <c r="GC58" s="841" t="s">
        <v>353</v>
      </c>
      <c r="GD58" s="841" t="s">
        <v>1417</v>
      </c>
      <c r="GE58" s="841" t="s">
        <v>353</v>
      </c>
      <c r="GF58" s="841" t="s">
        <v>353</v>
      </c>
      <c r="GG58" s="841" t="s">
        <v>353</v>
      </c>
      <c r="GH58" s="841" t="s">
        <v>353</v>
      </c>
      <c r="GI58" s="841" t="s">
        <v>353</v>
      </c>
      <c r="GJ58" s="841" t="s">
        <v>353</v>
      </c>
      <c r="GK58" s="841" t="s">
        <v>353</v>
      </c>
      <c r="GL58" s="841" t="s">
        <v>1453</v>
      </c>
      <c r="GM58" s="841" t="s">
        <v>353</v>
      </c>
      <c r="GN58" s="841" t="s">
        <v>353</v>
      </c>
      <c r="GO58" s="841" t="s">
        <v>353</v>
      </c>
      <c r="GP58" s="841" t="s">
        <v>353</v>
      </c>
      <c r="GQ58" s="841" t="s">
        <v>353</v>
      </c>
      <c r="GR58" s="842">
        <v>44586.570138888892</v>
      </c>
      <c r="GS58" s="841" t="s">
        <v>1963</v>
      </c>
      <c r="GT58" s="841" t="s">
        <v>353</v>
      </c>
      <c r="GU58" s="841" t="s">
        <v>353</v>
      </c>
      <c r="GV58" s="841" t="s">
        <v>1419</v>
      </c>
      <c r="GW58" s="841" t="s">
        <v>353</v>
      </c>
      <c r="GX58" s="841" t="s">
        <v>353</v>
      </c>
      <c r="GY58" s="841" t="s">
        <v>353</v>
      </c>
      <c r="GZ58" s="841" t="s">
        <v>1420</v>
      </c>
      <c r="HA58" s="841" t="s">
        <v>353</v>
      </c>
      <c r="HB58" s="841" t="s">
        <v>353</v>
      </c>
      <c r="HC58" s="841" t="s">
        <v>1421</v>
      </c>
      <c r="HD58" s="841" t="s">
        <v>1966</v>
      </c>
      <c r="HE58" s="841" t="s">
        <v>353</v>
      </c>
      <c r="HF58" s="841" t="s">
        <v>353</v>
      </c>
      <c r="HG58" s="841" t="s">
        <v>353</v>
      </c>
      <c r="HH58" s="841" t="s">
        <v>353</v>
      </c>
      <c r="HI58" s="841" t="s">
        <v>1422</v>
      </c>
      <c r="HJ58" s="841" t="s">
        <v>353</v>
      </c>
      <c r="HK58" s="841" t="s">
        <v>353</v>
      </c>
      <c r="HL58" s="841" t="s">
        <v>353</v>
      </c>
      <c r="HM58" s="841" t="s">
        <v>353</v>
      </c>
      <c r="HN58" s="841" t="s">
        <v>353</v>
      </c>
      <c r="HO58" s="841" t="s">
        <v>353</v>
      </c>
      <c r="HP58" s="841" t="s">
        <v>353</v>
      </c>
      <c r="HQ58" s="841" t="s">
        <v>353</v>
      </c>
      <c r="HR58" s="841" t="s">
        <v>353</v>
      </c>
      <c r="HS58" s="841" t="s">
        <v>353</v>
      </c>
      <c r="HT58" s="841" t="s">
        <v>353</v>
      </c>
      <c r="HU58" s="841" t="s">
        <v>353</v>
      </c>
      <c r="HV58" s="841" t="s">
        <v>353</v>
      </c>
      <c r="HW58" s="841" t="s">
        <v>353</v>
      </c>
      <c r="HX58" s="841" t="s">
        <v>353</v>
      </c>
      <c r="HY58" s="841" t="s">
        <v>353</v>
      </c>
      <c r="HZ58" s="841" t="s">
        <v>353</v>
      </c>
      <c r="IA58" s="841" t="s">
        <v>353</v>
      </c>
      <c r="IB58" s="841" t="s">
        <v>1424</v>
      </c>
      <c r="IC58" s="841" t="s">
        <v>353</v>
      </c>
      <c r="ID58" s="841" t="s">
        <v>353</v>
      </c>
      <c r="IE58" s="841" t="s">
        <v>353</v>
      </c>
      <c r="IF58" s="841" t="s">
        <v>353</v>
      </c>
      <c r="IG58" s="841" t="s">
        <v>353</v>
      </c>
      <c r="IH58" s="841" t="s">
        <v>353</v>
      </c>
      <c r="II58" s="841" t="s">
        <v>353</v>
      </c>
      <c r="IJ58" s="841" t="s">
        <v>353</v>
      </c>
      <c r="IK58" s="841" t="s">
        <v>353</v>
      </c>
      <c r="IL58" s="841" t="s">
        <v>353</v>
      </c>
      <c r="IM58" s="841" t="s">
        <v>353</v>
      </c>
      <c r="IN58" s="841" t="s">
        <v>353</v>
      </c>
      <c r="IO58" s="841" t="s">
        <v>353</v>
      </c>
      <c r="IP58" s="841" t="s">
        <v>353</v>
      </c>
      <c r="IQ58" s="841" t="s">
        <v>353</v>
      </c>
      <c r="IR58" s="841" t="s">
        <v>353</v>
      </c>
      <c r="IS58" s="841" t="s">
        <v>353</v>
      </c>
      <c r="IT58" s="841" t="s">
        <v>353</v>
      </c>
      <c r="IU58" s="841" t="s">
        <v>353</v>
      </c>
      <c r="IV58" s="841" t="s">
        <v>353</v>
      </c>
      <c r="IW58" s="841" t="s">
        <v>353</v>
      </c>
      <c r="IX58" s="841" t="s">
        <v>353</v>
      </c>
      <c r="IY58" s="841" t="s">
        <v>353</v>
      </c>
      <c r="IZ58" s="841" t="s">
        <v>353</v>
      </c>
      <c r="JA58" s="841" t="s">
        <v>353</v>
      </c>
      <c r="JB58" s="841" t="s">
        <v>353</v>
      </c>
      <c r="JC58" s="841" t="s">
        <v>353</v>
      </c>
      <c r="JD58" s="841" t="s">
        <v>353</v>
      </c>
      <c r="JE58" s="841" t="s">
        <v>353</v>
      </c>
      <c r="JF58" s="841" t="s">
        <v>1865</v>
      </c>
      <c r="JG58" s="841" t="s">
        <v>1866</v>
      </c>
      <c r="JH58" s="841" t="s">
        <v>1867</v>
      </c>
      <c r="JI58" s="841" t="s">
        <v>1868</v>
      </c>
    </row>
    <row r="59" spans="1:269" x14ac:dyDescent="0.25">
      <c r="A59" s="841" t="s">
        <v>1967</v>
      </c>
      <c r="B59" s="841" t="s">
        <v>353</v>
      </c>
      <c r="C59" s="841" t="s">
        <v>353</v>
      </c>
      <c r="D59" s="841" t="s">
        <v>353</v>
      </c>
      <c r="E59" s="841" t="s">
        <v>33</v>
      </c>
      <c r="F59" s="841" t="s">
        <v>1405</v>
      </c>
      <c r="G59" s="841" t="s">
        <v>1841</v>
      </c>
      <c r="H59" s="841" t="s">
        <v>353</v>
      </c>
      <c r="I59" s="841" t="s">
        <v>353</v>
      </c>
      <c r="J59" s="841" t="s">
        <v>353</v>
      </c>
      <c r="K59" s="841" t="s">
        <v>353</v>
      </c>
      <c r="L59" s="842">
        <v>44608.444444444445</v>
      </c>
      <c r="M59" s="841" t="s">
        <v>353</v>
      </c>
      <c r="N59" s="841" t="s">
        <v>353</v>
      </c>
      <c r="O59" s="841" t="s">
        <v>353</v>
      </c>
      <c r="P59" s="841" t="s">
        <v>33</v>
      </c>
      <c r="Q59" s="841" t="s">
        <v>353</v>
      </c>
      <c r="R59" s="841" t="s">
        <v>353</v>
      </c>
      <c r="S59" s="841" t="s">
        <v>61</v>
      </c>
      <c r="T59" s="841" t="s">
        <v>1390</v>
      </c>
      <c r="U59" s="841" t="s">
        <v>353</v>
      </c>
      <c r="V59" s="841" t="s">
        <v>353</v>
      </c>
      <c r="W59" s="841" t="s">
        <v>353</v>
      </c>
      <c r="X59" s="841" t="s">
        <v>1405</v>
      </c>
      <c r="Y59" s="841" t="s">
        <v>353</v>
      </c>
      <c r="Z59" s="841" t="s">
        <v>353</v>
      </c>
      <c r="AA59" s="841" t="s">
        <v>33</v>
      </c>
      <c r="AB59" s="841" t="s">
        <v>353</v>
      </c>
      <c r="AC59" s="841">
        <v>130200</v>
      </c>
      <c r="AD59" s="841" t="s">
        <v>353</v>
      </c>
      <c r="AE59" s="841" t="s">
        <v>33</v>
      </c>
      <c r="AF59" s="841">
        <v>866.19</v>
      </c>
      <c r="AG59" s="841" t="s">
        <v>353</v>
      </c>
      <c r="AH59" s="841">
        <v>1100</v>
      </c>
      <c r="AI59" s="841" t="s">
        <v>1406</v>
      </c>
      <c r="AJ59" s="841" t="s">
        <v>353</v>
      </c>
      <c r="AK59" s="841">
        <v>75</v>
      </c>
      <c r="AL59" s="841" t="s">
        <v>353</v>
      </c>
      <c r="AM59" s="841" t="s">
        <v>353</v>
      </c>
      <c r="AN59" s="841" t="s">
        <v>353</v>
      </c>
      <c r="AO59" s="841" t="s">
        <v>353</v>
      </c>
      <c r="AP59" s="841" t="s">
        <v>353</v>
      </c>
      <c r="AQ59" s="841" t="s">
        <v>353</v>
      </c>
      <c r="AR59" s="841" t="s">
        <v>33</v>
      </c>
      <c r="AS59" s="841" t="s">
        <v>353</v>
      </c>
      <c r="AT59" s="841" t="s">
        <v>353</v>
      </c>
      <c r="AU59" s="841" t="s">
        <v>353</v>
      </c>
      <c r="AV59" s="841" t="s">
        <v>353</v>
      </c>
      <c r="AW59" s="843">
        <v>44596</v>
      </c>
      <c r="AX59" s="841" t="s">
        <v>353</v>
      </c>
      <c r="AY59" s="841" t="s">
        <v>353</v>
      </c>
      <c r="AZ59" s="841" t="s">
        <v>353</v>
      </c>
      <c r="BA59" s="841" t="s">
        <v>353</v>
      </c>
      <c r="BB59" s="841" t="s">
        <v>353</v>
      </c>
      <c r="BC59" s="841">
        <v>213745</v>
      </c>
      <c r="BD59" s="841" t="s">
        <v>353</v>
      </c>
      <c r="BE59" s="841" t="s">
        <v>353</v>
      </c>
      <c r="BF59" s="841" t="s">
        <v>353</v>
      </c>
      <c r="BG59" s="841" t="s">
        <v>353</v>
      </c>
      <c r="BH59" s="841" t="s">
        <v>353</v>
      </c>
      <c r="BI59" s="841" t="s">
        <v>353</v>
      </c>
      <c r="BJ59" s="841" t="s">
        <v>353</v>
      </c>
      <c r="BK59" s="841" t="s">
        <v>353</v>
      </c>
      <c r="BL59" s="841" t="s">
        <v>1689</v>
      </c>
      <c r="BM59" s="842">
        <v>44620.670138888891</v>
      </c>
      <c r="BN59" s="841" t="s">
        <v>353</v>
      </c>
      <c r="BO59" s="841" t="s">
        <v>353</v>
      </c>
      <c r="BP59" s="841" t="s">
        <v>353</v>
      </c>
      <c r="BQ59" s="841" t="s">
        <v>353</v>
      </c>
      <c r="BR59" s="841" t="s">
        <v>353</v>
      </c>
      <c r="BS59" s="841" t="s">
        <v>353</v>
      </c>
      <c r="BT59" s="841">
        <v>217000</v>
      </c>
      <c r="BU59" s="841" t="s">
        <v>353</v>
      </c>
      <c r="BV59" s="841" t="s">
        <v>1968</v>
      </c>
      <c r="BW59" s="841" t="s">
        <v>1578</v>
      </c>
      <c r="BX59" s="841" t="s">
        <v>1969</v>
      </c>
      <c r="BY59" s="841" t="s">
        <v>353</v>
      </c>
      <c r="BZ59" s="841" t="s">
        <v>353</v>
      </c>
      <c r="CA59" s="841" t="s">
        <v>353</v>
      </c>
      <c r="CB59" s="841" t="s">
        <v>353</v>
      </c>
      <c r="CC59" s="841" t="s">
        <v>353</v>
      </c>
      <c r="CD59" s="841" t="s">
        <v>353</v>
      </c>
      <c r="CE59" s="841" t="s">
        <v>353</v>
      </c>
      <c r="CF59" s="841" t="s">
        <v>353</v>
      </c>
      <c r="CG59" s="841" t="s">
        <v>353</v>
      </c>
      <c r="CH59" s="841" t="s">
        <v>353</v>
      </c>
      <c r="CI59" s="841" t="s">
        <v>33</v>
      </c>
      <c r="CJ59" s="841">
        <v>960</v>
      </c>
      <c r="CK59" s="841">
        <v>23</v>
      </c>
      <c r="CL59" s="841" t="s">
        <v>353</v>
      </c>
      <c r="CM59" s="841">
        <v>26</v>
      </c>
      <c r="CN59" s="841" t="s">
        <v>353</v>
      </c>
      <c r="CO59" s="841" t="s">
        <v>353</v>
      </c>
      <c r="CP59" s="841" t="s">
        <v>1970</v>
      </c>
      <c r="CQ59" s="841" t="s">
        <v>353</v>
      </c>
      <c r="CR59" s="841" t="s">
        <v>353</v>
      </c>
      <c r="CS59" s="841" t="s">
        <v>353</v>
      </c>
      <c r="CT59" s="841" t="s">
        <v>353</v>
      </c>
      <c r="CU59" s="841" t="s">
        <v>1391</v>
      </c>
      <c r="CV59" s="841" t="s">
        <v>353</v>
      </c>
      <c r="CW59" s="841" t="s">
        <v>353</v>
      </c>
      <c r="CX59" s="841" t="s">
        <v>353</v>
      </c>
      <c r="CY59" s="841" t="s">
        <v>353</v>
      </c>
      <c r="CZ59" s="841" t="s">
        <v>353</v>
      </c>
      <c r="DA59" s="841" t="s">
        <v>353</v>
      </c>
      <c r="DB59" s="843">
        <v>44607</v>
      </c>
      <c r="DC59" s="841" t="s">
        <v>353</v>
      </c>
      <c r="DD59" s="841" t="s">
        <v>353</v>
      </c>
      <c r="DE59" s="841" t="s">
        <v>353</v>
      </c>
      <c r="DF59" s="841">
        <v>24</v>
      </c>
      <c r="DG59" s="841" t="s">
        <v>353</v>
      </c>
      <c r="DH59" s="841" t="s">
        <v>353</v>
      </c>
      <c r="DI59" s="841" t="s">
        <v>353</v>
      </c>
      <c r="DJ59" s="841" t="s">
        <v>1971</v>
      </c>
      <c r="DK59" s="841" t="s">
        <v>353</v>
      </c>
      <c r="DL59" s="842">
        <v>44594.670138888891</v>
      </c>
      <c r="DM59" s="841" t="s">
        <v>353</v>
      </c>
      <c r="DN59" s="841" t="s">
        <v>33</v>
      </c>
      <c r="DO59" s="841" t="s">
        <v>353</v>
      </c>
      <c r="DP59" s="841" t="s">
        <v>353</v>
      </c>
      <c r="DQ59" s="841" t="s">
        <v>1434</v>
      </c>
      <c r="DR59" s="841">
        <v>290000</v>
      </c>
      <c r="DS59" s="841">
        <v>24</v>
      </c>
      <c r="DT59" s="841" t="s">
        <v>353</v>
      </c>
      <c r="DU59" s="841" t="s">
        <v>353</v>
      </c>
      <c r="DV59" s="841" t="s">
        <v>353</v>
      </c>
      <c r="DW59" s="841">
        <v>217000</v>
      </c>
      <c r="DX59" s="841" t="s">
        <v>33</v>
      </c>
      <c r="DY59" s="841" t="s">
        <v>353</v>
      </c>
      <c r="DZ59" s="841" t="s">
        <v>353</v>
      </c>
      <c r="EA59" s="841" t="s">
        <v>353</v>
      </c>
      <c r="EB59" s="841" t="s">
        <v>353</v>
      </c>
      <c r="EC59" s="841" t="s">
        <v>353</v>
      </c>
      <c r="ED59" s="841" t="s">
        <v>353</v>
      </c>
      <c r="EE59" s="841" t="s">
        <v>33</v>
      </c>
      <c r="EF59" s="841" t="s">
        <v>353</v>
      </c>
      <c r="EG59" s="841" t="s">
        <v>353</v>
      </c>
      <c r="EH59" s="841" t="s">
        <v>33</v>
      </c>
      <c r="EI59" s="841">
        <v>0</v>
      </c>
      <c r="EJ59" s="841" t="s">
        <v>353</v>
      </c>
      <c r="EK59" s="841" t="s">
        <v>353</v>
      </c>
      <c r="EL59" s="841" t="s">
        <v>1930</v>
      </c>
      <c r="EM59" s="841" t="s">
        <v>353</v>
      </c>
      <c r="EN59" s="841" t="s">
        <v>353</v>
      </c>
      <c r="EO59" s="841" t="s">
        <v>353</v>
      </c>
      <c r="EP59" s="841" t="s">
        <v>353</v>
      </c>
      <c r="EQ59" s="841" t="s">
        <v>353</v>
      </c>
      <c r="ER59" s="841" t="s">
        <v>353</v>
      </c>
      <c r="ES59" s="841" t="s">
        <v>33</v>
      </c>
      <c r="ET59" s="841" t="s">
        <v>1496</v>
      </c>
      <c r="EU59" s="841" t="s">
        <v>1972</v>
      </c>
      <c r="EV59" s="841" t="s">
        <v>353</v>
      </c>
      <c r="EW59" s="841" t="s">
        <v>353</v>
      </c>
      <c r="EX59" s="841" t="s">
        <v>33</v>
      </c>
      <c r="EY59" s="842">
        <v>44596.465277777781</v>
      </c>
      <c r="EZ59" s="842">
        <v>44608.666666666664</v>
      </c>
      <c r="FA59" s="841" t="s">
        <v>353</v>
      </c>
      <c r="FB59" s="841" t="s">
        <v>353</v>
      </c>
      <c r="FC59" s="841" t="s">
        <v>353</v>
      </c>
      <c r="FD59" s="841" t="s">
        <v>353</v>
      </c>
      <c r="FE59" s="842">
        <v>44594.67083333333</v>
      </c>
      <c r="FF59" s="841" t="s">
        <v>353</v>
      </c>
      <c r="FG59" s="841" t="s">
        <v>353</v>
      </c>
      <c r="FH59" s="841" t="s">
        <v>353</v>
      </c>
      <c r="FI59" s="841" t="s">
        <v>353</v>
      </c>
      <c r="FJ59" s="841" t="s">
        <v>353</v>
      </c>
      <c r="FK59" s="841" t="s">
        <v>353</v>
      </c>
      <c r="FL59" s="841" t="s">
        <v>353</v>
      </c>
      <c r="FM59" s="841" t="s">
        <v>353</v>
      </c>
      <c r="FN59" s="841" t="s">
        <v>353</v>
      </c>
      <c r="FO59" s="841" t="s">
        <v>1648</v>
      </c>
      <c r="FP59" s="841" t="s">
        <v>353</v>
      </c>
      <c r="FQ59" s="841" t="s">
        <v>353</v>
      </c>
      <c r="FR59" s="841" t="s">
        <v>353</v>
      </c>
      <c r="FS59" s="841" t="s">
        <v>353</v>
      </c>
      <c r="FT59" s="841" t="s">
        <v>353</v>
      </c>
      <c r="FU59" s="841" t="s">
        <v>1714</v>
      </c>
      <c r="FV59" s="841" t="s">
        <v>353</v>
      </c>
      <c r="FW59" s="841" t="s">
        <v>353</v>
      </c>
      <c r="FX59" s="841" t="s">
        <v>353</v>
      </c>
      <c r="FY59" s="841" t="s">
        <v>353</v>
      </c>
      <c r="FZ59" s="841" t="s">
        <v>353</v>
      </c>
      <c r="GA59" s="841" t="s">
        <v>353</v>
      </c>
      <c r="GB59" s="841">
        <v>1</v>
      </c>
      <c r="GC59" s="841" t="s">
        <v>353</v>
      </c>
      <c r="GD59" s="841" t="s">
        <v>1395</v>
      </c>
      <c r="GE59" s="841" t="s">
        <v>353</v>
      </c>
      <c r="GF59" s="841" t="s">
        <v>353</v>
      </c>
      <c r="GG59" s="841" t="s">
        <v>353</v>
      </c>
      <c r="GH59" s="841">
        <v>130200</v>
      </c>
      <c r="GI59" s="841" t="s">
        <v>353</v>
      </c>
      <c r="GJ59" s="841" t="s">
        <v>353</v>
      </c>
      <c r="GK59" s="841" t="s">
        <v>353</v>
      </c>
      <c r="GL59" s="841" t="s">
        <v>1468</v>
      </c>
      <c r="GM59" s="841" t="s">
        <v>353</v>
      </c>
      <c r="GN59" s="841" t="s">
        <v>353</v>
      </c>
      <c r="GO59" s="841" t="s">
        <v>353</v>
      </c>
      <c r="GP59" s="841" t="s">
        <v>353</v>
      </c>
      <c r="GQ59" s="841" t="s">
        <v>353</v>
      </c>
      <c r="GR59" s="842">
        <v>44594.53125</v>
      </c>
      <c r="GS59" s="841" t="s">
        <v>1968</v>
      </c>
      <c r="GT59" s="841" t="s">
        <v>353</v>
      </c>
      <c r="GU59" s="841" t="s">
        <v>353</v>
      </c>
      <c r="GV59" s="841" t="s">
        <v>1419</v>
      </c>
      <c r="GW59" s="841" t="s">
        <v>353</v>
      </c>
      <c r="GX59" s="841" t="s">
        <v>353</v>
      </c>
      <c r="GY59" s="841">
        <v>24</v>
      </c>
      <c r="GZ59" s="841" t="s">
        <v>1486</v>
      </c>
      <c r="HA59" s="841" t="s">
        <v>353</v>
      </c>
      <c r="HB59" s="841" t="s">
        <v>353</v>
      </c>
      <c r="HC59" s="841" t="s">
        <v>1421</v>
      </c>
      <c r="HD59" s="841" t="s">
        <v>1973</v>
      </c>
      <c r="HE59" s="841">
        <v>2170</v>
      </c>
      <c r="HF59" s="841" t="s">
        <v>353</v>
      </c>
      <c r="HG59" s="841" t="s">
        <v>353</v>
      </c>
      <c r="HH59" s="841">
        <v>840</v>
      </c>
      <c r="HI59" s="841" t="s">
        <v>1422</v>
      </c>
      <c r="HJ59" s="841" t="s">
        <v>353</v>
      </c>
      <c r="HK59" s="841">
        <v>217000</v>
      </c>
      <c r="HL59" s="841" t="s">
        <v>353</v>
      </c>
      <c r="HM59" s="841" t="s">
        <v>1530</v>
      </c>
      <c r="HN59" s="841" t="s">
        <v>353</v>
      </c>
      <c r="HO59" s="841" t="s">
        <v>353</v>
      </c>
      <c r="HP59" s="841">
        <v>10394.299999999999</v>
      </c>
      <c r="HQ59" s="841" t="s">
        <v>353</v>
      </c>
      <c r="HR59" s="841" t="s">
        <v>353</v>
      </c>
      <c r="HS59" s="841" t="s">
        <v>353</v>
      </c>
      <c r="HT59" s="841" t="s">
        <v>353</v>
      </c>
      <c r="HU59" s="841" t="s">
        <v>353</v>
      </c>
      <c r="HV59" s="841" t="s">
        <v>353</v>
      </c>
      <c r="HW59" s="841">
        <v>290000</v>
      </c>
      <c r="HX59" s="841" t="s">
        <v>353</v>
      </c>
      <c r="HY59" s="841" t="s">
        <v>353</v>
      </c>
      <c r="HZ59" s="841" t="s">
        <v>353</v>
      </c>
      <c r="IA59" s="841" t="s">
        <v>353</v>
      </c>
      <c r="IB59" s="841" t="s">
        <v>1424</v>
      </c>
      <c r="IC59" s="841" t="s">
        <v>353</v>
      </c>
      <c r="ID59" s="841" t="s">
        <v>353</v>
      </c>
      <c r="IE59" s="841" t="s">
        <v>353</v>
      </c>
      <c r="IF59" s="841" t="s">
        <v>353</v>
      </c>
      <c r="IG59" s="841" t="s">
        <v>353</v>
      </c>
      <c r="IH59" s="841" t="s">
        <v>353</v>
      </c>
      <c r="II59" s="841" t="s">
        <v>353</v>
      </c>
      <c r="IJ59" s="841" t="s">
        <v>353</v>
      </c>
      <c r="IK59" s="841" t="s">
        <v>353</v>
      </c>
      <c r="IL59" s="841">
        <v>217000</v>
      </c>
      <c r="IM59" s="841" t="s">
        <v>353</v>
      </c>
      <c r="IN59" s="841" t="s">
        <v>353</v>
      </c>
      <c r="IO59" s="841">
        <v>199</v>
      </c>
      <c r="IP59" s="841" t="s">
        <v>353</v>
      </c>
      <c r="IQ59" s="841" t="s">
        <v>353</v>
      </c>
      <c r="IR59" s="841">
        <v>0</v>
      </c>
      <c r="IS59" s="841" t="s">
        <v>33</v>
      </c>
      <c r="IT59" s="841" t="s">
        <v>353</v>
      </c>
      <c r="IU59" s="841" t="s">
        <v>353</v>
      </c>
      <c r="IV59" s="841" t="s">
        <v>353</v>
      </c>
      <c r="IW59" s="841" t="s">
        <v>353</v>
      </c>
      <c r="IX59" s="841" t="s">
        <v>353</v>
      </c>
      <c r="IY59" s="841" t="s">
        <v>1622</v>
      </c>
      <c r="IZ59" s="841" t="s">
        <v>353</v>
      </c>
      <c r="JA59" s="841">
        <v>217000</v>
      </c>
      <c r="JB59" s="841" t="s">
        <v>353</v>
      </c>
      <c r="JC59" s="841" t="s">
        <v>353</v>
      </c>
      <c r="JD59" s="841" t="s">
        <v>1488</v>
      </c>
      <c r="JE59" s="841" t="s">
        <v>33</v>
      </c>
      <c r="JF59" s="841" t="s">
        <v>1694</v>
      </c>
      <c r="JG59" s="841" t="s">
        <v>1695</v>
      </c>
      <c r="JH59" s="841" t="s">
        <v>1696</v>
      </c>
      <c r="JI59" s="841" t="s">
        <v>1697</v>
      </c>
    </row>
    <row r="60" spans="1:269" x14ac:dyDescent="0.25">
      <c r="A60" s="841" t="s">
        <v>1974</v>
      </c>
      <c r="B60" s="841" t="s">
        <v>353</v>
      </c>
      <c r="C60" s="841" t="s">
        <v>353</v>
      </c>
      <c r="D60" s="841" t="s">
        <v>353</v>
      </c>
      <c r="E60" s="841" t="s">
        <v>353</v>
      </c>
      <c r="F60" s="841" t="s">
        <v>353</v>
      </c>
      <c r="G60" s="841" t="s">
        <v>1975</v>
      </c>
      <c r="H60" s="841" t="s">
        <v>353</v>
      </c>
      <c r="I60" s="841" t="s">
        <v>353</v>
      </c>
      <c r="J60" s="841" t="s">
        <v>353</v>
      </c>
      <c r="K60" s="841" t="s">
        <v>353</v>
      </c>
      <c r="L60" s="842">
        <v>44594.686111111114</v>
      </c>
      <c r="M60" s="841" t="s">
        <v>353</v>
      </c>
      <c r="N60" s="841" t="s">
        <v>353</v>
      </c>
      <c r="O60" s="841" t="s">
        <v>353</v>
      </c>
      <c r="P60" s="841" t="s">
        <v>353</v>
      </c>
      <c r="Q60" s="841" t="s">
        <v>353</v>
      </c>
      <c r="R60" s="841" t="s">
        <v>353</v>
      </c>
      <c r="S60" s="841" t="s">
        <v>67</v>
      </c>
      <c r="T60" s="841" t="s">
        <v>1390</v>
      </c>
      <c r="U60" s="841" t="s">
        <v>353</v>
      </c>
      <c r="V60" s="841" t="s">
        <v>353</v>
      </c>
      <c r="W60" s="841" t="s">
        <v>1420</v>
      </c>
      <c r="X60" s="841" t="s">
        <v>1405</v>
      </c>
      <c r="Y60" s="841" t="s">
        <v>353</v>
      </c>
      <c r="Z60" s="841" t="s">
        <v>353</v>
      </c>
      <c r="AA60" s="841" t="s">
        <v>353</v>
      </c>
      <c r="AB60" s="841" t="s">
        <v>353</v>
      </c>
      <c r="AC60" s="841">
        <v>30000</v>
      </c>
      <c r="AD60" s="841" t="s">
        <v>353</v>
      </c>
      <c r="AE60" s="841" t="s">
        <v>353</v>
      </c>
      <c r="AF60" s="841" t="s">
        <v>353</v>
      </c>
      <c r="AG60" s="841" t="s">
        <v>353</v>
      </c>
      <c r="AH60" s="841">
        <v>800</v>
      </c>
      <c r="AI60" s="841" t="s">
        <v>1521</v>
      </c>
      <c r="AJ60" s="841" t="s">
        <v>353</v>
      </c>
      <c r="AK60" s="841">
        <v>75</v>
      </c>
      <c r="AL60" s="841" t="s">
        <v>353</v>
      </c>
      <c r="AM60" s="841" t="s">
        <v>353</v>
      </c>
      <c r="AN60" s="841" t="s">
        <v>353</v>
      </c>
      <c r="AO60" s="841" t="s">
        <v>353</v>
      </c>
      <c r="AP60" s="841" t="s">
        <v>353</v>
      </c>
      <c r="AQ60" s="841" t="s">
        <v>353</v>
      </c>
      <c r="AR60" s="841" t="s">
        <v>353</v>
      </c>
      <c r="AS60" s="841" t="s">
        <v>353</v>
      </c>
      <c r="AT60" s="841" t="s">
        <v>353</v>
      </c>
      <c r="AU60" s="841" t="s">
        <v>353</v>
      </c>
      <c r="AV60" s="841" t="s">
        <v>353</v>
      </c>
      <c r="AW60" s="841" t="s">
        <v>353</v>
      </c>
      <c r="AX60" s="841" t="s">
        <v>353</v>
      </c>
      <c r="AY60" s="841" t="s">
        <v>353</v>
      </c>
      <c r="AZ60" s="841" t="s">
        <v>353</v>
      </c>
      <c r="BA60" s="841" t="s">
        <v>353</v>
      </c>
      <c r="BB60" s="841" t="s">
        <v>353</v>
      </c>
      <c r="BC60" s="841">
        <v>145928</v>
      </c>
      <c r="BD60" s="841" t="s">
        <v>353</v>
      </c>
      <c r="BE60" s="841" t="s">
        <v>353</v>
      </c>
      <c r="BF60" s="841" t="s">
        <v>353</v>
      </c>
      <c r="BG60" s="841" t="s">
        <v>353</v>
      </c>
      <c r="BH60" s="841" t="s">
        <v>353</v>
      </c>
      <c r="BI60" s="841" t="s">
        <v>353</v>
      </c>
      <c r="BJ60" s="841" t="s">
        <v>353</v>
      </c>
      <c r="BK60" s="841">
        <v>150000</v>
      </c>
      <c r="BL60" s="841" t="s">
        <v>1976</v>
      </c>
      <c r="BM60" s="842">
        <v>44620.65902777778</v>
      </c>
      <c r="BN60" s="841" t="s">
        <v>353</v>
      </c>
      <c r="BO60" s="841" t="s">
        <v>353</v>
      </c>
      <c r="BP60" s="841" t="s">
        <v>353</v>
      </c>
      <c r="BQ60" s="841" t="s">
        <v>353</v>
      </c>
      <c r="BR60" s="841" t="s">
        <v>353</v>
      </c>
      <c r="BS60" s="841" t="s">
        <v>353</v>
      </c>
      <c r="BT60" s="841">
        <v>150000</v>
      </c>
      <c r="BU60" s="841" t="s">
        <v>353</v>
      </c>
      <c r="BV60" s="841" t="s">
        <v>1523</v>
      </c>
      <c r="BW60" s="841" t="s">
        <v>1578</v>
      </c>
      <c r="BX60" s="841" t="s">
        <v>353</v>
      </c>
      <c r="BY60" s="841" t="s">
        <v>353</v>
      </c>
      <c r="BZ60" s="841" t="s">
        <v>353</v>
      </c>
      <c r="CA60" s="841" t="s">
        <v>353</v>
      </c>
      <c r="CB60" s="841" t="s">
        <v>353</v>
      </c>
      <c r="CC60" s="841" t="s">
        <v>353</v>
      </c>
      <c r="CD60" s="841" t="s">
        <v>353</v>
      </c>
      <c r="CE60" s="841" t="s">
        <v>353</v>
      </c>
      <c r="CF60" s="841" t="s">
        <v>353</v>
      </c>
      <c r="CG60" s="841" t="s">
        <v>353</v>
      </c>
      <c r="CH60" s="841" t="s">
        <v>353</v>
      </c>
      <c r="CI60" s="841" t="s">
        <v>353</v>
      </c>
      <c r="CJ60" s="841" t="s">
        <v>353</v>
      </c>
      <c r="CK60" s="841" t="s">
        <v>353</v>
      </c>
      <c r="CL60" s="841" t="s">
        <v>353</v>
      </c>
      <c r="CM60" s="841" t="s">
        <v>353</v>
      </c>
      <c r="CN60" s="841" t="s">
        <v>353</v>
      </c>
      <c r="CO60" s="841" t="s">
        <v>353</v>
      </c>
      <c r="CP60" s="841" t="s">
        <v>1977</v>
      </c>
      <c r="CQ60" s="841" t="s">
        <v>353</v>
      </c>
      <c r="CR60" s="841" t="s">
        <v>353</v>
      </c>
      <c r="CS60" s="841" t="s">
        <v>1405</v>
      </c>
      <c r="CT60" s="841" t="s">
        <v>353</v>
      </c>
      <c r="CU60" s="841" t="s">
        <v>1391</v>
      </c>
      <c r="CV60" s="841" t="s">
        <v>353</v>
      </c>
      <c r="CW60" s="841" t="s">
        <v>353</v>
      </c>
      <c r="CX60" s="841" t="s">
        <v>353</v>
      </c>
      <c r="CY60" s="841" t="s">
        <v>353</v>
      </c>
      <c r="CZ60" s="841">
        <v>6</v>
      </c>
      <c r="DA60" s="841" t="s">
        <v>353</v>
      </c>
      <c r="DB60" s="841" t="s">
        <v>353</v>
      </c>
      <c r="DC60" s="841" t="s">
        <v>353</v>
      </c>
      <c r="DD60" s="841" t="s">
        <v>353</v>
      </c>
      <c r="DE60" s="841" t="s">
        <v>353</v>
      </c>
      <c r="DF60" s="841">
        <v>22</v>
      </c>
      <c r="DG60" s="841" t="s">
        <v>353</v>
      </c>
      <c r="DH60" s="841" t="s">
        <v>353</v>
      </c>
      <c r="DI60" s="841" t="s">
        <v>353</v>
      </c>
      <c r="DJ60" s="841" t="s">
        <v>353</v>
      </c>
      <c r="DK60" s="841" t="s">
        <v>353</v>
      </c>
      <c r="DL60" s="842">
        <v>44594.65902777778</v>
      </c>
      <c r="DM60" s="841" t="s">
        <v>353</v>
      </c>
      <c r="DN60" s="841" t="s">
        <v>353</v>
      </c>
      <c r="DO60" s="841" t="s">
        <v>673</v>
      </c>
      <c r="DP60" s="841" t="s">
        <v>1481</v>
      </c>
      <c r="DQ60" s="841" t="s">
        <v>1451</v>
      </c>
      <c r="DR60" s="841" t="s">
        <v>353</v>
      </c>
      <c r="DS60" s="841">
        <v>22</v>
      </c>
      <c r="DT60" s="841" t="s">
        <v>353</v>
      </c>
      <c r="DU60" s="841" t="s">
        <v>353</v>
      </c>
      <c r="DV60" s="841">
        <v>130005</v>
      </c>
      <c r="DW60" s="841">
        <v>150000</v>
      </c>
      <c r="DX60" s="841" t="s">
        <v>353</v>
      </c>
      <c r="DY60" s="841" t="s">
        <v>353</v>
      </c>
      <c r="DZ60" s="841" t="s">
        <v>353</v>
      </c>
      <c r="EA60" s="841" t="s">
        <v>353</v>
      </c>
      <c r="EB60" s="841" t="s">
        <v>353</v>
      </c>
      <c r="EC60" s="841" t="s">
        <v>353</v>
      </c>
      <c r="ED60" s="841" t="s">
        <v>353</v>
      </c>
      <c r="EE60" s="841" t="s">
        <v>353</v>
      </c>
      <c r="EF60" s="841" t="s">
        <v>353</v>
      </c>
      <c r="EG60" s="841" t="s">
        <v>353</v>
      </c>
      <c r="EH60" s="841" t="s">
        <v>353</v>
      </c>
      <c r="EI60" s="841">
        <v>17370</v>
      </c>
      <c r="EJ60" s="841" t="s">
        <v>353</v>
      </c>
      <c r="EK60" s="841" t="s">
        <v>353</v>
      </c>
      <c r="EL60" s="841" t="s">
        <v>353</v>
      </c>
      <c r="EM60" s="841">
        <v>2625</v>
      </c>
      <c r="EN60" s="841" t="s">
        <v>353</v>
      </c>
      <c r="EO60" s="841" t="s">
        <v>353</v>
      </c>
      <c r="EP60" s="841" t="s">
        <v>353</v>
      </c>
      <c r="EQ60" s="841" t="s">
        <v>353</v>
      </c>
      <c r="ER60" s="841" t="s">
        <v>353</v>
      </c>
      <c r="ES60" s="841" t="s">
        <v>353</v>
      </c>
      <c r="ET60" s="841" t="s">
        <v>1512</v>
      </c>
      <c r="EU60" s="841" t="s">
        <v>353</v>
      </c>
      <c r="EV60" s="841" t="s">
        <v>353</v>
      </c>
      <c r="EW60" s="841" t="s">
        <v>353</v>
      </c>
      <c r="EX60" s="841" t="s">
        <v>353</v>
      </c>
      <c r="EY60" s="841" t="s">
        <v>353</v>
      </c>
      <c r="EZ60" s="841" t="s">
        <v>353</v>
      </c>
      <c r="FA60" s="841" t="s">
        <v>353</v>
      </c>
      <c r="FB60" s="841" t="s">
        <v>353</v>
      </c>
      <c r="FC60" s="841" t="s">
        <v>353</v>
      </c>
      <c r="FD60" s="841" t="s">
        <v>353</v>
      </c>
      <c r="FE60" s="842">
        <v>44594.659722222219</v>
      </c>
      <c r="FF60" s="841" t="s">
        <v>353</v>
      </c>
      <c r="FG60" s="841" t="s">
        <v>353</v>
      </c>
      <c r="FH60" s="841" t="s">
        <v>353</v>
      </c>
      <c r="FI60" s="841" t="s">
        <v>353</v>
      </c>
      <c r="FJ60" s="841" t="s">
        <v>353</v>
      </c>
      <c r="FK60" s="841" t="s">
        <v>353</v>
      </c>
      <c r="FL60" s="841" t="s">
        <v>353</v>
      </c>
      <c r="FM60" s="841" t="s">
        <v>353</v>
      </c>
      <c r="FN60" s="841" t="s">
        <v>353</v>
      </c>
      <c r="FO60" s="841" t="s">
        <v>1582</v>
      </c>
      <c r="FP60" s="841" t="s">
        <v>353</v>
      </c>
      <c r="FQ60" s="841" t="s">
        <v>353</v>
      </c>
      <c r="FR60" s="841" t="s">
        <v>353</v>
      </c>
      <c r="FS60" s="841" t="s">
        <v>353</v>
      </c>
      <c r="FT60" s="841" t="s">
        <v>353</v>
      </c>
      <c r="FU60" s="841" t="s">
        <v>1416</v>
      </c>
      <c r="FV60" s="841" t="s">
        <v>353</v>
      </c>
      <c r="FW60" s="841" t="s">
        <v>353</v>
      </c>
      <c r="FX60" s="841" t="s">
        <v>353</v>
      </c>
      <c r="FY60" s="841" t="s">
        <v>353</v>
      </c>
      <c r="FZ60" s="841" t="s">
        <v>353</v>
      </c>
      <c r="GA60" s="841" t="s">
        <v>353</v>
      </c>
      <c r="GB60" s="841">
        <v>1</v>
      </c>
      <c r="GC60" s="841" t="s">
        <v>353</v>
      </c>
      <c r="GD60" s="841" t="s">
        <v>1417</v>
      </c>
      <c r="GE60" s="841" t="s">
        <v>353</v>
      </c>
      <c r="GF60" s="841" t="s">
        <v>353</v>
      </c>
      <c r="GG60" s="841" t="s">
        <v>353</v>
      </c>
      <c r="GH60" s="841">
        <v>30000</v>
      </c>
      <c r="GI60" s="841" t="s">
        <v>353</v>
      </c>
      <c r="GJ60" s="841" t="s">
        <v>353</v>
      </c>
      <c r="GK60" s="841" t="s">
        <v>353</v>
      </c>
      <c r="GL60" s="841" t="s">
        <v>1418</v>
      </c>
      <c r="GM60" s="841" t="s">
        <v>353</v>
      </c>
      <c r="GN60" s="841" t="s">
        <v>353</v>
      </c>
      <c r="GO60" s="841" t="s">
        <v>353</v>
      </c>
      <c r="GP60" s="841" t="s">
        <v>353</v>
      </c>
      <c r="GQ60" s="841" t="s">
        <v>353</v>
      </c>
      <c r="GR60" s="841" t="s">
        <v>353</v>
      </c>
      <c r="GS60" s="841" t="s">
        <v>1523</v>
      </c>
      <c r="GT60" s="841" t="s">
        <v>353</v>
      </c>
      <c r="GU60" s="841" t="s">
        <v>353</v>
      </c>
      <c r="GV60" s="841" t="s">
        <v>1419</v>
      </c>
      <c r="GW60" s="841" t="s">
        <v>353</v>
      </c>
      <c r="GX60" s="841" t="s">
        <v>353</v>
      </c>
      <c r="GY60" s="841">
        <v>24</v>
      </c>
      <c r="GZ60" s="841" t="s">
        <v>1420</v>
      </c>
      <c r="HA60" s="841" t="s">
        <v>353</v>
      </c>
      <c r="HB60" s="841" t="s">
        <v>353</v>
      </c>
      <c r="HC60" s="841" t="s">
        <v>1421</v>
      </c>
      <c r="HD60" s="841" t="s">
        <v>1978</v>
      </c>
      <c r="HE60" s="841" t="s">
        <v>353</v>
      </c>
      <c r="HF60" s="841" t="s">
        <v>353</v>
      </c>
      <c r="HG60" s="841" t="s">
        <v>353</v>
      </c>
      <c r="HH60" s="841" t="s">
        <v>353</v>
      </c>
      <c r="HI60" s="841" t="s">
        <v>1422</v>
      </c>
      <c r="HJ60" s="841" t="s">
        <v>1979</v>
      </c>
      <c r="HK60" s="841">
        <v>150000</v>
      </c>
      <c r="HL60" s="841" t="s">
        <v>353</v>
      </c>
      <c r="HM60" s="841" t="s">
        <v>1530</v>
      </c>
      <c r="HN60" s="841" t="s">
        <v>353</v>
      </c>
      <c r="HO60" s="841" t="s">
        <v>353</v>
      </c>
      <c r="HP60" s="841">
        <v>8685</v>
      </c>
      <c r="HQ60" s="841" t="s">
        <v>353</v>
      </c>
      <c r="HR60" s="841" t="s">
        <v>353</v>
      </c>
      <c r="HS60" s="841">
        <v>132630</v>
      </c>
      <c r="HT60" s="841" t="s">
        <v>353</v>
      </c>
      <c r="HU60" s="841" t="s">
        <v>353</v>
      </c>
      <c r="HV60" s="841" t="s">
        <v>353</v>
      </c>
      <c r="HW60" s="841">
        <v>200000</v>
      </c>
      <c r="HX60" s="841" t="s">
        <v>353</v>
      </c>
      <c r="HY60" s="841" t="s">
        <v>353</v>
      </c>
      <c r="HZ60" s="841" t="s">
        <v>353</v>
      </c>
      <c r="IA60" s="841" t="s">
        <v>353</v>
      </c>
      <c r="IB60" s="841" t="s">
        <v>1424</v>
      </c>
      <c r="IC60" s="841" t="s">
        <v>353</v>
      </c>
      <c r="ID60" s="841" t="s">
        <v>353</v>
      </c>
      <c r="IE60" s="841" t="s">
        <v>353</v>
      </c>
      <c r="IF60" s="841" t="s">
        <v>353</v>
      </c>
      <c r="IG60" s="841" t="s">
        <v>353</v>
      </c>
      <c r="IH60" s="841" t="s">
        <v>353</v>
      </c>
      <c r="II60" s="841" t="s">
        <v>353</v>
      </c>
      <c r="IJ60" s="841" t="s">
        <v>353</v>
      </c>
      <c r="IK60" s="841" t="s">
        <v>353</v>
      </c>
      <c r="IL60" s="841">
        <v>148553</v>
      </c>
      <c r="IM60" s="841" t="s">
        <v>353</v>
      </c>
      <c r="IN60" s="841" t="s">
        <v>353</v>
      </c>
      <c r="IO60" s="841" t="s">
        <v>353</v>
      </c>
      <c r="IP60" s="841" t="s">
        <v>353</v>
      </c>
      <c r="IQ60" s="841" t="s">
        <v>353</v>
      </c>
      <c r="IR60" s="841">
        <v>2</v>
      </c>
      <c r="IS60" s="841" t="s">
        <v>353</v>
      </c>
      <c r="IT60" s="841" t="s">
        <v>353</v>
      </c>
      <c r="IU60" s="841" t="s">
        <v>353</v>
      </c>
      <c r="IV60" s="841" t="s">
        <v>353</v>
      </c>
      <c r="IW60" s="841" t="s">
        <v>353</v>
      </c>
      <c r="IX60" s="841" t="s">
        <v>353</v>
      </c>
      <c r="IY60" s="841" t="s">
        <v>1578</v>
      </c>
      <c r="IZ60" s="841" t="s">
        <v>353</v>
      </c>
      <c r="JA60" s="841">
        <v>150000</v>
      </c>
      <c r="JB60" s="841" t="s">
        <v>353</v>
      </c>
      <c r="JC60" s="841" t="s">
        <v>353</v>
      </c>
      <c r="JD60" s="841" t="s">
        <v>1413</v>
      </c>
      <c r="JE60" s="841" t="s">
        <v>353</v>
      </c>
      <c r="JF60" s="841" t="s">
        <v>1980</v>
      </c>
      <c r="JG60" s="841" t="s">
        <v>1981</v>
      </c>
      <c r="JH60" s="841" t="s">
        <v>1982</v>
      </c>
      <c r="JI60" s="841" t="s">
        <v>1983</v>
      </c>
    </row>
    <row r="61" spans="1:269" x14ac:dyDescent="0.25">
      <c r="A61" s="841" t="s">
        <v>1984</v>
      </c>
      <c r="B61" s="841" t="s">
        <v>353</v>
      </c>
      <c r="C61" s="841" t="s">
        <v>353</v>
      </c>
      <c r="D61" s="841" t="s">
        <v>353</v>
      </c>
      <c r="E61" s="841" t="s">
        <v>33</v>
      </c>
      <c r="F61" s="841" t="s">
        <v>1405</v>
      </c>
      <c r="G61" s="841" t="s">
        <v>1985</v>
      </c>
      <c r="H61" s="841" t="s">
        <v>353</v>
      </c>
      <c r="I61" s="841" t="s">
        <v>353</v>
      </c>
      <c r="J61" s="841" t="s">
        <v>353</v>
      </c>
      <c r="K61" s="841" t="s">
        <v>353</v>
      </c>
      <c r="L61" s="842">
        <v>44608.42083333333</v>
      </c>
      <c r="M61" s="841" t="s">
        <v>353</v>
      </c>
      <c r="N61" s="841" t="s">
        <v>353</v>
      </c>
      <c r="O61" s="841" t="s">
        <v>353</v>
      </c>
      <c r="P61" s="841" t="s">
        <v>33</v>
      </c>
      <c r="Q61" s="841" t="s">
        <v>353</v>
      </c>
      <c r="R61" s="841" t="s">
        <v>353</v>
      </c>
      <c r="S61" s="841" t="s">
        <v>67</v>
      </c>
      <c r="T61" s="841" t="s">
        <v>1390</v>
      </c>
      <c r="U61" s="841" t="s">
        <v>353</v>
      </c>
      <c r="V61" s="841" t="s">
        <v>353</v>
      </c>
      <c r="W61" s="841" t="s">
        <v>1420</v>
      </c>
      <c r="X61" s="841" t="s">
        <v>1986</v>
      </c>
      <c r="Y61" s="841" t="s">
        <v>353</v>
      </c>
      <c r="Z61" s="841" t="s">
        <v>353</v>
      </c>
      <c r="AA61" s="841" t="s">
        <v>33</v>
      </c>
      <c r="AB61" s="841" t="s">
        <v>353</v>
      </c>
      <c r="AC61" s="841">
        <v>310200</v>
      </c>
      <c r="AD61" s="841" t="s">
        <v>353</v>
      </c>
      <c r="AE61" s="841" t="s">
        <v>33</v>
      </c>
      <c r="AF61" s="841" t="s">
        <v>353</v>
      </c>
      <c r="AG61" s="841" t="s">
        <v>353</v>
      </c>
      <c r="AH61" s="841">
        <v>2000</v>
      </c>
      <c r="AI61" s="841" t="s">
        <v>1592</v>
      </c>
      <c r="AJ61" s="841" t="s">
        <v>353</v>
      </c>
      <c r="AK61" s="841">
        <v>75</v>
      </c>
      <c r="AL61" s="841" t="s">
        <v>353</v>
      </c>
      <c r="AM61" s="841" t="s">
        <v>353</v>
      </c>
      <c r="AN61" s="841" t="s">
        <v>353</v>
      </c>
      <c r="AO61" s="841" t="s">
        <v>353</v>
      </c>
      <c r="AP61" s="841" t="s">
        <v>353</v>
      </c>
      <c r="AQ61" s="841" t="s">
        <v>353</v>
      </c>
      <c r="AR61" s="841" t="s">
        <v>33</v>
      </c>
      <c r="AS61" s="841" t="s">
        <v>353</v>
      </c>
      <c r="AT61" s="841" t="s">
        <v>353</v>
      </c>
      <c r="AU61" s="841" t="s">
        <v>353</v>
      </c>
      <c r="AV61" s="841" t="s">
        <v>353</v>
      </c>
      <c r="AW61" s="843">
        <v>44596</v>
      </c>
      <c r="AX61" s="841" t="s">
        <v>353</v>
      </c>
      <c r="AY61" s="841" t="s">
        <v>353</v>
      </c>
      <c r="AZ61" s="841" t="s">
        <v>353</v>
      </c>
      <c r="BA61" s="841" t="s">
        <v>353</v>
      </c>
      <c r="BB61" s="841" t="s">
        <v>353</v>
      </c>
      <c r="BC61" s="841">
        <v>487944</v>
      </c>
      <c r="BD61" s="841" t="s">
        <v>353</v>
      </c>
      <c r="BE61" s="841" t="s">
        <v>673</v>
      </c>
      <c r="BF61" s="841" t="s">
        <v>353</v>
      </c>
      <c r="BG61" s="841" t="s">
        <v>353</v>
      </c>
      <c r="BH61" s="841" t="s">
        <v>353</v>
      </c>
      <c r="BI61" s="841" t="s">
        <v>353</v>
      </c>
      <c r="BJ61" s="841" t="s">
        <v>353</v>
      </c>
      <c r="BK61" s="841">
        <v>1160000</v>
      </c>
      <c r="BL61" s="841" t="s">
        <v>1987</v>
      </c>
      <c r="BM61" s="842">
        <v>44620.607638888891</v>
      </c>
      <c r="BN61" s="841" t="s">
        <v>353</v>
      </c>
      <c r="BO61" s="841" t="s">
        <v>353</v>
      </c>
      <c r="BP61" s="841" t="s">
        <v>353</v>
      </c>
      <c r="BQ61" s="841" t="s">
        <v>353</v>
      </c>
      <c r="BR61" s="841" t="s">
        <v>353</v>
      </c>
      <c r="BS61" s="841" t="s">
        <v>353</v>
      </c>
      <c r="BT61" s="841">
        <v>517000</v>
      </c>
      <c r="BU61" s="841" t="s">
        <v>353</v>
      </c>
      <c r="BV61" s="841" t="s">
        <v>1662</v>
      </c>
      <c r="BW61" s="841" t="s">
        <v>1578</v>
      </c>
      <c r="BX61" s="841" t="s">
        <v>1885</v>
      </c>
      <c r="BY61" s="841" t="s">
        <v>353</v>
      </c>
      <c r="BZ61" s="841" t="s">
        <v>353</v>
      </c>
      <c r="CA61" s="841" t="s">
        <v>353</v>
      </c>
      <c r="CB61" s="841" t="s">
        <v>353</v>
      </c>
      <c r="CC61" s="841" t="s">
        <v>353</v>
      </c>
      <c r="CD61" s="841" t="s">
        <v>353</v>
      </c>
      <c r="CE61" s="841" t="s">
        <v>353</v>
      </c>
      <c r="CF61" s="841" t="s">
        <v>353</v>
      </c>
      <c r="CG61" s="841" t="s">
        <v>353</v>
      </c>
      <c r="CH61" s="841" t="s">
        <v>353</v>
      </c>
      <c r="CI61" s="841" t="s">
        <v>33</v>
      </c>
      <c r="CJ61" s="841">
        <v>900</v>
      </c>
      <c r="CK61" s="841">
        <v>0</v>
      </c>
      <c r="CL61" s="841" t="s">
        <v>353</v>
      </c>
      <c r="CM61" s="841">
        <v>1</v>
      </c>
      <c r="CN61" s="841" t="s">
        <v>353</v>
      </c>
      <c r="CO61" s="841" t="s">
        <v>353</v>
      </c>
      <c r="CP61" s="841" t="s">
        <v>1988</v>
      </c>
      <c r="CQ61" s="841" t="s">
        <v>353</v>
      </c>
      <c r="CR61" s="841" t="s">
        <v>353</v>
      </c>
      <c r="CS61" s="841" t="s">
        <v>1405</v>
      </c>
      <c r="CT61" s="841" t="s">
        <v>353</v>
      </c>
      <c r="CU61" s="841" t="s">
        <v>1391</v>
      </c>
      <c r="CV61" s="841" t="s">
        <v>353</v>
      </c>
      <c r="CW61" s="841" t="s">
        <v>353</v>
      </c>
      <c r="CX61" s="841" t="s">
        <v>353</v>
      </c>
      <c r="CY61" s="841" t="s">
        <v>353</v>
      </c>
      <c r="CZ61" s="841">
        <v>2</v>
      </c>
      <c r="DA61" s="841" t="s">
        <v>353</v>
      </c>
      <c r="DB61" s="843">
        <v>44601</v>
      </c>
      <c r="DC61" s="841" t="s">
        <v>353</v>
      </c>
      <c r="DD61" s="841" t="s">
        <v>353</v>
      </c>
      <c r="DE61" s="841" t="s">
        <v>353</v>
      </c>
      <c r="DF61" s="841">
        <v>0.65</v>
      </c>
      <c r="DG61" s="841" t="s">
        <v>353</v>
      </c>
      <c r="DH61" s="841" t="s">
        <v>353</v>
      </c>
      <c r="DI61" s="841" t="s">
        <v>353</v>
      </c>
      <c r="DJ61" s="841" t="s">
        <v>1887</v>
      </c>
      <c r="DK61" s="841" t="s">
        <v>353</v>
      </c>
      <c r="DL61" s="842">
        <v>44593.607638888891</v>
      </c>
      <c r="DM61" s="841" t="s">
        <v>353</v>
      </c>
      <c r="DN61" s="841" t="s">
        <v>33</v>
      </c>
      <c r="DO61" s="841" t="s">
        <v>673</v>
      </c>
      <c r="DP61" s="841" t="s">
        <v>1481</v>
      </c>
      <c r="DQ61" s="841" t="s">
        <v>1451</v>
      </c>
      <c r="DR61" s="841" t="s">
        <v>353</v>
      </c>
      <c r="DS61" s="841">
        <v>18</v>
      </c>
      <c r="DT61" s="841" t="s">
        <v>353</v>
      </c>
      <c r="DU61" s="841" t="s">
        <v>353</v>
      </c>
      <c r="DV61" s="841">
        <v>328346.7</v>
      </c>
      <c r="DW61" s="841">
        <v>517000</v>
      </c>
      <c r="DX61" s="841" t="s">
        <v>33</v>
      </c>
      <c r="DY61" s="841" t="s">
        <v>353</v>
      </c>
      <c r="DZ61" s="841" t="s">
        <v>353</v>
      </c>
      <c r="EA61" s="841" t="s">
        <v>353</v>
      </c>
      <c r="EB61" s="841" t="s">
        <v>353</v>
      </c>
      <c r="EC61" s="841" t="s">
        <v>353</v>
      </c>
      <c r="ED61" s="841" t="s">
        <v>353</v>
      </c>
      <c r="EE61" s="841" t="s">
        <v>27</v>
      </c>
      <c r="EF61" s="841" t="s">
        <v>353</v>
      </c>
      <c r="EG61" s="841" t="s">
        <v>353</v>
      </c>
      <c r="EH61" s="841" t="s">
        <v>33</v>
      </c>
      <c r="EI61" s="841">
        <v>179605.8</v>
      </c>
      <c r="EJ61" s="841" t="s">
        <v>353</v>
      </c>
      <c r="EK61" s="841" t="s">
        <v>353</v>
      </c>
      <c r="EL61" s="841" t="s">
        <v>1435</v>
      </c>
      <c r="EM61" s="841">
        <v>9047.5</v>
      </c>
      <c r="EN61" s="841" t="s">
        <v>353</v>
      </c>
      <c r="EO61" s="841" t="s">
        <v>353</v>
      </c>
      <c r="EP61" s="841" t="s">
        <v>353</v>
      </c>
      <c r="EQ61" s="841" t="s">
        <v>353</v>
      </c>
      <c r="ER61" s="841" t="s">
        <v>353</v>
      </c>
      <c r="ES61" s="841" t="s">
        <v>33</v>
      </c>
      <c r="ET61" s="841" t="s">
        <v>1512</v>
      </c>
      <c r="EU61" s="841" t="s">
        <v>1888</v>
      </c>
      <c r="EV61" s="841" t="s">
        <v>353</v>
      </c>
      <c r="EW61" s="841" t="s">
        <v>353</v>
      </c>
      <c r="EX61" s="841" t="s">
        <v>33</v>
      </c>
      <c r="EY61" s="842">
        <v>44596.711805555555</v>
      </c>
      <c r="EZ61" s="841" t="s">
        <v>353</v>
      </c>
      <c r="FA61" s="841" t="s">
        <v>353</v>
      </c>
      <c r="FB61" s="841" t="s">
        <v>353</v>
      </c>
      <c r="FC61" s="841" t="s">
        <v>353</v>
      </c>
      <c r="FD61" s="841" t="s">
        <v>353</v>
      </c>
      <c r="FE61" s="842">
        <v>44593.60833333333</v>
      </c>
      <c r="FF61" s="841" t="s">
        <v>353</v>
      </c>
      <c r="FG61" s="841" t="s">
        <v>353</v>
      </c>
      <c r="FH61" s="841" t="s">
        <v>353</v>
      </c>
      <c r="FI61" s="841" t="s">
        <v>353</v>
      </c>
      <c r="FJ61" s="841" t="s">
        <v>353</v>
      </c>
      <c r="FK61" s="841" t="s">
        <v>353</v>
      </c>
      <c r="FL61" s="841" t="s">
        <v>353</v>
      </c>
      <c r="FM61" s="841" t="s">
        <v>353</v>
      </c>
      <c r="FN61" s="841" t="s">
        <v>353</v>
      </c>
      <c r="FO61" s="841" t="s">
        <v>1989</v>
      </c>
      <c r="FP61" s="841" t="s">
        <v>353</v>
      </c>
      <c r="FQ61" s="841" t="s">
        <v>353</v>
      </c>
      <c r="FR61" s="841" t="s">
        <v>353</v>
      </c>
      <c r="FS61" s="841" t="s">
        <v>353</v>
      </c>
      <c r="FT61" s="841" t="s">
        <v>353</v>
      </c>
      <c r="FU61" s="841" t="s">
        <v>1714</v>
      </c>
      <c r="FV61" s="841" t="s">
        <v>353</v>
      </c>
      <c r="FW61" s="841" t="s">
        <v>353</v>
      </c>
      <c r="FX61" s="841" t="s">
        <v>353</v>
      </c>
      <c r="FY61" s="841" t="s">
        <v>353</v>
      </c>
      <c r="FZ61" s="841" t="s">
        <v>353</v>
      </c>
      <c r="GA61" s="841" t="s">
        <v>353</v>
      </c>
      <c r="GB61" s="841">
        <v>1</v>
      </c>
      <c r="GC61" s="841" t="s">
        <v>353</v>
      </c>
      <c r="GD61" s="841" t="s">
        <v>1395</v>
      </c>
      <c r="GE61" s="841" t="s">
        <v>353</v>
      </c>
      <c r="GF61" s="841" t="s">
        <v>353</v>
      </c>
      <c r="GG61" s="841" t="s">
        <v>349</v>
      </c>
      <c r="GH61" s="841">
        <v>310200</v>
      </c>
      <c r="GI61" s="841" t="s">
        <v>353</v>
      </c>
      <c r="GJ61" s="841" t="s">
        <v>353</v>
      </c>
      <c r="GK61" s="841" t="s">
        <v>353</v>
      </c>
      <c r="GL61" s="841" t="s">
        <v>1468</v>
      </c>
      <c r="GM61" s="841" t="s">
        <v>353</v>
      </c>
      <c r="GN61" s="841" t="s">
        <v>353</v>
      </c>
      <c r="GO61" s="841" t="s">
        <v>353</v>
      </c>
      <c r="GP61" s="841" t="s">
        <v>353</v>
      </c>
      <c r="GQ61" s="841" t="s">
        <v>353</v>
      </c>
      <c r="GR61" s="841" t="s">
        <v>353</v>
      </c>
      <c r="GS61" s="841" t="s">
        <v>1662</v>
      </c>
      <c r="GT61" s="841" t="s">
        <v>353</v>
      </c>
      <c r="GU61" s="841" t="s">
        <v>353</v>
      </c>
      <c r="GV61" s="841" t="s">
        <v>1419</v>
      </c>
      <c r="GW61" s="841" t="s">
        <v>353</v>
      </c>
      <c r="GX61" s="841" t="s">
        <v>353</v>
      </c>
      <c r="GY61" s="841">
        <v>24</v>
      </c>
      <c r="GZ61" s="841" t="s">
        <v>1420</v>
      </c>
      <c r="HA61" s="841" t="s">
        <v>353</v>
      </c>
      <c r="HB61" s="841" t="s">
        <v>353</v>
      </c>
      <c r="HC61" s="841" t="s">
        <v>1421</v>
      </c>
      <c r="HD61" s="841" t="s">
        <v>1990</v>
      </c>
      <c r="HE61" s="841">
        <v>5170</v>
      </c>
      <c r="HF61" s="841" t="s">
        <v>353</v>
      </c>
      <c r="HG61" s="841" t="s">
        <v>353</v>
      </c>
      <c r="HH61" s="841">
        <v>780</v>
      </c>
      <c r="HI61" s="841" t="s">
        <v>1439</v>
      </c>
      <c r="HJ61" s="841" t="s">
        <v>1890</v>
      </c>
      <c r="HK61" s="841">
        <v>517000</v>
      </c>
      <c r="HL61" s="841" t="s">
        <v>353</v>
      </c>
      <c r="HM61" s="841" t="s">
        <v>1530</v>
      </c>
      <c r="HN61" s="841" t="s">
        <v>33</v>
      </c>
      <c r="HO61" s="841" t="s">
        <v>353</v>
      </c>
      <c r="HP61" s="841">
        <v>29934.3</v>
      </c>
      <c r="HQ61" s="841" t="s">
        <v>353</v>
      </c>
      <c r="HR61" s="841" t="s">
        <v>353</v>
      </c>
      <c r="HS61" s="841">
        <v>337394.2</v>
      </c>
      <c r="HT61" s="841" t="s">
        <v>353</v>
      </c>
      <c r="HU61" s="841" t="s">
        <v>353</v>
      </c>
      <c r="HV61" s="841" t="s">
        <v>353</v>
      </c>
      <c r="HW61" s="841">
        <v>690000</v>
      </c>
      <c r="HX61" s="841" t="s">
        <v>353</v>
      </c>
      <c r="HY61" s="841" t="s">
        <v>353</v>
      </c>
      <c r="HZ61" s="841" t="s">
        <v>353</v>
      </c>
      <c r="IA61" s="841" t="s">
        <v>353</v>
      </c>
      <c r="IB61" s="841" t="s">
        <v>1424</v>
      </c>
      <c r="IC61" s="843">
        <v>44596</v>
      </c>
      <c r="ID61" s="841" t="s">
        <v>353</v>
      </c>
      <c r="IE61" s="841" t="s">
        <v>353</v>
      </c>
      <c r="IF61" s="841" t="s">
        <v>353</v>
      </c>
      <c r="IG61" s="841" t="s">
        <v>353</v>
      </c>
      <c r="IH61" s="841" t="s">
        <v>353</v>
      </c>
      <c r="II61" s="841" t="s">
        <v>353</v>
      </c>
      <c r="IJ61" s="841" t="s">
        <v>353</v>
      </c>
      <c r="IK61" s="841" t="s">
        <v>353</v>
      </c>
      <c r="IL61" s="841">
        <v>496992</v>
      </c>
      <c r="IM61" s="841" t="s">
        <v>353</v>
      </c>
      <c r="IN61" s="841" t="s">
        <v>353</v>
      </c>
      <c r="IO61" s="841">
        <v>199</v>
      </c>
      <c r="IP61" s="841" t="s">
        <v>353</v>
      </c>
      <c r="IQ61" s="841" t="s">
        <v>353</v>
      </c>
      <c r="IR61" s="841">
        <v>6</v>
      </c>
      <c r="IS61" s="841" t="s">
        <v>33</v>
      </c>
      <c r="IT61" s="841" t="s">
        <v>353</v>
      </c>
      <c r="IU61" s="841" t="s">
        <v>353</v>
      </c>
      <c r="IV61" s="841" t="s">
        <v>353</v>
      </c>
      <c r="IW61" s="841" t="s">
        <v>353</v>
      </c>
      <c r="IX61" s="841" t="s">
        <v>353</v>
      </c>
      <c r="IY61" s="841" t="s">
        <v>1578</v>
      </c>
      <c r="IZ61" s="841" t="s">
        <v>353</v>
      </c>
      <c r="JA61" s="841">
        <v>517000</v>
      </c>
      <c r="JB61" s="841" t="s">
        <v>353</v>
      </c>
      <c r="JC61" s="841" t="s">
        <v>353</v>
      </c>
      <c r="JD61" s="841" t="s">
        <v>1413</v>
      </c>
      <c r="JE61" s="841" t="s">
        <v>33</v>
      </c>
      <c r="JF61" s="841" t="s">
        <v>1891</v>
      </c>
      <c r="JG61" s="841" t="s">
        <v>1892</v>
      </c>
      <c r="JH61" s="841" t="s">
        <v>1893</v>
      </c>
      <c r="JI61" s="841" t="s">
        <v>1894</v>
      </c>
    </row>
    <row r="62" spans="1:269" x14ac:dyDescent="0.25">
      <c r="A62" s="841" t="s">
        <v>1991</v>
      </c>
      <c r="B62" s="841" t="s">
        <v>353</v>
      </c>
      <c r="C62" s="841" t="s">
        <v>353</v>
      </c>
      <c r="D62" s="841" t="s">
        <v>353</v>
      </c>
      <c r="E62" s="841" t="s">
        <v>353</v>
      </c>
      <c r="F62" s="841" t="s">
        <v>353</v>
      </c>
      <c r="G62" s="841" t="s">
        <v>1841</v>
      </c>
      <c r="H62" s="841" t="s">
        <v>353</v>
      </c>
      <c r="I62" s="841" t="s">
        <v>353</v>
      </c>
      <c r="J62" s="841" t="s">
        <v>353</v>
      </c>
      <c r="K62" s="841" t="s">
        <v>353</v>
      </c>
      <c r="L62" s="842">
        <v>44593.443055555559</v>
      </c>
      <c r="M62" s="841" t="s">
        <v>353</v>
      </c>
      <c r="N62" s="841" t="s">
        <v>353</v>
      </c>
      <c r="O62" s="841" t="s">
        <v>353</v>
      </c>
      <c r="P62" s="841" t="s">
        <v>353</v>
      </c>
      <c r="Q62" s="841" t="s">
        <v>353</v>
      </c>
      <c r="R62" s="841" t="s">
        <v>353</v>
      </c>
      <c r="S62" s="841" t="s">
        <v>61</v>
      </c>
      <c r="T62" s="841" t="s">
        <v>1390</v>
      </c>
      <c r="U62" s="841" t="s">
        <v>353</v>
      </c>
      <c r="V62" s="841" t="s">
        <v>353</v>
      </c>
      <c r="W62" s="841" t="s">
        <v>353</v>
      </c>
      <c r="X62" s="841" t="s">
        <v>1405</v>
      </c>
      <c r="Y62" s="841" t="s">
        <v>353</v>
      </c>
      <c r="Z62" s="841" t="s">
        <v>353</v>
      </c>
      <c r="AA62" s="841" t="s">
        <v>353</v>
      </c>
      <c r="AB62" s="841" t="s">
        <v>353</v>
      </c>
      <c r="AC62" s="841">
        <v>81600</v>
      </c>
      <c r="AD62" s="841" t="s">
        <v>353</v>
      </c>
      <c r="AE62" s="841" t="s">
        <v>353</v>
      </c>
      <c r="AF62" s="841">
        <v>1628.6</v>
      </c>
      <c r="AG62" s="841" t="s">
        <v>353</v>
      </c>
      <c r="AH62" s="841">
        <v>2100</v>
      </c>
      <c r="AI62" s="841" t="s">
        <v>1521</v>
      </c>
      <c r="AJ62" s="841" t="s">
        <v>353</v>
      </c>
      <c r="AK62" s="841">
        <v>75</v>
      </c>
      <c r="AL62" s="841" t="s">
        <v>353</v>
      </c>
      <c r="AM62" s="841" t="s">
        <v>353</v>
      </c>
      <c r="AN62" s="841" t="s">
        <v>353</v>
      </c>
      <c r="AO62" s="841" t="s">
        <v>353</v>
      </c>
      <c r="AP62" s="841" t="s">
        <v>353</v>
      </c>
      <c r="AQ62" s="841" t="s">
        <v>353</v>
      </c>
      <c r="AR62" s="841" t="s">
        <v>353</v>
      </c>
      <c r="AS62" s="841" t="s">
        <v>353</v>
      </c>
      <c r="AT62" s="841" t="s">
        <v>353</v>
      </c>
      <c r="AU62" s="841" t="s">
        <v>353</v>
      </c>
      <c r="AV62" s="841" t="s">
        <v>353</v>
      </c>
      <c r="AW62" s="841" t="s">
        <v>353</v>
      </c>
      <c r="AX62" s="841" t="s">
        <v>353</v>
      </c>
      <c r="AY62" s="841" t="s">
        <v>353</v>
      </c>
      <c r="AZ62" s="841" t="s">
        <v>353</v>
      </c>
      <c r="BA62" s="841" t="s">
        <v>353</v>
      </c>
      <c r="BB62" s="841" t="s">
        <v>353</v>
      </c>
      <c r="BC62" s="841">
        <v>401880</v>
      </c>
      <c r="BD62" s="841" t="s">
        <v>353</v>
      </c>
      <c r="BE62" s="841" t="s">
        <v>353</v>
      </c>
      <c r="BF62" s="841" t="s">
        <v>353</v>
      </c>
      <c r="BG62" s="841" t="s">
        <v>353</v>
      </c>
      <c r="BH62" s="841" t="s">
        <v>353</v>
      </c>
      <c r="BI62" s="841" t="s">
        <v>353</v>
      </c>
      <c r="BJ62" s="841" t="s">
        <v>353</v>
      </c>
      <c r="BK62" s="841">
        <v>246083</v>
      </c>
      <c r="BL62" s="841" t="s">
        <v>1992</v>
      </c>
      <c r="BM62" s="842">
        <v>44620.438194444447</v>
      </c>
      <c r="BN62" s="841" t="s">
        <v>353</v>
      </c>
      <c r="BO62" s="841" t="s">
        <v>353</v>
      </c>
      <c r="BP62" s="841" t="s">
        <v>353</v>
      </c>
      <c r="BQ62" s="841" t="s">
        <v>353</v>
      </c>
      <c r="BR62" s="841" t="s">
        <v>353</v>
      </c>
      <c r="BS62" s="841" t="s">
        <v>353</v>
      </c>
      <c r="BT62" s="841">
        <v>408000</v>
      </c>
      <c r="BU62" s="841" t="s">
        <v>353</v>
      </c>
      <c r="BV62" s="841" t="s">
        <v>1993</v>
      </c>
      <c r="BW62" s="841" t="s">
        <v>353</v>
      </c>
      <c r="BX62" s="841" t="s">
        <v>1994</v>
      </c>
      <c r="BY62" s="841" t="s">
        <v>353</v>
      </c>
      <c r="BZ62" s="841" t="s">
        <v>353</v>
      </c>
      <c r="CA62" s="841" t="s">
        <v>353</v>
      </c>
      <c r="CB62" s="841" t="s">
        <v>353</v>
      </c>
      <c r="CC62" s="841" t="s">
        <v>353</v>
      </c>
      <c r="CD62" s="841" t="s">
        <v>353</v>
      </c>
      <c r="CE62" s="841" t="s">
        <v>353</v>
      </c>
      <c r="CF62" s="841" t="s">
        <v>353</v>
      </c>
      <c r="CG62" s="841" t="s">
        <v>353</v>
      </c>
      <c r="CH62" s="841" t="s">
        <v>353</v>
      </c>
      <c r="CI62" s="841" t="s">
        <v>353</v>
      </c>
      <c r="CJ62" s="841" t="s">
        <v>353</v>
      </c>
      <c r="CK62" s="841">
        <v>20</v>
      </c>
      <c r="CL62" s="841" t="s">
        <v>353</v>
      </c>
      <c r="CM62" s="841">
        <v>21</v>
      </c>
      <c r="CN62" s="841" t="s">
        <v>353</v>
      </c>
      <c r="CO62" s="841" t="s">
        <v>353</v>
      </c>
      <c r="CP62" s="841" t="s">
        <v>1995</v>
      </c>
      <c r="CQ62" s="841" t="s">
        <v>353</v>
      </c>
      <c r="CR62" s="841" t="s">
        <v>353</v>
      </c>
      <c r="CS62" s="841" t="s">
        <v>353</v>
      </c>
      <c r="CT62" s="841" t="s">
        <v>353</v>
      </c>
      <c r="CU62" s="841" t="s">
        <v>1593</v>
      </c>
      <c r="CV62" s="841" t="s">
        <v>353</v>
      </c>
      <c r="CW62" s="841" t="s">
        <v>353</v>
      </c>
      <c r="CX62" s="841" t="s">
        <v>353</v>
      </c>
      <c r="CY62" s="841" t="s">
        <v>353</v>
      </c>
      <c r="CZ62" s="841" t="s">
        <v>353</v>
      </c>
      <c r="DA62" s="841" t="s">
        <v>353</v>
      </c>
      <c r="DB62" s="841" t="s">
        <v>353</v>
      </c>
      <c r="DC62" s="841" t="s">
        <v>353</v>
      </c>
      <c r="DD62" s="841" t="s">
        <v>353</v>
      </c>
      <c r="DE62" s="841" t="s">
        <v>353</v>
      </c>
      <c r="DF62" s="841">
        <v>24</v>
      </c>
      <c r="DG62" s="841" t="s">
        <v>353</v>
      </c>
      <c r="DH62" s="841" t="s">
        <v>353</v>
      </c>
      <c r="DI62" s="841" t="s">
        <v>353</v>
      </c>
      <c r="DJ62" s="841" t="s">
        <v>1996</v>
      </c>
      <c r="DK62" s="841" t="s">
        <v>353</v>
      </c>
      <c r="DL62" s="842">
        <v>44593.438194444447</v>
      </c>
      <c r="DM62" s="841" t="s">
        <v>353</v>
      </c>
      <c r="DN62" s="841" t="s">
        <v>353</v>
      </c>
      <c r="DO62" s="841" t="s">
        <v>353</v>
      </c>
      <c r="DP62" s="841" t="s">
        <v>353</v>
      </c>
      <c r="DQ62" s="841" t="s">
        <v>1997</v>
      </c>
      <c r="DR62" s="841">
        <v>544000</v>
      </c>
      <c r="DS62" s="841">
        <v>24</v>
      </c>
      <c r="DT62" s="841" t="s">
        <v>353</v>
      </c>
      <c r="DU62" s="841" t="s">
        <v>353</v>
      </c>
      <c r="DV62" s="841" t="s">
        <v>353</v>
      </c>
      <c r="DW62" s="841">
        <v>408000</v>
      </c>
      <c r="DX62" s="841" t="s">
        <v>353</v>
      </c>
      <c r="DY62" s="841" t="s">
        <v>353</v>
      </c>
      <c r="DZ62" s="841" t="s">
        <v>353</v>
      </c>
      <c r="EA62" s="841" t="s">
        <v>353</v>
      </c>
      <c r="EB62" s="841" t="s">
        <v>353</v>
      </c>
      <c r="EC62" s="841" t="s">
        <v>353</v>
      </c>
      <c r="ED62" s="841" t="s">
        <v>353</v>
      </c>
      <c r="EE62" s="841" t="s">
        <v>353</v>
      </c>
      <c r="EF62" s="841" t="s">
        <v>353</v>
      </c>
      <c r="EG62" s="841" t="s">
        <v>353</v>
      </c>
      <c r="EH62" s="841" t="s">
        <v>353</v>
      </c>
      <c r="EI62" s="841">
        <v>0</v>
      </c>
      <c r="EJ62" s="841" t="s">
        <v>353</v>
      </c>
      <c r="EK62" s="841" t="s">
        <v>353</v>
      </c>
      <c r="EL62" s="841" t="s">
        <v>1930</v>
      </c>
      <c r="EM62" s="841" t="s">
        <v>353</v>
      </c>
      <c r="EN62" s="841" t="s">
        <v>353</v>
      </c>
      <c r="EO62" s="841" t="s">
        <v>353</v>
      </c>
      <c r="EP62" s="841" t="s">
        <v>353</v>
      </c>
      <c r="EQ62" s="841" t="s">
        <v>353</v>
      </c>
      <c r="ER62" s="841" t="s">
        <v>353</v>
      </c>
      <c r="ES62" s="841" t="s">
        <v>353</v>
      </c>
      <c r="ET62" s="841" t="s">
        <v>1496</v>
      </c>
      <c r="EU62" s="841" t="s">
        <v>353</v>
      </c>
      <c r="EV62" s="841" t="s">
        <v>353</v>
      </c>
      <c r="EW62" s="841" t="s">
        <v>353</v>
      </c>
      <c r="EX62" s="841" t="s">
        <v>353</v>
      </c>
      <c r="EY62" s="842">
        <v>44593.443055555559</v>
      </c>
      <c r="EZ62" s="841" t="s">
        <v>353</v>
      </c>
      <c r="FA62" s="841" t="s">
        <v>353</v>
      </c>
      <c r="FB62" s="841" t="s">
        <v>353</v>
      </c>
      <c r="FC62" s="841" t="s">
        <v>353</v>
      </c>
      <c r="FD62" s="841" t="s">
        <v>353</v>
      </c>
      <c r="FE62" s="842">
        <v>44593.438194444447</v>
      </c>
      <c r="FF62" s="841" t="s">
        <v>353</v>
      </c>
      <c r="FG62" s="841" t="s">
        <v>353</v>
      </c>
      <c r="FH62" s="841" t="s">
        <v>353</v>
      </c>
      <c r="FI62" s="841" t="s">
        <v>353</v>
      </c>
      <c r="FJ62" s="841" t="s">
        <v>353</v>
      </c>
      <c r="FK62" s="841" t="s">
        <v>353</v>
      </c>
      <c r="FL62" s="841" t="s">
        <v>353</v>
      </c>
      <c r="FM62" s="841" t="s">
        <v>353</v>
      </c>
      <c r="FN62" s="841" t="s">
        <v>353</v>
      </c>
      <c r="FO62" s="841" t="s">
        <v>1528</v>
      </c>
      <c r="FP62" s="841" t="s">
        <v>353</v>
      </c>
      <c r="FQ62" s="841" t="s">
        <v>353</v>
      </c>
      <c r="FR62" s="841" t="s">
        <v>353</v>
      </c>
      <c r="FS62" s="841" t="s">
        <v>353</v>
      </c>
      <c r="FT62" s="841" t="s">
        <v>353</v>
      </c>
      <c r="FU62" s="841" t="s">
        <v>1416</v>
      </c>
      <c r="FV62" s="841" t="s">
        <v>353</v>
      </c>
      <c r="FW62" s="841" t="s">
        <v>353</v>
      </c>
      <c r="FX62" s="841" t="s">
        <v>353</v>
      </c>
      <c r="FY62" s="841" t="s">
        <v>353</v>
      </c>
      <c r="FZ62" s="841" t="s">
        <v>353</v>
      </c>
      <c r="GA62" s="841" t="s">
        <v>353</v>
      </c>
      <c r="GB62" s="841">
        <v>1</v>
      </c>
      <c r="GC62" s="841" t="s">
        <v>353</v>
      </c>
      <c r="GD62" s="841" t="s">
        <v>1594</v>
      </c>
      <c r="GE62" s="841" t="s">
        <v>353</v>
      </c>
      <c r="GF62" s="841" t="s">
        <v>353</v>
      </c>
      <c r="GG62" s="841" t="s">
        <v>353</v>
      </c>
      <c r="GH62" s="841">
        <v>81600</v>
      </c>
      <c r="GI62" s="841" t="s">
        <v>353</v>
      </c>
      <c r="GJ62" s="841" t="s">
        <v>353</v>
      </c>
      <c r="GK62" s="841" t="s">
        <v>353</v>
      </c>
      <c r="GL62" s="841" t="s">
        <v>1595</v>
      </c>
      <c r="GM62" s="841" t="s">
        <v>353</v>
      </c>
      <c r="GN62" s="841" t="s">
        <v>353</v>
      </c>
      <c r="GO62" s="841" t="s">
        <v>353</v>
      </c>
      <c r="GP62" s="841" t="s">
        <v>353</v>
      </c>
      <c r="GQ62" s="841" t="s">
        <v>353</v>
      </c>
      <c r="GR62" s="842">
        <v>44592.647916666669</v>
      </c>
      <c r="GS62" s="841" t="s">
        <v>1993</v>
      </c>
      <c r="GT62" s="841" t="s">
        <v>353</v>
      </c>
      <c r="GU62" s="841" t="s">
        <v>353</v>
      </c>
      <c r="GV62" s="841" t="s">
        <v>1419</v>
      </c>
      <c r="GW62" s="841" t="s">
        <v>353</v>
      </c>
      <c r="GX62" s="841" t="s">
        <v>1998</v>
      </c>
      <c r="GY62" s="841">
        <v>24</v>
      </c>
      <c r="GZ62" s="841" t="s">
        <v>1486</v>
      </c>
      <c r="HA62" s="841" t="s">
        <v>353</v>
      </c>
      <c r="HB62" s="841" t="s">
        <v>353</v>
      </c>
      <c r="HC62" s="841" t="s">
        <v>1421</v>
      </c>
      <c r="HD62" s="841" t="s">
        <v>1999</v>
      </c>
      <c r="HE62" s="841" t="s">
        <v>353</v>
      </c>
      <c r="HF62" s="841" t="s">
        <v>353</v>
      </c>
      <c r="HG62" s="841" t="s">
        <v>353</v>
      </c>
      <c r="HH62" s="841" t="s">
        <v>353</v>
      </c>
      <c r="HI62" s="841" t="s">
        <v>1422</v>
      </c>
      <c r="HJ62" s="841" t="s">
        <v>353</v>
      </c>
      <c r="HK62" s="841">
        <v>408000</v>
      </c>
      <c r="HL62" s="841" t="s">
        <v>353</v>
      </c>
      <c r="HM62" s="841" t="s">
        <v>1530</v>
      </c>
      <c r="HN62" s="841" t="s">
        <v>353</v>
      </c>
      <c r="HO62" s="841" t="s">
        <v>353</v>
      </c>
      <c r="HP62" s="841">
        <v>19543.2</v>
      </c>
      <c r="HQ62" s="841" t="s">
        <v>353</v>
      </c>
      <c r="HR62" s="841" t="s">
        <v>353</v>
      </c>
      <c r="HS62" s="841" t="s">
        <v>353</v>
      </c>
      <c r="HT62" s="841" t="s">
        <v>353</v>
      </c>
      <c r="HU62" s="841" t="s">
        <v>353</v>
      </c>
      <c r="HV62" s="841" t="s">
        <v>353</v>
      </c>
      <c r="HW62" s="841">
        <v>544000</v>
      </c>
      <c r="HX62" s="841" t="s">
        <v>353</v>
      </c>
      <c r="HY62" s="841" t="s">
        <v>353</v>
      </c>
      <c r="HZ62" s="841" t="s">
        <v>353</v>
      </c>
      <c r="IA62" s="841" t="s">
        <v>353</v>
      </c>
      <c r="IB62" s="841" t="s">
        <v>1424</v>
      </c>
      <c r="IC62" s="841" t="s">
        <v>353</v>
      </c>
      <c r="ID62" s="841" t="s">
        <v>353</v>
      </c>
      <c r="IE62" s="841" t="s">
        <v>353</v>
      </c>
      <c r="IF62" s="841" t="s">
        <v>353</v>
      </c>
      <c r="IG62" s="841" t="s">
        <v>353</v>
      </c>
      <c r="IH62" s="841" t="s">
        <v>353</v>
      </c>
      <c r="II62" s="841" t="s">
        <v>353</v>
      </c>
      <c r="IJ62" s="841" t="s">
        <v>353</v>
      </c>
      <c r="IK62" s="841" t="s">
        <v>353</v>
      </c>
      <c r="IL62" s="841">
        <v>408000</v>
      </c>
      <c r="IM62" s="841" t="s">
        <v>353</v>
      </c>
      <c r="IN62" s="841" t="s">
        <v>353</v>
      </c>
      <c r="IO62" s="841" t="s">
        <v>353</v>
      </c>
      <c r="IP62" s="841" t="s">
        <v>353</v>
      </c>
      <c r="IQ62" s="841" t="s">
        <v>353</v>
      </c>
      <c r="IR62" s="841">
        <v>0</v>
      </c>
      <c r="IS62" s="841" t="s">
        <v>353</v>
      </c>
      <c r="IT62" s="841" t="s">
        <v>353</v>
      </c>
      <c r="IU62" s="841" t="s">
        <v>353</v>
      </c>
      <c r="IV62" s="841" t="s">
        <v>353</v>
      </c>
      <c r="IW62" s="841" t="s">
        <v>353</v>
      </c>
      <c r="IX62" s="841" t="s">
        <v>353</v>
      </c>
      <c r="IY62" s="841" t="s">
        <v>1578</v>
      </c>
      <c r="IZ62" s="841" t="s">
        <v>353</v>
      </c>
      <c r="JA62" s="841">
        <v>408000</v>
      </c>
      <c r="JB62" s="841" t="s">
        <v>353</v>
      </c>
      <c r="JC62" s="841" t="s">
        <v>353</v>
      </c>
      <c r="JD62" s="841" t="s">
        <v>1488</v>
      </c>
      <c r="JE62" s="841" t="s">
        <v>353</v>
      </c>
      <c r="JF62" s="841" t="s">
        <v>2000</v>
      </c>
      <c r="JG62" s="841" t="s">
        <v>2001</v>
      </c>
      <c r="JH62" s="841" t="s">
        <v>2002</v>
      </c>
      <c r="JI62" s="841" t="s">
        <v>2003</v>
      </c>
    </row>
    <row r="63" spans="1:269" x14ac:dyDescent="0.25">
      <c r="A63" s="841" t="s">
        <v>2004</v>
      </c>
      <c r="B63" s="841" t="s">
        <v>353</v>
      </c>
      <c r="C63" s="841" t="s">
        <v>353</v>
      </c>
      <c r="D63" s="841" t="s">
        <v>353</v>
      </c>
      <c r="E63" s="841" t="s">
        <v>33</v>
      </c>
      <c r="F63" s="841" t="s">
        <v>1405</v>
      </c>
      <c r="G63" s="841" t="s">
        <v>2005</v>
      </c>
      <c r="H63" s="841" t="s">
        <v>353</v>
      </c>
      <c r="I63" s="841" t="s">
        <v>353</v>
      </c>
      <c r="J63" s="841" t="s">
        <v>353</v>
      </c>
      <c r="K63" s="841" t="s">
        <v>353</v>
      </c>
      <c r="L63" s="842">
        <v>44608.408333333333</v>
      </c>
      <c r="M63" s="841" t="s">
        <v>353</v>
      </c>
      <c r="N63" s="841" t="s">
        <v>353</v>
      </c>
      <c r="O63" s="841" t="s">
        <v>353</v>
      </c>
      <c r="P63" s="841" t="s">
        <v>33</v>
      </c>
      <c r="Q63" s="841" t="s">
        <v>353</v>
      </c>
      <c r="R63" s="841" t="s">
        <v>353</v>
      </c>
      <c r="S63" s="841" t="s">
        <v>61</v>
      </c>
      <c r="T63" s="841" t="s">
        <v>1390</v>
      </c>
      <c r="U63" s="841" t="s">
        <v>353</v>
      </c>
      <c r="V63" s="841" t="s">
        <v>353</v>
      </c>
      <c r="W63" s="841" t="s">
        <v>1575</v>
      </c>
      <c r="X63" s="841" t="s">
        <v>2006</v>
      </c>
      <c r="Y63" s="841" t="s">
        <v>353</v>
      </c>
      <c r="Z63" s="841" t="s">
        <v>353</v>
      </c>
      <c r="AA63" s="841" t="s">
        <v>33</v>
      </c>
      <c r="AB63" s="841" t="s">
        <v>353</v>
      </c>
      <c r="AC63" s="841">
        <v>1260000</v>
      </c>
      <c r="AD63" s="841" t="s">
        <v>353</v>
      </c>
      <c r="AE63" s="841" t="s">
        <v>33</v>
      </c>
      <c r="AF63" s="841" t="s">
        <v>353</v>
      </c>
      <c r="AG63" s="841" t="s">
        <v>353</v>
      </c>
      <c r="AH63" s="841">
        <v>8000</v>
      </c>
      <c r="AI63" s="841" t="s">
        <v>1406</v>
      </c>
      <c r="AJ63" s="841" t="s">
        <v>353</v>
      </c>
      <c r="AK63" s="841">
        <v>75</v>
      </c>
      <c r="AL63" s="841" t="s">
        <v>353</v>
      </c>
      <c r="AM63" s="841" t="s">
        <v>353</v>
      </c>
      <c r="AN63" s="841" t="s">
        <v>353</v>
      </c>
      <c r="AO63" s="841" t="s">
        <v>353</v>
      </c>
      <c r="AP63" s="841" t="s">
        <v>353</v>
      </c>
      <c r="AQ63" s="841" t="s">
        <v>353</v>
      </c>
      <c r="AR63" s="841" t="s">
        <v>33</v>
      </c>
      <c r="AS63" s="841" t="s">
        <v>353</v>
      </c>
      <c r="AT63" s="841" t="s">
        <v>353</v>
      </c>
      <c r="AU63" s="841" t="s">
        <v>353</v>
      </c>
      <c r="AV63" s="841" t="s">
        <v>353</v>
      </c>
      <c r="AW63" s="843">
        <v>44596</v>
      </c>
      <c r="AX63" s="841" t="s">
        <v>353</v>
      </c>
      <c r="AY63" s="841" t="s">
        <v>353</v>
      </c>
      <c r="AZ63" s="841" t="s">
        <v>353</v>
      </c>
      <c r="BA63" s="841" t="s">
        <v>353</v>
      </c>
      <c r="BB63" s="841" t="s">
        <v>353</v>
      </c>
      <c r="BC63" s="841">
        <v>2026815</v>
      </c>
      <c r="BD63" s="841" t="s">
        <v>353</v>
      </c>
      <c r="BE63" s="841" t="s">
        <v>353</v>
      </c>
      <c r="BF63" s="841" t="s">
        <v>353</v>
      </c>
      <c r="BG63" s="841" t="s">
        <v>353</v>
      </c>
      <c r="BH63" s="841" t="s">
        <v>353</v>
      </c>
      <c r="BI63" s="841" t="s">
        <v>353</v>
      </c>
      <c r="BJ63" s="841" t="s">
        <v>353</v>
      </c>
      <c r="BK63" s="841" t="s">
        <v>353</v>
      </c>
      <c r="BL63" s="841" t="s">
        <v>2007</v>
      </c>
      <c r="BM63" s="842">
        <v>44620.381249999999</v>
      </c>
      <c r="BN63" s="841" t="s">
        <v>353</v>
      </c>
      <c r="BO63" s="841" t="s">
        <v>353</v>
      </c>
      <c r="BP63" s="841" t="s">
        <v>353</v>
      </c>
      <c r="BQ63" s="841" t="s">
        <v>353</v>
      </c>
      <c r="BR63" s="841" t="s">
        <v>353</v>
      </c>
      <c r="BS63" s="841" t="s">
        <v>353</v>
      </c>
      <c r="BT63" s="841">
        <v>2100000</v>
      </c>
      <c r="BU63" s="841" t="s">
        <v>353</v>
      </c>
      <c r="BV63" s="841" t="s">
        <v>1662</v>
      </c>
      <c r="BW63" s="841" t="s">
        <v>1578</v>
      </c>
      <c r="BX63" s="841" t="s">
        <v>2008</v>
      </c>
      <c r="BY63" s="841" t="s">
        <v>353</v>
      </c>
      <c r="BZ63" s="841" t="s">
        <v>353</v>
      </c>
      <c r="CA63" s="841" t="s">
        <v>353</v>
      </c>
      <c r="CB63" s="841" t="s">
        <v>353</v>
      </c>
      <c r="CC63" s="841" t="s">
        <v>353</v>
      </c>
      <c r="CD63" s="841" t="s">
        <v>353</v>
      </c>
      <c r="CE63" s="841" t="s">
        <v>353</v>
      </c>
      <c r="CF63" s="841" t="s">
        <v>353</v>
      </c>
      <c r="CG63" s="841" t="s">
        <v>353</v>
      </c>
      <c r="CH63" s="841" t="s">
        <v>353</v>
      </c>
      <c r="CI63" s="841" t="s">
        <v>33</v>
      </c>
      <c r="CJ63" s="841">
        <v>1920</v>
      </c>
      <c r="CK63" s="841">
        <v>0</v>
      </c>
      <c r="CL63" s="841" t="s">
        <v>353</v>
      </c>
      <c r="CM63" s="841">
        <v>1</v>
      </c>
      <c r="CN63" s="841" t="s">
        <v>353</v>
      </c>
      <c r="CO63" s="841" t="s">
        <v>353</v>
      </c>
      <c r="CP63" s="841" t="s">
        <v>2009</v>
      </c>
      <c r="CQ63" s="841" t="s">
        <v>353</v>
      </c>
      <c r="CR63" s="841" t="s">
        <v>353</v>
      </c>
      <c r="CS63" s="841" t="s">
        <v>1405</v>
      </c>
      <c r="CT63" s="841" t="s">
        <v>353</v>
      </c>
      <c r="CU63" s="841" t="s">
        <v>1391</v>
      </c>
      <c r="CV63" s="841" t="s">
        <v>353</v>
      </c>
      <c r="CW63" s="841" t="s">
        <v>353</v>
      </c>
      <c r="CX63" s="841" t="s">
        <v>353</v>
      </c>
      <c r="CY63" s="841" t="s">
        <v>353</v>
      </c>
      <c r="CZ63" s="841">
        <v>5</v>
      </c>
      <c r="DA63" s="841" t="s">
        <v>353</v>
      </c>
      <c r="DB63" s="843">
        <v>44609</v>
      </c>
      <c r="DC63" s="841" t="s">
        <v>353</v>
      </c>
      <c r="DD63" s="841" t="s">
        <v>353</v>
      </c>
      <c r="DE63" s="841" t="s">
        <v>353</v>
      </c>
      <c r="DF63" s="841">
        <v>21</v>
      </c>
      <c r="DG63" s="841" t="s">
        <v>353</v>
      </c>
      <c r="DH63" s="841" t="s">
        <v>353</v>
      </c>
      <c r="DI63" s="841" t="s">
        <v>353</v>
      </c>
      <c r="DJ63" s="841" t="s">
        <v>2010</v>
      </c>
      <c r="DK63" s="841" t="s">
        <v>353</v>
      </c>
      <c r="DL63" s="842">
        <v>44593.381249999999</v>
      </c>
      <c r="DM63" s="841" t="s">
        <v>353</v>
      </c>
      <c r="DN63" s="841" t="s">
        <v>33</v>
      </c>
      <c r="DO63" s="841" t="s">
        <v>673</v>
      </c>
      <c r="DP63" s="841" t="s">
        <v>1481</v>
      </c>
      <c r="DQ63" s="841" t="s">
        <v>1392</v>
      </c>
      <c r="DR63" s="841">
        <v>2800000</v>
      </c>
      <c r="DS63" s="841">
        <v>21</v>
      </c>
      <c r="DT63" s="841" t="s">
        <v>353</v>
      </c>
      <c r="DU63" s="841" t="s">
        <v>353</v>
      </c>
      <c r="DV63" s="841">
        <v>1766730</v>
      </c>
      <c r="DW63" s="841">
        <v>2100000</v>
      </c>
      <c r="DX63" s="841" t="s">
        <v>33</v>
      </c>
      <c r="DY63" s="841" t="s">
        <v>353</v>
      </c>
      <c r="DZ63" s="841" t="s">
        <v>353</v>
      </c>
      <c r="EA63" s="841" t="s">
        <v>353</v>
      </c>
      <c r="EB63" s="841" t="s">
        <v>353</v>
      </c>
      <c r="EC63" s="841" t="s">
        <v>353</v>
      </c>
      <c r="ED63" s="841" t="s">
        <v>353</v>
      </c>
      <c r="EE63" s="841" t="s">
        <v>33</v>
      </c>
      <c r="EF63" s="841" t="s">
        <v>353</v>
      </c>
      <c r="EG63" s="841" t="s">
        <v>353</v>
      </c>
      <c r="EH63" s="841" t="s">
        <v>33</v>
      </c>
      <c r="EI63" s="841">
        <v>301770</v>
      </c>
      <c r="EJ63" s="841" t="s">
        <v>353</v>
      </c>
      <c r="EK63" s="841" t="s">
        <v>353</v>
      </c>
      <c r="EL63" s="841" t="s">
        <v>1435</v>
      </c>
      <c r="EM63" s="841">
        <v>31500</v>
      </c>
      <c r="EN63" s="841" t="s">
        <v>353</v>
      </c>
      <c r="EO63" s="841" t="s">
        <v>353</v>
      </c>
      <c r="EP63" s="841" t="s">
        <v>353</v>
      </c>
      <c r="EQ63" s="841" t="s">
        <v>353</v>
      </c>
      <c r="ER63" s="841" t="s">
        <v>353</v>
      </c>
      <c r="ES63" s="841" t="s">
        <v>33</v>
      </c>
      <c r="ET63" s="841" t="s">
        <v>1512</v>
      </c>
      <c r="EU63" s="841" t="s">
        <v>353</v>
      </c>
      <c r="EV63" s="841" t="s">
        <v>353</v>
      </c>
      <c r="EW63" s="841" t="s">
        <v>353</v>
      </c>
      <c r="EX63" s="841" t="s">
        <v>33</v>
      </c>
      <c r="EY63" s="842">
        <v>44596.53402777778</v>
      </c>
      <c r="EZ63" s="841" t="s">
        <v>353</v>
      </c>
      <c r="FA63" s="841" t="s">
        <v>353</v>
      </c>
      <c r="FB63" s="841" t="s">
        <v>353</v>
      </c>
      <c r="FC63" s="841" t="s">
        <v>353</v>
      </c>
      <c r="FD63" s="841" t="s">
        <v>353</v>
      </c>
      <c r="FE63" s="842">
        <v>44593.381944444445</v>
      </c>
      <c r="FF63" s="841" t="s">
        <v>353</v>
      </c>
      <c r="FG63" s="841" t="s">
        <v>353</v>
      </c>
      <c r="FH63" s="841" t="s">
        <v>353</v>
      </c>
      <c r="FI63" s="841" t="s">
        <v>353</v>
      </c>
      <c r="FJ63" s="841" t="s">
        <v>353</v>
      </c>
      <c r="FK63" s="841" t="s">
        <v>353</v>
      </c>
      <c r="FL63" s="841" t="s">
        <v>353</v>
      </c>
      <c r="FM63" s="841" t="s">
        <v>353</v>
      </c>
      <c r="FN63" s="841" t="s">
        <v>353</v>
      </c>
      <c r="FO63" s="841" t="s">
        <v>1648</v>
      </c>
      <c r="FP63" s="841" t="s">
        <v>353</v>
      </c>
      <c r="FQ63" s="841" t="s">
        <v>353</v>
      </c>
      <c r="FR63" s="841" t="s">
        <v>353</v>
      </c>
      <c r="FS63" s="841" t="s">
        <v>353</v>
      </c>
      <c r="FT63" s="841" t="s">
        <v>353</v>
      </c>
      <c r="FU63" s="841" t="s">
        <v>1714</v>
      </c>
      <c r="FV63" s="841" t="s">
        <v>353</v>
      </c>
      <c r="FW63" s="841" t="s">
        <v>353</v>
      </c>
      <c r="FX63" s="841" t="s">
        <v>353</v>
      </c>
      <c r="FY63" s="841" t="s">
        <v>353</v>
      </c>
      <c r="FZ63" s="841" t="s">
        <v>353</v>
      </c>
      <c r="GA63" s="841" t="s">
        <v>353</v>
      </c>
      <c r="GB63" s="841">
        <v>1</v>
      </c>
      <c r="GC63" s="841" t="s">
        <v>353</v>
      </c>
      <c r="GD63" s="841" t="s">
        <v>1395</v>
      </c>
      <c r="GE63" s="841" t="s">
        <v>353</v>
      </c>
      <c r="GF63" s="841" t="s">
        <v>353</v>
      </c>
      <c r="GG63" s="841" t="s">
        <v>353</v>
      </c>
      <c r="GH63" s="841">
        <v>1260000</v>
      </c>
      <c r="GI63" s="841" t="s">
        <v>353</v>
      </c>
      <c r="GJ63" s="841" t="s">
        <v>353</v>
      </c>
      <c r="GK63" s="841" t="s">
        <v>353</v>
      </c>
      <c r="GL63" s="841" t="s">
        <v>2011</v>
      </c>
      <c r="GM63" s="841" t="s">
        <v>353</v>
      </c>
      <c r="GN63" s="841" t="s">
        <v>353</v>
      </c>
      <c r="GO63" s="841" t="s">
        <v>353</v>
      </c>
      <c r="GP63" s="841" t="s">
        <v>353</v>
      </c>
      <c r="GQ63" s="841" t="s">
        <v>353</v>
      </c>
      <c r="GR63" s="841" t="s">
        <v>353</v>
      </c>
      <c r="GS63" s="841" t="s">
        <v>1662</v>
      </c>
      <c r="GT63" s="841" t="s">
        <v>353</v>
      </c>
      <c r="GU63" s="841" t="s">
        <v>353</v>
      </c>
      <c r="GV63" s="841" t="s">
        <v>1419</v>
      </c>
      <c r="GW63" s="841" t="s">
        <v>353</v>
      </c>
      <c r="GX63" s="841" t="s">
        <v>353</v>
      </c>
      <c r="GY63" s="841">
        <v>24</v>
      </c>
      <c r="GZ63" s="841" t="s">
        <v>1575</v>
      </c>
      <c r="HA63" s="841" t="s">
        <v>353</v>
      </c>
      <c r="HB63" s="841" t="s">
        <v>353</v>
      </c>
      <c r="HC63" s="841" t="s">
        <v>1421</v>
      </c>
      <c r="HD63" s="841" t="s">
        <v>2012</v>
      </c>
      <c r="HE63" s="841">
        <v>21000</v>
      </c>
      <c r="HF63" s="841" t="s">
        <v>353</v>
      </c>
      <c r="HG63" s="841" t="s">
        <v>353</v>
      </c>
      <c r="HH63" s="841" t="s">
        <v>353</v>
      </c>
      <c r="HI63" s="841" t="s">
        <v>1422</v>
      </c>
      <c r="HJ63" s="841" t="s">
        <v>2013</v>
      </c>
      <c r="HK63" s="841">
        <v>2100000</v>
      </c>
      <c r="HL63" s="841" t="s">
        <v>353</v>
      </c>
      <c r="HM63" s="841" t="s">
        <v>1530</v>
      </c>
      <c r="HN63" s="841" t="s">
        <v>353</v>
      </c>
      <c r="HO63" s="841" t="s">
        <v>353</v>
      </c>
      <c r="HP63" s="841">
        <v>100590</v>
      </c>
      <c r="HQ63" s="841" t="s">
        <v>353</v>
      </c>
      <c r="HR63" s="841" t="s">
        <v>353</v>
      </c>
      <c r="HS63" s="841">
        <v>1798230</v>
      </c>
      <c r="HT63" s="841" t="s">
        <v>353</v>
      </c>
      <c r="HU63" s="841" t="s">
        <v>353</v>
      </c>
      <c r="HV63" s="841" t="s">
        <v>353</v>
      </c>
      <c r="HW63" s="841">
        <v>2800000</v>
      </c>
      <c r="HX63" s="841" t="s">
        <v>353</v>
      </c>
      <c r="HY63" s="841" t="s">
        <v>353</v>
      </c>
      <c r="HZ63" s="841" t="s">
        <v>353</v>
      </c>
      <c r="IA63" s="841" t="s">
        <v>353</v>
      </c>
      <c r="IB63" s="841" t="s">
        <v>1424</v>
      </c>
      <c r="IC63" s="841" t="s">
        <v>353</v>
      </c>
      <c r="ID63" s="841" t="s">
        <v>353</v>
      </c>
      <c r="IE63" s="841" t="s">
        <v>353</v>
      </c>
      <c r="IF63" s="841" t="s">
        <v>353</v>
      </c>
      <c r="IG63" s="841" t="s">
        <v>353</v>
      </c>
      <c r="IH63" s="841" t="s">
        <v>353</v>
      </c>
      <c r="II63" s="841" t="s">
        <v>353</v>
      </c>
      <c r="IJ63" s="841" t="s">
        <v>353</v>
      </c>
      <c r="IK63" s="841" t="s">
        <v>353</v>
      </c>
      <c r="IL63" s="841">
        <v>2058315</v>
      </c>
      <c r="IM63" s="841" t="s">
        <v>353</v>
      </c>
      <c r="IN63" s="841" t="s">
        <v>353</v>
      </c>
      <c r="IO63" s="841">
        <v>199</v>
      </c>
      <c r="IP63" s="841" t="s">
        <v>353</v>
      </c>
      <c r="IQ63" s="841" t="s">
        <v>353</v>
      </c>
      <c r="IR63" s="841">
        <v>3</v>
      </c>
      <c r="IS63" s="841" t="s">
        <v>33</v>
      </c>
      <c r="IT63" s="841" t="s">
        <v>353</v>
      </c>
      <c r="IU63" s="841" t="s">
        <v>353</v>
      </c>
      <c r="IV63" s="841" t="s">
        <v>353</v>
      </c>
      <c r="IW63" s="841" t="s">
        <v>353</v>
      </c>
      <c r="IX63" s="841" t="s">
        <v>353</v>
      </c>
      <c r="IY63" s="841" t="s">
        <v>1622</v>
      </c>
      <c r="IZ63" s="841" t="s">
        <v>353</v>
      </c>
      <c r="JA63" s="841">
        <v>2100000</v>
      </c>
      <c r="JB63" s="841" t="s">
        <v>353</v>
      </c>
      <c r="JC63" s="841" t="s">
        <v>353</v>
      </c>
      <c r="JD63" s="841" t="s">
        <v>1488</v>
      </c>
      <c r="JE63" s="841" t="s">
        <v>33</v>
      </c>
      <c r="JF63" s="841" t="s">
        <v>1739</v>
      </c>
      <c r="JG63" s="841" t="s">
        <v>1740</v>
      </c>
      <c r="JH63" s="841" t="s">
        <v>2014</v>
      </c>
      <c r="JI63" s="841" t="s">
        <v>2015</v>
      </c>
    </row>
    <row r="64" spans="1:269" x14ac:dyDescent="0.25">
      <c r="A64" s="841" t="s">
        <v>2016</v>
      </c>
      <c r="B64" s="841" t="s">
        <v>353</v>
      </c>
      <c r="C64" s="841" t="s">
        <v>353</v>
      </c>
      <c r="D64" s="841" t="s">
        <v>353</v>
      </c>
      <c r="E64" s="841" t="s">
        <v>353</v>
      </c>
      <c r="F64" s="841" t="s">
        <v>353</v>
      </c>
      <c r="G64" s="841" t="s">
        <v>2005</v>
      </c>
      <c r="H64" s="841" t="s">
        <v>353</v>
      </c>
      <c r="I64" s="841" t="s">
        <v>353</v>
      </c>
      <c r="J64" s="841" t="s">
        <v>353</v>
      </c>
      <c r="K64" s="841" t="s">
        <v>353</v>
      </c>
      <c r="L64" s="842">
        <v>44595.418749999997</v>
      </c>
      <c r="M64" s="841" t="s">
        <v>353</v>
      </c>
      <c r="N64" s="841" t="s">
        <v>353</v>
      </c>
      <c r="O64" s="841" t="s">
        <v>353</v>
      </c>
      <c r="P64" s="841" t="s">
        <v>353</v>
      </c>
      <c r="Q64" s="841" t="s">
        <v>353</v>
      </c>
      <c r="R64" s="841" t="s">
        <v>353</v>
      </c>
      <c r="S64" s="841" t="s">
        <v>61</v>
      </c>
      <c r="T64" s="841" t="s">
        <v>1390</v>
      </c>
      <c r="U64" s="841" t="s">
        <v>353</v>
      </c>
      <c r="V64" s="841" t="s">
        <v>353</v>
      </c>
      <c r="W64" s="841" t="s">
        <v>1575</v>
      </c>
      <c r="X64" s="841" t="s">
        <v>1405</v>
      </c>
      <c r="Y64" s="841" t="s">
        <v>353</v>
      </c>
      <c r="Z64" s="841" t="s">
        <v>353</v>
      </c>
      <c r="AA64" s="841" t="s">
        <v>353</v>
      </c>
      <c r="AB64" s="841" t="s">
        <v>353</v>
      </c>
      <c r="AC64" s="841">
        <v>52600</v>
      </c>
      <c r="AD64" s="841" t="s">
        <v>353</v>
      </c>
      <c r="AE64" s="841" t="s">
        <v>353</v>
      </c>
      <c r="AF64" s="841" t="s">
        <v>353</v>
      </c>
      <c r="AG64" s="841" t="s">
        <v>353</v>
      </c>
      <c r="AH64" s="841">
        <v>1000</v>
      </c>
      <c r="AI64" s="841" t="s">
        <v>1406</v>
      </c>
      <c r="AJ64" s="841" t="s">
        <v>353</v>
      </c>
      <c r="AK64" s="841">
        <v>62</v>
      </c>
      <c r="AL64" s="841" t="s">
        <v>353</v>
      </c>
      <c r="AM64" s="841" t="s">
        <v>353</v>
      </c>
      <c r="AN64" s="841" t="s">
        <v>353</v>
      </c>
      <c r="AO64" s="841" t="s">
        <v>353</v>
      </c>
      <c r="AP64" s="841" t="s">
        <v>353</v>
      </c>
      <c r="AQ64" s="841" t="s">
        <v>353</v>
      </c>
      <c r="AR64" s="841" t="s">
        <v>353</v>
      </c>
      <c r="AS64" s="841" t="s">
        <v>353</v>
      </c>
      <c r="AT64" s="841" t="s">
        <v>353</v>
      </c>
      <c r="AU64" s="841" t="s">
        <v>353</v>
      </c>
      <c r="AV64" s="841" t="s">
        <v>353</v>
      </c>
      <c r="AW64" s="841" t="s">
        <v>353</v>
      </c>
      <c r="AX64" s="841" t="s">
        <v>353</v>
      </c>
      <c r="AY64" s="841" t="s">
        <v>353</v>
      </c>
      <c r="AZ64" s="841" t="s">
        <v>353</v>
      </c>
      <c r="BA64" s="841" t="s">
        <v>353</v>
      </c>
      <c r="BB64" s="841" t="s">
        <v>353</v>
      </c>
      <c r="BC64" s="841">
        <v>253806</v>
      </c>
      <c r="BD64" s="841" t="s">
        <v>353</v>
      </c>
      <c r="BE64" s="841" t="s">
        <v>353</v>
      </c>
      <c r="BF64" s="841" t="s">
        <v>353</v>
      </c>
      <c r="BG64" s="841" t="s">
        <v>353</v>
      </c>
      <c r="BH64" s="841" t="s">
        <v>353</v>
      </c>
      <c r="BI64" s="841" t="s">
        <v>353</v>
      </c>
      <c r="BJ64" s="841" t="s">
        <v>353</v>
      </c>
      <c r="BK64" s="841">
        <v>70000</v>
      </c>
      <c r="BL64" s="841" t="s">
        <v>2017</v>
      </c>
      <c r="BM64" s="842">
        <v>44592.676388888889</v>
      </c>
      <c r="BN64" s="841" t="s">
        <v>353</v>
      </c>
      <c r="BO64" s="841" t="s">
        <v>353</v>
      </c>
      <c r="BP64" s="841" t="s">
        <v>353</v>
      </c>
      <c r="BQ64" s="841" t="s">
        <v>353</v>
      </c>
      <c r="BR64" s="841" t="s">
        <v>353</v>
      </c>
      <c r="BS64" s="841" t="s">
        <v>353</v>
      </c>
      <c r="BT64" s="841">
        <v>263000</v>
      </c>
      <c r="BU64" s="841" t="s">
        <v>353</v>
      </c>
      <c r="BV64" s="841" t="s">
        <v>1662</v>
      </c>
      <c r="BW64" s="841" t="s">
        <v>1578</v>
      </c>
      <c r="BX64" s="841" t="s">
        <v>353</v>
      </c>
      <c r="BY64" s="841" t="s">
        <v>353</v>
      </c>
      <c r="BZ64" s="841" t="s">
        <v>353</v>
      </c>
      <c r="CA64" s="841" t="s">
        <v>353</v>
      </c>
      <c r="CB64" s="841" t="s">
        <v>353</v>
      </c>
      <c r="CC64" s="841" t="s">
        <v>353</v>
      </c>
      <c r="CD64" s="841" t="s">
        <v>353</v>
      </c>
      <c r="CE64" s="841" t="s">
        <v>353</v>
      </c>
      <c r="CF64" s="841" t="s">
        <v>353</v>
      </c>
      <c r="CG64" s="841" t="s">
        <v>353</v>
      </c>
      <c r="CH64" s="841" t="s">
        <v>353</v>
      </c>
      <c r="CI64" s="841" t="s">
        <v>353</v>
      </c>
      <c r="CJ64" s="841" t="s">
        <v>353</v>
      </c>
      <c r="CK64" s="841" t="s">
        <v>353</v>
      </c>
      <c r="CL64" s="841" t="s">
        <v>353</v>
      </c>
      <c r="CM64" s="841" t="s">
        <v>353</v>
      </c>
      <c r="CN64" s="841" t="s">
        <v>353</v>
      </c>
      <c r="CO64" s="841" t="s">
        <v>353</v>
      </c>
      <c r="CP64" s="841" t="s">
        <v>2018</v>
      </c>
      <c r="CQ64" s="841" t="s">
        <v>353</v>
      </c>
      <c r="CR64" s="841" t="s">
        <v>353</v>
      </c>
      <c r="CS64" s="841" t="s">
        <v>1405</v>
      </c>
      <c r="CT64" s="841" t="s">
        <v>353</v>
      </c>
      <c r="CU64" s="841" t="s">
        <v>1391</v>
      </c>
      <c r="CV64" s="841" t="s">
        <v>353</v>
      </c>
      <c r="CW64" s="841" t="s">
        <v>353</v>
      </c>
      <c r="CX64" s="841" t="s">
        <v>353</v>
      </c>
      <c r="CY64" s="841" t="s">
        <v>353</v>
      </c>
      <c r="CZ64" s="841">
        <v>1</v>
      </c>
      <c r="DA64" s="841" t="s">
        <v>353</v>
      </c>
      <c r="DB64" s="841" t="s">
        <v>353</v>
      </c>
      <c r="DC64" s="841" t="s">
        <v>353</v>
      </c>
      <c r="DD64" s="841" t="s">
        <v>353</v>
      </c>
      <c r="DE64" s="841" t="s">
        <v>353</v>
      </c>
      <c r="DF64" s="841">
        <v>19</v>
      </c>
      <c r="DG64" s="841" t="s">
        <v>353</v>
      </c>
      <c r="DH64" s="841" t="s">
        <v>353</v>
      </c>
      <c r="DI64" s="841" t="s">
        <v>353</v>
      </c>
      <c r="DJ64" s="841" t="s">
        <v>2019</v>
      </c>
      <c r="DK64" s="841" t="s">
        <v>353</v>
      </c>
      <c r="DL64" s="842">
        <v>44592.676388888889</v>
      </c>
      <c r="DM64" s="841" t="s">
        <v>353</v>
      </c>
      <c r="DN64" s="841" t="s">
        <v>353</v>
      </c>
      <c r="DO64" s="841" t="s">
        <v>353</v>
      </c>
      <c r="DP64" s="841" t="s">
        <v>1412</v>
      </c>
      <c r="DQ64" s="841" t="s">
        <v>1451</v>
      </c>
      <c r="DR64" s="841" t="s">
        <v>353</v>
      </c>
      <c r="DS64" s="841">
        <v>19</v>
      </c>
      <c r="DT64" s="841" t="s">
        <v>353</v>
      </c>
      <c r="DU64" s="841" t="s">
        <v>353</v>
      </c>
      <c r="DV64" s="841">
        <v>196066.5</v>
      </c>
      <c r="DW64" s="841">
        <v>263000</v>
      </c>
      <c r="DX64" s="841" t="s">
        <v>353</v>
      </c>
      <c r="DY64" s="841" t="s">
        <v>353</v>
      </c>
      <c r="DZ64" s="841" t="s">
        <v>353</v>
      </c>
      <c r="EA64" s="841" t="s">
        <v>353</v>
      </c>
      <c r="EB64" s="841" t="s">
        <v>353</v>
      </c>
      <c r="EC64" s="841" t="s">
        <v>353</v>
      </c>
      <c r="ED64" s="841" t="s">
        <v>353</v>
      </c>
      <c r="EE64" s="841" t="s">
        <v>353</v>
      </c>
      <c r="EF64" s="841" t="s">
        <v>353</v>
      </c>
      <c r="EG64" s="841" t="s">
        <v>353</v>
      </c>
      <c r="EH64" s="841" t="s">
        <v>353</v>
      </c>
      <c r="EI64" s="841">
        <v>62988.5</v>
      </c>
      <c r="EJ64" s="841" t="s">
        <v>353</v>
      </c>
      <c r="EK64" s="841" t="s">
        <v>353</v>
      </c>
      <c r="EL64" s="841" t="s">
        <v>1435</v>
      </c>
      <c r="EM64" s="841">
        <v>3945</v>
      </c>
      <c r="EN64" s="841" t="s">
        <v>353</v>
      </c>
      <c r="EO64" s="841" t="s">
        <v>353</v>
      </c>
      <c r="EP64" s="841" t="s">
        <v>353</v>
      </c>
      <c r="EQ64" s="841" t="s">
        <v>353</v>
      </c>
      <c r="ER64" s="841" t="s">
        <v>353</v>
      </c>
      <c r="ES64" s="841" t="s">
        <v>353</v>
      </c>
      <c r="ET64" s="841" t="s">
        <v>1512</v>
      </c>
      <c r="EU64" s="841" t="s">
        <v>353</v>
      </c>
      <c r="EV64" s="841" t="s">
        <v>353</v>
      </c>
      <c r="EW64" s="841" t="s">
        <v>353</v>
      </c>
      <c r="EX64" s="841" t="s">
        <v>353</v>
      </c>
      <c r="EY64" s="841" t="s">
        <v>353</v>
      </c>
      <c r="EZ64" s="841" t="s">
        <v>353</v>
      </c>
      <c r="FA64" s="841" t="s">
        <v>353</v>
      </c>
      <c r="FB64" s="841" t="s">
        <v>353</v>
      </c>
      <c r="FC64" s="841" t="s">
        <v>353</v>
      </c>
      <c r="FD64" s="841" t="s">
        <v>353</v>
      </c>
      <c r="FE64" s="842">
        <v>44592.677083333336</v>
      </c>
      <c r="FF64" s="841" t="s">
        <v>353</v>
      </c>
      <c r="FG64" s="841" t="s">
        <v>353</v>
      </c>
      <c r="FH64" s="841" t="s">
        <v>353</v>
      </c>
      <c r="FI64" s="841" t="s">
        <v>353</v>
      </c>
      <c r="FJ64" s="841" t="s">
        <v>353</v>
      </c>
      <c r="FK64" s="841" t="s">
        <v>353</v>
      </c>
      <c r="FL64" s="841" t="s">
        <v>353</v>
      </c>
      <c r="FM64" s="841" t="s">
        <v>353</v>
      </c>
      <c r="FN64" s="841" t="s">
        <v>353</v>
      </c>
      <c r="FO64" s="841" t="s">
        <v>1729</v>
      </c>
      <c r="FP64" s="841" t="s">
        <v>353</v>
      </c>
      <c r="FQ64" s="841" t="s">
        <v>353</v>
      </c>
      <c r="FR64" s="841" t="s">
        <v>353</v>
      </c>
      <c r="FS64" s="841" t="s">
        <v>353</v>
      </c>
      <c r="FT64" s="841" t="s">
        <v>353</v>
      </c>
      <c r="FU64" s="841" t="s">
        <v>1416</v>
      </c>
      <c r="FV64" s="841" t="s">
        <v>353</v>
      </c>
      <c r="FW64" s="841" t="s">
        <v>353</v>
      </c>
      <c r="FX64" s="841" t="s">
        <v>353</v>
      </c>
      <c r="FY64" s="841" t="s">
        <v>353</v>
      </c>
      <c r="FZ64" s="841" t="s">
        <v>353</v>
      </c>
      <c r="GA64" s="841" t="s">
        <v>353</v>
      </c>
      <c r="GB64" s="841">
        <v>1</v>
      </c>
      <c r="GC64" s="841" t="s">
        <v>353</v>
      </c>
      <c r="GD64" s="841" t="s">
        <v>1417</v>
      </c>
      <c r="GE64" s="841" t="s">
        <v>353</v>
      </c>
      <c r="GF64" s="841" t="s">
        <v>353</v>
      </c>
      <c r="GG64" s="841" t="s">
        <v>353</v>
      </c>
      <c r="GH64" s="841">
        <v>52600</v>
      </c>
      <c r="GI64" s="841" t="s">
        <v>353</v>
      </c>
      <c r="GJ64" s="841" t="s">
        <v>353</v>
      </c>
      <c r="GK64" s="841" t="s">
        <v>353</v>
      </c>
      <c r="GL64" s="841" t="s">
        <v>1453</v>
      </c>
      <c r="GM64" s="841" t="s">
        <v>353</v>
      </c>
      <c r="GN64" s="841" t="s">
        <v>353</v>
      </c>
      <c r="GO64" s="841" t="s">
        <v>353</v>
      </c>
      <c r="GP64" s="841" t="s">
        <v>353</v>
      </c>
      <c r="GQ64" s="841" t="s">
        <v>353</v>
      </c>
      <c r="GR64" s="841" t="s">
        <v>353</v>
      </c>
      <c r="GS64" s="841" t="s">
        <v>1662</v>
      </c>
      <c r="GT64" s="841" t="s">
        <v>353</v>
      </c>
      <c r="GU64" s="841" t="s">
        <v>353</v>
      </c>
      <c r="GV64" s="841" t="s">
        <v>1419</v>
      </c>
      <c r="GW64" s="841" t="s">
        <v>353</v>
      </c>
      <c r="GX64" s="841" t="s">
        <v>353</v>
      </c>
      <c r="GY64" s="841">
        <v>24</v>
      </c>
      <c r="GZ64" s="841" t="s">
        <v>1575</v>
      </c>
      <c r="HA64" s="841" t="s">
        <v>353</v>
      </c>
      <c r="HB64" s="841" t="s">
        <v>353</v>
      </c>
      <c r="HC64" s="841" t="s">
        <v>1421</v>
      </c>
      <c r="HD64" s="841" t="s">
        <v>2020</v>
      </c>
      <c r="HE64" s="841" t="s">
        <v>353</v>
      </c>
      <c r="HF64" s="841" t="s">
        <v>353</v>
      </c>
      <c r="HG64" s="841" t="s">
        <v>353</v>
      </c>
      <c r="HH64" s="841" t="s">
        <v>353</v>
      </c>
      <c r="HI64" s="841" t="s">
        <v>1422</v>
      </c>
      <c r="HJ64" s="841" t="s">
        <v>2021</v>
      </c>
      <c r="HK64" s="841">
        <v>263000</v>
      </c>
      <c r="HL64" s="841" t="s">
        <v>353</v>
      </c>
      <c r="HM64" s="841" t="s">
        <v>1423</v>
      </c>
      <c r="HN64" s="841" t="s">
        <v>353</v>
      </c>
      <c r="HO64" s="841" t="s">
        <v>353</v>
      </c>
      <c r="HP64" s="841">
        <v>12597.7</v>
      </c>
      <c r="HQ64" s="841" t="s">
        <v>353</v>
      </c>
      <c r="HR64" s="841" t="s">
        <v>353</v>
      </c>
      <c r="HS64" s="841">
        <v>200011.5</v>
      </c>
      <c r="HT64" s="841" t="s">
        <v>353</v>
      </c>
      <c r="HU64" s="841" t="s">
        <v>353</v>
      </c>
      <c r="HV64" s="841" t="s">
        <v>353</v>
      </c>
      <c r="HW64" s="841">
        <v>425000</v>
      </c>
      <c r="HX64" s="841" t="s">
        <v>353</v>
      </c>
      <c r="HY64" s="841" t="s">
        <v>353</v>
      </c>
      <c r="HZ64" s="841" t="s">
        <v>353</v>
      </c>
      <c r="IA64" s="841" t="s">
        <v>353</v>
      </c>
      <c r="IB64" s="841" t="s">
        <v>1424</v>
      </c>
      <c r="IC64" s="841" t="s">
        <v>353</v>
      </c>
      <c r="ID64" s="841" t="s">
        <v>353</v>
      </c>
      <c r="IE64" s="841" t="s">
        <v>353</v>
      </c>
      <c r="IF64" s="841" t="s">
        <v>353</v>
      </c>
      <c r="IG64" s="841" t="s">
        <v>353</v>
      </c>
      <c r="IH64" s="841" t="s">
        <v>353</v>
      </c>
      <c r="II64" s="841" t="s">
        <v>353</v>
      </c>
      <c r="IJ64" s="841" t="s">
        <v>353</v>
      </c>
      <c r="IK64" s="841" t="s">
        <v>353</v>
      </c>
      <c r="IL64" s="841">
        <v>257751</v>
      </c>
      <c r="IM64" s="841" t="s">
        <v>353</v>
      </c>
      <c r="IN64" s="841" t="s">
        <v>353</v>
      </c>
      <c r="IO64" s="841" t="s">
        <v>353</v>
      </c>
      <c r="IP64" s="841" t="s">
        <v>353</v>
      </c>
      <c r="IQ64" s="841" t="s">
        <v>353</v>
      </c>
      <c r="IR64" s="841">
        <v>5</v>
      </c>
      <c r="IS64" s="841" t="s">
        <v>353</v>
      </c>
      <c r="IT64" s="841" t="s">
        <v>353</v>
      </c>
      <c r="IU64" s="841" t="s">
        <v>353</v>
      </c>
      <c r="IV64" s="841" t="s">
        <v>353</v>
      </c>
      <c r="IW64" s="841" t="s">
        <v>353</v>
      </c>
      <c r="IX64" s="841" t="s">
        <v>353</v>
      </c>
      <c r="IY64" s="841" t="s">
        <v>1622</v>
      </c>
      <c r="IZ64" s="841" t="s">
        <v>353</v>
      </c>
      <c r="JA64" s="841">
        <v>263000</v>
      </c>
      <c r="JB64" s="841" t="s">
        <v>353</v>
      </c>
      <c r="JC64" s="841" t="s">
        <v>353</v>
      </c>
      <c r="JD64" s="841" t="s">
        <v>1488</v>
      </c>
      <c r="JE64" s="841" t="s">
        <v>353</v>
      </c>
      <c r="JF64" s="841" t="s">
        <v>353</v>
      </c>
      <c r="JG64" s="841" t="s">
        <v>353</v>
      </c>
      <c r="JH64" s="841" t="s">
        <v>2022</v>
      </c>
      <c r="JI64" s="841" t="s">
        <v>2023</v>
      </c>
    </row>
    <row r="65" spans="1:269" x14ac:dyDescent="0.25">
      <c r="A65" s="841" t="s">
        <v>2024</v>
      </c>
      <c r="B65" s="841" t="s">
        <v>353</v>
      </c>
      <c r="C65" s="841" t="s">
        <v>353</v>
      </c>
      <c r="D65" s="841" t="s">
        <v>353</v>
      </c>
      <c r="E65" s="841" t="s">
        <v>353</v>
      </c>
      <c r="F65" s="841" t="s">
        <v>2025</v>
      </c>
      <c r="G65" s="841" t="s">
        <v>1428</v>
      </c>
      <c r="H65" s="841" t="s">
        <v>353</v>
      </c>
      <c r="I65" s="841" t="s">
        <v>353</v>
      </c>
      <c r="J65" s="841" t="s">
        <v>353</v>
      </c>
      <c r="K65" s="841" t="s">
        <v>353</v>
      </c>
      <c r="L65" s="842">
        <v>44601.73333333333</v>
      </c>
      <c r="M65" s="841" t="s">
        <v>353</v>
      </c>
      <c r="N65" s="841" t="s">
        <v>353</v>
      </c>
      <c r="O65" s="841" t="s">
        <v>353</v>
      </c>
      <c r="P65" s="841" t="s">
        <v>353</v>
      </c>
      <c r="Q65" s="841" t="s">
        <v>353</v>
      </c>
      <c r="R65" s="841" t="s">
        <v>353</v>
      </c>
      <c r="S65" s="841" t="s">
        <v>67</v>
      </c>
      <c r="T65" s="841" t="s">
        <v>1390</v>
      </c>
      <c r="U65" s="841" t="s">
        <v>353</v>
      </c>
      <c r="V65" s="841" t="s">
        <v>353</v>
      </c>
      <c r="W65" s="841" t="s">
        <v>353</v>
      </c>
      <c r="X65" s="841" t="s">
        <v>1405</v>
      </c>
      <c r="Y65" s="841" t="s">
        <v>353</v>
      </c>
      <c r="Z65" s="841" t="s">
        <v>353</v>
      </c>
      <c r="AA65" s="841" t="s">
        <v>353</v>
      </c>
      <c r="AB65" s="841" t="s">
        <v>353</v>
      </c>
      <c r="AC65" s="841">
        <v>63000</v>
      </c>
      <c r="AD65" s="841" t="s">
        <v>353</v>
      </c>
      <c r="AE65" s="841" t="s">
        <v>353</v>
      </c>
      <c r="AF65" s="841" t="s">
        <v>353</v>
      </c>
      <c r="AG65" s="841" t="s">
        <v>353</v>
      </c>
      <c r="AH65" s="841">
        <v>1850</v>
      </c>
      <c r="AI65" s="841" t="s">
        <v>1521</v>
      </c>
      <c r="AJ65" s="841" t="s">
        <v>353</v>
      </c>
      <c r="AK65" s="841">
        <v>60</v>
      </c>
      <c r="AL65" s="841" t="s">
        <v>353</v>
      </c>
      <c r="AM65" s="841" t="s">
        <v>353</v>
      </c>
      <c r="AN65" s="841" t="s">
        <v>353</v>
      </c>
      <c r="AO65" s="841" t="s">
        <v>353</v>
      </c>
      <c r="AP65" s="841" t="s">
        <v>353</v>
      </c>
      <c r="AQ65" s="841" t="s">
        <v>353</v>
      </c>
      <c r="AR65" s="841" t="s">
        <v>353</v>
      </c>
      <c r="AS65" s="841" t="s">
        <v>353</v>
      </c>
      <c r="AT65" s="841" t="s">
        <v>353</v>
      </c>
      <c r="AU65" s="841" t="s">
        <v>353</v>
      </c>
      <c r="AV65" s="841" t="s">
        <v>353</v>
      </c>
      <c r="AW65" s="841" t="s">
        <v>353</v>
      </c>
      <c r="AX65" s="841" t="s">
        <v>353</v>
      </c>
      <c r="AY65" s="841" t="s">
        <v>353</v>
      </c>
      <c r="AZ65" s="841" t="s">
        <v>353</v>
      </c>
      <c r="BA65" s="841" t="s">
        <v>353</v>
      </c>
      <c r="BB65" s="841" t="s">
        <v>353</v>
      </c>
      <c r="BC65" s="841">
        <v>309488</v>
      </c>
      <c r="BD65" s="841" t="s">
        <v>353</v>
      </c>
      <c r="BE65" s="841" t="s">
        <v>353</v>
      </c>
      <c r="BF65" s="841" t="s">
        <v>353</v>
      </c>
      <c r="BG65" s="841" t="s">
        <v>353</v>
      </c>
      <c r="BH65" s="841" t="s">
        <v>353</v>
      </c>
      <c r="BI65" s="841" t="s">
        <v>353</v>
      </c>
      <c r="BJ65" s="841" t="s">
        <v>353</v>
      </c>
      <c r="BK65" s="841" t="s">
        <v>353</v>
      </c>
      <c r="BL65" s="841" t="s">
        <v>1832</v>
      </c>
      <c r="BM65" s="842">
        <v>44592.646527777775</v>
      </c>
      <c r="BN65" s="841" t="s">
        <v>353</v>
      </c>
      <c r="BO65" s="841" t="s">
        <v>353</v>
      </c>
      <c r="BP65" s="841" t="s">
        <v>353</v>
      </c>
      <c r="BQ65" s="841" t="s">
        <v>353</v>
      </c>
      <c r="BR65" s="841" t="s">
        <v>353</v>
      </c>
      <c r="BS65" s="841" t="s">
        <v>353</v>
      </c>
      <c r="BT65" s="841">
        <v>315000</v>
      </c>
      <c r="BU65" s="841" t="s">
        <v>353</v>
      </c>
      <c r="BV65" s="841" t="s">
        <v>1616</v>
      </c>
      <c r="BW65" s="841" t="s">
        <v>353</v>
      </c>
      <c r="BX65" s="841" t="s">
        <v>353</v>
      </c>
      <c r="BY65" s="841" t="s">
        <v>353</v>
      </c>
      <c r="BZ65" s="841" t="s">
        <v>353</v>
      </c>
      <c r="CA65" s="841" t="s">
        <v>353</v>
      </c>
      <c r="CB65" s="841" t="s">
        <v>353</v>
      </c>
      <c r="CC65" s="841" t="s">
        <v>353</v>
      </c>
      <c r="CD65" s="841" t="s">
        <v>353</v>
      </c>
      <c r="CE65" s="841" t="s">
        <v>353</v>
      </c>
      <c r="CF65" s="841" t="s">
        <v>353</v>
      </c>
      <c r="CG65" s="841" t="s">
        <v>353</v>
      </c>
      <c r="CH65" s="841" t="s">
        <v>353</v>
      </c>
      <c r="CI65" s="841" t="s">
        <v>353</v>
      </c>
      <c r="CJ65" s="841" t="s">
        <v>353</v>
      </c>
      <c r="CK65" s="841">
        <v>4</v>
      </c>
      <c r="CL65" s="841" t="s">
        <v>353</v>
      </c>
      <c r="CM65" s="841">
        <v>5</v>
      </c>
      <c r="CN65" s="841" t="s">
        <v>353</v>
      </c>
      <c r="CO65" s="841" t="s">
        <v>353</v>
      </c>
      <c r="CP65" s="841" t="s">
        <v>2026</v>
      </c>
      <c r="CQ65" s="841" t="s">
        <v>353</v>
      </c>
      <c r="CR65" s="841" t="s">
        <v>353</v>
      </c>
      <c r="CS65" s="841" t="s">
        <v>353</v>
      </c>
      <c r="CT65" s="841" t="s">
        <v>353</v>
      </c>
      <c r="CU65" s="841" t="s">
        <v>1391</v>
      </c>
      <c r="CV65" s="841" t="s">
        <v>353</v>
      </c>
      <c r="CW65" s="841" t="s">
        <v>353</v>
      </c>
      <c r="CX65" s="841" t="s">
        <v>353</v>
      </c>
      <c r="CY65" s="841" t="s">
        <v>353</v>
      </c>
      <c r="CZ65" s="841" t="s">
        <v>353</v>
      </c>
      <c r="DA65" s="841" t="s">
        <v>353</v>
      </c>
      <c r="DB65" s="841" t="s">
        <v>353</v>
      </c>
      <c r="DC65" s="841" t="s">
        <v>353</v>
      </c>
      <c r="DD65" s="841" t="s">
        <v>353</v>
      </c>
      <c r="DE65" s="841" t="s">
        <v>353</v>
      </c>
      <c r="DF65" s="841">
        <v>24</v>
      </c>
      <c r="DG65" s="841" t="s">
        <v>353</v>
      </c>
      <c r="DH65" s="841" t="s">
        <v>353</v>
      </c>
      <c r="DI65" s="841" t="s">
        <v>353</v>
      </c>
      <c r="DJ65" s="841" t="s">
        <v>2027</v>
      </c>
      <c r="DK65" s="841" t="s">
        <v>353</v>
      </c>
      <c r="DL65" s="842">
        <v>44592.646527777775</v>
      </c>
      <c r="DM65" s="841" t="s">
        <v>353</v>
      </c>
      <c r="DN65" s="841" t="s">
        <v>353</v>
      </c>
      <c r="DO65" s="841" t="s">
        <v>353</v>
      </c>
      <c r="DP65" s="841" t="s">
        <v>353</v>
      </c>
      <c r="DQ65" s="841" t="s">
        <v>1392</v>
      </c>
      <c r="DR65" s="841">
        <v>525000</v>
      </c>
      <c r="DS65" s="841">
        <v>24</v>
      </c>
      <c r="DT65" s="841" t="s">
        <v>353</v>
      </c>
      <c r="DU65" s="841" t="s">
        <v>353</v>
      </c>
      <c r="DV65" s="841" t="s">
        <v>353</v>
      </c>
      <c r="DW65" s="841">
        <v>315000</v>
      </c>
      <c r="DX65" s="841" t="s">
        <v>353</v>
      </c>
      <c r="DY65" s="841" t="s">
        <v>353</v>
      </c>
      <c r="DZ65" s="841" t="s">
        <v>353</v>
      </c>
      <c r="EA65" s="841" t="s">
        <v>353</v>
      </c>
      <c r="EB65" s="841" t="s">
        <v>353</v>
      </c>
      <c r="EC65" s="841" t="s">
        <v>353</v>
      </c>
      <c r="ED65" s="841" t="s">
        <v>353</v>
      </c>
      <c r="EE65" s="841" t="s">
        <v>353</v>
      </c>
      <c r="EF65" s="841" t="s">
        <v>353</v>
      </c>
      <c r="EG65" s="841" t="s">
        <v>353</v>
      </c>
      <c r="EH65" s="841" t="s">
        <v>353</v>
      </c>
      <c r="EI65" s="841">
        <v>0</v>
      </c>
      <c r="EJ65" s="841" t="s">
        <v>353</v>
      </c>
      <c r="EK65" s="841" t="s">
        <v>353</v>
      </c>
      <c r="EL65" s="841" t="s">
        <v>1930</v>
      </c>
      <c r="EM65" s="841" t="s">
        <v>353</v>
      </c>
      <c r="EN65" s="841" t="s">
        <v>353</v>
      </c>
      <c r="EO65" s="841" t="s">
        <v>353</v>
      </c>
      <c r="EP65" s="841" t="s">
        <v>353</v>
      </c>
      <c r="EQ65" s="841" t="s">
        <v>353</v>
      </c>
      <c r="ER65" s="841" t="s">
        <v>353</v>
      </c>
      <c r="ES65" s="841" t="s">
        <v>353</v>
      </c>
      <c r="ET65" s="841" t="s">
        <v>1393</v>
      </c>
      <c r="EU65" s="841" t="s">
        <v>353</v>
      </c>
      <c r="EV65" s="841" t="s">
        <v>353</v>
      </c>
      <c r="EW65" s="841" t="s">
        <v>353</v>
      </c>
      <c r="EX65" s="841" t="s">
        <v>353</v>
      </c>
      <c r="EY65" s="842">
        <v>44592.661805555559</v>
      </c>
      <c r="EZ65" s="841" t="s">
        <v>353</v>
      </c>
      <c r="FA65" s="841" t="s">
        <v>353</v>
      </c>
      <c r="FB65" s="841" t="s">
        <v>353</v>
      </c>
      <c r="FC65" s="841" t="s">
        <v>353</v>
      </c>
      <c r="FD65" s="841" t="s">
        <v>353</v>
      </c>
      <c r="FE65" s="842">
        <v>44601.73333333333</v>
      </c>
      <c r="FF65" s="841" t="s">
        <v>353</v>
      </c>
      <c r="FG65" s="841" t="s">
        <v>353</v>
      </c>
      <c r="FH65" s="841" t="s">
        <v>353</v>
      </c>
      <c r="FI65" s="841" t="s">
        <v>353</v>
      </c>
      <c r="FJ65" s="841" t="s">
        <v>353</v>
      </c>
      <c r="FK65" s="841" t="s">
        <v>353</v>
      </c>
      <c r="FL65" s="841" t="s">
        <v>353</v>
      </c>
      <c r="FM65" s="841" t="s">
        <v>353</v>
      </c>
      <c r="FN65" s="841" t="s">
        <v>353</v>
      </c>
      <c r="FO65" s="841" t="s">
        <v>1648</v>
      </c>
      <c r="FP65" s="841" t="s">
        <v>353</v>
      </c>
      <c r="FQ65" s="841" t="s">
        <v>353</v>
      </c>
      <c r="FR65" s="841" t="s">
        <v>353</v>
      </c>
      <c r="FS65" s="841" t="s">
        <v>353</v>
      </c>
      <c r="FT65" s="841" t="s">
        <v>353</v>
      </c>
      <c r="FU65" s="841" t="s">
        <v>1416</v>
      </c>
      <c r="FV65" s="841" t="s">
        <v>353</v>
      </c>
      <c r="FW65" s="841" t="s">
        <v>353</v>
      </c>
      <c r="FX65" s="841" t="s">
        <v>353</v>
      </c>
      <c r="FY65" s="841" t="s">
        <v>353</v>
      </c>
      <c r="FZ65" s="841" t="s">
        <v>353</v>
      </c>
      <c r="GA65" s="841" t="s">
        <v>353</v>
      </c>
      <c r="GB65" s="841">
        <v>1</v>
      </c>
      <c r="GC65" s="841" t="s">
        <v>353</v>
      </c>
      <c r="GD65" s="841" t="s">
        <v>1417</v>
      </c>
      <c r="GE65" s="841" t="s">
        <v>353</v>
      </c>
      <c r="GF65" s="841" t="s">
        <v>353</v>
      </c>
      <c r="GG65" s="841" t="s">
        <v>353</v>
      </c>
      <c r="GH65" s="841">
        <v>63000</v>
      </c>
      <c r="GI65" s="841" t="s">
        <v>353</v>
      </c>
      <c r="GJ65" s="841" t="s">
        <v>353</v>
      </c>
      <c r="GK65" s="841" t="s">
        <v>353</v>
      </c>
      <c r="GL65" s="841" t="s">
        <v>1541</v>
      </c>
      <c r="GM65" s="841" t="s">
        <v>353</v>
      </c>
      <c r="GN65" s="841" t="s">
        <v>353</v>
      </c>
      <c r="GO65" s="841" t="s">
        <v>353</v>
      </c>
      <c r="GP65" s="841" t="s">
        <v>353</v>
      </c>
      <c r="GQ65" s="841" t="s">
        <v>353</v>
      </c>
      <c r="GR65" s="842">
        <v>44592.552083333336</v>
      </c>
      <c r="GS65" s="841" t="s">
        <v>1616</v>
      </c>
      <c r="GT65" s="841" t="s">
        <v>353</v>
      </c>
      <c r="GU65" s="841" t="s">
        <v>353</v>
      </c>
      <c r="GV65" s="841" t="s">
        <v>1076</v>
      </c>
      <c r="GW65" s="841" t="s">
        <v>353</v>
      </c>
      <c r="GX65" s="841" t="s">
        <v>353</v>
      </c>
      <c r="GY65" s="841">
        <v>24</v>
      </c>
      <c r="GZ65" s="841" t="s">
        <v>1420</v>
      </c>
      <c r="HA65" s="841" t="s">
        <v>353</v>
      </c>
      <c r="HB65" s="841" t="s">
        <v>353</v>
      </c>
      <c r="HC65" s="841" t="s">
        <v>1421</v>
      </c>
      <c r="HD65" s="841" t="s">
        <v>2028</v>
      </c>
      <c r="HE65" s="841">
        <v>3937.5</v>
      </c>
      <c r="HF65" s="841" t="s">
        <v>353</v>
      </c>
      <c r="HG65" s="841" t="s">
        <v>353</v>
      </c>
      <c r="HH65" s="841" t="s">
        <v>353</v>
      </c>
      <c r="HI65" s="841" t="s">
        <v>1422</v>
      </c>
      <c r="HJ65" s="841" t="s">
        <v>353</v>
      </c>
      <c r="HK65" s="841">
        <v>315000</v>
      </c>
      <c r="HL65" s="841" t="s">
        <v>353</v>
      </c>
      <c r="HM65" s="841" t="s">
        <v>1423</v>
      </c>
      <c r="HN65" s="841" t="s">
        <v>353</v>
      </c>
      <c r="HO65" s="841" t="s">
        <v>353</v>
      </c>
      <c r="HP65" s="841">
        <v>18238.5</v>
      </c>
      <c r="HQ65" s="841" t="s">
        <v>353</v>
      </c>
      <c r="HR65" s="841" t="s">
        <v>353</v>
      </c>
      <c r="HS65" s="841" t="s">
        <v>353</v>
      </c>
      <c r="HT65" s="841" t="s">
        <v>353</v>
      </c>
      <c r="HU65" s="841" t="s">
        <v>353</v>
      </c>
      <c r="HV65" s="841" t="s">
        <v>353</v>
      </c>
      <c r="HW65" s="841">
        <v>525000</v>
      </c>
      <c r="HX65" s="841" t="s">
        <v>353</v>
      </c>
      <c r="HY65" s="841" t="s">
        <v>353</v>
      </c>
      <c r="HZ65" s="841" t="s">
        <v>353</v>
      </c>
      <c r="IA65" s="841" t="s">
        <v>353</v>
      </c>
      <c r="IB65" s="841" t="s">
        <v>1424</v>
      </c>
      <c r="IC65" s="841" t="s">
        <v>353</v>
      </c>
      <c r="ID65" s="841" t="s">
        <v>353</v>
      </c>
      <c r="IE65" s="841" t="s">
        <v>353</v>
      </c>
      <c r="IF65" s="841" t="s">
        <v>353</v>
      </c>
      <c r="IG65" s="841" t="s">
        <v>353</v>
      </c>
      <c r="IH65" s="841" t="s">
        <v>353</v>
      </c>
      <c r="II65" s="841" t="s">
        <v>353</v>
      </c>
      <c r="IJ65" s="841" t="s">
        <v>353</v>
      </c>
      <c r="IK65" s="841" t="s">
        <v>353</v>
      </c>
      <c r="IL65" s="841" t="s">
        <v>353</v>
      </c>
      <c r="IM65" s="841" t="s">
        <v>353</v>
      </c>
      <c r="IN65" s="841" t="s">
        <v>353</v>
      </c>
      <c r="IO65" s="841" t="s">
        <v>353</v>
      </c>
      <c r="IP65" s="841" t="s">
        <v>353</v>
      </c>
      <c r="IQ65" s="841" t="s">
        <v>353</v>
      </c>
      <c r="IR65" s="841">
        <v>0</v>
      </c>
      <c r="IS65" s="841" t="s">
        <v>353</v>
      </c>
      <c r="IT65" s="841" t="s">
        <v>353</v>
      </c>
      <c r="IU65" s="841" t="s">
        <v>353</v>
      </c>
      <c r="IV65" s="841" t="s">
        <v>353</v>
      </c>
      <c r="IW65" s="841" t="s">
        <v>353</v>
      </c>
      <c r="IX65" s="841" t="s">
        <v>353</v>
      </c>
      <c r="IY65" s="841" t="s">
        <v>1622</v>
      </c>
      <c r="IZ65" s="841" t="s">
        <v>353</v>
      </c>
      <c r="JA65" s="841">
        <v>315000</v>
      </c>
      <c r="JB65" s="841" t="s">
        <v>353</v>
      </c>
      <c r="JC65" s="841" t="s">
        <v>353</v>
      </c>
      <c r="JD65" s="841" t="s">
        <v>1413</v>
      </c>
      <c r="JE65" s="841" t="s">
        <v>353</v>
      </c>
      <c r="JF65" s="841" t="s">
        <v>2029</v>
      </c>
      <c r="JG65" s="841" t="s">
        <v>2030</v>
      </c>
      <c r="JH65" s="841" t="s">
        <v>1838</v>
      </c>
      <c r="JI65" s="841" t="s">
        <v>1839</v>
      </c>
    </row>
    <row r="66" spans="1:269" x14ac:dyDescent="0.25">
      <c r="A66" s="841" t="s">
        <v>2031</v>
      </c>
      <c r="B66" s="841" t="s">
        <v>353</v>
      </c>
      <c r="C66" s="841" t="s">
        <v>353</v>
      </c>
      <c r="D66" s="841" t="s">
        <v>353</v>
      </c>
      <c r="E66" s="841" t="s">
        <v>353</v>
      </c>
      <c r="F66" s="841" t="s">
        <v>353</v>
      </c>
      <c r="G66" s="841" t="s">
        <v>353</v>
      </c>
      <c r="H66" s="841" t="s">
        <v>353</v>
      </c>
      <c r="I66" s="841" t="s">
        <v>353</v>
      </c>
      <c r="J66" s="841" t="s">
        <v>353</v>
      </c>
      <c r="K66" s="841" t="s">
        <v>353</v>
      </c>
      <c r="L66" s="842">
        <v>44601.647916666669</v>
      </c>
      <c r="M66" s="841" t="s">
        <v>353</v>
      </c>
      <c r="N66" s="841" t="s">
        <v>353</v>
      </c>
      <c r="O66" s="841" t="s">
        <v>353</v>
      </c>
      <c r="P66" s="841" t="s">
        <v>353</v>
      </c>
      <c r="Q66" s="841" t="s">
        <v>353</v>
      </c>
      <c r="R66" s="841" t="s">
        <v>353</v>
      </c>
      <c r="S66" s="841" t="s">
        <v>353</v>
      </c>
      <c r="T66" s="841" t="s">
        <v>1390</v>
      </c>
      <c r="U66" s="841" t="s">
        <v>353</v>
      </c>
      <c r="V66" s="841" t="s">
        <v>353</v>
      </c>
      <c r="W66" s="841" t="s">
        <v>353</v>
      </c>
      <c r="X66" s="841" t="s">
        <v>353</v>
      </c>
      <c r="Y66" s="841" t="s">
        <v>353</v>
      </c>
      <c r="Z66" s="841" t="s">
        <v>353</v>
      </c>
      <c r="AA66" s="841" t="s">
        <v>353</v>
      </c>
      <c r="AB66" s="841" t="s">
        <v>353</v>
      </c>
      <c r="AC66" s="841" t="s">
        <v>353</v>
      </c>
      <c r="AD66" s="841" t="s">
        <v>353</v>
      </c>
      <c r="AE66" s="841" t="s">
        <v>353</v>
      </c>
      <c r="AF66" s="841" t="s">
        <v>353</v>
      </c>
      <c r="AG66" s="841" t="s">
        <v>353</v>
      </c>
      <c r="AH66" s="841" t="s">
        <v>353</v>
      </c>
      <c r="AI66" s="841" t="s">
        <v>353</v>
      </c>
      <c r="AJ66" s="841" t="s">
        <v>353</v>
      </c>
      <c r="AK66" s="841" t="s">
        <v>353</v>
      </c>
      <c r="AL66" s="841" t="s">
        <v>353</v>
      </c>
      <c r="AM66" s="841" t="s">
        <v>353</v>
      </c>
      <c r="AN66" s="841" t="s">
        <v>353</v>
      </c>
      <c r="AO66" s="841" t="s">
        <v>353</v>
      </c>
      <c r="AP66" s="841" t="s">
        <v>353</v>
      </c>
      <c r="AQ66" s="841" t="s">
        <v>353</v>
      </c>
      <c r="AR66" s="841" t="s">
        <v>353</v>
      </c>
      <c r="AS66" s="841" t="s">
        <v>353</v>
      </c>
      <c r="AT66" s="841" t="s">
        <v>353</v>
      </c>
      <c r="AU66" s="841" t="s">
        <v>353</v>
      </c>
      <c r="AV66" s="841" t="s">
        <v>353</v>
      </c>
      <c r="AW66" s="841" t="s">
        <v>353</v>
      </c>
      <c r="AX66" s="841" t="s">
        <v>353</v>
      </c>
      <c r="AY66" s="841" t="s">
        <v>353</v>
      </c>
      <c r="AZ66" s="841" t="s">
        <v>353</v>
      </c>
      <c r="BA66" s="841" t="s">
        <v>353</v>
      </c>
      <c r="BB66" s="841" t="s">
        <v>353</v>
      </c>
      <c r="BC66" s="841" t="s">
        <v>353</v>
      </c>
      <c r="BD66" s="841" t="s">
        <v>353</v>
      </c>
      <c r="BE66" s="841" t="s">
        <v>353</v>
      </c>
      <c r="BF66" s="841" t="s">
        <v>353</v>
      </c>
      <c r="BG66" s="841" t="s">
        <v>353</v>
      </c>
      <c r="BH66" s="841" t="s">
        <v>353</v>
      </c>
      <c r="BI66" s="841" t="s">
        <v>353</v>
      </c>
      <c r="BJ66" s="841" t="s">
        <v>353</v>
      </c>
      <c r="BK66" s="841" t="s">
        <v>353</v>
      </c>
      <c r="BL66" s="841" t="s">
        <v>353</v>
      </c>
      <c r="BM66" s="842">
        <v>44592.552777777775</v>
      </c>
      <c r="BN66" s="841" t="s">
        <v>353</v>
      </c>
      <c r="BO66" s="841" t="s">
        <v>353</v>
      </c>
      <c r="BP66" s="841" t="s">
        <v>353</v>
      </c>
      <c r="BQ66" s="841" t="s">
        <v>353</v>
      </c>
      <c r="BR66" s="841" t="s">
        <v>353</v>
      </c>
      <c r="BS66" s="841" t="s">
        <v>353</v>
      </c>
      <c r="BT66" s="841">
        <v>487500</v>
      </c>
      <c r="BU66" s="841" t="s">
        <v>353</v>
      </c>
      <c r="BV66" s="841" t="s">
        <v>353</v>
      </c>
      <c r="BW66" s="841" t="s">
        <v>353</v>
      </c>
      <c r="BX66" s="841" t="s">
        <v>353</v>
      </c>
      <c r="BY66" s="841" t="s">
        <v>353</v>
      </c>
      <c r="BZ66" s="841" t="s">
        <v>353</v>
      </c>
      <c r="CA66" s="841" t="s">
        <v>353</v>
      </c>
      <c r="CB66" s="841" t="s">
        <v>353</v>
      </c>
      <c r="CC66" s="841" t="s">
        <v>353</v>
      </c>
      <c r="CD66" s="841" t="s">
        <v>353</v>
      </c>
      <c r="CE66" s="841" t="s">
        <v>353</v>
      </c>
      <c r="CF66" s="841" t="s">
        <v>353</v>
      </c>
      <c r="CG66" s="841" t="s">
        <v>353</v>
      </c>
      <c r="CH66" s="841" t="s">
        <v>353</v>
      </c>
      <c r="CI66" s="841" t="s">
        <v>353</v>
      </c>
      <c r="CJ66" s="841" t="s">
        <v>353</v>
      </c>
      <c r="CK66" s="841">
        <v>2</v>
      </c>
      <c r="CL66" s="841" t="s">
        <v>353</v>
      </c>
      <c r="CM66" s="841">
        <v>2</v>
      </c>
      <c r="CN66" s="841" t="s">
        <v>353</v>
      </c>
      <c r="CO66" s="841" t="s">
        <v>353</v>
      </c>
      <c r="CP66" s="841" t="s">
        <v>353</v>
      </c>
      <c r="CQ66" s="841" t="s">
        <v>353</v>
      </c>
      <c r="CR66" s="841" t="s">
        <v>353</v>
      </c>
      <c r="CS66" s="841" t="s">
        <v>353</v>
      </c>
      <c r="CT66" s="841" t="s">
        <v>353</v>
      </c>
      <c r="CU66" s="841" t="s">
        <v>1391</v>
      </c>
      <c r="CV66" s="841" t="s">
        <v>353</v>
      </c>
      <c r="CW66" s="841" t="s">
        <v>353</v>
      </c>
      <c r="CX66" s="841" t="s">
        <v>353</v>
      </c>
      <c r="CY66" s="841" t="s">
        <v>353</v>
      </c>
      <c r="CZ66" s="841" t="s">
        <v>353</v>
      </c>
      <c r="DA66" s="841" t="s">
        <v>353</v>
      </c>
      <c r="DB66" s="841" t="s">
        <v>353</v>
      </c>
      <c r="DC66" s="841" t="s">
        <v>353</v>
      </c>
      <c r="DD66" s="841" t="s">
        <v>353</v>
      </c>
      <c r="DE66" s="841" t="s">
        <v>353</v>
      </c>
      <c r="DF66" s="841" t="s">
        <v>353</v>
      </c>
      <c r="DG66" s="841" t="s">
        <v>353</v>
      </c>
      <c r="DH66" s="841" t="s">
        <v>353</v>
      </c>
      <c r="DI66" s="841" t="s">
        <v>353</v>
      </c>
      <c r="DJ66" s="841" t="s">
        <v>2032</v>
      </c>
      <c r="DK66" s="841" t="s">
        <v>353</v>
      </c>
      <c r="DL66" s="842">
        <v>44592.552777777775</v>
      </c>
      <c r="DM66" s="841" t="s">
        <v>353</v>
      </c>
      <c r="DN66" s="841" t="s">
        <v>353</v>
      </c>
      <c r="DO66" s="841" t="s">
        <v>353</v>
      </c>
      <c r="DP66" s="841" t="s">
        <v>353</v>
      </c>
      <c r="DQ66" s="841" t="s">
        <v>673</v>
      </c>
      <c r="DR66" s="841" t="s">
        <v>353</v>
      </c>
      <c r="DS66" s="841" t="s">
        <v>353</v>
      </c>
      <c r="DT66" s="841" t="s">
        <v>353</v>
      </c>
      <c r="DU66" s="841" t="s">
        <v>353</v>
      </c>
      <c r="DV66" s="841" t="s">
        <v>353</v>
      </c>
      <c r="DW66" s="841" t="s">
        <v>353</v>
      </c>
      <c r="DX66" s="841" t="s">
        <v>353</v>
      </c>
      <c r="DY66" s="841" t="s">
        <v>353</v>
      </c>
      <c r="DZ66" s="841" t="s">
        <v>353</v>
      </c>
      <c r="EA66" s="841" t="s">
        <v>353</v>
      </c>
      <c r="EB66" s="841" t="s">
        <v>353</v>
      </c>
      <c r="EC66" s="841" t="s">
        <v>353</v>
      </c>
      <c r="ED66" s="841" t="s">
        <v>353</v>
      </c>
      <c r="EE66" s="841" t="s">
        <v>353</v>
      </c>
      <c r="EF66" s="841" t="s">
        <v>353</v>
      </c>
      <c r="EG66" s="841" t="s">
        <v>353</v>
      </c>
      <c r="EH66" s="841" t="s">
        <v>353</v>
      </c>
      <c r="EI66" s="841" t="s">
        <v>353</v>
      </c>
      <c r="EJ66" s="841" t="s">
        <v>353</v>
      </c>
      <c r="EK66" s="841" t="s">
        <v>353</v>
      </c>
      <c r="EL66" s="841" t="s">
        <v>353</v>
      </c>
      <c r="EM66" s="841" t="s">
        <v>353</v>
      </c>
      <c r="EN66" s="841" t="s">
        <v>353</v>
      </c>
      <c r="EO66" s="841" t="s">
        <v>353</v>
      </c>
      <c r="EP66" s="841" t="s">
        <v>353</v>
      </c>
      <c r="EQ66" s="841" t="s">
        <v>353</v>
      </c>
      <c r="ER66" s="841" t="s">
        <v>353</v>
      </c>
      <c r="ES66" s="841" t="s">
        <v>353</v>
      </c>
      <c r="ET66" s="841" t="s">
        <v>1711</v>
      </c>
      <c r="EU66" s="841" t="s">
        <v>353</v>
      </c>
      <c r="EV66" s="841" t="s">
        <v>353</v>
      </c>
      <c r="EW66" s="841" t="s">
        <v>353</v>
      </c>
      <c r="EX66" s="841" t="s">
        <v>353</v>
      </c>
      <c r="EY66" s="842">
        <v>44601.614583333336</v>
      </c>
      <c r="EZ66" s="841" t="s">
        <v>353</v>
      </c>
      <c r="FA66" s="841" t="s">
        <v>353</v>
      </c>
      <c r="FB66" s="841" t="s">
        <v>353</v>
      </c>
      <c r="FC66" s="841" t="s">
        <v>353</v>
      </c>
      <c r="FD66" s="841" t="s">
        <v>353</v>
      </c>
      <c r="FE66" s="842">
        <v>44592.554166666669</v>
      </c>
      <c r="FF66" s="841" t="s">
        <v>353</v>
      </c>
      <c r="FG66" s="841" t="s">
        <v>353</v>
      </c>
      <c r="FH66" s="841" t="s">
        <v>353</v>
      </c>
      <c r="FI66" s="841" t="s">
        <v>353</v>
      </c>
      <c r="FJ66" s="841" t="s">
        <v>353</v>
      </c>
      <c r="FK66" s="841" t="s">
        <v>353</v>
      </c>
      <c r="FL66" s="841" t="s">
        <v>353</v>
      </c>
      <c r="FM66" s="841" t="s">
        <v>353</v>
      </c>
      <c r="FN66" s="841" t="s">
        <v>353</v>
      </c>
      <c r="FO66" s="841" t="s">
        <v>353</v>
      </c>
      <c r="FP66" s="841" t="s">
        <v>353</v>
      </c>
      <c r="FQ66" s="841" t="s">
        <v>353</v>
      </c>
      <c r="FR66" s="841" t="s">
        <v>353</v>
      </c>
      <c r="FS66" s="841" t="s">
        <v>353</v>
      </c>
      <c r="FT66" s="841" t="s">
        <v>353</v>
      </c>
      <c r="FU66" s="841" t="s">
        <v>1394</v>
      </c>
      <c r="FV66" s="841" t="s">
        <v>353</v>
      </c>
      <c r="FW66" s="841" t="s">
        <v>353</v>
      </c>
      <c r="FX66" s="841" t="s">
        <v>353</v>
      </c>
      <c r="FY66" s="841" t="s">
        <v>353</v>
      </c>
      <c r="FZ66" s="841" t="s">
        <v>353</v>
      </c>
      <c r="GA66" s="841" t="s">
        <v>353</v>
      </c>
      <c r="GB66" s="841">
        <v>1</v>
      </c>
      <c r="GC66" s="841" t="s">
        <v>353</v>
      </c>
      <c r="GD66" s="841" t="s">
        <v>1395</v>
      </c>
      <c r="GE66" s="841" t="s">
        <v>353</v>
      </c>
      <c r="GF66" s="841" t="s">
        <v>353</v>
      </c>
      <c r="GG66" s="841" t="s">
        <v>353</v>
      </c>
      <c r="GH66" s="841" t="s">
        <v>353</v>
      </c>
      <c r="GI66" s="841" t="s">
        <v>353</v>
      </c>
      <c r="GJ66" s="841" t="s">
        <v>353</v>
      </c>
      <c r="GK66" s="841" t="s">
        <v>353</v>
      </c>
      <c r="GL66" s="841" t="s">
        <v>1715</v>
      </c>
      <c r="GM66" s="841" t="s">
        <v>353</v>
      </c>
      <c r="GN66" s="841" t="s">
        <v>353</v>
      </c>
      <c r="GO66" s="841" t="s">
        <v>353</v>
      </c>
      <c r="GP66" s="841" t="s">
        <v>353</v>
      </c>
      <c r="GQ66" s="841" t="s">
        <v>353</v>
      </c>
      <c r="GR66" s="842">
        <v>44601.614583333336</v>
      </c>
      <c r="GS66" s="841" t="s">
        <v>353</v>
      </c>
      <c r="GT66" s="841" t="s">
        <v>353</v>
      </c>
      <c r="GU66" s="841" t="s">
        <v>353</v>
      </c>
      <c r="GV66" s="841" t="s">
        <v>1419</v>
      </c>
      <c r="GW66" s="841" t="s">
        <v>353</v>
      </c>
      <c r="GX66" s="841" t="s">
        <v>353</v>
      </c>
      <c r="GY66" s="841" t="s">
        <v>353</v>
      </c>
      <c r="GZ66" s="841" t="s">
        <v>353</v>
      </c>
      <c r="HA66" s="841" t="s">
        <v>353</v>
      </c>
      <c r="HB66" s="841" t="s">
        <v>353</v>
      </c>
      <c r="HC66" s="841" t="s">
        <v>353</v>
      </c>
      <c r="HD66" s="841" t="s">
        <v>2033</v>
      </c>
      <c r="HE66" s="841" t="s">
        <v>353</v>
      </c>
      <c r="HF66" s="841" t="s">
        <v>353</v>
      </c>
      <c r="HG66" s="841" t="s">
        <v>353</v>
      </c>
      <c r="HH66" s="841" t="s">
        <v>353</v>
      </c>
      <c r="HI66" s="841" t="s">
        <v>353</v>
      </c>
      <c r="HJ66" s="841" t="s">
        <v>353</v>
      </c>
      <c r="HK66" s="841" t="s">
        <v>353</v>
      </c>
      <c r="HL66" s="841" t="s">
        <v>353</v>
      </c>
      <c r="HM66" s="841" t="s">
        <v>353</v>
      </c>
      <c r="HN66" s="841" t="s">
        <v>353</v>
      </c>
      <c r="HO66" s="841" t="s">
        <v>353</v>
      </c>
      <c r="HP66" s="841" t="s">
        <v>353</v>
      </c>
      <c r="HQ66" s="841" t="s">
        <v>353</v>
      </c>
      <c r="HR66" s="841" t="s">
        <v>353</v>
      </c>
      <c r="HS66" s="841" t="s">
        <v>353</v>
      </c>
      <c r="HT66" s="841" t="s">
        <v>353</v>
      </c>
      <c r="HU66" s="841" t="s">
        <v>353</v>
      </c>
      <c r="HV66" s="841" t="s">
        <v>353</v>
      </c>
      <c r="HW66" s="841" t="s">
        <v>353</v>
      </c>
      <c r="HX66" s="841" t="s">
        <v>353</v>
      </c>
      <c r="HY66" s="841" t="s">
        <v>353</v>
      </c>
      <c r="HZ66" s="841" t="s">
        <v>353</v>
      </c>
      <c r="IA66" s="841" t="s">
        <v>353</v>
      </c>
      <c r="IB66" s="841" t="s">
        <v>353</v>
      </c>
      <c r="IC66" s="841" t="s">
        <v>353</v>
      </c>
      <c r="ID66" s="841" t="s">
        <v>353</v>
      </c>
      <c r="IE66" s="841" t="s">
        <v>353</v>
      </c>
      <c r="IF66" s="841" t="s">
        <v>353</v>
      </c>
      <c r="IG66" s="841" t="s">
        <v>353</v>
      </c>
      <c r="IH66" s="841" t="s">
        <v>353</v>
      </c>
      <c r="II66" s="841" t="s">
        <v>353</v>
      </c>
      <c r="IJ66" s="841" t="s">
        <v>353</v>
      </c>
      <c r="IK66" s="841" t="s">
        <v>353</v>
      </c>
      <c r="IL66" s="841" t="s">
        <v>353</v>
      </c>
      <c r="IM66" s="841" t="s">
        <v>353</v>
      </c>
      <c r="IN66" s="841" t="s">
        <v>353</v>
      </c>
      <c r="IO66" s="841" t="s">
        <v>353</v>
      </c>
      <c r="IP66" s="841" t="s">
        <v>353</v>
      </c>
      <c r="IQ66" s="841" t="s">
        <v>353</v>
      </c>
      <c r="IR66" s="841" t="s">
        <v>353</v>
      </c>
      <c r="IS66" s="841" t="s">
        <v>353</v>
      </c>
      <c r="IT66" s="841" t="s">
        <v>353</v>
      </c>
      <c r="IU66" s="841" t="s">
        <v>353</v>
      </c>
      <c r="IV66" s="841" t="s">
        <v>353</v>
      </c>
      <c r="IW66" s="841" t="s">
        <v>353</v>
      </c>
      <c r="IX66" s="841" t="s">
        <v>353</v>
      </c>
      <c r="IY66" s="841" t="s">
        <v>353</v>
      </c>
      <c r="IZ66" s="841" t="s">
        <v>353</v>
      </c>
      <c r="JA66" s="841" t="s">
        <v>353</v>
      </c>
      <c r="JB66" s="841" t="s">
        <v>353</v>
      </c>
      <c r="JC66" s="841" t="s">
        <v>353</v>
      </c>
      <c r="JD66" s="841" t="s">
        <v>353</v>
      </c>
      <c r="JE66" s="841" t="s">
        <v>353</v>
      </c>
      <c r="JF66" s="841" t="s">
        <v>1718</v>
      </c>
      <c r="JG66" s="841" t="s">
        <v>1719</v>
      </c>
      <c r="JH66" s="841" t="s">
        <v>1720</v>
      </c>
      <c r="JI66" s="841" t="s">
        <v>1721</v>
      </c>
    </row>
    <row r="67" spans="1:269" x14ac:dyDescent="0.25">
      <c r="A67" s="841" t="s">
        <v>2034</v>
      </c>
      <c r="B67" s="841" t="s">
        <v>353</v>
      </c>
      <c r="C67" s="841" t="s">
        <v>1403</v>
      </c>
      <c r="D67" s="841" t="s">
        <v>353</v>
      </c>
      <c r="E67" s="841" t="s">
        <v>353</v>
      </c>
      <c r="F67" s="841" t="s">
        <v>1435</v>
      </c>
      <c r="G67" s="841" t="s">
        <v>2035</v>
      </c>
      <c r="H67" s="841" t="s">
        <v>353</v>
      </c>
      <c r="I67" s="841" t="s">
        <v>353</v>
      </c>
      <c r="J67" s="841" t="s">
        <v>353</v>
      </c>
      <c r="K67" s="841" t="s">
        <v>353</v>
      </c>
      <c r="L67" s="842">
        <v>44601.647916666669</v>
      </c>
      <c r="M67" s="841" t="s">
        <v>353</v>
      </c>
      <c r="N67" s="841" t="s">
        <v>353</v>
      </c>
      <c r="O67" s="841" t="s">
        <v>353</v>
      </c>
      <c r="P67" s="841" t="s">
        <v>33</v>
      </c>
      <c r="Q67" s="841" t="s">
        <v>353</v>
      </c>
      <c r="R67" s="841" t="s">
        <v>353</v>
      </c>
      <c r="S67" s="841" t="s">
        <v>61</v>
      </c>
      <c r="T67" s="841" t="s">
        <v>1390</v>
      </c>
      <c r="U67" s="841" t="s">
        <v>353</v>
      </c>
      <c r="V67" s="841" t="s">
        <v>353</v>
      </c>
      <c r="W67" s="841" t="s">
        <v>1575</v>
      </c>
      <c r="X67" s="841" t="s">
        <v>2036</v>
      </c>
      <c r="Y67" s="841" t="s">
        <v>353</v>
      </c>
      <c r="Z67" s="841" t="s">
        <v>353</v>
      </c>
      <c r="AA67" s="841" t="s">
        <v>673</v>
      </c>
      <c r="AB67" s="841" t="s">
        <v>353</v>
      </c>
      <c r="AC67" s="841">
        <v>131000</v>
      </c>
      <c r="AD67" s="841" t="s">
        <v>353</v>
      </c>
      <c r="AE67" s="841" t="s">
        <v>673</v>
      </c>
      <c r="AF67" s="841">
        <v>936.65</v>
      </c>
      <c r="AG67" s="841" t="s">
        <v>353</v>
      </c>
      <c r="AH67" s="841">
        <v>1080</v>
      </c>
      <c r="AI67" s="841" t="s">
        <v>1521</v>
      </c>
      <c r="AJ67" s="841" t="s">
        <v>353</v>
      </c>
      <c r="AK67" s="841">
        <v>75</v>
      </c>
      <c r="AL67" s="841" t="s">
        <v>353</v>
      </c>
      <c r="AM67" s="841" t="s">
        <v>353</v>
      </c>
      <c r="AN67" s="841" t="s">
        <v>353</v>
      </c>
      <c r="AO67" s="841" t="s">
        <v>353</v>
      </c>
      <c r="AP67" s="841" t="s">
        <v>353</v>
      </c>
      <c r="AQ67" s="841" t="s">
        <v>353</v>
      </c>
      <c r="AR67" s="841" t="s">
        <v>673</v>
      </c>
      <c r="AS67" s="841" t="s">
        <v>353</v>
      </c>
      <c r="AT67" s="841" t="s">
        <v>353</v>
      </c>
      <c r="AU67" s="841" t="s">
        <v>1405</v>
      </c>
      <c r="AV67" s="841" t="s">
        <v>353</v>
      </c>
      <c r="AW67" s="843">
        <v>44594</v>
      </c>
      <c r="AX67" s="841" t="s">
        <v>353</v>
      </c>
      <c r="AY67" s="841" t="s">
        <v>353</v>
      </c>
      <c r="AZ67" s="841" t="s">
        <v>353</v>
      </c>
      <c r="BA67" s="841" t="s">
        <v>353</v>
      </c>
      <c r="BB67" s="841" t="s">
        <v>353</v>
      </c>
      <c r="BC67" s="841">
        <v>252267</v>
      </c>
      <c r="BD67" s="841" t="s">
        <v>353</v>
      </c>
      <c r="BE67" s="841" t="s">
        <v>353</v>
      </c>
      <c r="BF67" s="841" t="s">
        <v>353</v>
      </c>
      <c r="BG67" s="841" t="s">
        <v>353</v>
      </c>
      <c r="BH67" s="841" t="s">
        <v>353</v>
      </c>
      <c r="BI67" s="841" t="s">
        <v>353</v>
      </c>
      <c r="BJ67" s="841" t="s">
        <v>353</v>
      </c>
      <c r="BK67" s="841" t="s">
        <v>353</v>
      </c>
      <c r="BL67" s="841" t="s">
        <v>2037</v>
      </c>
      <c r="BM67" s="842">
        <v>44592.551388888889</v>
      </c>
      <c r="BN67" s="841" t="s">
        <v>353</v>
      </c>
      <c r="BO67" s="841" t="s">
        <v>353</v>
      </c>
      <c r="BP67" s="841" t="s">
        <v>353</v>
      </c>
      <c r="BQ67" s="841" t="s">
        <v>353</v>
      </c>
      <c r="BR67" s="841" t="s">
        <v>353</v>
      </c>
      <c r="BS67" s="841" t="s">
        <v>353</v>
      </c>
      <c r="BT67" s="841">
        <v>262500</v>
      </c>
      <c r="BU67" s="841" t="s">
        <v>353</v>
      </c>
      <c r="BV67" s="841" t="s">
        <v>1616</v>
      </c>
      <c r="BW67" s="841" t="s">
        <v>1578</v>
      </c>
      <c r="BX67" s="841" t="s">
        <v>2038</v>
      </c>
      <c r="BY67" s="841" t="s">
        <v>353</v>
      </c>
      <c r="BZ67" s="841" t="s">
        <v>353</v>
      </c>
      <c r="CA67" s="841" t="s">
        <v>353</v>
      </c>
      <c r="CB67" s="841" t="s">
        <v>353</v>
      </c>
      <c r="CC67" s="841" t="s">
        <v>353</v>
      </c>
      <c r="CD67" s="841" t="s">
        <v>353</v>
      </c>
      <c r="CE67" s="841" t="s">
        <v>353</v>
      </c>
      <c r="CF67" s="841" t="s">
        <v>353</v>
      </c>
      <c r="CG67" s="841" t="s">
        <v>353</v>
      </c>
      <c r="CH67" s="841" t="s">
        <v>353</v>
      </c>
      <c r="CI67" s="841" t="s">
        <v>33</v>
      </c>
      <c r="CJ67" s="841" t="s">
        <v>353</v>
      </c>
      <c r="CK67" s="841">
        <v>1</v>
      </c>
      <c r="CL67" s="841" t="s">
        <v>353</v>
      </c>
      <c r="CM67" s="841">
        <v>1</v>
      </c>
      <c r="CN67" s="841" t="s">
        <v>353</v>
      </c>
      <c r="CO67" s="841" t="s">
        <v>353</v>
      </c>
      <c r="CP67" s="841" t="s">
        <v>2039</v>
      </c>
      <c r="CQ67" s="841" t="s">
        <v>353</v>
      </c>
      <c r="CR67" s="841" t="s">
        <v>353</v>
      </c>
      <c r="CS67" s="841" t="s">
        <v>1405</v>
      </c>
      <c r="CT67" s="841" t="s">
        <v>353</v>
      </c>
      <c r="CU67" s="841" t="s">
        <v>1391</v>
      </c>
      <c r="CV67" s="841" t="s">
        <v>353</v>
      </c>
      <c r="CW67" s="841" t="s">
        <v>353</v>
      </c>
      <c r="CX67" s="841" t="s">
        <v>353</v>
      </c>
      <c r="CY67" s="841" t="s">
        <v>353</v>
      </c>
      <c r="CZ67" s="841" t="s">
        <v>353</v>
      </c>
      <c r="DA67" s="841" t="s">
        <v>353</v>
      </c>
      <c r="DB67" s="841" t="s">
        <v>353</v>
      </c>
      <c r="DC67" s="841" t="s">
        <v>353</v>
      </c>
      <c r="DD67" s="841" t="s">
        <v>353</v>
      </c>
      <c r="DE67" s="841" t="s">
        <v>353</v>
      </c>
      <c r="DF67" s="841">
        <v>34</v>
      </c>
      <c r="DG67" s="841" t="s">
        <v>353</v>
      </c>
      <c r="DH67" s="841" t="s">
        <v>353</v>
      </c>
      <c r="DI67" s="841" t="s">
        <v>353</v>
      </c>
      <c r="DJ67" s="841" t="s">
        <v>2032</v>
      </c>
      <c r="DK67" s="841" t="s">
        <v>353</v>
      </c>
      <c r="DL67" s="842">
        <v>44592.551388888889</v>
      </c>
      <c r="DM67" s="841" t="s">
        <v>353</v>
      </c>
      <c r="DN67" s="841" t="s">
        <v>33</v>
      </c>
      <c r="DO67" s="841" t="s">
        <v>673</v>
      </c>
      <c r="DP67" s="841" t="s">
        <v>1412</v>
      </c>
      <c r="DQ67" s="841" t="s">
        <v>673</v>
      </c>
      <c r="DR67" s="841" t="s">
        <v>353</v>
      </c>
      <c r="DS67" s="841">
        <v>34</v>
      </c>
      <c r="DT67" s="841" t="s">
        <v>353</v>
      </c>
      <c r="DU67" s="841" t="s">
        <v>353</v>
      </c>
      <c r="DV67" s="841">
        <v>232970.4</v>
      </c>
      <c r="DW67" s="841">
        <v>262000</v>
      </c>
      <c r="DX67" s="841" t="s">
        <v>673</v>
      </c>
      <c r="DY67" s="841" t="s">
        <v>353</v>
      </c>
      <c r="DZ67" s="841" t="s">
        <v>353</v>
      </c>
      <c r="EA67" s="841" t="s">
        <v>353</v>
      </c>
      <c r="EB67" s="841" t="s">
        <v>353</v>
      </c>
      <c r="EC67" s="841" t="s">
        <v>353</v>
      </c>
      <c r="ED67" s="841" t="s">
        <v>353</v>
      </c>
      <c r="EE67" s="841" t="s">
        <v>353</v>
      </c>
      <c r="EF67" s="841" t="s">
        <v>353</v>
      </c>
      <c r="EG67" s="841" t="s">
        <v>353</v>
      </c>
      <c r="EH67" s="841" t="s">
        <v>353</v>
      </c>
      <c r="EI67" s="841">
        <v>25099.599999999999</v>
      </c>
      <c r="EJ67" s="841" t="s">
        <v>353</v>
      </c>
      <c r="EK67" s="841" t="s">
        <v>1488</v>
      </c>
      <c r="EL67" s="841" t="s">
        <v>1435</v>
      </c>
      <c r="EM67" s="841">
        <v>3930</v>
      </c>
      <c r="EN67" s="841" t="s">
        <v>353</v>
      </c>
      <c r="EO67" s="841" t="s">
        <v>353</v>
      </c>
      <c r="EP67" s="841" t="s">
        <v>353</v>
      </c>
      <c r="EQ67" s="841" t="s">
        <v>353</v>
      </c>
      <c r="ER67" s="841" t="s">
        <v>353</v>
      </c>
      <c r="ES67" s="841" t="s">
        <v>33</v>
      </c>
      <c r="ET67" s="841" t="s">
        <v>1711</v>
      </c>
      <c r="EU67" s="841" t="s">
        <v>353</v>
      </c>
      <c r="EV67" s="841" t="s">
        <v>353</v>
      </c>
      <c r="EW67" s="841" t="s">
        <v>353</v>
      </c>
      <c r="EX67" s="841" t="s">
        <v>33</v>
      </c>
      <c r="EY67" s="842">
        <v>44601.614583333336</v>
      </c>
      <c r="EZ67" s="841" t="s">
        <v>353</v>
      </c>
      <c r="FA67" s="841" t="s">
        <v>353</v>
      </c>
      <c r="FB67" s="841" t="s">
        <v>353</v>
      </c>
      <c r="FC67" s="841" t="s">
        <v>353</v>
      </c>
      <c r="FD67" s="841" t="s">
        <v>353</v>
      </c>
      <c r="FE67" s="842">
        <v>44592.551388888889</v>
      </c>
      <c r="FF67" s="841" t="s">
        <v>353</v>
      </c>
      <c r="FG67" s="841" t="s">
        <v>2040</v>
      </c>
      <c r="FH67" s="841" t="s">
        <v>353</v>
      </c>
      <c r="FI67" s="841" t="s">
        <v>353</v>
      </c>
      <c r="FJ67" s="841" t="s">
        <v>353</v>
      </c>
      <c r="FK67" s="841" t="s">
        <v>353</v>
      </c>
      <c r="FL67" s="841" t="s">
        <v>353</v>
      </c>
      <c r="FM67" s="841" t="s">
        <v>353</v>
      </c>
      <c r="FN67" s="841" t="s">
        <v>353</v>
      </c>
      <c r="FO67" s="841" t="s">
        <v>1528</v>
      </c>
      <c r="FP67" s="841" t="s">
        <v>353</v>
      </c>
      <c r="FQ67" s="841" t="s">
        <v>353</v>
      </c>
      <c r="FR67" s="841" t="s">
        <v>353</v>
      </c>
      <c r="FS67" s="841" t="s">
        <v>353</v>
      </c>
      <c r="FT67" s="841" t="s">
        <v>353</v>
      </c>
      <c r="FU67" s="841" t="s">
        <v>1467</v>
      </c>
      <c r="FV67" s="841" t="s">
        <v>353</v>
      </c>
      <c r="FW67" s="841" t="s">
        <v>353</v>
      </c>
      <c r="FX67" s="841" t="s">
        <v>353</v>
      </c>
      <c r="FY67" s="841" t="s">
        <v>353</v>
      </c>
      <c r="FZ67" s="841" t="s">
        <v>353</v>
      </c>
      <c r="GA67" s="841" t="s">
        <v>353</v>
      </c>
      <c r="GB67" s="841">
        <v>1</v>
      </c>
      <c r="GC67" s="841" t="s">
        <v>353</v>
      </c>
      <c r="GD67" s="841" t="s">
        <v>1395</v>
      </c>
      <c r="GE67" s="841" t="s">
        <v>353</v>
      </c>
      <c r="GF67" s="841" t="s">
        <v>353</v>
      </c>
      <c r="GG67" s="841" t="s">
        <v>349</v>
      </c>
      <c r="GH67" s="841">
        <v>131000</v>
      </c>
      <c r="GI67" s="841" t="s">
        <v>353</v>
      </c>
      <c r="GJ67" s="841" t="s">
        <v>353</v>
      </c>
      <c r="GK67" s="841" t="s">
        <v>353</v>
      </c>
      <c r="GL67" s="841" t="s">
        <v>1715</v>
      </c>
      <c r="GM67" s="841" t="s">
        <v>353</v>
      </c>
      <c r="GN67" s="841" t="s">
        <v>353</v>
      </c>
      <c r="GO67" s="841" t="s">
        <v>353</v>
      </c>
      <c r="GP67" s="841" t="s">
        <v>353</v>
      </c>
      <c r="GQ67" s="841" t="s">
        <v>353</v>
      </c>
      <c r="GR67" s="842">
        <v>44601.614583333336</v>
      </c>
      <c r="GS67" s="841" t="s">
        <v>1616</v>
      </c>
      <c r="GT67" s="841" t="s">
        <v>353</v>
      </c>
      <c r="GU67" s="841" t="s">
        <v>353</v>
      </c>
      <c r="GV67" s="841" t="s">
        <v>1419</v>
      </c>
      <c r="GW67" s="841" t="s">
        <v>353</v>
      </c>
      <c r="GX67" s="841" t="s">
        <v>353</v>
      </c>
      <c r="GY67" s="841">
        <v>36</v>
      </c>
      <c r="GZ67" s="841" t="s">
        <v>1575</v>
      </c>
      <c r="HA67" s="841" t="s">
        <v>353</v>
      </c>
      <c r="HB67" s="841" t="s">
        <v>353</v>
      </c>
      <c r="HC67" s="841" t="s">
        <v>1421</v>
      </c>
      <c r="HD67" s="841" t="s">
        <v>2039</v>
      </c>
      <c r="HE67" s="841">
        <v>5240</v>
      </c>
      <c r="HF67" s="841" t="s">
        <v>353</v>
      </c>
      <c r="HG67" s="841" t="s">
        <v>353</v>
      </c>
      <c r="HH67" s="841" t="s">
        <v>353</v>
      </c>
      <c r="HI67" s="841" t="s">
        <v>1422</v>
      </c>
      <c r="HJ67" s="841" t="s">
        <v>2041</v>
      </c>
      <c r="HK67" s="841">
        <v>262000</v>
      </c>
      <c r="HL67" s="841" t="s">
        <v>49</v>
      </c>
      <c r="HM67" s="841" t="s">
        <v>1423</v>
      </c>
      <c r="HN67" s="841" t="s">
        <v>33</v>
      </c>
      <c r="HO67" s="841" t="s">
        <v>353</v>
      </c>
      <c r="HP67" s="841">
        <v>12549.8</v>
      </c>
      <c r="HQ67" s="841" t="s">
        <v>353</v>
      </c>
      <c r="HR67" s="841" t="s">
        <v>353</v>
      </c>
      <c r="HS67" s="841">
        <v>236900.4</v>
      </c>
      <c r="HT67" s="841" t="s">
        <v>353</v>
      </c>
      <c r="HU67" s="841" t="s">
        <v>353</v>
      </c>
      <c r="HV67" s="841" t="s">
        <v>353</v>
      </c>
      <c r="HW67" s="841">
        <v>350000</v>
      </c>
      <c r="HX67" s="841" t="s">
        <v>353</v>
      </c>
      <c r="HY67" s="841" t="s">
        <v>353</v>
      </c>
      <c r="HZ67" s="841" t="s">
        <v>353</v>
      </c>
      <c r="IA67" s="841" t="s">
        <v>353</v>
      </c>
      <c r="IB67" s="841" t="s">
        <v>1424</v>
      </c>
      <c r="IC67" s="841" t="s">
        <v>353</v>
      </c>
      <c r="ID67" s="841" t="s">
        <v>353</v>
      </c>
      <c r="IE67" s="841" t="s">
        <v>353</v>
      </c>
      <c r="IF67" s="841" t="s">
        <v>353</v>
      </c>
      <c r="IG67" s="841" t="s">
        <v>353</v>
      </c>
      <c r="IH67" s="841" t="s">
        <v>353</v>
      </c>
      <c r="II67" s="841" t="s">
        <v>353</v>
      </c>
      <c r="IJ67" s="841">
        <v>112</v>
      </c>
      <c r="IK67" s="841" t="s">
        <v>353</v>
      </c>
      <c r="IL67" s="841">
        <v>256197</v>
      </c>
      <c r="IM67" s="841" t="s">
        <v>353</v>
      </c>
      <c r="IN67" s="841" t="s">
        <v>353</v>
      </c>
      <c r="IO67" s="841">
        <v>0</v>
      </c>
      <c r="IP67" s="841" t="s">
        <v>353</v>
      </c>
      <c r="IQ67" s="841" t="s">
        <v>353</v>
      </c>
      <c r="IR67" s="841">
        <v>2</v>
      </c>
      <c r="IS67" s="841" t="s">
        <v>33</v>
      </c>
      <c r="IT67" s="841" t="s">
        <v>353</v>
      </c>
      <c r="IU67" s="841" t="s">
        <v>353</v>
      </c>
      <c r="IV67" s="841" t="s">
        <v>353</v>
      </c>
      <c r="IW67" s="841" t="s">
        <v>353</v>
      </c>
      <c r="IX67" s="841" t="s">
        <v>353</v>
      </c>
      <c r="IY67" s="841" t="s">
        <v>353</v>
      </c>
      <c r="IZ67" s="841" t="s">
        <v>353</v>
      </c>
      <c r="JA67" s="841">
        <v>262000</v>
      </c>
      <c r="JB67" s="841" t="s">
        <v>353</v>
      </c>
      <c r="JC67" s="841" t="s">
        <v>353</v>
      </c>
      <c r="JD67" s="841" t="s">
        <v>1488</v>
      </c>
      <c r="JE67" s="841" t="s">
        <v>33</v>
      </c>
      <c r="JF67" s="841" t="s">
        <v>1718</v>
      </c>
      <c r="JG67" s="841" t="s">
        <v>1719</v>
      </c>
      <c r="JH67" s="841" t="s">
        <v>1720</v>
      </c>
      <c r="JI67" s="841" t="s">
        <v>1721</v>
      </c>
    </row>
    <row r="68" spans="1:269" x14ac:dyDescent="0.25">
      <c r="A68" s="841" t="s">
        <v>2042</v>
      </c>
      <c r="B68" s="841" t="s">
        <v>353</v>
      </c>
      <c r="C68" s="841" t="s">
        <v>1403</v>
      </c>
      <c r="D68" s="841" t="s">
        <v>353</v>
      </c>
      <c r="E68" s="841" t="s">
        <v>353</v>
      </c>
      <c r="F68" s="841" t="s">
        <v>1435</v>
      </c>
      <c r="G68" s="841" t="s">
        <v>1574</v>
      </c>
      <c r="H68" s="841" t="s">
        <v>353</v>
      </c>
      <c r="I68" s="841" t="s">
        <v>353</v>
      </c>
      <c r="J68" s="841" t="s">
        <v>353</v>
      </c>
      <c r="K68" s="841" t="s">
        <v>353</v>
      </c>
      <c r="L68" s="842">
        <v>44601.647916666669</v>
      </c>
      <c r="M68" s="841" t="s">
        <v>353</v>
      </c>
      <c r="N68" s="841" t="s">
        <v>353</v>
      </c>
      <c r="O68" s="841" t="s">
        <v>353</v>
      </c>
      <c r="P68" s="841" t="s">
        <v>33</v>
      </c>
      <c r="Q68" s="841" t="s">
        <v>353</v>
      </c>
      <c r="R68" s="841" t="s">
        <v>353</v>
      </c>
      <c r="S68" s="841" t="s">
        <v>61</v>
      </c>
      <c r="T68" s="841" t="s">
        <v>1390</v>
      </c>
      <c r="U68" s="841" t="s">
        <v>353</v>
      </c>
      <c r="V68" s="841" t="s">
        <v>353</v>
      </c>
      <c r="W68" s="841" t="s">
        <v>1575</v>
      </c>
      <c r="X68" s="841" t="s">
        <v>1405</v>
      </c>
      <c r="Y68" s="841" t="s">
        <v>353</v>
      </c>
      <c r="Z68" s="841" t="s">
        <v>353</v>
      </c>
      <c r="AA68" s="841" t="s">
        <v>673</v>
      </c>
      <c r="AB68" s="841" t="s">
        <v>353</v>
      </c>
      <c r="AC68" s="841">
        <v>313000</v>
      </c>
      <c r="AD68" s="841" t="s">
        <v>353</v>
      </c>
      <c r="AE68" s="841" t="s">
        <v>673</v>
      </c>
      <c r="AF68" s="841">
        <v>2498.7800000000002</v>
      </c>
      <c r="AG68" s="841" t="s">
        <v>353</v>
      </c>
      <c r="AH68" s="841">
        <v>3000</v>
      </c>
      <c r="AI68" s="841" t="s">
        <v>1521</v>
      </c>
      <c r="AJ68" s="841" t="s">
        <v>353</v>
      </c>
      <c r="AK68" s="841">
        <v>70</v>
      </c>
      <c r="AL68" s="841" t="s">
        <v>353</v>
      </c>
      <c r="AM68" s="841" t="s">
        <v>353</v>
      </c>
      <c r="AN68" s="841" t="s">
        <v>353</v>
      </c>
      <c r="AO68" s="841" t="s">
        <v>353</v>
      </c>
      <c r="AP68" s="841" t="s">
        <v>353</v>
      </c>
      <c r="AQ68" s="841" t="s">
        <v>353</v>
      </c>
      <c r="AR68" s="841" t="s">
        <v>673</v>
      </c>
      <c r="AS68" s="841" t="s">
        <v>353</v>
      </c>
      <c r="AT68" s="841" t="s">
        <v>353</v>
      </c>
      <c r="AU68" s="841" t="s">
        <v>1405</v>
      </c>
      <c r="AV68" s="841" t="s">
        <v>353</v>
      </c>
      <c r="AW68" s="843">
        <v>44594</v>
      </c>
      <c r="AX68" s="841" t="s">
        <v>353</v>
      </c>
      <c r="AY68" s="841" t="s">
        <v>353</v>
      </c>
      <c r="AZ68" s="841" t="s">
        <v>353</v>
      </c>
      <c r="BA68" s="841" t="s">
        <v>353</v>
      </c>
      <c r="BB68" s="841" t="s">
        <v>353</v>
      </c>
      <c r="BC68" s="841">
        <v>616610</v>
      </c>
      <c r="BD68" s="841" t="s">
        <v>353</v>
      </c>
      <c r="BE68" s="841" t="s">
        <v>353</v>
      </c>
      <c r="BF68" s="841" t="s">
        <v>353</v>
      </c>
      <c r="BG68" s="841" t="s">
        <v>353</v>
      </c>
      <c r="BH68" s="841" t="s">
        <v>353</v>
      </c>
      <c r="BI68" s="841" t="s">
        <v>353</v>
      </c>
      <c r="BJ68" s="841" t="s">
        <v>353</v>
      </c>
      <c r="BK68" s="841">
        <v>250000</v>
      </c>
      <c r="BL68" s="841" t="s">
        <v>2037</v>
      </c>
      <c r="BM68" s="842">
        <v>44592.55</v>
      </c>
      <c r="BN68" s="841" t="s">
        <v>353</v>
      </c>
      <c r="BO68" s="841" t="s">
        <v>353</v>
      </c>
      <c r="BP68" s="841" t="s">
        <v>353</v>
      </c>
      <c r="BQ68" s="841" t="s">
        <v>353</v>
      </c>
      <c r="BR68" s="841" t="s">
        <v>353</v>
      </c>
      <c r="BS68" s="841" t="s">
        <v>353</v>
      </c>
      <c r="BT68" s="841">
        <v>667500</v>
      </c>
      <c r="BU68" s="841" t="s">
        <v>353</v>
      </c>
      <c r="BV68" s="841" t="s">
        <v>1616</v>
      </c>
      <c r="BW68" s="841" t="s">
        <v>1578</v>
      </c>
      <c r="BX68" s="841" t="s">
        <v>2038</v>
      </c>
      <c r="BY68" s="841" t="s">
        <v>353</v>
      </c>
      <c r="BZ68" s="841" t="s">
        <v>353</v>
      </c>
      <c r="CA68" s="841" t="s">
        <v>353</v>
      </c>
      <c r="CB68" s="841" t="s">
        <v>353</v>
      </c>
      <c r="CC68" s="841" t="s">
        <v>353</v>
      </c>
      <c r="CD68" s="841" t="s">
        <v>353</v>
      </c>
      <c r="CE68" s="841" t="s">
        <v>353</v>
      </c>
      <c r="CF68" s="841" t="s">
        <v>353</v>
      </c>
      <c r="CG68" s="841" t="s">
        <v>353</v>
      </c>
      <c r="CH68" s="841" t="s">
        <v>353</v>
      </c>
      <c r="CI68" s="841" t="s">
        <v>33</v>
      </c>
      <c r="CJ68" s="841" t="s">
        <v>353</v>
      </c>
      <c r="CK68" s="841">
        <v>1</v>
      </c>
      <c r="CL68" s="841" t="s">
        <v>353</v>
      </c>
      <c r="CM68" s="841">
        <v>1</v>
      </c>
      <c r="CN68" s="841" t="s">
        <v>353</v>
      </c>
      <c r="CO68" s="841" t="s">
        <v>353</v>
      </c>
      <c r="CP68" s="841" t="s">
        <v>2043</v>
      </c>
      <c r="CQ68" s="841" t="s">
        <v>353</v>
      </c>
      <c r="CR68" s="841" t="s">
        <v>353</v>
      </c>
      <c r="CS68" s="841" t="s">
        <v>1405</v>
      </c>
      <c r="CT68" s="841" t="s">
        <v>353</v>
      </c>
      <c r="CU68" s="841" t="s">
        <v>1391</v>
      </c>
      <c r="CV68" s="841" t="s">
        <v>353</v>
      </c>
      <c r="CW68" s="841" t="s">
        <v>353</v>
      </c>
      <c r="CX68" s="841" t="s">
        <v>353</v>
      </c>
      <c r="CY68" s="841" t="s">
        <v>353</v>
      </c>
      <c r="CZ68" s="841" t="s">
        <v>353</v>
      </c>
      <c r="DA68" s="841" t="s">
        <v>353</v>
      </c>
      <c r="DB68" s="841" t="s">
        <v>353</v>
      </c>
      <c r="DC68" s="841" t="s">
        <v>353</v>
      </c>
      <c r="DD68" s="841" t="s">
        <v>353</v>
      </c>
      <c r="DE68" s="841" t="s">
        <v>353</v>
      </c>
      <c r="DF68" s="841">
        <v>36</v>
      </c>
      <c r="DG68" s="841" t="s">
        <v>353</v>
      </c>
      <c r="DH68" s="841" t="s">
        <v>353</v>
      </c>
      <c r="DI68" s="841" t="s">
        <v>353</v>
      </c>
      <c r="DJ68" s="841" t="s">
        <v>2044</v>
      </c>
      <c r="DK68" s="841" t="s">
        <v>353</v>
      </c>
      <c r="DL68" s="842">
        <v>44592.55</v>
      </c>
      <c r="DM68" s="841" t="s">
        <v>353</v>
      </c>
      <c r="DN68" s="841" t="s">
        <v>33</v>
      </c>
      <c r="DO68" s="841" t="s">
        <v>673</v>
      </c>
      <c r="DP68" s="841" t="s">
        <v>1412</v>
      </c>
      <c r="DQ68" s="841" t="s">
        <v>673</v>
      </c>
      <c r="DR68" s="841" t="s">
        <v>353</v>
      </c>
      <c r="DS68" s="841">
        <v>36</v>
      </c>
      <c r="DT68" s="841" t="s">
        <v>353</v>
      </c>
      <c r="DU68" s="841" t="s">
        <v>353</v>
      </c>
      <c r="DV68" s="841">
        <v>616610</v>
      </c>
      <c r="DW68" s="841">
        <v>626000</v>
      </c>
      <c r="DX68" s="841" t="s">
        <v>673</v>
      </c>
      <c r="DY68" s="841" t="s">
        <v>353</v>
      </c>
      <c r="DZ68" s="841" t="s">
        <v>353</v>
      </c>
      <c r="EA68" s="841" t="s">
        <v>353</v>
      </c>
      <c r="EB68" s="841" t="s">
        <v>353</v>
      </c>
      <c r="EC68" s="841" t="s">
        <v>353</v>
      </c>
      <c r="ED68" s="841" t="s">
        <v>353</v>
      </c>
      <c r="EE68" s="841" t="s">
        <v>353</v>
      </c>
      <c r="EF68" s="841" t="s">
        <v>353</v>
      </c>
      <c r="EG68" s="841" t="s">
        <v>353</v>
      </c>
      <c r="EH68" s="841" t="s">
        <v>353</v>
      </c>
      <c r="EI68" s="841">
        <v>0</v>
      </c>
      <c r="EJ68" s="841" t="s">
        <v>353</v>
      </c>
      <c r="EK68" s="841" t="s">
        <v>1488</v>
      </c>
      <c r="EL68" s="841" t="s">
        <v>1435</v>
      </c>
      <c r="EM68" s="841">
        <v>9390</v>
      </c>
      <c r="EN68" s="841" t="s">
        <v>353</v>
      </c>
      <c r="EO68" s="841" t="s">
        <v>353</v>
      </c>
      <c r="EP68" s="841" t="s">
        <v>353</v>
      </c>
      <c r="EQ68" s="841" t="s">
        <v>353</v>
      </c>
      <c r="ER68" s="841" t="s">
        <v>353</v>
      </c>
      <c r="ES68" s="841" t="s">
        <v>33</v>
      </c>
      <c r="ET68" s="841" t="s">
        <v>1711</v>
      </c>
      <c r="EU68" s="841" t="s">
        <v>353</v>
      </c>
      <c r="EV68" s="841" t="s">
        <v>353</v>
      </c>
      <c r="EW68" s="841" t="s">
        <v>353</v>
      </c>
      <c r="EX68" s="841" t="s">
        <v>33</v>
      </c>
      <c r="EY68" s="842">
        <v>44601.614583333336</v>
      </c>
      <c r="EZ68" s="841" t="s">
        <v>353</v>
      </c>
      <c r="FA68" s="841" t="s">
        <v>353</v>
      </c>
      <c r="FB68" s="841" t="s">
        <v>353</v>
      </c>
      <c r="FC68" s="841" t="s">
        <v>353</v>
      </c>
      <c r="FD68" s="841" t="s">
        <v>353</v>
      </c>
      <c r="FE68" s="842">
        <v>44592.550694444442</v>
      </c>
      <c r="FF68" s="841" t="s">
        <v>353</v>
      </c>
      <c r="FG68" s="841" t="s">
        <v>2045</v>
      </c>
      <c r="FH68" s="841" t="s">
        <v>353</v>
      </c>
      <c r="FI68" s="841" t="s">
        <v>353</v>
      </c>
      <c r="FJ68" s="841" t="s">
        <v>353</v>
      </c>
      <c r="FK68" s="841" t="s">
        <v>353</v>
      </c>
      <c r="FL68" s="841" t="s">
        <v>353</v>
      </c>
      <c r="FM68" s="841" t="s">
        <v>353</v>
      </c>
      <c r="FN68" s="841" t="s">
        <v>353</v>
      </c>
      <c r="FO68" s="841" t="s">
        <v>1729</v>
      </c>
      <c r="FP68" s="841" t="s">
        <v>353</v>
      </c>
      <c r="FQ68" s="841" t="s">
        <v>353</v>
      </c>
      <c r="FR68" s="841" t="s">
        <v>353</v>
      </c>
      <c r="FS68" s="841" t="s">
        <v>353</v>
      </c>
      <c r="FT68" s="841" t="s">
        <v>353</v>
      </c>
      <c r="FU68" s="841" t="s">
        <v>1467</v>
      </c>
      <c r="FV68" s="841" t="s">
        <v>353</v>
      </c>
      <c r="FW68" s="841" t="s">
        <v>353</v>
      </c>
      <c r="FX68" s="841" t="s">
        <v>353</v>
      </c>
      <c r="FY68" s="841" t="s">
        <v>353</v>
      </c>
      <c r="FZ68" s="841" t="s">
        <v>353</v>
      </c>
      <c r="GA68" s="841" t="s">
        <v>353</v>
      </c>
      <c r="GB68" s="841">
        <v>1</v>
      </c>
      <c r="GC68" s="841" t="s">
        <v>353</v>
      </c>
      <c r="GD68" s="841" t="s">
        <v>1395</v>
      </c>
      <c r="GE68" s="841" t="s">
        <v>353</v>
      </c>
      <c r="GF68" s="841" t="s">
        <v>353</v>
      </c>
      <c r="GG68" s="841" t="s">
        <v>349</v>
      </c>
      <c r="GH68" s="841">
        <v>313000</v>
      </c>
      <c r="GI68" s="841" t="s">
        <v>353</v>
      </c>
      <c r="GJ68" s="841" t="s">
        <v>353</v>
      </c>
      <c r="GK68" s="841" t="s">
        <v>353</v>
      </c>
      <c r="GL68" s="841" t="s">
        <v>1715</v>
      </c>
      <c r="GM68" s="841" t="s">
        <v>353</v>
      </c>
      <c r="GN68" s="841" t="s">
        <v>353</v>
      </c>
      <c r="GO68" s="841" t="s">
        <v>353</v>
      </c>
      <c r="GP68" s="841" t="s">
        <v>353</v>
      </c>
      <c r="GQ68" s="841" t="s">
        <v>353</v>
      </c>
      <c r="GR68" s="842">
        <v>44601.614583333336</v>
      </c>
      <c r="GS68" s="841" t="s">
        <v>1662</v>
      </c>
      <c r="GT68" s="841" t="s">
        <v>353</v>
      </c>
      <c r="GU68" s="841" t="s">
        <v>353</v>
      </c>
      <c r="GV68" s="841" t="s">
        <v>1419</v>
      </c>
      <c r="GW68" s="841" t="s">
        <v>353</v>
      </c>
      <c r="GX68" s="841" t="s">
        <v>2046</v>
      </c>
      <c r="GY68" s="841">
        <v>36</v>
      </c>
      <c r="GZ68" s="841" t="s">
        <v>1488</v>
      </c>
      <c r="HA68" s="841" t="s">
        <v>353</v>
      </c>
      <c r="HB68" s="841" t="s">
        <v>353</v>
      </c>
      <c r="HC68" s="841" t="s">
        <v>1421</v>
      </c>
      <c r="HD68" s="841" t="s">
        <v>2043</v>
      </c>
      <c r="HE68" s="841">
        <v>12520</v>
      </c>
      <c r="HF68" s="841" t="s">
        <v>353</v>
      </c>
      <c r="HG68" s="841" t="s">
        <v>353</v>
      </c>
      <c r="HH68" s="841" t="s">
        <v>353</v>
      </c>
      <c r="HI68" s="841" t="s">
        <v>1422</v>
      </c>
      <c r="HJ68" s="841" t="s">
        <v>2041</v>
      </c>
      <c r="HK68" s="841">
        <v>626000</v>
      </c>
      <c r="HL68" s="841" t="s">
        <v>49</v>
      </c>
      <c r="HM68" s="841" t="s">
        <v>1423</v>
      </c>
      <c r="HN68" s="841" t="s">
        <v>33</v>
      </c>
      <c r="HO68" s="841" t="s">
        <v>353</v>
      </c>
      <c r="HP68" s="841">
        <v>29985.4</v>
      </c>
      <c r="HQ68" s="841" t="s">
        <v>353</v>
      </c>
      <c r="HR68" s="841" t="s">
        <v>353</v>
      </c>
      <c r="HS68" s="841">
        <v>626000</v>
      </c>
      <c r="HT68" s="841" t="s">
        <v>353</v>
      </c>
      <c r="HU68" s="841" t="s">
        <v>353</v>
      </c>
      <c r="HV68" s="841" t="s">
        <v>353</v>
      </c>
      <c r="HW68" s="841">
        <v>890000</v>
      </c>
      <c r="HX68" s="841" t="s">
        <v>353</v>
      </c>
      <c r="HY68" s="841" t="s">
        <v>353</v>
      </c>
      <c r="HZ68" s="841" t="s">
        <v>353</v>
      </c>
      <c r="IA68" s="841" t="s">
        <v>353</v>
      </c>
      <c r="IB68" s="841" t="s">
        <v>1424</v>
      </c>
      <c r="IC68" s="841" t="s">
        <v>353</v>
      </c>
      <c r="ID68" s="841" t="s">
        <v>353</v>
      </c>
      <c r="IE68" s="841" t="s">
        <v>353</v>
      </c>
      <c r="IF68" s="841" t="s">
        <v>353</v>
      </c>
      <c r="IG68" s="841" t="s">
        <v>353</v>
      </c>
      <c r="IH68" s="841" t="s">
        <v>353</v>
      </c>
      <c r="II68" s="841" t="s">
        <v>353</v>
      </c>
      <c r="IJ68" s="841">
        <v>104</v>
      </c>
      <c r="IK68" s="841" t="s">
        <v>353</v>
      </c>
      <c r="IL68" s="841">
        <v>626000</v>
      </c>
      <c r="IM68" s="841" t="s">
        <v>353</v>
      </c>
      <c r="IN68" s="841" t="s">
        <v>353</v>
      </c>
      <c r="IO68" s="841">
        <v>0</v>
      </c>
      <c r="IP68" s="841" t="s">
        <v>353</v>
      </c>
      <c r="IQ68" s="841" t="s">
        <v>353</v>
      </c>
      <c r="IR68" s="841">
        <v>0</v>
      </c>
      <c r="IS68" s="841" t="s">
        <v>33</v>
      </c>
      <c r="IT68" s="841" t="s">
        <v>353</v>
      </c>
      <c r="IU68" s="841" t="s">
        <v>353</v>
      </c>
      <c r="IV68" s="841" t="s">
        <v>353</v>
      </c>
      <c r="IW68" s="841" t="s">
        <v>353</v>
      </c>
      <c r="IX68" s="841" t="s">
        <v>353</v>
      </c>
      <c r="IY68" s="841" t="s">
        <v>353</v>
      </c>
      <c r="IZ68" s="841" t="s">
        <v>353</v>
      </c>
      <c r="JA68" s="841">
        <v>626000</v>
      </c>
      <c r="JB68" s="841" t="s">
        <v>353</v>
      </c>
      <c r="JC68" s="841" t="s">
        <v>353</v>
      </c>
      <c r="JD68" s="841" t="s">
        <v>1488</v>
      </c>
      <c r="JE68" s="841" t="s">
        <v>33</v>
      </c>
      <c r="JF68" s="841" t="s">
        <v>1718</v>
      </c>
      <c r="JG68" s="841" t="s">
        <v>1719</v>
      </c>
      <c r="JH68" s="841" t="s">
        <v>1720</v>
      </c>
      <c r="JI68" s="841" t="s">
        <v>1721</v>
      </c>
    </row>
    <row r="69" spans="1:269" x14ac:dyDescent="0.25">
      <c r="A69" s="841" t="s">
        <v>2047</v>
      </c>
      <c r="B69" s="841" t="s">
        <v>353</v>
      </c>
      <c r="C69" s="841" t="s">
        <v>353</v>
      </c>
      <c r="D69" s="841" t="s">
        <v>353</v>
      </c>
      <c r="E69" s="841" t="s">
        <v>353</v>
      </c>
      <c r="F69" s="841" t="s">
        <v>353</v>
      </c>
      <c r="G69" s="841" t="s">
        <v>1642</v>
      </c>
      <c r="H69" s="841" t="s">
        <v>353</v>
      </c>
      <c r="I69" s="841" t="s">
        <v>353</v>
      </c>
      <c r="J69" s="841" t="s">
        <v>353</v>
      </c>
      <c r="K69" s="841" t="s">
        <v>353</v>
      </c>
      <c r="L69" s="842">
        <v>44596.380555555559</v>
      </c>
      <c r="M69" s="841" t="s">
        <v>353</v>
      </c>
      <c r="N69" s="841" t="s">
        <v>353</v>
      </c>
      <c r="O69" s="841" t="s">
        <v>353</v>
      </c>
      <c r="P69" s="841" t="s">
        <v>353</v>
      </c>
      <c r="Q69" s="841" t="s">
        <v>353</v>
      </c>
      <c r="R69" s="841" t="s">
        <v>353</v>
      </c>
      <c r="S69" s="841" t="s">
        <v>61</v>
      </c>
      <c r="T69" s="841" t="s">
        <v>1390</v>
      </c>
      <c r="U69" s="841" t="s">
        <v>353</v>
      </c>
      <c r="V69" s="841" t="s">
        <v>353</v>
      </c>
      <c r="W69" s="841" t="s">
        <v>353</v>
      </c>
      <c r="X69" s="841" t="s">
        <v>1405</v>
      </c>
      <c r="Y69" s="841" t="s">
        <v>353</v>
      </c>
      <c r="Z69" s="841" t="s">
        <v>353</v>
      </c>
      <c r="AA69" s="841" t="s">
        <v>353</v>
      </c>
      <c r="AB69" s="841" t="s">
        <v>353</v>
      </c>
      <c r="AC69" s="841">
        <v>96800</v>
      </c>
      <c r="AD69" s="841" t="s">
        <v>353</v>
      </c>
      <c r="AE69" s="841" t="s">
        <v>353</v>
      </c>
      <c r="AF69" s="841">
        <v>1931.97</v>
      </c>
      <c r="AG69" s="841" t="s">
        <v>353</v>
      </c>
      <c r="AH69" s="841">
        <v>2100</v>
      </c>
      <c r="AI69" s="841" t="s">
        <v>1521</v>
      </c>
      <c r="AJ69" s="841" t="s">
        <v>353</v>
      </c>
      <c r="AK69" s="841">
        <v>65</v>
      </c>
      <c r="AL69" s="841" t="s">
        <v>353</v>
      </c>
      <c r="AM69" s="841" t="s">
        <v>353</v>
      </c>
      <c r="AN69" s="841" t="s">
        <v>353</v>
      </c>
      <c r="AO69" s="841" t="s">
        <v>353</v>
      </c>
      <c r="AP69" s="841" t="s">
        <v>353</v>
      </c>
      <c r="AQ69" s="841" t="s">
        <v>353</v>
      </c>
      <c r="AR69" s="841" t="s">
        <v>353</v>
      </c>
      <c r="AS69" s="841" t="s">
        <v>353</v>
      </c>
      <c r="AT69" s="841" t="s">
        <v>353</v>
      </c>
      <c r="AU69" s="841" t="s">
        <v>353</v>
      </c>
      <c r="AV69" s="841" t="s">
        <v>353</v>
      </c>
      <c r="AW69" s="841" t="s">
        <v>353</v>
      </c>
      <c r="AX69" s="841" t="s">
        <v>353</v>
      </c>
      <c r="AY69" s="841" t="s">
        <v>353</v>
      </c>
      <c r="AZ69" s="841" t="s">
        <v>353</v>
      </c>
      <c r="BA69" s="841" t="s">
        <v>353</v>
      </c>
      <c r="BB69" s="841" t="s">
        <v>353</v>
      </c>
      <c r="BC69" s="841">
        <v>470944</v>
      </c>
      <c r="BD69" s="841" t="s">
        <v>353</v>
      </c>
      <c r="BE69" s="841" t="s">
        <v>353</v>
      </c>
      <c r="BF69" s="841" t="s">
        <v>353</v>
      </c>
      <c r="BG69" s="841" t="s">
        <v>353</v>
      </c>
      <c r="BH69" s="841" t="s">
        <v>353</v>
      </c>
      <c r="BI69" s="841" t="s">
        <v>353</v>
      </c>
      <c r="BJ69" s="841" t="s">
        <v>353</v>
      </c>
      <c r="BK69" s="841">
        <v>390000</v>
      </c>
      <c r="BL69" s="841" t="s">
        <v>1689</v>
      </c>
      <c r="BM69" s="842">
        <v>44592.463194444441</v>
      </c>
      <c r="BN69" s="841" t="s">
        <v>353</v>
      </c>
      <c r="BO69" s="841" t="s">
        <v>353</v>
      </c>
      <c r="BP69" s="841" t="s">
        <v>353</v>
      </c>
      <c r="BQ69" s="841" t="s">
        <v>353</v>
      </c>
      <c r="BR69" s="841" t="s">
        <v>353</v>
      </c>
      <c r="BS69" s="841" t="s">
        <v>353</v>
      </c>
      <c r="BT69" s="841">
        <v>470000</v>
      </c>
      <c r="BU69" s="841" t="s">
        <v>353</v>
      </c>
      <c r="BV69" s="841" t="s">
        <v>1857</v>
      </c>
      <c r="BW69" s="841" t="s">
        <v>353</v>
      </c>
      <c r="BX69" s="841" t="s">
        <v>2048</v>
      </c>
      <c r="BY69" s="841" t="s">
        <v>353</v>
      </c>
      <c r="BZ69" s="841" t="s">
        <v>353</v>
      </c>
      <c r="CA69" s="841" t="s">
        <v>353</v>
      </c>
      <c r="CB69" s="841" t="s">
        <v>353</v>
      </c>
      <c r="CC69" s="841" t="s">
        <v>353</v>
      </c>
      <c r="CD69" s="841" t="s">
        <v>353</v>
      </c>
      <c r="CE69" s="841" t="s">
        <v>353</v>
      </c>
      <c r="CF69" s="841" t="s">
        <v>353</v>
      </c>
      <c r="CG69" s="841" t="s">
        <v>353</v>
      </c>
      <c r="CH69" s="841" t="s">
        <v>353</v>
      </c>
      <c r="CI69" s="841" t="s">
        <v>353</v>
      </c>
      <c r="CJ69" s="841" t="s">
        <v>353</v>
      </c>
      <c r="CK69" s="841">
        <v>16</v>
      </c>
      <c r="CL69" s="841" t="s">
        <v>353</v>
      </c>
      <c r="CM69" s="841">
        <v>18</v>
      </c>
      <c r="CN69" s="841" t="s">
        <v>353</v>
      </c>
      <c r="CO69" s="841" t="s">
        <v>353</v>
      </c>
      <c r="CP69" s="841" t="s">
        <v>2049</v>
      </c>
      <c r="CQ69" s="841" t="s">
        <v>353</v>
      </c>
      <c r="CR69" s="841" t="s">
        <v>353</v>
      </c>
      <c r="CS69" s="841" t="s">
        <v>1405</v>
      </c>
      <c r="CT69" s="841" t="s">
        <v>353</v>
      </c>
      <c r="CU69" s="841" t="s">
        <v>1391</v>
      </c>
      <c r="CV69" s="841" t="s">
        <v>353</v>
      </c>
      <c r="CW69" s="841" t="s">
        <v>353</v>
      </c>
      <c r="CX69" s="841" t="s">
        <v>353</v>
      </c>
      <c r="CY69" s="841" t="s">
        <v>353</v>
      </c>
      <c r="CZ69" s="841" t="s">
        <v>353</v>
      </c>
      <c r="DA69" s="841" t="s">
        <v>353</v>
      </c>
      <c r="DB69" s="841" t="s">
        <v>353</v>
      </c>
      <c r="DC69" s="841" t="s">
        <v>353</v>
      </c>
      <c r="DD69" s="841" t="s">
        <v>353</v>
      </c>
      <c r="DE69" s="841" t="s">
        <v>353</v>
      </c>
      <c r="DF69" s="841">
        <v>21</v>
      </c>
      <c r="DG69" s="841" t="s">
        <v>353</v>
      </c>
      <c r="DH69" s="841" t="s">
        <v>353</v>
      </c>
      <c r="DI69" s="841" t="s">
        <v>353</v>
      </c>
      <c r="DJ69" s="841" t="s">
        <v>2027</v>
      </c>
      <c r="DK69" s="841" t="s">
        <v>353</v>
      </c>
      <c r="DL69" s="842">
        <v>44592.463194444441</v>
      </c>
      <c r="DM69" s="841" t="s">
        <v>353</v>
      </c>
      <c r="DN69" s="841" t="s">
        <v>353</v>
      </c>
      <c r="DO69" s="841" t="s">
        <v>353</v>
      </c>
      <c r="DP69" s="841" t="s">
        <v>353</v>
      </c>
      <c r="DQ69" s="841" t="s">
        <v>1434</v>
      </c>
      <c r="DR69" s="841" t="s">
        <v>353</v>
      </c>
      <c r="DS69" s="841">
        <v>21</v>
      </c>
      <c r="DT69" s="841" t="s">
        <v>353</v>
      </c>
      <c r="DU69" s="841" t="s">
        <v>353</v>
      </c>
      <c r="DV69" s="841" t="s">
        <v>353</v>
      </c>
      <c r="DW69" s="841">
        <v>484000</v>
      </c>
      <c r="DX69" s="841" t="s">
        <v>353</v>
      </c>
      <c r="DY69" s="841" t="s">
        <v>353</v>
      </c>
      <c r="DZ69" s="841" t="s">
        <v>353</v>
      </c>
      <c r="EA69" s="841" t="s">
        <v>353</v>
      </c>
      <c r="EB69" s="841" t="s">
        <v>353</v>
      </c>
      <c r="EC69" s="841" t="s">
        <v>353</v>
      </c>
      <c r="ED69" s="841" t="s">
        <v>353</v>
      </c>
      <c r="EE69" s="841" t="s">
        <v>353</v>
      </c>
      <c r="EF69" s="841" t="s">
        <v>353</v>
      </c>
      <c r="EG69" s="841" t="s">
        <v>353</v>
      </c>
      <c r="EH69" s="841" t="s">
        <v>353</v>
      </c>
      <c r="EI69" s="841">
        <v>69550.8</v>
      </c>
      <c r="EJ69" s="841" t="s">
        <v>353</v>
      </c>
      <c r="EK69" s="841" t="s">
        <v>353</v>
      </c>
      <c r="EL69" s="841" t="s">
        <v>353</v>
      </c>
      <c r="EM69" s="841" t="s">
        <v>353</v>
      </c>
      <c r="EN69" s="841" t="s">
        <v>353</v>
      </c>
      <c r="EO69" s="841" t="s">
        <v>353</v>
      </c>
      <c r="EP69" s="841" t="s">
        <v>353</v>
      </c>
      <c r="EQ69" s="841" t="s">
        <v>353</v>
      </c>
      <c r="ER69" s="841" t="s">
        <v>353</v>
      </c>
      <c r="ES69" s="841" t="s">
        <v>353</v>
      </c>
      <c r="ET69" s="841" t="s">
        <v>1496</v>
      </c>
      <c r="EU69" s="841" t="s">
        <v>353</v>
      </c>
      <c r="EV69" s="841" t="s">
        <v>353</v>
      </c>
      <c r="EW69" s="841" t="s">
        <v>353</v>
      </c>
      <c r="EX69" s="841" t="s">
        <v>353</v>
      </c>
      <c r="EY69" s="842">
        <v>44592.47152777778</v>
      </c>
      <c r="EZ69" s="842">
        <v>44608.666666666664</v>
      </c>
      <c r="FA69" s="841" t="s">
        <v>353</v>
      </c>
      <c r="FB69" s="841" t="s">
        <v>353</v>
      </c>
      <c r="FC69" s="841" t="s">
        <v>353</v>
      </c>
      <c r="FD69" s="841" t="s">
        <v>353</v>
      </c>
      <c r="FE69" s="842">
        <v>44592.463888888888</v>
      </c>
      <c r="FF69" s="841" t="s">
        <v>353</v>
      </c>
      <c r="FG69" s="841" t="s">
        <v>353</v>
      </c>
      <c r="FH69" s="841" t="s">
        <v>353</v>
      </c>
      <c r="FI69" s="841" t="s">
        <v>353</v>
      </c>
      <c r="FJ69" s="841" t="s">
        <v>353</v>
      </c>
      <c r="FK69" s="841" t="s">
        <v>353</v>
      </c>
      <c r="FL69" s="841" t="s">
        <v>353</v>
      </c>
      <c r="FM69" s="841" t="s">
        <v>353</v>
      </c>
      <c r="FN69" s="841" t="s">
        <v>353</v>
      </c>
      <c r="FO69" s="841" t="s">
        <v>1528</v>
      </c>
      <c r="FP69" s="841" t="s">
        <v>353</v>
      </c>
      <c r="FQ69" s="841" t="s">
        <v>353</v>
      </c>
      <c r="FR69" s="841" t="s">
        <v>353</v>
      </c>
      <c r="FS69" s="841" t="s">
        <v>353</v>
      </c>
      <c r="FT69" s="841" t="s">
        <v>353</v>
      </c>
      <c r="FU69" s="841" t="s">
        <v>1416</v>
      </c>
      <c r="FV69" s="841" t="s">
        <v>353</v>
      </c>
      <c r="FW69" s="841" t="s">
        <v>353</v>
      </c>
      <c r="FX69" s="841" t="s">
        <v>353</v>
      </c>
      <c r="FY69" s="841" t="s">
        <v>353</v>
      </c>
      <c r="FZ69" s="841" t="s">
        <v>353</v>
      </c>
      <c r="GA69" s="841" t="s">
        <v>353</v>
      </c>
      <c r="GB69" s="841">
        <v>1</v>
      </c>
      <c r="GC69" s="841" t="s">
        <v>353</v>
      </c>
      <c r="GD69" s="841" t="s">
        <v>1395</v>
      </c>
      <c r="GE69" s="841" t="s">
        <v>353</v>
      </c>
      <c r="GF69" s="841" t="s">
        <v>353</v>
      </c>
      <c r="GG69" s="841" t="s">
        <v>353</v>
      </c>
      <c r="GH69" s="841">
        <v>96800</v>
      </c>
      <c r="GI69" s="841" t="s">
        <v>353</v>
      </c>
      <c r="GJ69" s="841" t="s">
        <v>353</v>
      </c>
      <c r="GK69" s="841" t="s">
        <v>353</v>
      </c>
      <c r="GL69" s="841" t="s">
        <v>1468</v>
      </c>
      <c r="GM69" s="841" t="s">
        <v>353</v>
      </c>
      <c r="GN69" s="841" t="s">
        <v>353</v>
      </c>
      <c r="GO69" s="841" t="s">
        <v>353</v>
      </c>
      <c r="GP69" s="841" t="s">
        <v>353</v>
      </c>
      <c r="GQ69" s="841" t="s">
        <v>353</v>
      </c>
      <c r="GR69" s="842">
        <v>44589.65902777778</v>
      </c>
      <c r="GS69" s="841" t="s">
        <v>1857</v>
      </c>
      <c r="GT69" s="841" t="s">
        <v>353</v>
      </c>
      <c r="GU69" s="841" t="s">
        <v>353</v>
      </c>
      <c r="GV69" s="841" t="s">
        <v>1419</v>
      </c>
      <c r="GW69" s="841" t="s">
        <v>353</v>
      </c>
      <c r="GX69" s="841" t="s">
        <v>353</v>
      </c>
      <c r="GY69" s="841">
        <v>24</v>
      </c>
      <c r="GZ69" s="841" t="s">
        <v>1486</v>
      </c>
      <c r="HA69" s="841" t="s">
        <v>353</v>
      </c>
      <c r="HB69" s="841" t="s">
        <v>353</v>
      </c>
      <c r="HC69" s="841" t="s">
        <v>1421</v>
      </c>
      <c r="HD69" s="841" t="s">
        <v>2050</v>
      </c>
      <c r="HE69" s="841" t="s">
        <v>353</v>
      </c>
      <c r="HF69" s="841" t="s">
        <v>353</v>
      </c>
      <c r="HG69" s="841" t="s">
        <v>353</v>
      </c>
      <c r="HH69" s="841" t="s">
        <v>353</v>
      </c>
      <c r="HI69" s="841" t="s">
        <v>1422</v>
      </c>
      <c r="HJ69" s="841" t="s">
        <v>353</v>
      </c>
      <c r="HK69" s="841">
        <v>484000</v>
      </c>
      <c r="HL69" s="841" t="s">
        <v>353</v>
      </c>
      <c r="HM69" s="841" t="s">
        <v>1423</v>
      </c>
      <c r="HN69" s="841" t="s">
        <v>353</v>
      </c>
      <c r="HO69" s="841" t="s">
        <v>353</v>
      </c>
      <c r="HP69" s="841">
        <v>23183.599999999999</v>
      </c>
      <c r="HQ69" s="841" t="s">
        <v>353</v>
      </c>
      <c r="HR69" s="841" t="s">
        <v>353</v>
      </c>
      <c r="HS69" s="841" t="s">
        <v>353</v>
      </c>
      <c r="HT69" s="841" t="s">
        <v>353</v>
      </c>
      <c r="HU69" s="841" t="s">
        <v>353</v>
      </c>
      <c r="HV69" s="841" t="s">
        <v>353</v>
      </c>
      <c r="HW69" s="841">
        <v>750000</v>
      </c>
      <c r="HX69" s="841" t="s">
        <v>353</v>
      </c>
      <c r="HY69" s="841" t="s">
        <v>353</v>
      </c>
      <c r="HZ69" s="841" t="s">
        <v>353</v>
      </c>
      <c r="IA69" s="841" t="s">
        <v>353</v>
      </c>
      <c r="IB69" s="841" t="s">
        <v>1424</v>
      </c>
      <c r="IC69" s="841" t="s">
        <v>353</v>
      </c>
      <c r="ID69" s="841" t="s">
        <v>353</v>
      </c>
      <c r="IE69" s="841" t="s">
        <v>353</v>
      </c>
      <c r="IF69" s="841" t="s">
        <v>353</v>
      </c>
      <c r="IG69" s="841" t="s">
        <v>353</v>
      </c>
      <c r="IH69" s="841" t="s">
        <v>353</v>
      </c>
      <c r="II69" s="841" t="s">
        <v>353</v>
      </c>
      <c r="IJ69" s="841" t="s">
        <v>353</v>
      </c>
      <c r="IK69" s="841" t="s">
        <v>353</v>
      </c>
      <c r="IL69" s="841">
        <v>478204</v>
      </c>
      <c r="IM69" s="841" t="s">
        <v>353</v>
      </c>
      <c r="IN69" s="841" t="s">
        <v>353</v>
      </c>
      <c r="IO69" s="841" t="s">
        <v>353</v>
      </c>
      <c r="IP69" s="841" t="s">
        <v>353</v>
      </c>
      <c r="IQ69" s="841" t="s">
        <v>353</v>
      </c>
      <c r="IR69" s="841">
        <v>3</v>
      </c>
      <c r="IS69" s="841" t="s">
        <v>353</v>
      </c>
      <c r="IT69" s="841" t="s">
        <v>353</v>
      </c>
      <c r="IU69" s="841" t="s">
        <v>353</v>
      </c>
      <c r="IV69" s="841" t="s">
        <v>353</v>
      </c>
      <c r="IW69" s="841" t="s">
        <v>353</v>
      </c>
      <c r="IX69" s="841" t="s">
        <v>353</v>
      </c>
      <c r="IY69" s="841" t="s">
        <v>1578</v>
      </c>
      <c r="IZ69" s="841" t="s">
        <v>353</v>
      </c>
      <c r="JA69" s="841">
        <v>484000</v>
      </c>
      <c r="JB69" s="841" t="s">
        <v>353</v>
      </c>
      <c r="JC69" s="841" t="s">
        <v>353</v>
      </c>
      <c r="JD69" s="841" t="s">
        <v>1488</v>
      </c>
      <c r="JE69" s="841" t="s">
        <v>353</v>
      </c>
      <c r="JF69" s="841" t="s">
        <v>1694</v>
      </c>
      <c r="JG69" s="841" t="s">
        <v>1695</v>
      </c>
      <c r="JH69" s="841" t="s">
        <v>1696</v>
      </c>
      <c r="JI69" s="841" t="s">
        <v>1697</v>
      </c>
    </row>
    <row r="70" spans="1:269" x14ac:dyDescent="0.25">
      <c r="A70" s="841" t="s">
        <v>2051</v>
      </c>
      <c r="B70" s="841" t="s">
        <v>353</v>
      </c>
      <c r="C70" s="841" t="s">
        <v>353</v>
      </c>
      <c r="D70" s="841" t="s">
        <v>353</v>
      </c>
      <c r="E70" s="841" t="s">
        <v>353</v>
      </c>
      <c r="F70" s="841" t="s">
        <v>1405</v>
      </c>
      <c r="G70" s="841" t="s">
        <v>2052</v>
      </c>
      <c r="H70" s="841" t="s">
        <v>353</v>
      </c>
      <c r="I70" s="841" t="s">
        <v>353</v>
      </c>
      <c r="J70" s="841" t="s">
        <v>353</v>
      </c>
      <c r="K70" s="841" t="s">
        <v>353</v>
      </c>
      <c r="L70" s="842">
        <v>44599.474305555559</v>
      </c>
      <c r="M70" s="841" t="s">
        <v>353</v>
      </c>
      <c r="N70" s="841" t="s">
        <v>353</v>
      </c>
      <c r="O70" s="841" t="s">
        <v>353</v>
      </c>
      <c r="P70" s="841" t="s">
        <v>33</v>
      </c>
      <c r="Q70" s="841" t="s">
        <v>353</v>
      </c>
      <c r="R70" s="841" t="s">
        <v>353</v>
      </c>
      <c r="S70" s="841" t="s">
        <v>67</v>
      </c>
      <c r="T70" s="841" t="s">
        <v>1390</v>
      </c>
      <c r="U70" s="841" t="s">
        <v>353</v>
      </c>
      <c r="V70" s="841" t="s">
        <v>353</v>
      </c>
      <c r="W70" s="841" t="s">
        <v>353</v>
      </c>
      <c r="X70" s="841" t="s">
        <v>353</v>
      </c>
      <c r="Y70" s="841" t="s">
        <v>353</v>
      </c>
      <c r="Z70" s="841" t="s">
        <v>353</v>
      </c>
      <c r="AA70" s="841" t="s">
        <v>33</v>
      </c>
      <c r="AB70" s="841" t="s">
        <v>353</v>
      </c>
      <c r="AC70" s="841">
        <v>206000</v>
      </c>
      <c r="AD70" s="841" t="s">
        <v>353</v>
      </c>
      <c r="AE70" s="841" t="s">
        <v>33</v>
      </c>
      <c r="AF70" s="841">
        <v>1987.9</v>
      </c>
      <c r="AG70" s="841" t="s">
        <v>353</v>
      </c>
      <c r="AH70" s="841" t="s">
        <v>353</v>
      </c>
      <c r="AI70" s="841" t="s">
        <v>1406</v>
      </c>
      <c r="AJ70" s="841" t="s">
        <v>353</v>
      </c>
      <c r="AK70" s="841">
        <v>75</v>
      </c>
      <c r="AL70" s="841" t="s">
        <v>353</v>
      </c>
      <c r="AM70" s="841" t="s">
        <v>353</v>
      </c>
      <c r="AN70" s="841" t="s">
        <v>353</v>
      </c>
      <c r="AO70" s="841" t="s">
        <v>353</v>
      </c>
      <c r="AP70" s="841" t="s">
        <v>353</v>
      </c>
      <c r="AQ70" s="841" t="s">
        <v>353</v>
      </c>
      <c r="AR70" s="841" t="s">
        <v>33</v>
      </c>
      <c r="AS70" s="841" t="s">
        <v>353</v>
      </c>
      <c r="AT70" s="841" t="s">
        <v>353</v>
      </c>
      <c r="AU70" s="841" t="s">
        <v>353</v>
      </c>
      <c r="AV70" s="841" t="s">
        <v>353</v>
      </c>
      <c r="AW70" s="843">
        <v>44596</v>
      </c>
      <c r="AX70" s="841" t="s">
        <v>353</v>
      </c>
      <c r="AY70" s="841" t="s">
        <v>353</v>
      </c>
      <c r="AZ70" s="841" t="s">
        <v>353</v>
      </c>
      <c r="BA70" s="841" t="s">
        <v>353</v>
      </c>
      <c r="BB70" s="841" t="s">
        <v>353</v>
      </c>
      <c r="BC70" s="841">
        <v>394850</v>
      </c>
      <c r="BD70" s="841" t="s">
        <v>353</v>
      </c>
      <c r="BE70" s="841" t="s">
        <v>353</v>
      </c>
      <c r="BF70" s="841" t="s">
        <v>353</v>
      </c>
      <c r="BG70" s="841" t="s">
        <v>353</v>
      </c>
      <c r="BH70" s="841" t="s">
        <v>353</v>
      </c>
      <c r="BI70" s="841" t="s">
        <v>353</v>
      </c>
      <c r="BJ70" s="841" t="s">
        <v>353</v>
      </c>
      <c r="BK70" s="841" t="s">
        <v>353</v>
      </c>
      <c r="BL70" s="841" t="s">
        <v>2053</v>
      </c>
      <c r="BM70" s="842">
        <v>44592.438888888886</v>
      </c>
      <c r="BN70" s="841" t="s">
        <v>353</v>
      </c>
      <c r="BO70" s="841" t="s">
        <v>353</v>
      </c>
      <c r="BP70" s="841" t="s">
        <v>353</v>
      </c>
      <c r="BQ70" s="841" t="s">
        <v>353</v>
      </c>
      <c r="BR70" s="841" t="s">
        <v>353</v>
      </c>
      <c r="BS70" s="841" t="s">
        <v>353</v>
      </c>
      <c r="BT70" s="841">
        <v>487000</v>
      </c>
      <c r="BU70" s="841" t="s">
        <v>353</v>
      </c>
      <c r="BV70" s="841" t="s">
        <v>1523</v>
      </c>
      <c r="BW70" s="841" t="s">
        <v>1578</v>
      </c>
      <c r="BX70" s="841" t="s">
        <v>2054</v>
      </c>
      <c r="BY70" s="841" t="s">
        <v>353</v>
      </c>
      <c r="BZ70" s="841" t="s">
        <v>353</v>
      </c>
      <c r="CA70" s="841" t="s">
        <v>353</v>
      </c>
      <c r="CB70" s="841" t="s">
        <v>353</v>
      </c>
      <c r="CC70" s="841" t="s">
        <v>353</v>
      </c>
      <c r="CD70" s="841" t="s">
        <v>353</v>
      </c>
      <c r="CE70" s="841" t="s">
        <v>353</v>
      </c>
      <c r="CF70" s="841" t="s">
        <v>353</v>
      </c>
      <c r="CG70" s="841" t="s">
        <v>353</v>
      </c>
      <c r="CH70" s="841" t="s">
        <v>353</v>
      </c>
      <c r="CI70" s="841" t="s">
        <v>33</v>
      </c>
      <c r="CJ70" s="841">
        <v>960</v>
      </c>
      <c r="CK70" s="841">
        <v>22</v>
      </c>
      <c r="CL70" s="841" t="s">
        <v>353</v>
      </c>
      <c r="CM70" s="841">
        <v>23</v>
      </c>
      <c r="CN70" s="841" t="s">
        <v>353</v>
      </c>
      <c r="CO70" s="841" t="s">
        <v>353</v>
      </c>
      <c r="CP70" s="841" t="s">
        <v>2055</v>
      </c>
      <c r="CQ70" s="841" t="s">
        <v>353</v>
      </c>
      <c r="CR70" s="841" t="s">
        <v>353</v>
      </c>
      <c r="CS70" s="841" t="s">
        <v>353</v>
      </c>
      <c r="CT70" s="841" t="s">
        <v>353</v>
      </c>
      <c r="CU70" s="841" t="s">
        <v>1391</v>
      </c>
      <c r="CV70" s="841" t="s">
        <v>353</v>
      </c>
      <c r="CW70" s="841" t="s">
        <v>353</v>
      </c>
      <c r="CX70" s="841" t="s">
        <v>353</v>
      </c>
      <c r="CY70" s="841" t="s">
        <v>353</v>
      </c>
      <c r="CZ70" s="841" t="s">
        <v>353</v>
      </c>
      <c r="DA70" s="841" t="s">
        <v>353</v>
      </c>
      <c r="DB70" s="841" t="s">
        <v>353</v>
      </c>
      <c r="DC70" s="841" t="s">
        <v>353</v>
      </c>
      <c r="DD70" s="841" t="s">
        <v>353</v>
      </c>
      <c r="DE70" s="841" t="s">
        <v>353</v>
      </c>
      <c r="DF70" s="841">
        <v>19</v>
      </c>
      <c r="DG70" s="841" t="s">
        <v>353</v>
      </c>
      <c r="DH70" s="841" t="s">
        <v>353</v>
      </c>
      <c r="DI70" s="841" t="s">
        <v>353</v>
      </c>
      <c r="DJ70" s="841" t="s">
        <v>2056</v>
      </c>
      <c r="DK70" s="841" t="s">
        <v>353</v>
      </c>
      <c r="DL70" s="842">
        <v>44592.438888888886</v>
      </c>
      <c r="DM70" s="841" t="s">
        <v>353</v>
      </c>
      <c r="DN70" s="841" t="s">
        <v>33</v>
      </c>
      <c r="DO70" s="841" t="s">
        <v>353</v>
      </c>
      <c r="DP70" s="841" t="s">
        <v>353</v>
      </c>
      <c r="DQ70" s="841" t="s">
        <v>1997</v>
      </c>
      <c r="DR70" s="841">
        <v>650000</v>
      </c>
      <c r="DS70" s="841">
        <v>19</v>
      </c>
      <c r="DT70" s="841" t="s">
        <v>353</v>
      </c>
      <c r="DU70" s="841" t="s">
        <v>353</v>
      </c>
      <c r="DV70" s="841" t="s">
        <v>353</v>
      </c>
      <c r="DW70" s="841">
        <v>412000</v>
      </c>
      <c r="DX70" s="841" t="s">
        <v>33</v>
      </c>
      <c r="DY70" s="841" t="s">
        <v>353</v>
      </c>
      <c r="DZ70" s="841" t="s">
        <v>353</v>
      </c>
      <c r="EA70" s="841" t="s">
        <v>353</v>
      </c>
      <c r="EB70" s="841" t="s">
        <v>353</v>
      </c>
      <c r="EC70" s="841" t="s">
        <v>353</v>
      </c>
      <c r="ED70" s="841" t="s">
        <v>353</v>
      </c>
      <c r="EE70" s="841" t="s">
        <v>353</v>
      </c>
      <c r="EF70" s="841" t="s">
        <v>353</v>
      </c>
      <c r="EG70" s="841" t="s">
        <v>353</v>
      </c>
      <c r="EH70" s="841" t="s">
        <v>353</v>
      </c>
      <c r="EI70" s="841">
        <v>119274</v>
      </c>
      <c r="EJ70" s="841" t="s">
        <v>353</v>
      </c>
      <c r="EK70" s="841" t="s">
        <v>353</v>
      </c>
      <c r="EL70" s="841" t="s">
        <v>1930</v>
      </c>
      <c r="EM70" s="841" t="s">
        <v>353</v>
      </c>
      <c r="EN70" s="841" t="s">
        <v>353</v>
      </c>
      <c r="EO70" s="841" t="s">
        <v>353</v>
      </c>
      <c r="EP70" s="841" t="s">
        <v>353</v>
      </c>
      <c r="EQ70" s="841" t="s">
        <v>353</v>
      </c>
      <c r="ER70" s="841" t="s">
        <v>353</v>
      </c>
      <c r="ES70" s="841" t="s">
        <v>33</v>
      </c>
      <c r="ET70" s="841" t="s">
        <v>1496</v>
      </c>
      <c r="EU70" s="841" t="s">
        <v>353</v>
      </c>
      <c r="EV70" s="841" t="s">
        <v>353</v>
      </c>
      <c r="EW70" s="841" t="s">
        <v>353</v>
      </c>
      <c r="EX70" s="841" t="s">
        <v>33</v>
      </c>
      <c r="EY70" s="842">
        <v>44592.447222222225</v>
      </c>
      <c r="EZ70" s="841" t="s">
        <v>353</v>
      </c>
      <c r="FA70" s="841" t="s">
        <v>353</v>
      </c>
      <c r="FB70" s="841" t="s">
        <v>353</v>
      </c>
      <c r="FC70" s="841" t="s">
        <v>353</v>
      </c>
      <c r="FD70" s="841" t="s">
        <v>353</v>
      </c>
      <c r="FE70" s="842">
        <v>44592.439583333333</v>
      </c>
      <c r="FF70" s="841" t="s">
        <v>353</v>
      </c>
      <c r="FG70" s="841" t="s">
        <v>353</v>
      </c>
      <c r="FH70" s="841" t="s">
        <v>353</v>
      </c>
      <c r="FI70" s="841" t="s">
        <v>353</v>
      </c>
      <c r="FJ70" s="841" t="s">
        <v>353</v>
      </c>
      <c r="FK70" s="841" t="s">
        <v>353</v>
      </c>
      <c r="FL70" s="841" t="s">
        <v>353</v>
      </c>
      <c r="FM70" s="841" t="s">
        <v>353</v>
      </c>
      <c r="FN70" s="841" t="s">
        <v>353</v>
      </c>
      <c r="FO70" s="841" t="s">
        <v>353</v>
      </c>
      <c r="FP70" s="841" t="s">
        <v>353</v>
      </c>
      <c r="FQ70" s="841" t="s">
        <v>353</v>
      </c>
      <c r="FR70" s="841" t="s">
        <v>353</v>
      </c>
      <c r="FS70" s="841" t="s">
        <v>353</v>
      </c>
      <c r="FT70" s="841" t="s">
        <v>353</v>
      </c>
      <c r="FU70" s="841" t="s">
        <v>1467</v>
      </c>
      <c r="FV70" s="841" t="s">
        <v>353</v>
      </c>
      <c r="FW70" s="841" t="s">
        <v>353</v>
      </c>
      <c r="FX70" s="841" t="s">
        <v>353</v>
      </c>
      <c r="FY70" s="841" t="s">
        <v>353</v>
      </c>
      <c r="FZ70" s="841" t="s">
        <v>353</v>
      </c>
      <c r="GA70" s="841" t="s">
        <v>353</v>
      </c>
      <c r="GB70" s="841">
        <v>1</v>
      </c>
      <c r="GC70" s="841" t="s">
        <v>353</v>
      </c>
      <c r="GD70" s="841" t="s">
        <v>1395</v>
      </c>
      <c r="GE70" s="841" t="s">
        <v>353</v>
      </c>
      <c r="GF70" s="841" t="s">
        <v>353</v>
      </c>
      <c r="GG70" s="841" t="s">
        <v>353</v>
      </c>
      <c r="GH70" s="841">
        <v>206000</v>
      </c>
      <c r="GI70" s="841" t="s">
        <v>353</v>
      </c>
      <c r="GJ70" s="841" t="s">
        <v>353</v>
      </c>
      <c r="GK70" s="841" t="s">
        <v>353</v>
      </c>
      <c r="GL70" s="841" t="s">
        <v>1497</v>
      </c>
      <c r="GM70" s="841" t="s">
        <v>353</v>
      </c>
      <c r="GN70" s="841" t="s">
        <v>353</v>
      </c>
      <c r="GO70" s="841" t="s">
        <v>353</v>
      </c>
      <c r="GP70" s="841" t="s">
        <v>353</v>
      </c>
      <c r="GQ70" s="841" t="s">
        <v>353</v>
      </c>
      <c r="GR70" s="842">
        <v>44588.613194444442</v>
      </c>
      <c r="GS70" s="841" t="s">
        <v>1523</v>
      </c>
      <c r="GT70" s="841" t="s">
        <v>353</v>
      </c>
      <c r="GU70" s="841" t="s">
        <v>353</v>
      </c>
      <c r="GV70" s="841" t="s">
        <v>1419</v>
      </c>
      <c r="GW70" s="841" t="s">
        <v>353</v>
      </c>
      <c r="GX70" s="841" t="s">
        <v>353</v>
      </c>
      <c r="GY70" s="841">
        <v>24</v>
      </c>
      <c r="GZ70" s="841" t="s">
        <v>1420</v>
      </c>
      <c r="HA70" s="841" t="s">
        <v>353</v>
      </c>
      <c r="HB70" s="841" t="s">
        <v>353</v>
      </c>
      <c r="HC70" s="841" t="s">
        <v>1421</v>
      </c>
      <c r="HD70" s="841" t="s">
        <v>2057</v>
      </c>
      <c r="HE70" s="841">
        <v>4120</v>
      </c>
      <c r="HF70" s="841" t="s">
        <v>353</v>
      </c>
      <c r="HG70" s="841" t="s">
        <v>353</v>
      </c>
      <c r="HH70" s="841" t="s">
        <v>353</v>
      </c>
      <c r="HI70" s="841" t="s">
        <v>1422</v>
      </c>
      <c r="HJ70" s="841" t="s">
        <v>353</v>
      </c>
      <c r="HK70" s="841">
        <v>412000</v>
      </c>
      <c r="HL70" s="841" t="s">
        <v>353</v>
      </c>
      <c r="HM70" s="841" t="s">
        <v>353</v>
      </c>
      <c r="HN70" s="841" t="s">
        <v>353</v>
      </c>
      <c r="HO70" s="841" t="s">
        <v>353</v>
      </c>
      <c r="HP70" s="841">
        <v>23854.799999999999</v>
      </c>
      <c r="HQ70" s="841" t="s">
        <v>353</v>
      </c>
      <c r="HR70" s="841" t="s">
        <v>353</v>
      </c>
      <c r="HS70" s="841" t="s">
        <v>353</v>
      </c>
      <c r="HT70" s="841" t="s">
        <v>353</v>
      </c>
      <c r="HU70" s="841" t="s">
        <v>353</v>
      </c>
      <c r="HV70" s="841" t="s">
        <v>353</v>
      </c>
      <c r="HW70" s="841">
        <v>650000</v>
      </c>
      <c r="HX70" s="841" t="s">
        <v>353</v>
      </c>
      <c r="HY70" s="841" t="s">
        <v>353</v>
      </c>
      <c r="HZ70" s="841" t="s">
        <v>353</v>
      </c>
      <c r="IA70" s="841" t="s">
        <v>353</v>
      </c>
      <c r="IB70" s="841" t="s">
        <v>1424</v>
      </c>
      <c r="IC70" s="841" t="s">
        <v>353</v>
      </c>
      <c r="ID70" s="841" t="s">
        <v>353</v>
      </c>
      <c r="IE70" s="841" t="s">
        <v>353</v>
      </c>
      <c r="IF70" s="841" t="s">
        <v>353</v>
      </c>
      <c r="IG70" s="841" t="s">
        <v>353</v>
      </c>
      <c r="IH70" s="841" t="s">
        <v>353</v>
      </c>
      <c r="II70" s="841" t="s">
        <v>353</v>
      </c>
      <c r="IJ70" s="841" t="s">
        <v>353</v>
      </c>
      <c r="IK70" s="841" t="s">
        <v>353</v>
      </c>
      <c r="IL70" s="841">
        <v>402060</v>
      </c>
      <c r="IM70" s="841" t="s">
        <v>353</v>
      </c>
      <c r="IN70" s="841" t="s">
        <v>353</v>
      </c>
      <c r="IO70" s="841">
        <v>199</v>
      </c>
      <c r="IP70" s="841" t="s">
        <v>353</v>
      </c>
      <c r="IQ70" s="841" t="s">
        <v>353</v>
      </c>
      <c r="IR70" s="841">
        <v>5</v>
      </c>
      <c r="IS70" s="841" t="s">
        <v>33</v>
      </c>
      <c r="IT70" s="841" t="s">
        <v>353</v>
      </c>
      <c r="IU70" s="841" t="s">
        <v>353</v>
      </c>
      <c r="IV70" s="841" t="s">
        <v>353</v>
      </c>
      <c r="IW70" s="841" t="s">
        <v>353</v>
      </c>
      <c r="IX70" s="841" t="s">
        <v>353</v>
      </c>
      <c r="IY70" s="841" t="s">
        <v>353</v>
      </c>
      <c r="IZ70" s="841" t="s">
        <v>353</v>
      </c>
      <c r="JA70" s="841">
        <v>412000</v>
      </c>
      <c r="JB70" s="841" t="s">
        <v>353</v>
      </c>
      <c r="JC70" s="841" t="s">
        <v>353</v>
      </c>
      <c r="JD70" s="841" t="s">
        <v>1413</v>
      </c>
      <c r="JE70" s="841" t="s">
        <v>33</v>
      </c>
      <c r="JF70" s="841" t="s">
        <v>2058</v>
      </c>
      <c r="JG70" s="841" t="s">
        <v>2059</v>
      </c>
      <c r="JH70" s="841" t="s">
        <v>2060</v>
      </c>
      <c r="JI70" s="841" t="s">
        <v>2061</v>
      </c>
    </row>
    <row r="71" spans="1:269" x14ac:dyDescent="0.25">
      <c r="A71" s="841" t="s">
        <v>2062</v>
      </c>
      <c r="B71" s="841" t="s">
        <v>353</v>
      </c>
      <c r="C71" s="841" t="s">
        <v>353</v>
      </c>
      <c r="D71" s="841" t="s">
        <v>353</v>
      </c>
      <c r="E71" s="841" t="s">
        <v>353</v>
      </c>
      <c r="F71" s="841" t="s">
        <v>353</v>
      </c>
      <c r="G71" s="841" t="s">
        <v>1841</v>
      </c>
      <c r="H71" s="841" t="s">
        <v>353</v>
      </c>
      <c r="I71" s="841" t="s">
        <v>353</v>
      </c>
      <c r="J71" s="841" t="s">
        <v>353</v>
      </c>
      <c r="K71" s="841" t="s">
        <v>353</v>
      </c>
      <c r="L71" s="842">
        <v>44592.450694444444</v>
      </c>
      <c r="M71" s="841" t="s">
        <v>353</v>
      </c>
      <c r="N71" s="841" t="s">
        <v>353</v>
      </c>
      <c r="O71" s="841" t="s">
        <v>353</v>
      </c>
      <c r="P71" s="841" t="s">
        <v>353</v>
      </c>
      <c r="Q71" s="841" t="s">
        <v>353</v>
      </c>
      <c r="R71" s="841" t="s">
        <v>353</v>
      </c>
      <c r="S71" s="841" t="s">
        <v>61</v>
      </c>
      <c r="T71" s="841" t="s">
        <v>1390</v>
      </c>
      <c r="U71" s="841" t="s">
        <v>353</v>
      </c>
      <c r="V71" s="841" t="s">
        <v>353</v>
      </c>
      <c r="W71" s="841" t="s">
        <v>1575</v>
      </c>
      <c r="X71" s="841" t="s">
        <v>1405</v>
      </c>
      <c r="Y71" s="841" t="s">
        <v>353</v>
      </c>
      <c r="Z71" s="841" t="s">
        <v>353</v>
      </c>
      <c r="AA71" s="841" t="s">
        <v>353</v>
      </c>
      <c r="AB71" s="841" t="s">
        <v>353</v>
      </c>
      <c r="AC71" s="841">
        <v>54000</v>
      </c>
      <c r="AD71" s="841" t="s">
        <v>353</v>
      </c>
      <c r="AE71" s="841" t="s">
        <v>353</v>
      </c>
      <c r="AF71" s="841" t="s">
        <v>353</v>
      </c>
      <c r="AG71" s="841" t="s">
        <v>353</v>
      </c>
      <c r="AH71" s="841">
        <v>2800</v>
      </c>
      <c r="AI71" s="841" t="s">
        <v>1406</v>
      </c>
      <c r="AJ71" s="841" t="s">
        <v>353</v>
      </c>
      <c r="AK71" s="841">
        <v>35</v>
      </c>
      <c r="AL71" s="841" t="s">
        <v>353</v>
      </c>
      <c r="AM71" s="841" t="s">
        <v>353</v>
      </c>
      <c r="AN71" s="841" t="s">
        <v>353</v>
      </c>
      <c r="AO71" s="841" t="s">
        <v>353</v>
      </c>
      <c r="AP71" s="841" t="s">
        <v>353</v>
      </c>
      <c r="AQ71" s="841" t="s">
        <v>353</v>
      </c>
      <c r="AR71" s="841" t="s">
        <v>353</v>
      </c>
      <c r="AS71" s="841" t="s">
        <v>353</v>
      </c>
      <c r="AT71" s="841" t="s">
        <v>353</v>
      </c>
      <c r="AU71" s="841" t="s">
        <v>353</v>
      </c>
      <c r="AV71" s="841" t="s">
        <v>353</v>
      </c>
      <c r="AW71" s="841" t="s">
        <v>353</v>
      </c>
      <c r="AX71" s="841" t="s">
        <v>353</v>
      </c>
      <c r="AY71" s="841" t="s">
        <v>353</v>
      </c>
      <c r="AZ71" s="841" t="s">
        <v>353</v>
      </c>
      <c r="BA71" s="841" t="s">
        <v>353</v>
      </c>
      <c r="BB71" s="841" t="s">
        <v>353</v>
      </c>
      <c r="BC71" s="841">
        <v>265950</v>
      </c>
      <c r="BD71" s="841" t="s">
        <v>353</v>
      </c>
      <c r="BE71" s="841" t="s">
        <v>353</v>
      </c>
      <c r="BF71" s="841" t="s">
        <v>353</v>
      </c>
      <c r="BG71" s="841" t="s">
        <v>353</v>
      </c>
      <c r="BH71" s="841" t="s">
        <v>353</v>
      </c>
      <c r="BI71" s="841" t="s">
        <v>353</v>
      </c>
      <c r="BJ71" s="841" t="s">
        <v>353</v>
      </c>
      <c r="BK71" s="841" t="s">
        <v>353</v>
      </c>
      <c r="BL71" s="841" t="s">
        <v>2063</v>
      </c>
      <c r="BM71" s="842">
        <v>44592.420138888891</v>
      </c>
      <c r="BN71" s="841" t="s">
        <v>353</v>
      </c>
      <c r="BO71" s="841" t="s">
        <v>353</v>
      </c>
      <c r="BP71" s="841" t="s">
        <v>353</v>
      </c>
      <c r="BQ71" s="841" t="s">
        <v>353</v>
      </c>
      <c r="BR71" s="841" t="s">
        <v>353</v>
      </c>
      <c r="BS71" s="841" t="s">
        <v>353</v>
      </c>
      <c r="BT71" s="841">
        <v>260000</v>
      </c>
      <c r="BU71" s="841" t="s">
        <v>353</v>
      </c>
      <c r="BV71" s="841" t="s">
        <v>2064</v>
      </c>
      <c r="BW71" s="841" t="s">
        <v>1578</v>
      </c>
      <c r="BX71" s="841" t="s">
        <v>2065</v>
      </c>
      <c r="BY71" s="841" t="s">
        <v>353</v>
      </c>
      <c r="BZ71" s="841" t="s">
        <v>353</v>
      </c>
      <c r="CA71" s="841" t="s">
        <v>353</v>
      </c>
      <c r="CB71" s="841" t="s">
        <v>353</v>
      </c>
      <c r="CC71" s="841" t="s">
        <v>353</v>
      </c>
      <c r="CD71" s="841" t="s">
        <v>353</v>
      </c>
      <c r="CE71" s="841" t="s">
        <v>353</v>
      </c>
      <c r="CF71" s="841" t="s">
        <v>353</v>
      </c>
      <c r="CG71" s="841" t="s">
        <v>353</v>
      </c>
      <c r="CH71" s="841" t="s">
        <v>353</v>
      </c>
      <c r="CI71" s="841" t="s">
        <v>353</v>
      </c>
      <c r="CJ71" s="841" t="s">
        <v>353</v>
      </c>
      <c r="CK71" s="841" t="s">
        <v>353</v>
      </c>
      <c r="CL71" s="841" t="s">
        <v>353</v>
      </c>
      <c r="CM71" s="841" t="s">
        <v>353</v>
      </c>
      <c r="CN71" s="841" t="s">
        <v>353</v>
      </c>
      <c r="CO71" s="841" t="s">
        <v>353</v>
      </c>
      <c r="CP71" s="841" t="s">
        <v>2066</v>
      </c>
      <c r="CQ71" s="841" t="s">
        <v>353</v>
      </c>
      <c r="CR71" s="841" t="s">
        <v>353</v>
      </c>
      <c r="CS71" s="841" t="s">
        <v>1405</v>
      </c>
      <c r="CT71" s="841" t="s">
        <v>353</v>
      </c>
      <c r="CU71" s="841" t="s">
        <v>1391</v>
      </c>
      <c r="CV71" s="841" t="s">
        <v>353</v>
      </c>
      <c r="CW71" s="841" t="s">
        <v>353</v>
      </c>
      <c r="CX71" s="841" t="s">
        <v>353</v>
      </c>
      <c r="CY71" s="841" t="s">
        <v>353</v>
      </c>
      <c r="CZ71" s="841">
        <v>3</v>
      </c>
      <c r="DA71" s="841" t="s">
        <v>353</v>
      </c>
      <c r="DB71" s="841" t="s">
        <v>353</v>
      </c>
      <c r="DC71" s="841" t="s">
        <v>353</v>
      </c>
      <c r="DD71" s="841" t="s">
        <v>353</v>
      </c>
      <c r="DE71" s="841" t="s">
        <v>353</v>
      </c>
      <c r="DF71" s="841">
        <v>24</v>
      </c>
      <c r="DG71" s="841" t="s">
        <v>353</v>
      </c>
      <c r="DH71" s="841" t="s">
        <v>353</v>
      </c>
      <c r="DI71" s="841" t="s">
        <v>353</v>
      </c>
      <c r="DJ71" s="841" t="s">
        <v>2067</v>
      </c>
      <c r="DK71" s="841" t="s">
        <v>353</v>
      </c>
      <c r="DL71" s="842">
        <v>44592.420138888891</v>
      </c>
      <c r="DM71" s="841" t="s">
        <v>353</v>
      </c>
      <c r="DN71" s="841" t="s">
        <v>353</v>
      </c>
      <c r="DO71" s="841" t="s">
        <v>673</v>
      </c>
      <c r="DP71" s="841" t="s">
        <v>1481</v>
      </c>
      <c r="DQ71" s="841" t="s">
        <v>1434</v>
      </c>
      <c r="DR71" s="841">
        <v>775000</v>
      </c>
      <c r="DS71" s="841">
        <v>24</v>
      </c>
      <c r="DT71" s="841" t="s">
        <v>353</v>
      </c>
      <c r="DU71" s="841" t="s">
        <v>353</v>
      </c>
      <c r="DV71" s="841">
        <v>265950</v>
      </c>
      <c r="DW71" s="841">
        <v>270000</v>
      </c>
      <c r="DX71" s="841" t="s">
        <v>353</v>
      </c>
      <c r="DY71" s="841" t="s">
        <v>353</v>
      </c>
      <c r="DZ71" s="841" t="s">
        <v>353</v>
      </c>
      <c r="EA71" s="841" t="s">
        <v>353</v>
      </c>
      <c r="EB71" s="841" t="s">
        <v>353</v>
      </c>
      <c r="EC71" s="841" t="s">
        <v>353</v>
      </c>
      <c r="ED71" s="841" t="s">
        <v>353</v>
      </c>
      <c r="EE71" s="841" t="s">
        <v>353</v>
      </c>
      <c r="EF71" s="841" t="s">
        <v>353</v>
      </c>
      <c r="EG71" s="841" t="s">
        <v>353</v>
      </c>
      <c r="EH71" s="841" t="s">
        <v>353</v>
      </c>
      <c r="EI71" s="841">
        <v>0</v>
      </c>
      <c r="EJ71" s="841" t="s">
        <v>353</v>
      </c>
      <c r="EK71" s="841" t="s">
        <v>353</v>
      </c>
      <c r="EL71" s="841" t="s">
        <v>1435</v>
      </c>
      <c r="EM71" s="841">
        <v>4050</v>
      </c>
      <c r="EN71" s="841" t="s">
        <v>353</v>
      </c>
      <c r="EO71" s="841" t="s">
        <v>353</v>
      </c>
      <c r="EP71" s="841" t="s">
        <v>353</v>
      </c>
      <c r="EQ71" s="841" t="s">
        <v>353</v>
      </c>
      <c r="ER71" s="841" t="s">
        <v>353</v>
      </c>
      <c r="ES71" s="841" t="s">
        <v>353</v>
      </c>
      <c r="ET71" s="841" t="s">
        <v>1512</v>
      </c>
      <c r="EU71" s="841" t="s">
        <v>353</v>
      </c>
      <c r="EV71" s="841" t="s">
        <v>353</v>
      </c>
      <c r="EW71" s="841" t="s">
        <v>353</v>
      </c>
      <c r="EX71" s="841" t="s">
        <v>353</v>
      </c>
      <c r="EY71" s="841" t="s">
        <v>353</v>
      </c>
      <c r="EZ71" s="841" t="s">
        <v>353</v>
      </c>
      <c r="FA71" s="841" t="s">
        <v>353</v>
      </c>
      <c r="FB71" s="841" t="s">
        <v>353</v>
      </c>
      <c r="FC71" s="841" t="s">
        <v>353</v>
      </c>
      <c r="FD71" s="841" t="s">
        <v>353</v>
      </c>
      <c r="FE71" s="842">
        <v>44592.422222222223</v>
      </c>
      <c r="FF71" s="841" t="s">
        <v>353</v>
      </c>
      <c r="FG71" s="841" t="s">
        <v>353</v>
      </c>
      <c r="FH71" s="841" t="s">
        <v>353</v>
      </c>
      <c r="FI71" s="841" t="s">
        <v>353</v>
      </c>
      <c r="FJ71" s="841" t="s">
        <v>353</v>
      </c>
      <c r="FK71" s="841" t="s">
        <v>353</v>
      </c>
      <c r="FL71" s="841" t="s">
        <v>353</v>
      </c>
      <c r="FM71" s="841" t="s">
        <v>353</v>
      </c>
      <c r="FN71" s="841" t="s">
        <v>353</v>
      </c>
      <c r="FO71" s="841" t="s">
        <v>1582</v>
      </c>
      <c r="FP71" s="841" t="s">
        <v>353</v>
      </c>
      <c r="FQ71" s="841" t="s">
        <v>353</v>
      </c>
      <c r="FR71" s="841" t="s">
        <v>353</v>
      </c>
      <c r="FS71" s="841" t="s">
        <v>353</v>
      </c>
      <c r="FT71" s="841" t="s">
        <v>353</v>
      </c>
      <c r="FU71" s="841" t="s">
        <v>1416</v>
      </c>
      <c r="FV71" s="841" t="s">
        <v>353</v>
      </c>
      <c r="FW71" s="841" t="s">
        <v>353</v>
      </c>
      <c r="FX71" s="841" t="s">
        <v>353</v>
      </c>
      <c r="FY71" s="841" t="s">
        <v>353</v>
      </c>
      <c r="FZ71" s="841" t="s">
        <v>353</v>
      </c>
      <c r="GA71" s="841" t="s">
        <v>353</v>
      </c>
      <c r="GB71" s="841">
        <v>1</v>
      </c>
      <c r="GC71" s="841" t="s">
        <v>353</v>
      </c>
      <c r="GD71" s="841" t="s">
        <v>1395</v>
      </c>
      <c r="GE71" s="841" t="s">
        <v>353</v>
      </c>
      <c r="GF71" s="841" t="s">
        <v>353</v>
      </c>
      <c r="GG71" s="841" t="s">
        <v>353</v>
      </c>
      <c r="GH71" s="841">
        <v>54000</v>
      </c>
      <c r="GI71" s="841" t="s">
        <v>353</v>
      </c>
      <c r="GJ71" s="841" t="s">
        <v>353</v>
      </c>
      <c r="GK71" s="841" t="s">
        <v>353</v>
      </c>
      <c r="GL71" s="841" t="s">
        <v>1497</v>
      </c>
      <c r="GM71" s="841" t="s">
        <v>353</v>
      </c>
      <c r="GN71" s="841" t="s">
        <v>353</v>
      </c>
      <c r="GO71" s="841" t="s">
        <v>353</v>
      </c>
      <c r="GP71" s="841" t="s">
        <v>353</v>
      </c>
      <c r="GQ71" s="841" t="s">
        <v>353</v>
      </c>
      <c r="GR71" s="841" t="s">
        <v>353</v>
      </c>
      <c r="GS71" s="841" t="s">
        <v>2064</v>
      </c>
      <c r="GT71" s="841" t="s">
        <v>353</v>
      </c>
      <c r="GU71" s="841" t="s">
        <v>353</v>
      </c>
      <c r="GV71" s="841" t="s">
        <v>1419</v>
      </c>
      <c r="GW71" s="841" t="s">
        <v>353</v>
      </c>
      <c r="GX71" s="841" t="s">
        <v>353</v>
      </c>
      <c r="GY71" s="841">
        <v>24</v>
      </c>
      <c r="GZ71" s="841" t="s">
        <v>1575</v>
      </c>
      <c r="HA71" s="841" t="s">
        <v>353</v>
      </c>
      <c r="HB71" s="841" t="s">
        <v>353</v>
      </c>
      <c r="HC71" s="841" t="s">
        <v>1421</v>
      </c>
      <c r="HD71" s="841" t="s">
        <v>2068</v>
      </c>
      <c r="HE71" s="841" t="s">
        <v>353</v>
      </c>
      <c r="HF71" s="841" t="s">
        <v>353</v>
      </c>
      <c r="HG71" s="841" t="s">
        <v>353</v>
      </c>
      <c r="HH71" s="841" t="s">
        <v>353</v>
      </c>
      <c r="HI71" s="841" t="s">
        <v>1422</v>
      </c>
      <c r="HJ71" s="841" t="s">
        <v>2069</v>
      </c>
      <c r="HK71" s="841">
        <v>270000</v>
      </c>
      <c r="HL71" s="841" t="s">
        <v>353</v>
      </c>
      <c r="HM71" s="841" t="s">
        <v>1530</v>
      </c>
      <c r="HN71" s="841" t="s">
        <v>353</v>
      </c>
      <c r="HO71" s="841" t="s">
        <v>353</v>
      </c>
      <c r="HP71" s="841">
        <v>12933</v>
      </c>
      <c r="HQ71" s="841" t="s">
        <v>353</v>
      </c>
      <c r="HR71" s="841" t="s">
        <v>353</v>
      </c>
      <c r="HS71" s="841">
        <v>270000</v>
      </c>
      <c r="HT71" s="841" t="s">
        <v>353</v>
      </c>
      <c r="HU71" s="841" t="s">
        <v>353</v>
      </c>
      <c r="HV71" s="841" t="s">
        <v>353</v>
      </c>
      <c r="HW71" s="841">
        <v>775000</v>
      </c>
      <c r="HX71" s="841" t="s">
        <v>353</v>
      </c>
      <c r="HY71" s="841" t="s">
        <v>353</v>
      </c>
      <c r="HZ71" s="841" t="s">
        <v>353</v>
      </c>
      <c r="IA71" s="841" t="s">
        <v>353</v>
      </c>
      <c r="IB71" s="841" t="s">
        <v>1424</v>
      </c>
      <c r="IC71" s="841" t="s">
        <v>353</v>
      </c>
      <c r="ID71" s="841" t="s">
        <v>353</v>
      </c>
      <c r="IE71" s="841" t="s">
        <v>353</v>
      </c>
      <c r="IF71" s="841" t="s">
        <v>353</v>
      </c>
      <c r="IG71" s="841" t="s">
        <v>353</v>
      </c>
      <c r="IH71" s="841" t="s">
        <v>353</v>
      </c>
      <c r="II71" s="841" t="s">
        <v>353</v>
      </c>
      <c r="IJ71" s="841" t="s">
        <v>353</v>
      </c>
      <c r="IK71" s="841" t="s">
        <v>353</v>
      </c>
      <c r="IL71" s="841">
        <v>270000</v>
      </c>
      <c r="IM71" s="841" t="s">
        <v>353</v>
      </c>
      <c r="IN71" s="841" t="s">
        <v>353</v>
      </c>
      <c r="IO71" s="841" t="s">
        <v>353</v>
      </c>
      <c r="IP71" s="841" t="s">
        <v>353</v>
      </c>
      <c r="IQ71" s="841" t="s">
        <v>353</v>
      </c>
      <c r="IR71" s="841">
        <v>0</v>
      </c>
      <c r="IS71" s="841" t="s">
        <v>353</v>
      </c>
      <c r="IT71" s="841" t="s">
        <v>353</v>
      </c>
      <c r="IU71" s="841" t="s">
        <v>353</v>
      </c>
      <c r="IV71" s="841" t="s">
        <v>353</v>
      </c>
      <c r="IW71" s="841" t="s">
        <v>353</v>
      </c>
      <c r="IX71" s="841" t="s">
        <v>353</v>
      </c>
      <c r="IY71" s="841" t="s">
        <v>1622</v>
      </c>
      <c r="IZ71" s="841" t="s">
        <v>353</v>
      </c>
      <c r="JA71" s="841">
        <v>270000</v>
      </c>
      <c r="JB71" s="841" t="s">
        <v>353</v>
      </c>
      <c r="JC71" s="841" t="s">
        <v>353</v>
      </c>
      <c r="JD71" s="841" t="s">
        <v>1488</v>
      </c>
      <c r="JE71" s="841" t="s">
        <v>353</v>
      </c>
      <c r="JF71" s="841" t="s">
        <v>2070</v>
      </c>
      <c r="JG71" s="841" t="s">
        <v>2071</v>
      </c>
      <c r="JH71" s="841" t="s">
        <v>2072</v>
      </c>
      <c r="JI71" s="841" t="s">
        <v>2073</v>
      </c>
    </row>
    <row r="72" spans="1:269" x14ac:dyDescent="0.25">
      <c r="A72" s="841" t="s">
        <v>2074</v>
      </c>
      <c r="B72" s="841" t="s">
        <v>353</v>
      </c>
      <c r="C72" s="841" t="s">
        <v>1403</v>
      </c>
      <c r="D72" s="841" t="s">
        <v>353</v>
      </c>
      <c r="E72" s="841" t="s">
        <v>353</v>
      </c>
      <c r="F72" s="841" t="s">
        <v>1405</v>
      </c>
      <c r="G72" s="841" t="s">
        <v>1574</v>
      </c>
      <c r="H72" s="841" t="s">
        <v>353</v>
      </c>
      <c r="I72" s="841" t="s">
        <v>353</v>
      </c>
      <c r="J72" s="841" t="s">
        <v>353</v>
      </c>
      <c r="K72" s="841" t="s">
        <v>353</v>
      </c>
      <c r="L72" s="842">
        <v>44607.465277777781</v>
      </c>
      <c r="M72" s="841" t="s">
        <v>353</v>
      </c>
      <c r="N72" s="841" t="s">
        <v>353</v>
      </c>
      <c r="O72" s="841" t="s">
        <v>353</v>
      </c>
      <c r="P72" s="841" t="s">
        <v>673</v>
      </c>
      <c r="Q72" s="841" t="s">
        <v>353</v>
      </c>
      <c r="R72" s="841" t="s">
        <v>353</v>
      </c>
      <c r="S72" s="841" t="s">
        <v>61</v>
      </c>
      <c r="T72" s="841" t="s">
        <v>1390</v>
      </c>
      <c r="U72" s="841" t="s">
        <v>353</v>
      </c>
      <c r="V72" s="841" t="s">
        <v>353</v>
      </c>
      <c r="W72" s="841" t="s">
        <v>1405</v>
      </c>
      <c r="X72" s="841" t="s">
        <v>1405</v>
      </c>
      <c r="Y72" s="841" t="s">
        <v>353</v>
      </c>
      <c r="Z72" s="841" t="s">
        <v>353</v>
      </c>
      <c r="AA72" s="841" t="s">
        <v>673</v>
      </c>
      <c r="AB72" s="841" t="s">
        <v>353</v>
      </c>
      <c r="AC72" s="841">
        <v>185000</v>
      </c>
      <c r="AD72" s="841" t="s">
        <v>353</v>
      </c>
      <c r="AE72" s="841" t="s">
        <v>673</v>
      </c>
      <c r="AF72" s="841">
        <v>1476.92</v>
      </c>
      <c r="AG72" s="841" t="s">
        <v>353</v>
      </c>
      <c r="AH72" s="841">
        <v>2300</v>
      </c>
      <c r="AI72" s="841" t="s">
        <v>1521</v>
      </c>
      <c r="AJ72" s="841" t="s">
        <v>353</v>
      </c>
      <c r="AK72" s="841">
        <v>67</v>
      </c>
      <c r="AL72" s="841" t="s">
        <v>353</v>
      </c>
      <c r="AM72" s="841" t="s">
        <v>353</v>
      </c>
      <c r="AN72" s="841" t="s">
        <v>353</v>
      </c>
      <c r="AO72" s="841" t="s">
        <v>353</v>
      </c>
      <c r="AP72" s="841" t="s">
        <v>353</v>
      </c>
      <c r="AQ72" s="841" t="s">
        <v>353</v>
      </c>
      <c r="AR72" s="841" t="s">
        <v>673</v>
      </c>
      <c r="AS72" s="841" t="s">
        <v>353</v>
      </c>
      <c r="AT72" s="841" t="s">
        <v>353</v>
      </c>
      <c r="AU72" s="841" t="s">
        <v>1405</v>
      </c>
      <c r="AV72" s="841" t="s">
        <v>353</v>
      </c>
      <c r="AW72" s="843">
        <v>44592</v>
      </c>
      <c r="AX72" s="841" t="s">
        <v>353</v>
      </c>
      <c r="AY72" s="841" t="s">
        <v>353</v>
      </c>
      <c r="AZ72" s="841" t="s">
        <v>353</v>
      </c>
      <c r="BA72" s="841" t="s">
        <v>353</v>
      </c>
      <c r="BB72" s="841" t="s">
        <v>353</v>
      </c>
      <c r="BC72" s="841">
        <v>364450</v>
      </c>
      <c r="BD72" s="841" t="s">
        <v>353</v>
      </c>
      <c r="BE72" s="841" t="s">
        <v>353</v>
      </c>
      <c r="BF72" s="841" t="s">
        <v>353</v>
      </c>
      <c r="BG72" s="841" t="s">
        <v>353</v>
      </c>
      <c r="BH72" s="841" t="s">
        <v>353</v>
      </c>
      <c r="BI72" s="841" t="s">
        <v>353</v>
      </c>
      <c r="BJ72" s="841" t="s">
        <v>353</v>
      </c>
      <c r="BK72" s="841">
        <v>360000</v>
      </c>
      <c r="BL72" s="841" t="s">
        <v>2075</v>
      </c>
      <c r="BM72" s="842">
        <v>44592.383333333331</v>
      </c>
      <c r="BN72" s="841" t="s">
        <v>353</v>
      </c>
      <c r="BO72" s="841" t="s">
        <v>353</v>
      </c>
      <c r="BP72" s="841" t="s">
        <v>353</v>
      </c>
      <c r="BQ72" s="841" t="s">
        <v>353</v>
      </c>
      <c r="BR72" s="841" t="s">
        <v>353</v>
      </c>
      <c r="BS72" s="841" t="s">
        <v>353</v>
      </c>
      <c r="BT72" s="841">
        <v>360000</v>
      </c>
      <c r="BU72" s="841" t="s">
        <v>353</v>
      </c>
      <c r="BV72" s="841" t="s">
        <v>2076</v>
      </c>
      <c r="BW72" s="841" t="s">
        <v>1578</v>
      </c>
      <c r="BX72" s="841" t="s">
        <v>2077</v>
      </c>
      <c r="BY72" s="841" t="s">
        <v>353</v>
      </c>
      <c r="BZ72" s="841" t="s">
        <v>353</v>
      </c>
      <c r="CA72" s="841" t="s">
        <v>353</v>
      </c>
      <c r="CB72" s="841" t="s">
        <v>353</v>
      </c>
      <c r="CC72" s="841" t="s">
        <v>353</v>
      </c>
      <c r="CD72" s="841" t="s">
        <v>353</v>
      </c>
      <c r="CE72" s="841" t="s">
        <v>353</v>
      </c>
      <c r="CF72" s="841" t="s">
        <v>353</v>
      </c>
      <c r="CG72" s="841" t="s">
        <v>353</v>
      </c>
      <c r="CH72" s="841" t="s">
        <v>353</v>
      </c>
      <c r="CI72" s="841" t="s">
        <v>33</v>
      </c>
      <c r="CJ72" s="841" t="s">
        <v>353</v>
      </c>
      <c r="CK72" s="841">
        <v>1</v>
      </c>
      <c r="CL72" s="841" t="s">
        <v>353</v>
      </c>
      <c r="CM72" s="841">
        <v>7</v>
      </c>
      <c r="CN72" s="841" t="s">
        <v>353</v>
      </c>
      <c r="CO72" s="841" t="s">
        <v>353</v>
      </c>
      <c r="CP72" s="841" t="s">
        <v>2078</v>
      </c>
      <c r="CQ72" s="841" t="s">
        <v>353</v>
      </c>
      <c r="CR72" s="841" t="s">
        <v>353</v>
      </c>
      <c r="CS72" s="841" t="s">
        <v>1405</v>
      </c>
      <c r="CT72" s="841" t="s">
        <v>353</v>
      </c>
      <c r="CU72" s="841" t="s">
        <v>1928</v>
      </c>
      <c r="CV72" s="841" t="s">
        <v>353</v>
      </c>
      <c r="CW72" s="841" t="s">
        <v>353</v>
      </c>
      <c r="CX72" s="841" t="s">
        <v>353</v>
      </c>
      <c r="CY72" s="841" t="s">
        <v>353</v>
      </c>
      <c r="CZ72" s="841" t="s">
        <v>353</v>
      </c>
      <c r="DA72" s="841" t="s">
        <v>353</v>
      </c>
      <c r="DB72" s="841" t="s">
        <v>353</v>
      </c>
      <c r="DC72" s="841" t="s">
        <v>353</v>
      </c>
      <c r="DD72" s="841" t="s">
        <v>353</v>
      </c>
      <c r="DE72" s="841" t="s">
        <v>353</v>
      </c>
      <c r="DF72" s="841">
        <v>0</v>
      </c>
      <c r="DG72" s="841" t="s">
        <v>353</v>
      </c>
      <c r="DH72" s="841" t="s">
        <v>353</v>
      </c>
      <c r="DI72" s="841" t="s">
        <v>353</v>
      </c>
      <c r="DJ72" s="841" t="s">
        <v>2079</v>
      </c>
      <c r="DK72" s="841" t="s">
        <v>353</v>
      </c>
      <c r="DL72" s="842">
        <v>44592.383333333331</v>
      </c>
      <c r="DM72" s="841" t="s">
        <v>353</v>
      </c>
      <c r="DN72" s="841" t="s">
        <v>33</v>
      </c>
      <c r="DO72" s="841" t="s">
        <v>673</v>
      </c>
      <c r="DP72" s="841" t="s">
        <v>1481</v>
      </c>
      <c r="DQ72" s="841" t="s">
        <v>673</v>
      </c>
      <c r="DR72" s="841" t="s">
        <v>353</v>
      </c>
      <c r="DS72" s="841">
        <v>0</v>
      </c>
      <c r="DT72" s="841" t="s">
        <v>353</v>
      </c>
      <c r="DU72" s="841" t="s">
        <v>353</v>
      </c>
      <c r="DV72" s="841">
        <v>-268028</v>
      </c>
      <c r="DW72" s="841">
        <v>370000</v>
      </c>
      <c r="DX72" s="841" t="s">
        <v>673</v>
      </c>
      <c r="DY72" s="841" t="s">
        <v>353</v>
      </c>
      <c r="DZ72" s="841" t="s">
        <v>353</v>
      </c>
      <c r="EA72" s="841" t="s">
        <v>353</v>
      </c>
      <c r="EB72" s="841" t="s">
        <v>353</v>
      </c>
      <c r="EC72" s="841" t="s">
        <v>353</v>
      </c>
      <c r="ED72" s="841" t="s">
        <v>353</v>
      </c>
      <c r="EE72" s="841" t="s">
        <v>673</v>
      </c>
      <c r="EF72" s="841" t="s">
        <v>353</v>
      </c>
      <c r="EG72" s="841" t="s">
        <v>353</v>
      </c>
      <c r="EH72" s="841" t="s">
        <v>353</v>
      </c>
      <c r="EI72" s="841">
        <v>638028</v>
      </c>
      <c r="EJ72" s="841" t="s">
        <v>353</v>
      </c>
      <c r="EK72" s="841" t="s">
        <v>1488</v>
      </c>
      <c r="EL72" s="841" t="s">
        <v>1930</v>
      </c>
      <c r="EM72" s="841">
        <v>0</v>
      </c>
      <c r="EN72" s="841" t="s">
        <v>353</v>
      </c>
      <c r="EO72" s="841" t="s">
        <v>353</v>
      </c>
      <c r="EP72" s="841" t="s">
        <v>353</v>
      </c>
      <c r="EQ72" s="841" t="s">
        <v>353</v>
      </c>
      <c r="ER72" s="841" t="s">
        <v>353</v>
      </c>
      <c r="ES72" s="841" t="s">
        <v>33</v>
      </c>
      <c r="ET72" s="841" t="s">
        <v>1414</v>
      </c>
      <c r="EU72" s="841" t="s">
        <v>353</v>
      </c>
      <c r="EV72" s="841" t="s">
        <v>353</v>
      </c>
      <c r="EW72" s="841" t="s">
        <v>353</v>
      </c>
      <c r="EX72" s="841" t="s">
        <v>33</v>
      </c>
      <c r="EY72" s="842">
        <v>44607.333333333336</v>
      </c>
      <c r="EZ72" s="842">
        <v>44610.333333333336</v>
      </c>
      <c r="FA72" s="841" t="s">
        <v>353</v>
      </c>
      <c r="FB72" s="841" t="s">
        <v>353</v>
      </c>
      <c r="FC72" s="841" t="s">
        <v>353</v>
      </c>
      <c r="FD72" s="841" t="s">
        <v>353</v>
      </c>
      <c r="FE72" s="842">
        <v>44592.383333333331</v>
      </c>
      <c r="FF72" s="841" t="s">
        <v>353</v>
      </c>
      <c r="FG72" s="841" t="s">
        <v>2080</v>
      </c>
      <c r="FH72" s="841" t="s">
        <v>353</v>
      </c>
      <c r="FI72" s="841" t="s">
        <v>353</v>
      </c>
      <c r="FJ72" s="841" t="s">
        <v>353</v>
      </c>
      <c r="FK72" s="841" t="s">
        <v>353</v>
      </c>
      <c r="FL72" s="841" t="s">
        <v>353</v>
      </c>
      <c r="FM72" s="841" t="s">
        <v>353</v>
      </c>
      <c r="FN72" s="841" t="s">
        <v>353</v>
      </c>
      <c r="FO72" s="841" t="s">
        <v>1528</v>
      </c>
      <c r="FP72" s="841" t="s">
        <v>353</v>
      </c>
      <c r="FQ72" s="841" t="s">
        <v>353</v>
      </c>
      <c r="FR72" s="841" t="s">
        <v>353</v>
      </c>
      <c r="FS72" s="841" t="s">
        <v>353</v>
      </c>
      <c r="FT72" s="841" t="s">
        <v>353</v>
      </c>
      <c r="FU72" s="841" t="s">
        <v>1467</v>
      </c>
      <c r="FV72" s="841" t="s">
        <v>353</v>
      </c>
      <c r="FW72" s="841" t="s">
        <v>353</v>
      </c>
      <c r="FX72" s="841" t="s">
        <v>353</v>
      </c>
      <c r="FY72" s="841" t="s">
        <v>353</v>
      </c>
      <c r="FZ72" s="841" t="s">
        <v>353</v>
      </c>
      <c r="GA72" s="841" t="s">
        <v>353</v>
      </c>
      <c r="GB72" s="841">
        <v>1</v>
      </c>
      <c r="GC72" s="841" t="s">
        <v>353</v>
      </c>
      <c r="GD72" s="841" t="s">
        <v>2081</v>
      </c>
      <c r="GE72" s="841" t="s">
        <v>353</v>
      </c>
      <c r="GF72" s="841" t="s">
        <v>353</v>
      </c>
      <c r="GG72" s="841" t="s">
        <v>349</v>
      </c>
      <c r="GH72" s="841">
        <v>185000</v>
      </c>
      <c r="GI72" s="841" t="s">
        <v>353</v>
      </c>
      <c r="GJ72" s="841" t="s">
        <v>353</v>
      </c>
      <c r="GK72" s="841" t="s">
        <v>353</v>
      </c>
      <c r="GL72" s="841" t="s">
        <v>353</v>
      </c>
      <c r="GM72" s="841" t="s">
        <v>353</v>
      </c>
      <c r="GN72" s="841" t="s">
        <v>353</v>
      </c>
      <c r="GO72" s="841" t="s">
        <v>353</v>
      </c>
      <c r="GP72" s="841" t="s">
        <v>353</v>
      </c>
      <c r="GQ72" s="841" t="s">
        <v>353</v>
      </c>
      <c r="GR72" s="842">
        <v>44592.430555555555</v>
      </c>
      <c r="GS72" s="841" t="s">
        <v>1405</v>
      </c>
      <c r="GT72" s="841" t="s">
        <v>353</v>
      </c>
      <c r="GU72" s="841" t="s">
        <v>353</v>
      </c>
      <c r="GV72" s="841" t="s">
        <v>1419</v>
      </c>
      <c r="GW72" s="841" t="s">
        <v>353</v>
      </c>
      <c r="GX72" s="841" t="s">
        <v>2082</v>
      </c>
      <c r="GY72" s="841">
        <v>36</v>
      </c>
      <c r="GZ72" s="841" t="s">
        <v>1486</v>
      </c>
      <c r="HA72" s="841" t="s">
        <v>353</v>
      </c>
      <c r="HB72" s="841" t="s">
        <v>353</v>
      </c>
      <c r="HC72" s="841" t="s">
        <v>1421</v>
      </c>
      <c r="HD72" s="841" t="s">
        <v>2078</v>
      </c>
      <c r="HE72" s="841">
        <v>3700</v>
      </c>
      <c r="HF72" s="841" t="s">
        <v>353</v>
      </c>
      <c r="HG72" s="841" t="s">
        <v>353</v>
      </c>
      <c r="HH72" s="841" t="s">
        <v>353</v>
      </c>
      <c r="HI72" s="841" t="s">
        <v>1422</v>
      </c>
      <c r="HJ72" s="841" t="s">
        <v>353</v>
      </c>
      <c r="HK72" s="841">
        <v>370000</v>
      </c>
      <c r="HL72" s="841" t="s">
        <v>353</v>
      </c>
      <c r="HM72" s="841" t="s">
        <v>353</v>
      </c>
      <c r="HN72" s="841" t="s">
        <v>353</v>
      </c>
      <c r="HO72" s="841" t="s">
        <v>353</v>
      </c>
      <c r="HP72" s="841">
        <v>17723</v>
      </c>
      <c r="HQ72" s="841" t="s">
        <v>353</v>
      </c>
      <c r="HR72" s="841" t="s">
        <v>353</v>
      </c>
      <c r="HS72" s="841">
        <v>-268028</v>
      </c>
      <c r="HT72" s="841" t="s">
        <v>353</v>
      </c>
      <c r="HU72" s="841" t="s">
        <v>353</v>
      </c>
      <c r="HV72" s="841" t="s">
        <v>353</v>
      </c>
      <c r="HW72" s="841">
        <v>600000</v>
      </c>
      <c r="HX72" s="841" t="s">
        <v>353</v>
      </c>
      <c r="HY72" s="841" t="s">
        <v>353</v>
      </c>
      <c r="HZ72" s="841" t="s">
        <v>353</v>
      </c>
      <c r="IA72" s="841" t="s">
        <v>353</v>
      </c>
      <c r="IB72" s="841" t="s">
        <v>1424</v>
      </c>
      <c r="IC72" s="841" t="s">
        <v>353</v>
      </c>
      <c r="ID72" s="841" t="s">
        <v>353</v>
      </c>
      <c r="IE72" s="841" t="s">
        <v>353</v>
      </c>
      <c r="IF72" s="841" t="s">
        <v>353</v>
      </c>
      <c r="IG72" s="841" t="s">
        <v>353</v>
      </c>
      <c r="IH72" s="841" t="s">
        <v>353</v>
      </c>
      <c r="II72" s="841" t="s">
        <v>353</v>
      </c>
      <c r="IJ72" s="841" t="s">
        <v>353</v>
      </c>
      <c r="IK72" s="841" t="s">
        <v>353</v>
      </c>
      <c r="IL72" s="841">
        <v>370000</v>
      </c>
      <c r="IM72" s="841" t="s">
        <v>353</v>
      </c>
      <c r="IN72" s="841" t="s">
        <v>353</v>
      </c>
      <c r="IO72" s="841">
        <v>0</v>
      </c>
      <c r="IP72" s="841">
        <v>3700</v>
      </c>
      <c r="IQ72" s="841" t="s">
        <v>353</v>
      </c>
      <c r="IR72" s="841">
        <v>36</v>
      </c>
      <c r="IS72" s="841" t="s">
        <v>33</v>
      </c>
      <c r="IT72" s="841" t="s">
        <v>353</v>
      </c>
      <c r="IU72" s="841" t="s">
        <v>353</v>
      </c>
      <c r="IV72" s="841" t="s">
        <v>353</v>
      </c>
      <c r="IW72" s="841" t="s">
        <v>353</v>
      </c>
      <c r="IX72" s="841" t="s">
        <v>353</v>
      </c>
      <c r="IY72" s="841" t="s">
        <v>353</v>
      </c>
      <c r="IZ72" s="841" t="s">
        <v>353</v>
      </c>
      <c r="JA72" s="841">
        <v>370000</v>
      </c>
      <c r="JB72" s="841" t="s">
        <v>353</v>
      </c>
      <c r="JC72" s="841" t="s">
        <v>353</v>
      </c>
      <c r="JD72" s="841" t="s">
        <v>1488</v>
      </c>
      <c r="JE72" s="841" t="s">
        <v>33</v>
      </c>
      <c r="JF72" s="841" t="s">
        <v>353</v>
      </c>
      <c r="JG72" s="841" t="s">
        <v>353</v>
      </c>
      <c r="JH72" s="841" t="s">
        <v>2083</v>
      </c>
      <c r="JI72" s="841" t="s">
        <v>2084</v>
      </c>
    </row>
    <row r="73" spans="1:269" x14ac:dyDescent="0.25">
      <c r="A73" s="841" t="s">
        <v>2085</v>
      </c>
      <c r="B73" s="841" t="s">
        <v>353</v>
      </c>
      <c r="C73" s="841" t="s">
        <v>353</v>
      </c>
      <c r="D73" s="841" t="s">
        <v>353</v>
      </c>
      <c r="E73" s="841" t="s">
        <v>353</v>
      </c>
      <c r="F73" s="841" t="s">
        <v>353</v>
      </c>
      <c r="G73" s="841" t="s">
        <v>2086</v>
      </c>
      <c r="H73" s="841" t="s">
        <v>353</v>
      </c>
      <c r="I73" s="841" t="s">
        <v>353</v>
      </c>
      <c r="J73" s="841" t="s">
        <v>353</v>
      </c>
      <c r="K73" s="841" t="s">
        <v>353</v>
      </c>
      <c r="L73" s="842">
        <v>44592.45416666667</v>
      </c>
      <c r="M73" s="841" t="s">
        <v>353</v>
      </c>
      <c r="N73" s="841" t="s">
        <v>353</v>
      </c>
      <c r="O73" s="841" t="s">
        <v>353</v>
      </c>
      <c r="P73" s="841" t="s">
        <v>353</v>
      </c>
      <c r="Q73" s="841" t="s">
        <v>353</v>
      </c>
      <c r="R73" s="841" t="s">
        <v>353</v>
      </c>
      <c r="S73" s="841" t="s">
        <v>64</v>
      </c>
      <c r="T73" s="841" t="s">
        <v>1390</v>
      </c>
      <c r="U73" s="841" t="s">
        <v>353</v>
      </c>
      <c r="V73" s="841" t="s">
        <v>353</v>
      </c>
      <c r="W73" s="841" t="s">
        <v>353</v>
      </c>
      <c r="X73" s="841" t="s">
        <v>1405</v>
      </c>
      <c r="Y73" s="841" t="s">
        <v>353</v>
      </c>
      <c r="Z73" s="841" t="s">
        <v>353</v>
      </c>
      <c r="AA73" s="841" t="s">
        <v>353</v>
      </c>
      <c r="AB73" s="841" t="s">
        <v>353</v>
      </c>
      <c r="AC73" s="841">
        <v>104400</v>
      </c>
      <c r="AD73" s="841" t="s">
        <v>353</v>
      </c>
      <c r="AE73" s="841" t="s">
        <v>353</v>
      </c>
      <c r="AF73" s="841" t="s">
        <v>353</v>
      </c>
      <c r="AG73" s="841" t="s">
        <v>353</v>
      </c>
      <c r="AH73" s="841">
        <v>4000</v>
      </c>
      <c r="AI73" s="841" t="s">
        <v>1406</v>
      </c>
      <c r="AJ73" s="841" t="s">
        <v>353</v>
      </c>
      <c r="AK73" s="841">
        <v>65</v>
      </c>
      <c r="AL73" s="841" t="s">
        <v>353</v>
      </c>
      <c r="AM73" s="841" t="s">
        <v>353</v>
      </c>
      <c r="AN73" s="841" t="s">
        <v>353</v>
      </c>
      <c r="AO73" s="841" t="s">
        <v>353</v>
      </c>
      <c r="AP73" s="841" t="s">
        <v>353</v>
      </c>
      <c r="AQ73" s="841" t="s">
        <v>353</v>
      </c>
      <c r="AR73" s="841" t="s">
        <v>353</v>
      </c>
      <c r="AS73" s="841" t="s">
        <v>353</v>
      </c>
      <c r="AT73" s="841" t="s">
        <v>353</v>
      </c>
      <c r="AU73" s="841" t="s">
        <v>353</v>
      </c>
      <c r="AV73" s="841" t="s">
        <v>353</v>
      </c>
      <c r="AW73" s="841" t="s">
        <v>353</v>
      </c>
      <c r="AX73" s="841" t="s">
        <v>353</v>
      </c>
      <c r="AY73" s="841" t="s">
        <v>353</v>
      </c>
      <c r="AZ73" s="841" t="s">
        <v>353</v>
      </c>
      <c r="BA73" s="841" t="s">
        <v>353</v>
      </c>
      <c r="BB73" s="841" t="s">
        <v>353</v>
      </c>
      <c r="BC73" s="841">
        <v>516795</v>
      </c>
      <c r="BD73" s="841" t="s">
        <v>353</v>
      </c>
      <c r="BE73" s="841" t="s">
        <v>353</v>
      </c>
      <c r="BF73" s="841" t="s">
        <v>353</v>
      </c>
      <c r="BG73" s="841" t="s">
        <v>353</v>
      </c>
      <c r="BH73" s="841" t="s">
        <v>353</v>
      </c>
      <c r="BI73" s="841" t="s">
        <v>353</v>
      </c>
      <c r="BJ73" s="841" t="s">
        <v>353</v>
      </c>
      <c r="BK73" s="841" t="s">
        <v>353</v>
      </c>
      <c r="BL73" s="841" t="s">
        <v>2063</v>
      </c>
      <c r="BM73" s="842">
        <v>44592.367361111108</v>
      </c>
      <c r="BN73" s="841" t="s">
        <v>353</v>
      </c>
      <c r="BO73" s="841" t="s">
        <v>353</v>
      </c>
      <c r="BP73" s="841" t="s">
        <v>353</v>
      </c>
      <c r="BQ73" s="841" t="s">
        <v>353</v>
      </c>
      <c r="BR73" s="841" t="s">
        <v>353</v>
      </c>
      <c r="BS73" s="841" t="s">
        <v>353</v>
      </c>
      <c r="BT73" s="841">
        <v>522000</v>
      </c>
      <c r="BU73" s="841" t="s">
        <v>353</v>
      </c>
      <c r="BV73" s="841" t="s">
        <v>2087</v>
      </c>
      <c r="BW73" s="841" t="s">
        <v>1578</v>
      </c>
      <c r="BX73" s="841" t="s">
        <v>353</v>
      </c>
      <c r="BY73" s="841" t="s">
        <v>353</v>
      </c>
      <c r="BZ73" s="841" t="s">
        <v>353</v>
      </c>
      <c r="CA73" s="841" t="s">
        <v>353</v>
      </c>
      <c r="CB73" s="841" t="s">
        <v>353</v>
      </c>
      <c r="CC73" s="841" t="s">
        <v>353</v>
      </c>
      <c r="CD73" s="841" t="s">
        <v>353</v>
      </c>
      <c r="CE73" s="841" t="s">
        <v>353</v>
      </c>
      <c r="CF73" s="841" t="s">
        <v>353</v>
      </c>
      <c r="CG73" s="841" t="s">
        <v>353</v>
      </c>
      <c r="CH73" s="841" t="s">
        <v>353</v>
      </c>
      <c r="CI73" s="841" t="s">
        <v>353</v>
      </c>
      <c r="CJ73" s="841" t="s">
        <v>353</v>
      </c>
      <c r="CK73" s="841" t="s">
        <v>353</v>
      </c>
      <c r="CL73" s="841" t="s">
        <v>353</v>
      </c>
      <c r="CM73" s="841" t="s">
        <v>353</v>
      </c>
      <c r="CN73" s="841" t="s">
        <v>353</v>
      </c>
      <c r="CO73" s="841" t="s">
        <v>353</v>
      </c>
      <c r="CP73" s="841" t="s">
        <v>2088</v>
      </c>
      <c r="CQ73" s="841" t="s">
        <v>353</v>
      </c>
      <c r="CR73" s="841" t="s">
        <v>353</v>
      </c>
      <c r="CS73" s="841" t="s">
        <v>1405</v>
      </c>
      <c r="CT73" s="841" t="s">
        <v>353</v>
      </c>
      <c r="CU73" s="841" t="s">
        <v>1391</v>
      </c>
      <c r="CV73" s="841" t="s">
        <v>353</v>
      </c>
      <c r="CW73" s="841" t="s">
        <v>353</v>
      </c>
      <c r="CX73" s="841" t="s">
        <v>353</v>
      </c>
      <c r="CY73" s="841" t="s">
        <v>353</v>
      </c>
      <c r="CZ73" s="841">
        <v>4</v>
      </c>
      <c r="DA73" s="841" t="s">
        <v>353</v>
      </c>
      <c r="DB73" s="841" t="s">
        <v>353</v>
      </c>
      <c r="DC73" s="841" t="s">
        <v>353</v>
      </c>
      <c r="DD73" s="841" t="s">
        <v>353</v>
      </c>
      <c r="DE73" s="841" t="s">
        <v>353</v>
      </c>
      <c r="DF73" s="841">
        <v>24</v>
      </c>
      <c r="DG73" s="841" t="s">
        <v>353</v>
      </c>
      <c r="DH73" s="841" t="s">
        <v>353</v>
      </c>
      <c r="DI73" s="841" t="s">
        <v>353</v>
      </c>
      <c r="DJ73" s="841" t="s">
        <v>2089</v>
      </c>
      <c r="DK73" s="841" t="s">
        <v>353</v>
      </c>
      <c r="DL73" s="842">
        <v>44592.367361111108</v>
      </c>
      <c r="DM73" s="841" t="s">
        <v>353</v>
      </c>
      <c r="DN73" s="841" t="s">
        <v>353</v>
      </c>
      <c r="DO73" s="841" t="s">
        <v>673</v>
      </c>
      <c r="DP73" s="841" t="s">
        <v>1481</v>
      </c>
      <c r="DQ73" s="841" t="s">
        <v>1434</v>
      </c>
      <c r="DR73" s="841" t="s">
        <v>353</v>
      </c>
      <c r="DS73" s="841">
        <v>24</v>
      </c>
      <c r="DT73" s="841" t="s">
        <v>353</v>
      </c>
      <c r="DU73" s="841" t="s">
        <v>353</v>
      </c>
      <c r="DV73" s="841" t="s">
        <v>353</v>
      </c>
      <c r="DW73" s="841">
        <v>522000</v>
      </c>
      <c r="DX73" s="841" t="s">
        <v>353</v>
      </c>
      <c r="DY73" s="841" t="s">
        <v>353</v>
      </c>
      <c r="DZ73" s="841" t="s">
        <v>353</v>
      </c>
      <c r="EA73" s="841" t="s">
        <v>353</v>
      </c>
      <c r="EB73" s="841" t="s">
        <v>353</v>
      </c>
      <c r="EC73" s="841" t="s">
        <v>353</v>
      </c>
      <c r="ED73" s="841" t="s">
        <v>353</v>
      </c>
      <c r="EE73" s="841" t="s">
        <v>353</v>
      </c>
      <c r="EF73" s="841" t="s">
        <v>353</v>
      </c>
      <c r="EG73" s="841" t="s">
        <v>353</v>
      </c>
      <c r="EH73" s="841" t="s">
        <v>353</v>
      </c>
      <c r="EI73" s="841">
        <v>0</v>
      </c>
      <c r="EJ73" s="841" t="s">
        <v>353</v>
      </c>
      <c r="EK73" s="841" t="s">
        <v>353</v>
      </c>
      <c r="EL73" s="841" t="s">
        <v>353</v>
      </c>
      <c r="EM73" s="841" t="s">
        <v>353</v>
      </c>
      <c r="EN73" s="841" t="s">
        <v>353</v>
      </c>
      <c r="EO73" s="841" t="s">
        <v>353</v>
      </c>
      <c r="EP73" s="841" t="s">
        <v>353</v>
      </c>
      <c r="EQ73" s="841" t="s">
        <v>353</v>
      </c>
      <c r="ER73" s="841" t="s">
        <v>353</v>
      </c>
      <c r="ES73" s="841" t="s">
        <v>353</v>
      </c>
      <c r="ET73" s="841" t="s">
        <v>1512</v>
      </c>
      <c r="EU73" s="841" t="s">
        <v>353</v>
      </c>
      <c r="EV73" s="841" t="s">
        <v>353</v>
      </c>
      <c r="EW73" s="841" t="s">
        <v>353</v>
      </c>
      <c r="EX73" s="841" t="s">
        <v>353</v>
      </c>
      <c r="EY73" s="841" t="s">
        <v>353</v>
      </c>
      <c r="EZ73" s="841" t="s">
        <v>353</v>
      </c>
      <c r="FA73" s="841" t="s">
        <v>353</v>
      </c>
      <c r="FB73" s="841" t="s">
        <v>353</v>
      </c>
      <c r="FC73" s="841" t="s">
        <v>353</v>
      </c>
      <c r="FD73" s="841" t="s">
        <v>353</v>
      </c>
      <c r="FE73" s="842">
        <v>44592.370138888888</v>
      </c>
      <c r="FF73" s="841" t="s">
        <v>353</v>
      </c>
      <c r="FG73" s="841" t="s">
        <v>353</v>
      </c>
      <c r="FH73" s="841" t="s">
        <v>353</v>
      </c>
      <c r="FI73" s="841" t="s">
        <v>353</v>
      </c>
      <c r="FJ73" s="841" t="s">
        <v>353</v>
      </c>
      <c r="FK73" s="841" t="s">
        <v>353</v>
      </c>
      <c r="FL73" s="841" t="s">
        <v>353</v>
      </c>
      <c r="FM73" s="841" t="s">
        <v>353</v>
      </c>
      <c r="FN73" s="841" t="s">
        <v>353</v>
      </c>
      <c r="FO73" s="841" t="s">
        <v>1729</v>
      </c>
      <c r="FP73" s="841" t="s">
        <v>353</v>
      </c>
      <c r="FQ73" s="841" t="s">
        <v>353</v>
      </c>
      <c r="FR73" s="841" t="s">
        <v>353</v>
      </c>
      <c r="FS73" s="841" t="s">
        <v>353</v>
      </c>
      <c r="FT73" s="841" t="s">
        <v>353</v>
      </c>
      <c r="FU73" s="841" t="s">
        <v>1416</v>
      </c>
      <c r="FV73" s="841" t="s">
        <v>353</v>
      </c>
      <c r="FW73" s="841" t="s">
        <v>353</v>
      </c>
      <c r="FX73" s="841" t="s">
        <v>353</v>
      </c>
      <c r="FY73" s="841" t="s">
        <v>353</v>
      </c>
      <c r="FZ73" s="841" t="s">
        <v>353</v>
      </c>
      <c r="GA73" s="841" t="s">
        <v>353</v>
      </c>
      <c r="GB73" s="841">
        <v>1</v>
      </c>
      <c r="GC73" s="841" t="s">
        <v>353</v>
      </c>
      <c r="GD73" s="841" t="s">
        <v>1395</v>
      </c>
      <c r="GE73" s="841" t="s">
        <v>353</v>
      </c>
      <c r="GF73" s="841" t="s">
        <v>353</v>
      </c>
      <c r="GG73" s="841" t="s">
        <v>353</v>
      </c>
      <c r="GH73" s="841">
        <v>104400</v>
      </c>
      <c r="GI73" s="841" t="s">
        <v>353</v>
      </c>
      <c r="GJ73" s="841" t="s">
        <v>353</v>
      </c>
      <c r="GK73" s="841" t="s">
        <v>353</v>
      </c>
      <c r="GL73" s="841" t="s">
        <v>1497</v>
      </c>
      <c r="GM73" s="841" t="s">
        <v>353</v>
      </c>
      <c r="GN73" s="841" t="s">
        <v>353</v>
      </c>
      <c r="GO73" s="841" t="s">
        <v>353</v>
      </c>
      <c r="GP73" s="841" t="s">
        <v>353</v>
      </c>
      <c r="GQ73" s="841" t="s">
        <v>353</v>
      </c>
      <c r="GR73" s="841" t="s">
        <v>353</v>
      </c>
      <c r="GS73" s="841" t="s">
        <v>2087</v>
      </c>
      <c r="GT73" s="841" t="s">
        <v>353</v>
      </c>
      <c r="GU73" s="841" t="s">
        <v>353</v>
      </c>
      <c r="GV73" s="841" t="s">
        <v>1419</v>
      </c>
      <c r="GW73" s="841" t="s">
        <v>353</v>
      </c>
      <c r="GX73" s="841" t="s">
        <v>353</v>
      </c>
      <c r="GY73" s="841">
        <v>24</v>
      </c>
      <c r="GZ73" s="841" t="s">
        <v>1420</v>
      </c>
      <c r="HA73" s="841" t="s">
        <v>353</v>
      </c>
      <c r="HB73" s="841" t="s">
        <v>353</v>
      </c>
      <c r="HC73" s="841" t="s">
        <v>1421</v>
      </c>
      <c r="HD73" s="841" t="s">
        <v>2090</v>
      </c>
      <c r="HE73" s="841" t="s">
        <v>353</v>
      </c>
      <c r="HF73" s="841" t="s">
        <v>353</v>
      </c>
      <c r="HG73" s="841" t="s">
        <v>353</v>
      </c>
      <c r="HH73" s="841" t="s">
        <v>353</v>
      </c>
      <c r="HI73" s="841" t="s">
        <v>1422</v>
      </c>
      <c r="HJ73" s="841" t="s">
        <v>2091</v>
      </c>
      <c r="HK73" s="841">
        <v>522000</v>
      </c>
      <c r="HL73" s="841" t="s">
        <v>353</v>
      </c>
      <c r="HM73" s="841" t="s">
        <v>1530</v>
      </c>
      <c r="HN73" s="841" t="s">
        <v>353</v>
      </c>
      <c r="HO73" s="841" t="s">
        <v>353</v>
      </c>
      <c r="HP73" s="841">
        <v>27613.8</v>
      </c>
      <c r="HQ73" s="841" t="s">
        <v>353</v>
      </c>
      <c r="HR73" s="841" t="s">
        <v>353</v>
      </c>
      <c r="HS73" s="841" t="s">
        <v>353</v>
      </c>
      <c r="HT73" s="841" t="s">
        <v>353</v>
      </c>
      <c r="HU73" s="841" t="s">
        <v>353</v>
      </c>
      <c r="HV73" s="841" t="s">
        <v>353</v>
      </c>
      <c r="HW73" s="841">
        <v>800000</v>
      </c>
      <c r="HX73" s="841" t="s">
        <v>353</v>
      </c>
      <c r="HY73" s="841" t="s">
        <v>353</v>
      </c>
      <c r="HZ73" s="841" t="s">
        <v>353</v>
      </c>
      <c r="IA73" s="841" t="s">
        <v>353</v>
      </c>
      <c r="IB73" s="841" t="s">
        <v>1455</v>
      </c>
      <c r="IC73" s="841" t="s">
        <v>353</v>
      </c>
      <c r="ID73" s="841" t="s">
        <v>353</v>
      </c>
      <c r="IE73" s="841" t="s">
        <v>353</v>
      </c>
      <c r="IF73" s="841" t="s">
        <v>353</v>
      </c>
      <c r="IG73" s="841" t="s">
        <v>353</v>
      </c>
      <c r="IH73" s="841" t="s">
        <v>353</v>
      </c>
      <c r="II73" s="841" t="s">
        <v>353</v>
      </c>
      <c r="IJ73" s="841" t="s">
        <v>353</v>
      </c>
      <c r="IK73" s="841" t="s">
        <v>353</v>
      </c>
      <c r="IL73" s="841">
        <v>526000</v>
      </c>
      <c r="IM73" s="841" t="s">
        <v>353</v>
      </c>
      <c r="IN73" s="841" t="s">
        <v>353</v>
      </c>
      <c r="IO73" s="841" t="s">
        <v>353</v>
      </c>
      <c r="IP73" s="841" t="s">
        <v>353</v>
      </c>
      <c r="IQ73" s="841" t="s">
        <v>353</v>
      </c>
      <c r="IR73" s="841">
        <v>0</v>
      </c>
      <c r="IS73" s="841" t="s">
        <v>353</v>
      </c>
      <c r="IT73" s="841" t="s">
        <v>353</v>
      </c>
      <c r="IU73" s="841" t="s">
        <v>353</v>
      </c>
      <c r="IV73" s="841" t="s">
        <v>353</v>
      </c>
      <c r="IW73" s="841" t="s">
        <v>353</v>
      </c>
      <c r="IX73" s="841" t="s">
        <v>353</v>
      </c>
      <c r="IY73" s="841" t="s">
        <v>1622</v>
      </c>
      <c r="IZ73" s="841" t="s">
        <v>353</v>
      </c>
      <c r="JA73" s="841">
        <v>522000</v>
      </c>
      <c r="JB73" s="841" t="s">
        <v>353</v>
      </c>
      <c r="JC73" s="841" t="s">
        <v>353</v>
      </c>
      <c r="JD73" s="841" t="s">
        <v>1456</v>
      </c>
      <c r="JE73" s="841" t="s">
        <v>353</v>
      </c>
      <c r="JF73" s="841" t="s">
        <v>2070</v>
      </c>
      <c r="JG73" s="841" t="s">
        <v>2071</v>
      </c>
      <c r="JH73" s="841" t="s">
        <v>2072</v>
      </c>
      <c r="JI73" s="841" t="s">
        <v>2073</v>
      </c>
    </row>
    <row r="74" spans="1:269" x14ac:dyDescent="0.25">
      <c r="A74" s="841" t="s">
        <v>2092</v>
      </c>
      <c r="B74" s="841" t="s">
        <v>353</v>
      </c>
      <c r="C74" s="841" t="s">
        <v>353</v>
      </c>
      <c r="D74" s="841" t="s">
        <v>353</v>
      </c>
      <c r="E74" s="841" t="s">
        <v>353</v>
      </c>
      <c r="F74" s="841" t="s">
        <v>353</v>
      </c>
      <c r="G74" s="841" t="s">
        <v>353</v>
      </c>
      <c r="H74" s="841" t="s">
        <v>353</v>
      </c>
      <c r="I74" s="841" t="s">
        <v>353</v>
      </c>
      <c r="J74" s="841" t="s">
        <v>353</v>
      </c>
      <c r="K74" s="841" t="s">
        <v>353</v>
      </c>
      <c r="L74" s="842">
        <v>44607.433333333334</v>
      </c>
      <c r="M74" s="841" t="s">
        <v>353</v>
      </c>
      <c r="N74" s="841" t="s">
        <v>353</v>
      </c>
      <c r="O74" s="841" t="s">
        <v>353</v>
      </c>
      <c r="P74" s="841" t="s">
        <v>353</v>
      </c>
      <c r="Q74" s="841" t="s">
        <v>353</v>
      </c>
      <c r="R74" s="841" t="s">
        <v>353</v>
      </c>
      <c r="S74" s="841" t="s">
        <v>353</v>
      </c>
      <c r="T74" s="841" t="s">
        <v>1390</v>
      </c>
      <c r="U74" s="841" t="s">
        <v>353</v>
      </c>
      <c r="V74" s="841" t="s">
        <v>353</v>
      </c>
      <c r="W74" s="841" t="s">
        <v>353</v>
      </c>
      <c r="X74" s="841" t="s">
        <v>353</v>
      </c>
      <c r="Y74" s="841" t="s">
        <v>353</v>
      </c>
      <c r="Z74" s="841" t="s">
        <v>353</v>
      </c>
      <c r="AA74" s="841" t="s">
        <v>353</v>
      </c>
      <c r="AB74" s="841" t="s">
        <v>353</v>
      </c>
      <c r="AC74" s="841" t="s">
        <v>353</v>
      </c>
      <c r="AD74" s="841" t="s">
        <v>353</v>
      </c>
      <c r="AE74" s="841" t="s">
        <v>353</v>
      </c>
      <c r="AF74" s="841" t="s">
        <v>353</v>
      </c>
      <c r="AG74" s="841" t="s">
        <v>353</v>
      </c>
      <c r="AH74" s="841" t="s">
        <v>353</v>
      </c>
      <c r="AI74" s="841" t="s">
        <v>1406</v>
      </c>
      <c r="AJ74" s="841" t="s">
        <v>353</v>
      </c>
      <c r="AK74" s="841" t="s">
        <v>353</v>
      </c>
      <c r="AL74" s="841" t="s">
        <v>353</v>
      </c>
      <c r="AM74" s="841" t="s">
        <v>353</v>
      </c>
      <c r="AN74" s="841" t="s">
        <v>353</v>
      </c>
      <c r="AO74" s="841" t="s">
        <v>353</v>
      </c>
      <c r="AP74" s="841" t="s">
        <v>353</v>
      </c>
      <c r="AQ74" s="841" t="s">
        <v>353</v>
      </c>
      <c r="AR74" s="841" t="s">
        <v>353</v>
      </c>
      <c r="AS74" s="841" t="s">
        <v>353</v>
      </c>
      <c r="AT74" s="841" t="s">
        <v>353</v>
      </c>
      <c r="AU74" s="841" t="s">
        <v>353</v>
      </c>
      <c r="AV74" s="841" t="s">
        <v>353</v>
      </c>
      <c r="AW74" s="841" t="s">
        <v>353</v>
      </c>
      <c r="AX74" s="841" t="s">
        <v>353</v>
      </c>
      <c r="AY74" s="841" t="s">
        <v>353</v>
      </c>
      <c r="AZ74" s="841" t="s">
        <v>353</v>
      </c>
      <c r="BA74" s="841" t="s">
        <v>353</v>
      </c>
      <c r="BB74" s="841" t="s">
        <v>353</v>
      </c>
      <c r="BC74" s="841" t="s">
        <v>353</v>
      </c>
      <c r="BD74" s="841" t="s">
        <v>353</v>
      </c>
      <c r="BE74" s="841" t="s">
        <v>353</v>
      </c>
      <c r="BF74" s="841" t="s">
        <v>353</v>
      </c>
      <c r="BG74" s="841" t="s">
        <v>353</v>
      </c>
      <c r="BH74" s="841" t="s">
        <v>353</v>
      </c>
      <c r="BI74" s="841" t="s">
        <v>353</v>
      </c>
      <c r="BJ74" s="841" t="s">
        <v>353</v>
      </c>
      <c r="BK74" s="841">
        <v>680000</v>
      </c>
      <c r="BL74" s="841" t="s">
        <v>2093</v>
      </c>
      <c r="BM74" s="842">
        <v>44592.601388888892</v>
      </c>
      <c r="BN74" s="841" t="s">
        <v>353</v>
      </c>
      <c r="BO74" s="841" t="s">
        <v>353</v>
      </c>
      <c r="BP74" s="841" t="s">
        <v>353</v>
      </c>
      <c r="BQ74" s="841" t="s">
        <v>353</v>
      </c>
      <c r="BR74" s="841" t="s">
        <v>353</v>
      </c>
      <c r="BS74" s="841" t="s">
        <v>353</v>
      </c>
      <c r="BT74" s="841">
        <v>680000</v>
      </c>
      <c r="BU74" s="841" t="s">
        <v>353</v>
      </c>
      <c r="BV74" s="841" t="s">
        <v>353</v>
      </c>
      <c r="BW74" s="841" t="s">
        <v>353</v>
      </c>
      <c r="BX74" s="841" t="s">
        <v>2094</v>
      </c>
      <c r="BY74" s="841" t="s">
        <v>353</v>
      </c>
      <c r="BZ74" s="841" t="s">
        <v>353</v>
      </c>
      <c r="CA74" s="841" t="s">
        <v>353</v>
      </c>
      <c r="CB74" s="841" t="s">
        <v>353</v>
      </c>
      <c r="CC74" s="841" t="s">
        <v>353</v>
      </c>
      <c r="CD74" s="841" t="s">
        <v>353</v>
      </c>
      <c r="CE74" s="841" t="s">
        <v>353</v>
      </c>
      <c r="CF74" s="841" t="s">
        <v>353</v>
      </c>
      <c r="CG74" s="841" t="s">
        <v>353</v>
      </c>
      <c r="CH74" s="841" t="s">
        <v>353</v>
      </c>
      <c r="CI74" s="841" t="s">
        <v>353</v>
      </c>
      <c r="CJ74" s="841" t="s">
        <v>353</v>
      </c>
      <c r="CK74" s="841">
        <v>0</v>
      </c>
      <c r="CL74" s="841" t="s">
        <v>353</v>
      </c>
      <c r="CM74" s="841">
        <v>5</v>
      </c>
      <c r="CN74" s="841" t="s">
        <v>353</v>
      </c>
      <c r="CO74" s="841" t="s">
        <v>353</v>
      </c>
      <c r="CP74" s="841" t="s">
        <v>2095</v>
      </c>
      <c r="CQ74" s="841" t="s">
        <v>353</v>
      </c>
      <c r="CR74" s="841" t="s">
        <v>353</v>
      </c>
      <c r="CS74" s="841" t="s">
        <v>353</v>
      </c>
      <c r="CT74" s="841" t="s">
        <v>353</v>
      </c>
      <c r="CU74" s="841" t="s">
        <v>1391</v>
      </c>
      <c r="CV74" s="841" t="s">
        <v>353</v>
      </c>
      <c r="CW74" s="841" t="s">
        <v>353</v>
      </c>
      <c r="CX74" s="841" t="s">
        <v>353</v>
      </c>
      <c r="CY74" s="841" t="s">
        <v>353</v>
      </c>
      <c r="CZ74" s="841" t="s">
        <v>353</v>
      </c>
      <c r="DA74" s="841" t="s">
        <v>353</v>
      </c>
      <c r="DB74" s="841" t="s">
        <v>353</v>
      </c>
      <c r="DC74" s="841" t="s">
        <v>353</v>
      </c>
      <c r="DD74" s="841" t="s">
        <v>353</v>
      </c>
      <c r="DE74" s="841" t="s">
        <v>353</v>
      </c>
      <c r="DF74" s="841" t="s">
        <v>353</v>
      </c>
      <c r="DG74" s="841" t="s">
        <v>353</v>
      </c>
      <c r="DH74" s="841" t="s">
        <v>353</v>
      </c>
      <c r="DI74" s="841" t="s">
        <v>353</v>
      </c>
      <c r="DJ74" s="841" t="s">
        <v>2096</v>
      </c>
      <c r="DK74" s="841" t="s">
        <v>353</v>
      </c>
      <c r="DL74" s="842">
        <v>44589.601388888892</v>
      </c>
      <c r="DM74" s="841" t="s">
        <v>353</v>
      </c>
      <c r="DN74" s="841" t="s">
        <v>353</v>
      </c>
      <c r="DO74" s="841" t="s">
        <v>673</v>
      </c>
      <c r="DP74" s="841" t="s">
        <v>1412</v>
      </c>
      <c r="DQ74" s="841" t="s">
        <v>673</v>
      </c>
      <c r="DR74" s="841" t="s">
        <v>353</v>
      </c>
      <c r="DS74" s="841" t="s">
        <v>353</v>
      </c>
      <c r="DT74" s="841" t="s">
        <v>353</v>
      </c>
      <c r="DU74" s="841" t="s">
        <v>353</v>
      </c>
      <c r="DV74" s="841" t="s">
        <v>353</v>
      </c>
      <c r="DW74" s="841" t="s">
        <v>353</v>
      </c>
      <c r="DX74" s="841" t="s">
        <v>353</v>
      </c>
      <c r="DY74" s="841" t="s">
        <v>353</v>
      </c>
      <c r="DZ74" s="841" t="s">
        <v>353</v>
      </c>
      <c r="EA74" s="841" t="s">
        <v>353</v>
      </c>
      <c r="EB74" s="841" t="s">
        <v>353</v>
      </c>
      <c r="EC74" s="841" t="s">
        <v>353</v>
      </c>
      <c r="ED74" s="841" t="s">
        <v>353</v>
      </c>
      <c r="EE74" s="841" t="s">
        <v>353</v>
      </c>
      <c r="EF74" s="841" t="s">
        <v>353</v>
      </c>
      <c r="EG74" s="841" t="s">
        <v>353</v>
      </c>
      <c r="EH74" s="841" t="s">
        <v>353</v>
      </c>
      <c r="EI74" s="841" t="s">
        <v>353</v>
      </c>
      <c r="EJ74" s="841" t="s">
        <v>353</v>
      </c>
      <c r="EK74" s="841" t="s">
        <v>353</v>
      </c>
      <c r="EL74" s="841" t="s">
        <v>353</v>
      </c>
      <c r="EM74" s="841" t="s">
        <v>353</v>
      </c>
      <c r="EN74" s="841" t="s">
        <v>353</v>
      </c>
      <c r="EO74" s="841" t="s">
        <v>353</v>
      </c>
      <c r="EP74" s="841" t="s">
        <v>353</v>
      </c>
      <c r="EQ74" s="841" t="s">
        <v>353</v>
      </c>
      <c r="ER74" s="841" t="s">
        <v>353</v>
      </c>
      <c r="ES74" s="841" t="s">
        <v>353</v>
      </c>
      <c r="ET74" s="841" t="s">
        <v>1414</v>
      </c>
      <c r="EU74" s="841" t="s">
        <v>353</v>
      </c>
      <c r="EV74" s="841" t="s">
        <v>353</v>
      </c>
      <c r="EW74" s="841" t="s">
        <v>353</v>
      </c>
      <c r="EX74" s="841" t="s">
        <v>353</v>
      </c>
      <c r="EY74" s="842">
        <v>44607.333333333336</v>
      </c>
      <c r="EZ74" s="842">
        <v>44610.333333333336</v>
      </c>
      <c r="FA74" s="841" t="s">
        <v>353</v>
      </c>
      <c r="FB74" s="841" t="s">
        <v>353</v>
      </c>
      <c r="FC74" s="841" t="s">
        <v>353</v>
      </c>
      <c r="FD74" s="841" t="s">
        <v>353</v>
      </c>
      <c r="FE74" s="842">
        <v>44589.601388888892</v>
      </c>
      <c r="FF74" s="841" t="s">
        <v>353</v>
      </c>
      <c r="FG74" s="841" t="s">
        <v>353</v>
      </c>
      <c r="FH74" s="841" t="s">
        <v>353</v>
      </c>
      <c r="FI74" s="841" t="s">
        <v>353</v>
      </c>
      <c r="FJ74" s="841" t="s">
        <v>353</v>
      </c>
      <c r="FK74" s="841" t="s">
        <v>353</v>
      </c>
      <c r="FL74" s="841" t="s">
        <v>353</v>
      </c>
      <c r="FM74" s="841" t="s">
        <v>353</v>
      </c>
      <c r="FN74" s="841" t="s">
        <v>353</v>
      </c>
      <c r="FO74" s="841" t="s">
        <v>353</v>
      </c>
      <c r="FP74" s="841" t="s">
        <v>353</v>
      </c>
      <c r="FQ74" s="841" t="s">
        <v>353</v>
      </c>
      <c r="FR74" s="841" t="s">
        <v>353</v>
      </c>
      <c r="FS74" s="841" t="s">
        <v>353</v>
      </c>
      <c r="FT74" s="841" t="s">
        <v>353</v>
      </c>
      <c r="FU74" s="841" t="s">
        <v>1394</v>
      </c>
      <c r="FV74" s="841" t="s">
        <v>353</v>
      </c>
      <c r="FW74" s="841" t="s">
        <v>353</v>
      </c>
      <c r="FX74" s="841" t="s">
        <v>353</v>
      </c>
      <c r="FY74" s="841" t="s">
        <v>353</v>
      </c>
      <c r="FZ74" s="841" t="s">
        <v>353</v>
      </c>
      <c r="GA74" s="841" t="s">
        <v>353</v>
      </c>
      <c r="GB74" s="841">
        <v>1</v>
      </c>
      <c r="GC74" s="841" t="s">
        <v>353</v>
      </c>
      <c r="GD74" s="841" t="s">
        <v>1417</v>
      </c>
      <c r="GE74" s="841" t="s">
        <v>353</v>
      </c>
      <c r="GF74" s="841" t="s">
        <v>353</v>
      </c>
      <c r="GG74" s="841" t="s">
        <v>353</v>
      </c>
      <c r="GH74" s="841" t="s">
        <v>353</v>
      </c>
      <c r="GI74" s="841" t="s">
        <v>353</v>
      </c>
      <c r="GJ74" s="841" t="s">
        <v>353</v>
      </c>
      <c r="GK74" s="841" t="s">
        <v>353</v>
      </c>
      <c r="GL74" s="841" t="s">
        <v>1418</v>
      </c>
      <c r="GM74" s="841" t="s">
        <v>353</v>
      </c>
      <c r="GN74" s="841" t="s">
        <v>353</v>
      </c>
      <c r="GO74" s="841" t="s">
        <v>353</v>
      </c>
      <c r="GP74" s="841" t="s">
        <v>353</v>
      </c>
      <c r="GQ74" s="841" t="s">
        <v>353</v>
      </c>
      <c r="GR74" s="841" t="s">
        <v>353</v>
      </c>
      <c r="GS74" s="841" t="s">
        <v>353</v>
      </c>
      <c r="GT74" s="841" t="s">
        <v>353</v>
      </c>
      <c r="GU74" s="841" t="s">
        <v>353</v>
      </c>
      <c r="GV74" s="841" t="s">
        <v>1419</v>
      </c>
      <c r="GW74" s="841" t="s">
        <v>353</v>
      </c>
      <c r="GX74" s="841" t="s">
        <v>353</v>
      </c>
      <c r="GY74" s="841" t="s">
        <v>353</v>
      </c>
      <c r="GZ74" s="841" t="s">
        <v>353</v>
      </c>
      <c r="HA74" s="841" t="s">
        <v>353</v>
      </c>
      <c r="HB74" s="841" t="s">
        <v>353</v>
      </c>
      <c r="HC74" s="841" t="s">
        <v>353</v>
      </c>
      <c r="HD74" s="841" t="s">
        <v>2095</v>
      </c>
      <c r="HE74" s="841" t="s">
        <v>353</v>
      </c>
      <c r="HF74" s="841" t="s">
        <v>353</v>
      </c>
      <c r="HG74" s="841" t="s">
        <v>353</v>
      </c>
      <c r="HH74" s="841" t="s">
        <v>353</v>
      </c>
      <c r="HI74" s="841" t="s">
        <v>1422</v>
      </c>
      <c r="HJ74" s="841" t="s">
        <v>353</v>
      </c>
      <c r="HK74" s="841" t="s">
        <v>353</v>
      </c>
      <c r="HL74" s="841" t="s">
        <v>353</v>
      </c>
      <c r="HM74" s="841" t="s">
        <v>353</v>
      </c>
      <c r="HN74" s="841" t="s">
        <v>353</v>
      </c>
      <c r="HO74" s="841" t="s">
        <v>353</v>
      </c>
      <c r="HP74" s="841" t="s">
        <v>353</v>
      </c>
      <c r="HQ74" s="841" t="s">
        <v>353</v>
      </c>
      <c r="HR74" s="841" t="s">
        <v>353</v>
      </c>
      <c r="HS74" s="841" t="s">
        <v>353</v>
      </c>
      <c r="HT74" s="841" t="s">
        <v>353</v>
      </c>
      <c r="HU74" s="841" t="s">
        <v>353</v>
      </c>
      <c r="HV74" s="841" t="s">
        <v>353</v>
      </c>
      <c r="HW74" s="841">
        <v>1100000</v>
      </c>
      <c r="HX74" s="841" t="s">
        <v>353</v>
      </c>
      <c r="HY74" s="841" t="s">
        <v>353</v>
      </c>
      <c r="HZ74" s="841" t="s">
        <v>353</v>
      </c>
      <c r="IA74" s="841" t="s">
        <v>353</v>
      </c>
      <c r="IB74" s="841" t="s">
        <v>1424</v>
      </c>
      <c r="IC74" s="841" t="s">
        <v>353</v>
      </c>
      <c r="ID74" s="841" t="s">
        <v>353</v>
      </c>
      <c r="IE74" s="841" t="s">
        <v>353</v>
      </c>
      <c r="IF74" s="841" t="s">
        <v>353</v>
      </c>
      <c r="IG74" s="841" t="s">
        <v>353</v>
      </c>
      <c r="IH74" s="841" t="s">
        <v>353</v>
      </c>
      <c r="II74" s="841" t="s">
        <v>353</v>
      </c>
      <c r="IJ74" s="841" t="s">
        <v>353</v>
      </c>
      <c r="IK74" s="841" t="s">
        <v>353</v>
      </c>
      <c r="IL74" s="841" t="s">
        <v>353</v>
      </c>
      <c r="IM74" s="841" t="s">
        <v>353</v>
      </c>
      <c r="IN74" s="841" t="s">
        <v>353</v>
      </c>
      <c r="IO74" s="841" t="s">
        <v>353</v>
      </c>
      <c r="IP74" s="841" t="s">
        <v>353</v>
      </c>
      <c r="IQ74" s="841" t="s">
        <v>353</v>
      </c>
      <c r="IR74" s="841" t="s">
        <v>353</v>
      </c>
      <c r="IS74" s="841" t="s">
        <v>353</v>
      </c>
      <c r="IT74" s="841" t="s">
        <v>353</v>
      </c>
      <c r="IU74" s="841" t="s">
        <v>353</v>
      </c>
      <c r="IV74" s="841" t="s">
        <v>353</v>
      </c>
      <c r="IW74" s="841" t="s">
        <v>353</v>
      </c>
      <c r="IX74" s="841" t="s">
        <v>353</v>
      </c>
      <c r="IY74" s="841" t="s">
        <v>353</v>
      </c>
      <c r="IZ74" s="841" t="s">
        <v>353</v>
      </c>
      <c r="JA74" s="841" t="s">
        <v>353</v>
      </c>
      <c r="JB74" s="841" t="s">
        <v>353</v>
      </c>
      <c r="JC74" s="841" t="s">
        <v>353</v>
      </c>
      <c r="JD74" s="841" t="s">
        <v>353</v>
      </c>
      <c r="JE74" s="841" t="s">
        <v>353</v>
      </c>
      <c r="JF74" s="841" t="s">
        <v>353</v>
      </c>
      <c r="JG74" s="841" t="s">
        <v>353</v>
      </c>
      <c r="JH74" s="841" t="s">
        <v>2097</v>
      </c>
      <c r="JI74" s="841" t="s">
        <v>2098</v>
      </c>
    </row>
    <row r="75" spans="1:269" x14ac:dyDescent="0.25">
      <c r="A75" s="841" t="s">
        <v>2099</v>
      </c>
      <c r="B75" s="841" t="s">
        <v>353</v>
      </c>
      <c r="C75" s="841" t="s">
        <v>353</v>
      </c>
      <c r="D75" s="841" t="s">
        <v>353</v>
      </c>
      <c r="E75" s="841" t="s">
        <v>353</v>
      </c>
      <c r="F75" s="841" t="s">
        <v>353</v>
      </c>
      <c r="G75" s="841" t="s">
        <v>2100</v>
      </c>
      <c r="H75" s="841" t="s">
        <v>353</v>
      </c>
      <c r="I75" s="841" t="s">
        <v>353</v>
      </c>
      <c r="J75" s="841" t="s">
        <v>353</v>
      </c>
      <c r="K75" s="841" t="s">
        <v>353</v>
      </c>
      <c r="L75" s="842">
        <v>44589.484027777777</v>
      </c>
      <c r="M75" s="841" t="s">
        <v>353</v>
      </c>
      <c r="N75" s="841" t="s">
        <v>353</v>
      </c>
      <c r="O75" s="841" t="s">
        <v>353</v>
      </c>
      <c r="P75" s="841" t="s">
        <v>353</v>
      </c>
      <c r="Q75" s="841" t="s">
        <v>353</v>
      </c>
      <c r="R75" s="841" t="s">
        <v>353</v>
      </c>
      <c r="S75" s="841" t="s">
        <v>1520</v>
      </c>
      <c r="T75" s="841" t="s">
        <v>1390</v>
      </c>
      <c r="U75" s="841" t="s">
        <v>353</v>
      </c>
      <c r="V75" s="841" t="s">
        <v>353</v>
      </c>
      <c r="W75" s="841" t="s">
        <v>353</v>
      </c>
      <c r="X75" s="841" t="s">
        <v>1930</v>
      </c>
      <c r="Y75" s="841" t="s">
        <v>353</v>
      </c>
      <c r="Z75" s="841" t="s">
        <v>353</v>
      </c>
      <c r="AA75" s="841" t="s">
        <v>353</v>
      </c>
      <c r="AB75" s="841" t="s">
        <v>353</v>
      </c>
      <c r="AC75" s="841">
        <v>50400</v>
      </c>
      <c r="AD75" s="841" t="s">
        <v>353</v>
      </c>
      <c r="AE75" s="841" t="s">
        <v>353</v>
      </c>
      <c r="AF75" s="841" t="s">
        <v>353</v>
      </c>
      <c r="AG75" s="841" t="s">
        <v>353</v>
      </c>
      <c r="AH75" s="841">
        <v>1300</v>
      </c>
      <c r="AI75" s="841" t="s">
        <v>1521</v>
      </c>
      <c r="AJ75" s="841" t="s">
        <v>353</v>
      </c>
      <c r="AK75" s="841">
        <v>70</v>
      </c>
      <c r="AL75" s="841" t="s">
        <v>353</v>
      </c>
      <c r="AM75" s="841" t="s">
        <v>353</v>
      </c>
      <c r="AN75" s="841" t="s">
        <v>353</v>
      </c>
      <c r="AO75" s="841" t="s">
        <v>353</v>
      </c>
      <c r="AP75" s="841" t="s">
        <v>353</v>
      </c>
      <c r="AQ75" s="841" t="s">
        <v>353</v>
      </c>
      <c r="AR75" s="841" t="s">
        <v>353</v>
      </c>
      <c r="AS75" s="841" t="s">
        <v>353</v>
      </c>
      <c r="AT75" s="841" t="s">
        <v>353</v>
      </c>
      <c r="AU75" s="841" t="s">
        <v>353</v>
      </c>
      <c r="AV75" s="841" t="s">
        <v>353</v>
      </c>
      <c r="AW75" s="841" t="s">
        <v>353</v>
      </c>
      <c r="AX75" s="841" t="s">
        <v>353</v>
      </c>
      <c r="AY75" s="841" t="s">
        <v>353</v>
      </c>
      <c r="AZ75" s="841" t="s">
        <v>353</v>
      </c>
      <c r="BA75" s="841" t="s">
        <v>353</v>
      </c>
      <c r="BB75" s="841" t="s">
        <v>353</v>
      </c>
      <c r="BC75" s="841">
        <v>241920</v>
      </c>
      <c r="BD75" s="841" t="s">
        <v>353</v>
      </c>
      <c r="BE75" s="841" t="s">
        <v>353</v>
      </c>
      <c r="BF75" s="841" t="s">
        <v>353</v>
      </c>
      <c r="BG75" s="841" t="s">
        <v>353</v>
      </c>
      <c r="BH75" s="841" t="s">
        <v>353</v>
      </c>
      <c r="BI75" s="841" t="s">
        <v>353</v>
      </c>
      <c r="BJ75" s="841" t="s">
        <v>353</v>
      </c>
      <c r="BK75" s="841">
        <v>202000</v>
      </c>
      <c r="BL75" s="841" t="s">
        <v>2101</v>
      </c>
      <c r="BM75" s="842">
        <v>44592.460416666669</v>
      </c>
      <c r="BN75" s="841" t="s">
        <v>353</v>
      </c>
      <c r="BO75" s="841" t="s">
        <v>353</v>
      </c>
      <c r="BP75" s="841" t="s">
        <v>353</v>
      </c>
      <c r="BQ75" s="841" t="s">
        <v>353</v>
      </c>
      <c r="BR75" s="841" t="s">
        <v>353</v>
      </c>
      <c r="BS75" s="841" t="s">
        <v>353</v>
      </c>
      <c r="BT75" s="841">
        <v>270000</v>
      </c>
      <c r="BU75" s="841" t="s">
        <v>353</v>
      </c>
      <c r="BV75" s="841" t="s">
        <v>1857</v>
      </c>
      <c r="BW75" s="841" t="s">
        <v>353</v>
      </c>
      <c r="BX75" s="841" t="s">
        <v>2102</v>
      </c>
      <c r="BY75" s="841" t="s">
        <v>353</v>
      </c>
      <c r="BZ75" s="841" t="s">
        <v>353</v>
      </c>
      <c r="CA75" s="841" t="s">
        <v>353</v>
      </c>
      <c r="CB75" s="841" t="s">
        <v>353</v>
      </c>
      <c r="CC75" s="841" t="s">
        <v>353</v>
      </c>
      <c r="CD75" s="841" t="s">
        <v>353</v>
      </c>
      <c r="CE75" s="841" t="s">
        <v>353</v>
      </c>
      <c r="CF75" s="841" t="s">
        <v>353</v>
      </c>
      <c r="CG75" s="841" t="s">
        <v>353</v>
      </c>
      <c r="CH75" s="841" t="s">
        <v>353</v>
      </c>
      <c r="CI75" s="841" t="s">
        <v>353</v>
      </c>
      <c r="CJ75" s="841" t="s">
        <v>353</v>
      </c>
      <c r="CK75" s="841">
        <v>4</v>
      </c>
      <c r="CL75" s="841" t="s">
        <v>353</v>
      </c>
      <c r="CM75" s="841">
        <v>5</v>
      </c>
      <c r="CN75" s="841" t="s">
        <v>353</v>
      </c>
      <c r="CO75" s="841" t="s">
        <v>353</v>
      </c>
      <c r="CP75" s="841" t="s">
        <v>2103</v>
      </c>
      <c r="CQ75" s="841" t="s">
        <v>353</v>
      </c>
      <c r="CR75" s="841" t="s">
        <v>353</v>
      </c>
      <c r="CS75" s="841" t="s">
        <v>353</v>
      </c>
      <c r="CT75" s="841" t="s">
        <v>353</v>
      </c>
      <c r="CU75" s="841" t="s">
        <v>1391</v>
      </c>
      <c r="CV75" s="841" t="s">
        <v>353</v>
      </c>
      <c r="CW75" s="841" t="s">
        <v>353</v>
      </c>
      <c r="CX75" s="841" t="s">
        <v>353</v>
      </c>
      <c r="CY75" s="841" t="s">
        <v>353</v>
      </c>
      <c r="CZ75" s="841">
        <v>2</v>
      </c>
      <c r="DA75" s="841" t="s">
        <v>353</v>
      </c>
      <c r="DB75" s="841" t="s">
        <v>353</v>
      </c>
      <c r="DC75" s="841" t="s">
        <v>353</v>
      </c>
      <c r="DD75" s="841" t="s">
        <v>353</v>
      </c>
      <c r="DE75" s="841" t="s">
        <v>353</v>
      </c>
      <c r="DF75" s="841">
        <v>24</v>
      </c>
      <c r="DG75" s="841" t="s">
        <v>353</v>
      </c>
      <c r="DH75" s="841" t="s">
        <v>353</v>
      </c>
      <c r="DI75" s="841" t="s">
        <v>353</v>
      </c>
      <c r="DJ75" s="841" t="s">
        <v>2104</v>
      </c>
      <c r="DK75" s="841" t="s">
        <v>353</v>
      </c>
      <c r="DL75" s="842">
        <v>44589.460416666669</v>
      </c>
      <c r="DM75" s="841" t="s">
        <v>353</v>
      </c>
      <c r="DN75" s="841" t="s">
        <v>353</v>
      </c>
      <c r="DO75" s="841" t="s">
        <v>353</v>
      </c>
      <c r="DP75" s="841" t="s">
        <v>353</v>
      </c>
      <c r="DQ75" s="841" t="s">
        <v>1482</v>
      </c>
      <c r="DR75" s="841" t="s">
        <v>353</v>
      </c>
      <c r="DS75" s="841">
        <v>24</v>
      </c>
      <c r="DT75" s="841" t="s">
        <v>353</v>
      </c>
      <c r="DU75" s="841" t="s">
        <v>353</v>
      </c>
      <c r="DV75" s="841" t="s">
        <v>353</v>
      </c>
      <c r="DW75" s="841">
        <v>252000</v>
      </c>
      <c r="DX75" s="841" t="s">
        <v>353</v>
      </c>
      <c r="DY75" s="841" t="s">
        <v>353</v>
      </c>
      <c r="DZ75" s="841" t="s">
        <v>353</v>
      </c>
      <c r="EA75" s="841" t="s">
        <v>353</v>
      </c>
      <c r="EB75" s="841" t="s">
        <v>353</v>
      </c>
      <c r="EC75" s="841" t="s">
        <v>353</v>
      </c>
      <c r="ED75" s="841" t="s">
        <v>353</v>
      </c>
      <c r="EE75" s="841" t="s">
        <v>353</v>
      </c>
      <c r="EF75" s="841" t="s">
        <v>353</v>
      </c>
      <c r="EG75" s="841" t="s">
        <v>353</v>
      </c>
      <c r="EH75" s="841" t="s">
        <v>353</v>
      </c>
      <c r="EI75" s="841">
        <v>0</v>
      </c>
      <c r="EJ75" s="841" t="s">
        <v>353</v>
      </c>
      <c r="EK75" s="841" t="s">
        <v>353</v>
      </c>
      <c r="EL75" s="841" t="s">
        <v>353</v>
      </c>
      <c r="EM75" s="841" t="s">
        <v>353</v>
      </c>
      <c r="EN75" s="841" t="s">
        <v>353</v>
      </c>
      <c r="EO75" s="841" t="s">
        <v>353</v>
      </c>
      <c r="EP75" s="841" t="s">
        <v>353</v>
      </c>
      <c r="EQ75" s="841" t="s">
        <v>353</v>
      </c>
      <c r="ER75" s="841" t="s">
        <v>353</v>
      </c>
      <c r="ES75" s="841" t="s">
        <v>353</v>
      </c>
      <c r="ET75" s="841" t="s">
        <v>1496</v>
      </c>
      <c r="EU75" s="841" t="s">
        <v>353</v>
      </c>
      <c r="EV75" s="841" t="s">
        <v>353</v>
      </c>
      <c r="EW75" s="841" t="s">
        <v>353</v>
      </c>
      <c r="EX75" s="841" t="s">
        <v>353</v>
      </c>
      <c r="EY75" s="842">
        <v>44589.474305555559</v>
      </c>
      <c r="EZ75" s="841" t="s">
        <v>353</v>
      </c>
      <c r="FA75" s="841" t="s">
        <v>353</v>
      </c>
      <c r="FB75" s="841" t="s">
        <v>353</v>
      </c>
      <c r="FC75" s="841" t="s">
        <v>353</v>
      </c>
      <c r="FD75" s="841" t="s">
        <v>353</v>
      </c>
      <c r="FE75" s="842">
        <v>44589.461805555555</v>
      </c>
      <c r="FF75" s="841" t="s">
        <v>353</v>
      </c>
      <c r="FG75" s="841" t="s">
        <v>353</v>
      </c>
      <c r="FH75" s="841" t="s">
        <v>353</v>
      </c>
      <c r="FI75" s="841" t="s">
        <v>353</v>
      </c>
      <c r="FJ75" s="841" t="s">
        <v>353</v>
      </c>
      <c r="FK75" s="841" t="s">
        <v>353</v>
      </c>
      <c r="FL75" s="841" t="s">
        <v>353</v>
      </c>
      <c r="FM75" s="841" t="s">
        <v>353</v>
      </c>
      <c r="FN75" s="841" t="s">
        <v>353</v>
      </c>
      <c r="FO75" s="841" t="s">
        <v>1528</v>
      </c>
      <c r="FP75" s="841" t="s">
        <v>353</v>
      </c>
      <c r="FQ75" s="841" t="s">
        <v>353</v>
      </c>
      <c r="FR75" s="841" t="s">
        <v>353</v>
      </c>
      <c r="FS75" s="841" t="s">
        <v>353</v>
      </c>
      <c r="FT75" s="841" t="s">
        <v>353</v>
      </c>
      <c r="FU75" s="841" t="s">
        <v>1416</v>
      </c>
      <c r="FV75" s="841" t="s">
        <v>353</v>
      </c>
      <c r="FW75" s="841" t="s">
        <v>353</v>
      </c>
      <c r="FX75" s="841" t="s">
        <v>353</v>
      </c>
      <c r="FY75" s="841" t="s">
        <v>353</v>
      </c>
      <c r="FZ75" s="841" t="s">
        <v>353</v>
      </c>
      <c r="GA75" s="841" t="s">
        <v>353</v>
      </c>
      <c r="GB75" s="841">
        <v>1</v>
      </c>
      <c r="GC75" s="841" t="s">
        <v>353</v>
      </c>
      <c r="GD75" s="841" t="s">
        <v>1395</v>
      </c>
      <c r="GE75" s="841" t="s">
        <v>353</v>
      </c>
      <c r="GF75" s="841" t="s">
        <v>353</v>
      </c>
      <c r="GG75" s="841" t="s">
        <v>353</v>
      </c>
      <c r="GH75" s="841">
        <v>50400</v>
      </c>
      <c r="GI75" s="841" t="s">
        <v>353</v>
      </c>
      <c r="GJ75" s="841" t="s">
        <v>353</v>
      </c>
      <c r="GK75" s="841" t="s">
        <v>353</v>
      </c>
      <c r="GL75" s="841" t="s">
        <v>1497</v>
      </c>
      <c r="GM75" s="841" t="s">
        <v>353</v>
      </c>
      <c r="GN75" s="841" t="s">
        <v>353</v>
      </c>
      <c r="GO75" s="841" t="s">
        <v>353</v>
      </c>
      <c r="GP75" s="841" t="s">
        <v>353</v>
      </c>
      <c r="GQ75" s="841" t="s">
        <v>353</v>
      </c>
      <c r="GR75" s="842">
        <v>44589.377083333333</v>
      </c>
      <c r="GS75" s="841" t="s">
        <v>1857</v>
      </c>
      <c r="GT75" s="841" t="s">
        <v>353</v>
      </c>
      <c r="GU75" s="841" t="s">
        <v>353</v>
      </c>
      <c r="GV75" s="841" t="s">
        <v>1419</v>
      </c>
      <c r="GW75" s="841" t="s">
        <v>353</v>
      </c>
      <c r="GX75" s="841" t="s">
        <v>2105</v>
      </c>
      <c r="GY75" s="841">
        <v>24</v>
      </c>
      <c r="GZ75" s="841" t="s">
        <v>1529</v>
      </c>
      <c r="HA75" s="841" t="s">
        <v>353</v>
      </c>
      <c r="HB75" s="841" t="s">
        <v>353</v>
      </c>
      <c r="HC75" s="841" t="s">
        <v>1421</v>
      </c>
      <c r="HD75" s="841" t="s">
        <v>2106</v>
      </c>
      <c r="HE75" s="841" t="s">
        <v>353</v>
      </c>
      <c r="HF75" s="841" t="s">
        <v>353</v>
      </c>
      <c r="HG75" s="841" t="s">
        <v>353</v>
      </c>
      <c r="HH75" s="841" t="s">
        <v>353</v>
      </c>
      <c r="HI75" s="841" t="s">
        <v>1422</v>
      </c>
      <c r="HJ75" s="841" t="s">
        <v>353</v>
      </c>
      <c r="HK75" s="841">
        <v>252000</v>
      </c>
      <c r="HL75" s="841" t="s">
        <v>353</v>
      </c>
      <c r="HM75" s="841" t="s">
        <v>1423</v>
      </c>
      <c r="HN75" s="841" t="s">
        <v>353</v>
      </c>
      <c r="HO75" s="841" t="s">
        <v>353</v>
      </c>
      <c r="HP75" s="841">
        <v>15094.8</v>
      </c>
      <c r="HQ75" s="841" t="s">
        <v>353</v>
      </c>
      <c r="HR75" s="841" t="s">
        <v>353</v>
      </c>
      <c r="HS75" s="841" t="s">
        <v>353</v>
      </c>
      <c r="HT75" s="841" t="s">
        <v>353</v>
      </c>
      <c r="HU75" s="841" t="s">
        <v>353</v>
      </c>
      <c r="HV75" s="841" t="s">
        <v>353</v>
      </c>
      <c r="HW75" s="841">
        <v>360000</v>
      </c>
      <c r="HX75" s="841" t="s">
        <v>353</v>
      </c>
      <c r="HY75" s="841" t="s">
        <v>353</v>
      </c>
      <c r="HZ75" s="841" t="s">
        <v>353</v>
      </c>
      <c r="IA75" s="841" t="s">
        <v>353</v>
      </c>
      <c r="IB75" s="841" t="s">
        <v>1424</v>
      </c>
      <c r="IC75" s="841" t="s">
        <v>353</v>
      </c>
      <c r="ID75" s="841" t="s">
        <v>353</v>
      </c>
      <c r="IE75" s="841" t="s">
        <v>353</v>
      </c>
      <c r="IF75" s="841" t="s">
        <v>353</v>
      </c>
      <c r="IG75" s="841" t="s">
        <v>353</v>
      </c>
      <c r="IH75" s="841" t="s">
        <v>353</v>
      </c>
      <c r="II75" s="841" t="s">
        <v>353</v>
      </c>
      <c r="IJ75" s="841" t="s">
        <v>353</v>
      </c>
      <c r="IK75" s="841" t="s">
        <v>353</v>
      </c>
      <c r="IL75" s="841" t="s">
        <v>353</v>
      </c>
      <c r="IM75" s="841" t="s">
        <v>353</v>
      </c>
      <c r="IN75" s="841" t="s">
        <v>353</v>
      </c>
      <c r="IO75" s="841" t="s">
        <v>353</v>
      </c>
      <c r="IP75" s="841" t="s">
        <v>353</v>
      </c>
      <c r="IQ75" s="841" t="s">
        <v>353</v>
      </c>
      <c r="IR75" s="841">
        <v>0</v>
      </c>
      <c r="IS75" s="841" t="s">
        <v>353</v>
      </c>
      <c r="IT75" s="841" t="s">
        <v>353</v>
      </c>
      <c r="IU75" s="841" t="s">
        <v>353</v>
      </c>
      <c r="IV75" s="841" t="s">
        <v>353</v>
      </c>
      <c r="IW75" s="841" t="s">
        <v>353</v>
      </c>
      <c r="IX75" s="841" t="s">
        <v>353</v>
      </c>
      <c r="IY75" s="841" t="s">
        <v>1578</v>
      </c>
      <c r="IZ75" s="841" t="s">
        <v>353</v>
      </c>
      <c r="JA75" s="841">
        <v>252000</v>
      </c>
      <c r="JB75" s="841" t="s">
        <v>353</v>
      </c>
      <c r="JC75" s="841" t="s">
        <v>353</v>
      </c>
      <c r="JD75" s="841" t="s">
        <v>1527</v>
      </c>
      <c r="JE75" s="841" t="s">
        <v>353</v>
      </c>
      <c r="JF75" s="841" t="s">
        <v>2107</v>
      </c>
      <c r="JG75" s="841" t="s">
        <v>2108</v>
      </c>
      <c r="JH75" s="841" t="s">
        <v>2109</v>
      </c>
      <c r="JI75" s="841" t="s">
        <v>2110</v>
      </c>
    </row>
    <row r="76" spans="1:269" x14ac:dyDescent="0.25">
      <c r="A76" s="841" t="s">
        <v>2111</v>
      </c>
      <c r="B76" s="841" t="s">
        <v>353</v>
      </c>
      <c r="C76" s="841" t="s">
        <v>353</v>
      </c>
      <c r="D76" s="841" t="s">
        <v>353</v>
      </c>
      <c r="E76" s="841" t="s">
        <v>353</v>
      </c>
      <c r="F76" s="841" t="s">
        <v>353</v>
      </c>
      <c r="G76" s="841" t="s">
        <v>2112</v>
      </c>
      <c r="H76" s="841" t="s">
        <v>353</v>
      </c>
      <c r="I76" s="841" t="s">
        <v>353</v>
      </c>
      <c r="J76" s="841" t="s">
        <v>353</v>
      </c>
      <c r="K76" s="841" t="s">
        <v>353</v>
      </c>
      <c r="L76" s="842">
        <v>44589.46597222222</v>
      </c>
      <c r="M76" s="841" t="s">
        <v>353</v>
      </c>
      <c r="N76" s="841" t="s">
        <v>353</v>
      </c>
      <c r="O76" s="841" t="s">
        <v>353</v>
      </c>
      <c r="P76" s="841" t="s">
        <v>353</v>
      </c>
      <c r="Q76" s="841" t="s">
        <v>353</v>
      </c>
      <c r="R76" s="841" t="s">
        <v>353</v>
      </c>
      <c r="S76" s="841" t="s">
        <v>61</v>
      </c>
      <c r="T76" s="841" t="s">
        <v>1390</v>
      </c>
      <c r="U76" s="841" t="s">
        <v>353</v>
      </c>
      <c r="V76" s="841" t="s">
        <v>353</v>
      </c>
      <c r="W76" s="841" t="s">
        <v>1575</v>
      </c>
      <c r="X76" s="841" t="s">
        <v>2113</v>
      </c>
      <c r="Y76" s="841" t="s">
        <v>353</v>
      </c>
      <c r="Z76" s="841" t="s">
        <v>353</v>
      </c>
      <c r="AA76" s="841" t="s">
        <v>353</v>
      </c>
      <c r="AB76" s="841" t="s">
        <v>353</v>
      </c>
      <c r="AC76" s="841">
        <v>435000</v>
      </c>
      <c r="AD76" s="841" t="s">
        <v>353</v>
      </c>
      <c r="AE76" s="841" t="s">
        <v>353</v>
      </c>
      <c r="AF76" s="841" t="s">
        <v>353</v>
      </c>
      <c r="AG76" s="841" t="s">
        <v>353</v>
      </c>
      <c r="AH76" s="841">
        <v>7367</v>
      </c>
      <c r="AI76" s="841" t="s">
        <v>1406</v>
      </c>
      <c r="AJ76" s="841" t="s">
        <v>353</v>
      </c>
      <c r="AK76" s="841">
        <v>75</v>
      </c>
      <c r="AL76" s="841" t="s">
        <v>353</v>
      </c>
      <c r="AM76" s="841" t="s">
        <v>353</v>
      </c>
      <c r="AN76" s="841" t="s">
        <v>353</v>
      </c>
      <c r="AO76" s="841" t="s">
        <v>353</v>
      </c>
      <c r="AP76" s="841" t="s">
        <v>353</v>
      </c>
      <c r="AQ76" s="841" t="s">
        <v>353</v>
      </c>
      <c r="AR76" s="841" t="s">
        <v>353</v>
      </c>
      <c r="AS76" s="841" t="s">
        <v>353</v>
      </c>
      <c r="AT76" s="841" t="s">
        <v>353</v>
      </c>
      <c r="AU76" s="841" t="s">
        <v>353</v>
      </c>
      <c r="AV76" s="841" t="s">
        <v>353</v>
      </c>
      <c r="AW76" s="841" t="s">
        <v>353</v>
      </c>
      <c r="AX76" s="841" t="s">
        <v>353</v>
      </c>
      <c r="AY76" s="841" t="s">
        <v>353</v>
      </c>
      <c r="AZ76" s="841" t="s">
        <v>353</v>
      </c>
      <c r="BA76" s="841" t="s">
        <v>353</v>
      </c>
      <c r="BB76" s="841" t="s">
        <v>353</v>
      </c>
      <c r="BC76" s="841">
        <v>2049503</v>
      </c>
      <c r="BD76" s="841" t="s">
        <v>353</v>
      </c>
      <c r="BE76" s="841" t="s">
        <v>353</v>
      </c>
      <c r="BF76" s="841" t="s">
        <v>353</v>
      </c>
      <c r="BG76" s="841" t="s">
        <v>353</v>
      </c>
      <c r="BH76" s="841" t="s">
        <v>353</v>
      </c>
      <c r="BI76" s="841" t="s">
        <v>353</v>
      </c>
      <c r="BJ76" s="841" t="s">
        <v>353</v>
      </c>
      <c r="BK76" s="841" t="s">
        <v>353</v>
      </c>
      <c r="BL76" s="841" t="s">
        <v>2114</v>
      </c>
      <c r="BM76" s="842">
        <v>44592.456944444442</v>
      </c>
      <c r="BN76" s="841" t="s">
        <v>353</v>
      </c>
      <c r="BO76" s="841" t="s">
        <v>353</v>
      </c>
      <c r="BP76" s="841" t="s">
        <v>353</v>
      </c>
      <c r="BQ76" s="841" t="s">
        <v>353</v>
      </c>
      <c r="BR76" s="841" t="s">
        <v>353</v>
      </c>
      <c r="BS76" s="841" t="s">
        <v>353</v>
      </c>
      <c r="BT76" s="841">
        <v>2175000</v>
      </c>
      <c r="BU76" s="841" t="s">
        <v>353</v>
      </c>
      <c r="BV76" s="841" t="s">
        <v>1523</v>
      </c>
      <c r="BW76" s="841" t="s">
        <v>1578</v>
      </c>
      <c r="BX76" s="841" t="s">
        <v>353</v>
      </c>
      <c r="BY76" s="841" t="s">
        <v>353</v>
      </c>
      <c r="BZ76" s="841" t="s">
        <v>353</v>
      </c>
      <c r="CA76" s="841" t="s">
        <v>353</v>
      </c>
      <c r="CB76" s="841" t="s">
        <v>353</v>
      </c>
      <c r="CC76" s="841" t="s">
        <v>353</v>
      </c>
      <c r="CD76" s="841" t="s">
        <v>353</v>
      </c>
      <c r="CE76" s="841" t="s">
        <v>353</v>
      </c>
      <c r="CF76" s="841" t="s">
        <v>353</v>
      </c>
      <c r="CG76" s="841" t="s">
        <v>353</v>
      </c>
      <c r="CH76" s="841" t="s">
        <v>353</v>
      </c>
      <c r="CI76" s="841" t="s">
        <v>353</v>
      </c>
      <c r="CJ76" s="841" t="s">
        <v>353</v>
      </c>
      <c r="CK76" s="841" t="s">
        <v>353</v>
      </c>
      <c r="CL76" s="841" t="s">
        <v>353</v>
      </c>
      <c r="CM76" s="841" t="s">
        <v>353</v>
      </c>
      <c r="CN76" s="841" t="s">
        <v>353</v>
      </c>
      <c r="CO76" s="841" t="s">
        <v>353</v>
      </c>
      <c r="CP76" s="841" t="s">
        <v>2115</v>
      </c>
      <c r="CQ76" s="841" t="s">
        <v>353</v>
      </c>
      <c r="CR76" s="841" t="s">
        <v>353</v>
      </c>
      <c r="CS76" s="841" t="s">
        <v>1405</v>
      </c>
      <c r="CT76" s="841" t="s">
        <v>353</v>
      </c>
      <c r="CU76" s="841" t="s">
        <v>1391</v>
      </c>
      <c r="CV76" s="841" t="s">
        <v>353</v>
      </c>
      <c r="CW76" s="841" t="s">
        <v>353</v>
      </c>
      <c r="CX76" s="841" t="s">
        <v>353</v>
      </c>
      <c r="CY76" s="841" t="s">
        <v>353</v>
      </c>
      <c r="CZ76" s="841">
        <v>3</v>
      </c>
      <c r="DA76" s="841" t="s">
        <v>353</v>
      </c>
      <c r="DB76" s="841" t="s">
        <v>353</v>
      </c>
      <c r="DC76" s="841" t="s">
        <v>353</v>
      </c>
      <c r="DD76" s="841" t="s">
        <v>353</v>
      </c>
      <c r="DE76" s="841" t="s">
        <v>353</v>
      </c>
      <c r="DF76" s="841">
        <v>30</v>
      </c>
      <c r="DG76" s="841" t="s">
        <v>353</v>
      </c>
      <c r="DH76" s="841" t="s">
        <v>353</v>
      </c>
      <c r="DI76" s="841" t="s">
        <v>353</v>
      </c>
      <c r="DJ76" s="841" t="s">
        <v>353</v>
      </c>
      <c r="DK76" s="841" t="s">
        <v>353</v>
      </c>
      <c r="DL76" s="842">
        <v>44589.456944444442</v>
      </c>
      <c r="DM76" s="841" t="s">
        <v>353</v>
      </c>
      <c r="DN76" s="841" t="s">
        <v>353</v>
      </c>
      <c r="DO76" s="841" t="s">
        <v>353</v>
      </c>
      <c r="DP76" s="841" t="s">
        <v>1412</v>
      </c>
      <c r="DQ76" s="841" t="s">
        <v>1451</v>
      </c>
      <c r="DR76" s="841" t="s">
        <v>353</v>
      </c>
      <c r="DS76" s="841">
        <v>30</v>
      </c>
      <c r="DT76" s="841" t="s">
        <v>353</v>
      </c>
      <c r="DU76" s="841" t="s">
        <v>353</v>
      </c>
      <c r="DV76" s="841">
        <v>1517280</v>
      </c>
      <c r="DW76" s="841">
        <v>2175000</v>
      </c>
      <c r="DX76" s="841" t="s">
        <v>353</v>
      </c>
      <c r="DY76" s="841" t="s">
        <v>353</v>
      </c>
      <c r="DZ76" s="841" t="s">
        <v>353</v>
      </c>
      <c r="EA76" s="841" t="s">
        <v>353</v>
      </c>
      <c r="EB76" s="841" t="s">
        <v>353</v>
      </c>
      <c r="EC76" s="841" t="s">
        <v>353</v>
      </c>
      <c r="ED76" s="841" t="s">
        <v>353</v>
      </c>
      <c r="EE76" s="841" t="s">
        <v>353</v>
      </c>
      <c r="EF76" s="841" t="s">
        <v>353</v>
      </c>
      <c r="EG76" s="841" t="s">
        <v>353</v>
      </c>
      <c r="EH76" s="841" t="s">
        <v>353</v>
      </c>
      <c r="EI76" s="841">
        <v>625095</v>
      </c>
      <c r="EJ76" s="841" t="s">
        <v>353</v>
      </c>
      <c r="EK76" s="841" t="s">
        <v>353</v>
      </c>
      <c r="EL76" s="841" t="s">
        <v>353</v>
      </c>
      <c r="EM76" s="841">
        <v>32625</v>
      </c>
      <c r="EN76" s="841" t="s">
        <v>353</v>
      </c>
      <c r="EO76" s="841" t="s">
        <v>353</v>
      </c>
      <c r="EP76" s="841" t="s">
        <v>353</v>
      </c>
      <c r="EQ76" s="841" t="s">
        <v>353</v>
      </c>
      <c r="ER76" s="841" t="s">
        <v>353</v>
      </c>
      <c r="ES76" s="841" t="s">
        <v>353</v>
      </c>
      <c r="ET76" s="841" t="s">
        <v>1512</v>
      </c>
      <c r="EU76" s="841" t="s">
        <v>353</v>
      </c>
      <c r="EV76" s="841" t="s">
        <v>353</v>
      </c>
      <c r="EW76" s="841" t="s">
        <v>353</v>
      </c>
      <c r="EX76" s="841" t="s">
        <v>353</v>
      </c>
      <c r="EY76" s="841" t="s">
        <v>353</v>
      </c>
      <c r="EZ76" s="841" t="s">
        <v>353</v>
      </c>
      <c r="FA76" s="841" t="s">
        <v>353</v>
      </c>
      <c r="FB76" s="841" t="s">
        <v>353</v>
      </c>
      <c r="FC76" s="841" t="s">
        <v>353</v>
      </c>
      <c r="FD76" s="841" t="s">
        <v>353</v>
      </c>
      <c r="FE76" s="842">
        <v>44589.457638888889</v>
      </c>
      <c r="FF76" s="841" t="s">
        <v>353</v>
      </c>
      <c r="FG76" s="841" t="s">
        <v>353</v>
      </c>
      <c r="FH76" s="841" t="s">
        <v>353</v>
      </c>
      <c r="FI76" s="841" t="s">
        <v>353</v>
      </c>
      <c r="FJ76" s="841" t="s">
        <v>353</v>
      </c>
      <c r="FK76" s="841" t="s">
        <v>353</v>
      </c>
      <c r="FL76" s="841" t="s">
        <v>353</v>
      </c>
      <c r="FM76" s="841" t="s">
        <v>353</v>
      </c>
      <c r="FN76" s="841" t="s">
        <v>353</v>
      </c>
      <c r="FO76" s="841" t="s">
        <v>1729</v>
      </c>
      <c r="FP76" s="841" t="s">
        <v>353</v>
      </c>
      <c r="FQ76" s="841" t="s">
        <v>353</v>
      </c>
      <c r="FR76" s="841" t="s">
        <v>353</v>
      </c>
      <c r="FS76" s="841" t="s">
        <v>353</v>
      </c>
      <c r="FT76" s="841" t="s">
        <v>353</v>
      </c>
      <c r="FU76" s="841" t="s">
        <v>1416</v>
      </c>
      <c r="FV76" s="841" t="s">
        <v>353</v>
      </c>
      <c r="FW76" s="841" t="s">
        <v>353</v>
      </c>
      <c r="FX76" s="841" t="s">
        <v>353</v>
      </c>
      <c r="FY76" s="841" t="s">
        <v>353</v>
      </c>
      <c r="FZ76" s="841" t="s">
        <v>353</v>
      </c>
      <c r="GA76" s="841" t="s">
        <v>353</v>
      </c>
      <c r="GB76" s="841">
        <v>1</v>
      </c>
      <c r="GC76" s="841" t="s">
        <v>353</v>
      </c>
      <c r="GD76" s="841" t="s">
        <v>1417</v>
      </c>
      <c r="GE76" s="841" t="s">
        <v>353</v>
      </c>
      <c r="GF76" s="841" t="s">
        <v>353</v>
      </c>
      <c r="GG76" s="841" t="s">
        <v>353</v>
      </c>
      <c r="GH76" s="841">
        <v>435000</v>
      </c>
      <c r="GI76" s="841" t="s">
        <v>353</v>
      </c>
      <c r="GJ76" s="841" t="s">
        <v>353</v>
      </c>
      <c r="GK76" s="841" t="s">
        <v>353</v>
      </c>
      <c r="GL76" s="841" t="s">
        <v>2116</v>
      </c>
      <c r="GM76" s="841" t="s">
        <v>353</v>
      </c>
      <c r="GN76" s="841" t="s">
        <v>353</v>
      </c>
      <c r="GO76" s="841" t="s">
        <v>353</v>
      </c>
      <c r="GP76" s="841" t="s">
        <v>353</v>
      </c>
      <c r="GQ76" s="841" t="s">
        <v>353</v>
      </c>
      <c r="GR76" s="841" t="s">
        <v>353</v>
      </c>
      <c r="GS76" s="841" t="s">
        <v>1523</v>
      </c>
      <c r="GT76" s="841" t="s">
        <v>353</v>
      </c>
      <c r="GU76" s="841" t="s">
        <v>353</v>
      </c>
      <c r="GV76" s="841" t="s">
        <v>1419</v>
      </c>
      <c r="GW76" s="841" t="s">
        <v>353</v>
      </c>
      <c r="GX76" s="841" t="s">
        <v>353</v>
      </c>
      <c r="GY76" s="841">
        <v>36</v>
      </c>
      <c r="GZ76" s="841" t="s">
        <v>1575</v>
      </c>
      <c r="HA76" s="841" t="s">
        <v>353</v>
      </c>
      <c r="HB76" s="841" t="s">
        <v>353</v>
      </c>
      <c r="HC76" s="841" t="s">
        <v>1421</v>
      </c>
      <c r="HD76" s="841" t="s">
        <v>2117</v>
      </c>
      <c r="HE76" s="841" t="s">
        <v>353</v>
      </c>
      <c r="HF76" s="841" t="s">
        <v>353</v>
      </c>
      <c r="HG76" s="841" t="s">
        <v>353</v>
      </c>
      <c r="HH76" s="841" t="s">
        <v>353</v>
      </c>
      <c r="HI76" s="841" t="s">
        <v>1422</v>
      </c>
      <c r="HJ76" s="841" t="s">
        <v>2118</v>
      </c>
      <c r="HK76" s="841">
        <v>2175000</v>
      </c>
      <c r="HL76" s="841" t="s">
        <v>353</v>
      </c>
      <c r="HM76" s="841" t="s">
        <v>1423</v>
      </c>
      <c r="HN76" s="841" t="s">
        <v>353</v>
      </c>
      <c r="HO76" s="841" t="s">
        <v>353</v>
      </c>
      <c r="HP76" s="841">
        <v>104182.5</v>
      </c>
      <c r="HQ76" s="841" t="s">
        <v>353</v>
      </c>
      <c r="HR76" s="841" t="s">
        <v>353</v>
      </c>
      <c r="HS76" s="841">
        <v>1549905</v>
      </c>
      <c r="HT76" s="841" t="s">
        <v>353</v>
      </c>
      <c r="HU76" s="841" t="s">
        <v>353</v>
      </c>
      <c r="HV76" s="841" t="s">
        <v>353</v>
      </c>
      <c r="HW76" s="841">
        <v>2900000</v>
      </c>
      <c r="HX76" s="841" t="s">
        <v>353</v>
      </c>
      <c r="HY76" s="841" t="s">
        <v>353</v>
      </c>
      <c r="HZ76" s="841" t="s">
        <v>353</v>
      </c>
      <c r="IA76" s="841" t="s">
        <v>353</v>
      </c>
      <c r="IB76" s="841" t="s">
        <v>1424</v>
      </c>
      <c r="IC76" s="841" t="s">
        <v>353</v>
      </c>
      <c r="ID76" s="841" t="s">
        <v>353</v>
      </c>
      <c r="IE76" s="841" t="s">
        <v>353</v>
      </c>
      <c r="IF76" s="841" t="s">
        <v>353</v>
      </c>
      <c r="IG76" s="841" t="s">
        <v>353</v>
      </c>
      <c r="IH76" s="841" t="s">
        <v>353</v>
      </c>
      <c r="II76" s="841" t="s">
        <v>353</v>
      </c>
      <c r="IJ76" s="841" t="s">
        <v>353</v>
      </c>
      <c r="IK76" s="841" t="s">
        <v>353</v>
      </c>
      <c r="IL76" s="841">
        <v>2082128</v>
      </c>
      <c r="IM76" s="841" t="s">
        <v>353</v>
      </c>
      <c r="IN76" s="841" t="s">
        <v>353</v>
      </c>
      <c r="IO76" s="841" t="s">
        <v>353</v>
      </c>
      <c r="IP76" s="841" t="s">
        <v>353</v>
      </c>
      <c r="IQ76" s="841" t="s">
        <v>353</v>
      </c>
      <c r="IR76" s="841">
        <v>6</v>
      </c>
      <c r="IS76" s="841" t="s">
        <v>353</v>
      </c>
      <c r="IT76" s="841" t="s">
        <v>353</v>
      </c>
      <c r="IU76" s="841" t="s">
        <v>353</v>
      </c>
      <c r="IV76" s="841" t="s">
        <v>353</v>
      </c>
      <c r="IW76" s="841" t="s">
        <v>353</v>
      </c>
      <c r="IX76" s="841" t="s">
        <v>353</v>
      </c>
      <c r="IY76" s="841" t="s">
        <v>1578</v>
      </c>
      <c r="IZ76" s="841" t="s">
        <v>353</v>
      </c>
      <c r="JA76" s="841">
        <v>2175000</v>
      </c>
      <c r="JB76" s="841" t="s">
        <v>353</v>
      </c>
      <c r="JC76" s="841" t="s">
        <v>353</v>
      </c>
      <c r="JD76" s="841" t="s">
        <v>1488</v>
      </c>
      <c r="JE76" s="841" t="s">
        <v>353</v>
      </c>
      <c r="JF76" s="841" t="s">
        <v>1781</v>
      </c>
      <c r="JG76" s="841" t="s">
        <v>1782</v>
      </c>
      <c r="JH76" s="841" t="s">
        <v>2119</v>
      </c>
      <c r="JI76" s="841" t="s">
        <v>2120</v>
      </c>
    </row>
    <row r="77" spans="1:269" x14ac:dyDescent="0.25">
      <c r="A77" s="841" t="s">
        <v>2121</v>
      </c>
      <c r="B77" s="841" t="s">
        <v>353</v>
      </c>
      <c r="C77" s="841" t="s">
        <v>353</v>
      </c>
      <c r="D77" s="841" t="s">
        <v>353</v>
      </c>
      <c r="E77" s="841" t="s">
        <v>353</v>
      </c>
      <c r="F77" s="841" t="s">
        <v>353</v>
      </c>
      <c r="G77" s="841" t="s">
        <v>2086</v>
      </c>
      <c r="H77" s="841" t="s">
        <v>353</v>
      </c>
      <c r="I77" s="841" t="s">
        <v>353</v>
      </c>
      <c r="J77" s="841" t="s">
        <v>353</v>
      </c>
      <c r="K77" s="841" t="s">
        <v>353</v>
      </c>
      <c r="L77" s="842">
        <v>44589.659722222219</v>
      </c>
      <c r="M77" s="841" t="s">
        <v>353</v>
      </c>
      <c r="N77" s="841" t="s">
        <v>353</v>
      </c>
      <c r="O77" s="841" t="s">
        <v>353</v>
      </c>
      <c r="P77" s="841" t="s">
        <v>353</v>
      </c>
      <c r="Q77" s="841" t="s">
        <v>353</v>
      </c>
      <c r="R77" s="841" t="s">
        <v>353</v>
      </c>
      <c r="S77" s="841" t="s">
        <v>64</v>
      </c>
      <c r="T77" s="841" t="s">
        <v>1390</v>
      </c>
      <c r="U77" s="841" t="s">
        <v>353</v>
      </c>
      <c r="V77" s="841" t="s">
        <v>353</v>
      </c>
      <c r="W77" s="841" t="s">
        <v>1420</v>
      </c>
      <c r="X77" s="841" t="s">
        <v>1405</v>
      </c>
      <c r="Y77" s="841" t="s">
        <v>353</v>
      </c>
      <c r="Z77" s="841" t="s">
        <v>353</v>
      </c>
      <c r="AA77" s="841" t="s">
        <v>353</v>
      </c>
      <c r="AB77" s="841" t="s">
        <v>353</v>
      </c>
      <c r="AC77" s="841">
        <v>36000</v>
      </c>
      <c r="AD77" s="841" t="s">
        <v>353</v>
      </c>
      <c r="AE77" s="841" t="s">
        <v>353</v>
      </c>
      <c r="AF77" s="841" t="s">
        <v>353</v>
      </c>
      <c r="AG77" s="841" t="s">
        <v>353</v>
      </c>
      <c r="AH77" s="841">
        <v>1833</v>
      </c>
      <c r="AI77" s="841" t="s">
        <v>1406</v>
      </c>
      <c r="AJ77" s="841" t="s">
        <v>353</v>
      </c>
      <c r="AK77" s="841">
        <v>68</v>
      </c>
      <c r="AL77" s="841" t="s">
        <v>353</v>
      </c>
      <c r="AM77" s="841" t="s">
        <v>353</v>
      </c>
      <c r="AN77" s="841" t="s">
        <v>353</v>
      </c>
      <c r="AO77" s="841" t="s">
        <v>353</v>
      </c>
      <c r="AP77" s="841" t="s">
        <v>353</v>
      </c>
      <c r="AQ77" s="841" t="s">
        <v>353</v>
      </c>
      <c r="AR77" s="841" t="s">
        <v>353</v>
      </c>
      <c r="AS77" s="841" t="s">
        <v>353</v>
      </c>
      <c r="AT77" s="841" t="s">
        <v>353</v>
      </c>
      <c r="AU77" s="841" t="s">
        <v>353</v>
      </c>
      <c r="AV77" s="841" t="s">
        <v>353</v>
      </c>
      <c r="AW77" s="841" t="s">
        <v>353</v>
      </c>
      <c r="AX77" s="841" t="s">
        <v>353</v>
      </c>
      <c r="AY77" s="841" t="s">
        <v>353</v>
      </c>
      <c r="AZ77" s="841" t="s">
        <v>353</v>
      </c>
      <c r="BA77" s="841" t="s">
        <v>353</v>
      </c>
      <c r="BB77" s="841" t="s">
        <v>353</v>
      </c>
      <c r="BC77" s="841">
        <v>176850</v>
      </c>
      <c r="BD77" s="841" t="s">
        <v>353</v>
      </c>
      <c r="BE77" s="841" t="s">
        <v>353</v>
      </c>
      <c r="BF77" s="841" t="s">
        <v>353</v>
      </c>
      <c r="BG77" s="841" t="s">
        <v>353</v>
      </c>
      <c r="BH77" s="841" t="s">
        <v>353</v>
      </c>
      <c r="BI77" s="841" t="s">
        <v>353</v>
      </c>
      <c r="BJ77" s="841" t="s">
        <v>353</v>
      </c>
      <c r="BK77" s="841" t="s">
        <v>353</v>
      </c>
      <c r="BL77" s="841" t="s">
        <v>2122</v>
      </c>
      <c r="BM77" s="842">
        <v>44592.43472222222</v>
      </c>
      <c r="BN77" s="841" t="s">
        <v>353</v>
      </c>
      <c r="BO77" s="841" t="s">
        <v>353</v>
      </c>
      <c r="BP77" s="841" t="s">
        <v>353</v>
      </c>
      <c r="BQ77" s="841" t="s">
        <v>353</v>
      </c>
      <c r="BR77" s="841" t="s">
        <v>353</v>
      </c>
      <c r="BS77" s="841" t="s">
        <v>353</v>
      </c>
      <c r="BT77" s="841">
        <v>0</v>
      </c>
      <c r="BU77" s="841" t="s">
        <v>353</v>
      </c>
      <c r="BV77" s="841" t="s">
        <v>2123</v>
      </c>
      <c r="BW77" s="841" t="s">
        <v>1578</v>
      </c>
      <c r="BX77" s="841" t="s">
        <v>2124</v>
      </c>
      <c r="BY77" s="841" t="s">
        <v>353</v>
      </c>
      <c r="BZ77" s="841" t="s">
        <v>353</v>
      </c>
      <c r="CA77" s="841" t="s">
        <v>353</v>
      </c>
      <c r="CB77" s="841" t="s">
        <v>353</v>
      </c>
      <c r="CC77" s="841" t="s">
        <v>353</v>
      </c>
      <c r="CD77" s="841" t="s">
        <v>353</v>
      </c>
      <c r="CE77" s="841" t="s">
        <v>353</v>
      </c>
      <c r="CF77" s="841" t="s">
        <v>353</v>
      </c>
      <c r="CG77" s="841" t="s">
        <v>353</v>
      </c>
      <c r="CH77" s="841" t="s">
        <v>353</v>
      </c>
      <c r="CI77" s="841" t="s">
        <v>353</v>
      </c>
      <c r="CJ77" s="841" t="s">
        <v>353</v>
      </c>
      <c r="CK77" s="841" t="s">
        <v>353</v>
      </c>
      <c r="CL77" s="841" t="s">
        <v>353</v>
      </c>
      <c r="CM77" s="841" t="s">
        <v>353</v>
      </c>
      <c r="CN77" s="841" t="s">
        <v>353</v>
      </c>
      <c r="CO77" s="841" t="s">
        <v>353</v>
      </c>
      <c r="CP77" s="841" t="s">
        <v>2125</v>
      </c>
      <c r="CQ77" s="841" t="s">
        <v>353</v>
      </c>
      <c r="CR77" s="841" t="s">
        <v>353</v>
      </c>
      <c r="CS77" s="841" t="s">
        <v>1405</v>
      </c>
      <c r="CT77" s="841" t="s">
        <v>353</v>
      </c>
      <c r="CU77" s="841" t="s">
        <v>1391</v>
      </c>
      <c r="CV77" s="841" t="s">
        <v>353</v>
      </c>
      <c r="CW77" s="841" t="s">
        <v>353</v>
      </c>
      <c r="CX77" s="841" t="s">
        <v>353</v>
      </c>
      <c r="CY77" s="841" t="s">
        <v>353</v>
      </c>
      <c r="CZ77" s="841">
        <v>4</v>
      </c>
      <c r="DA77" s="841" t="s">
        <v>353</v>
      </c>
      <c r="DB77" s="841" t="s">
        <v>353</v>
      </c>
      <c r="DC77" s="841" t="s">
        <v>353</v>
      </c>
      <c r="DD77" s="841" t="s">
        <v>353</v>
      </c>
      <c r="DE77" s="841" t="s">
        <v>353</v>
      </c>
      <c r="DF77" s="841">
        <v>24</v>
      </c>
      <c r="DG77" s="841" t="s">
        <v>353</v>
      </c>
      <c r="DH77" s="841" t="s">
        <v>353</v>
      </c>
      <c r="DI77" s="841" t="s">
        <v>353</v>
      </c>
      <c r="DJ77" s="841" t="s">
        <v>2126</v>
      </c>
      <c r="DK77" s="841" t="s">
        <v>353</v>
      </c>
      <c r="DL77" s="842">
        <v>44589.43472222222</v>
      </c>
      <c r="DM77" s="841" t="s">
        <v>353</v>
      </c>
      <c r="DN77" s="841" t="s">
        <v>353</v>
      </c>
      <c r="DO77" s="841" t="s">
        <v>33</v>
      </c>
      <c r="DP77" s="841" t="s">
        <v>1412</v>
      </c>
      <c r="DQ77" s="841" t="s">
        <v>1392</v>
      </c>
      <c r="DR77" s="841" t="s">
        <v>353</v>
      </c>
      <c r="DS77" s="841">
        <v>24</v>
      </c>
      <c r="DT77" s="841" t="s">
        <v>353</v>
      </c>
      <c r="DU77" s="841" t="s">
        <v>353</v>
      </c>
      <c r="DV77" s="841">
        <v>176850</v>
      </c>
      <c r="DW77" s="841">
        <v>180000</v>
      </c>
      <c r="DX77" s="841" t="s">
        <v>353</v>
      </c>
      <c r="DY77" s="841" t="s">
        <v>353</v>
      </c>
      <c r="DZ77" s="841" t="s">
        <v>353</v>
      </c>
      <c r="EA77" s="841" t="s">
        <v>353</v>
      </c>
      <c r="EB77" s="841" t="s">
        <v>353</v>
      </c>
      <c r="EC77" s="841" t="s">
        <v>353</v>
      </c>
      <c r="ED77" s="841" t="s">
        <v>353</v>
      </c>
      <c r="EE77" s="841" t="s">
        <v>353</v>
      </c>
      <c r="EF77" s="841" t="s">
        <v>353</v>
      </c>
      <c r="EG77" s="841" t="s">
        <v>353</v>
      </c>
      <c r="EH77" s="841" t="s">
        <v>353</v>
      </c>
      <c r="EI77" s="841">
        <v>0</v>
      </c>
      <c r="EJ77" s="841" t="s">
        <v>353</v>
      </c>
      <c r="EK77" s="841" t="s">
        <v>353</v>
      </c>
      <c r="EL77" s="841" t="s">
        <v>353</v>
      </c>
      <c r="EM77" s="841">
        <v>3150</v>
      </c>
      <c r="EN77" s="841" t="s">
        <v>353</v>
      </c>
      <c r="EO77" s="841" t="s">
        <v>353</v>
      </c>
      <c r="EP77" s="841" t="s">
        <v>353</v>
      </c>
      <c r="EQ77" s="841" t="s">
        <v>353</v>
      </c>
      <c r="ER77" s="841" t="s">
        <v>353</v>
      </c>
      <c r="ES77" s="841" t="s">
        <v>353</v>
      </c>
      <c r="ET77" s="841" t="s">
        <v>1512</v>
      </c>
      <c r="EU77" s="841" t="s">
        <v>353</v>
      </c>
      <c r="EV77" s="841" t="s">
        <v>353</v>
      </c>
      <c r="EW77" s="841" t="s">
        <v>353</v>
      </c>
      <c r="EX77" s="841" t="s">
        <v>353</v>
      </c>
      <c r="EY77" s="841" t="s">
        <v>353</v>
      </c>
      <c r="EZ77" s="841" t="s">
        <v>353</v>
      </c>
      <c r="FA77" s="841" t="s">
        <v>353</v>
      </c>
      <c r="FB77" s="841" t="s">
        <v>353</v>
      </c>
      <c r="FC77" s="841" t="s">
        <v>353</v>
      </c>
      <c r="FD77" s="841" t="s">
        <v>353</v>
      </c>
      <c r="FE77" s="842">
        <v>44589.659722222219</v>
      </c>
      <c r="FF77" s="841" t="s">
        <v>353</v>
      </c>
      <c r="FG77" s="841" t="s">
        <v>2127</v>
      </c>
      <c r="FH77" s="841" t="s">
        <v>353</v>
      </c>
      <c r="FI77" s="841" t="s">
        <v>353</v>
      </c>
      <c r="FJ77" s="841" t="s">
        <v>353</v>
      </c>
      <c r="FK77" s="841" t="s">
        <v>353</v>
      </c>
      <c r="FL77" s="841" t="s">
        <v>353</v>
      </c>
      <c r="FM77" s="841" t="s">
        <v>353</v>
      </c>
      <c r="FN77" s="841" t="s">
        <v>353</v>
      </c>
      <c r="FO77" s="841" t="s">
        <v>2128</v>
      </c>
      <c r="FP77" s="841" t="s">
        <v>353</v>
      </c>
      <c r="FQ77" s="841" t="s">
        <v>353</v>
      </c>
      <c r="FR77" s="841" t="s">
        <v>353</v>
      </c>
      <c r="FS77" s="841" t="s">
        <v>353</v>
      </c>
      <c r="FT77" s="841" t="s">
        <v>353</v>
      </c>
      <c r="FU77" s="841" t="s">
        <v>1416</v>
      </c>
      <c r="FV77" s="841" t="s">
        <v>353</v>
      </c>
      <c r="FW77" s="841" t="s">
        <v>353</v>
      </c>
      <c r="FX77" s="841" t="s">
        <v>353</v>
      </c>
      <c r="FY77" s="841" t="s">
        <v>353</v>
      </c>
      <c r="FZ77" s="841" t="s">
        <v>353</v>
      </c>
      <c r="GA77" s="841" t="s">
        <v>353</v>
      </c>
      <c r="GB77" s="841">
        <v>1</v>
      </c>
      <c r="GC77" s="841" t="s">
        <v>353</v>
      </c>
      <c r="GD77" s="841" t="s">
        <v>1395</v>
      </c>
      <c r="GE77" s="841" t="s">
        <v>353</v>
      </c>
      <c r="GF77" s="841" t="s">
        <v>353</v>
      </c>
      <c r="GG77" s="841" t="s">
        <v>353</v>
      </c>
      <c r="GH77" s="841">
        <v>36000</v>
      </c>
      <c r="GI77" s="841" t="s">
        <v>353</v>
      </c>
      <c r="GJ77" s="841" t="s">
        <v>353</v>
      </c>
      <c r="GK77" s="841" t="s">
        <v>353</v>
      </c>
      <c r="GL77" s="841" t="s">
        <v>1468</v>
      </c>
      <c r="GM77" s="841" t="s">
        <v>353</v>
      </c>
      <c r="GN77" s="841" t="s">
        <v>353</v>
      </c>
      <c r="GO77" s="841" t="s">
        <v>353</v>
      </c>
      <c r="GP77" s="841" t="s">
        <v>353</v>
      </c>
      <c r="GQ77" s="841" t="s">
        <v>353</v>
      </c>
      <c r="GR77" s="841" t="s">
        <v>353</v>
      </c>
      <c r="GS77" s="841" t="s">
        <v>2123</v>
      </c>
      <c r="GT77" s="841" t="s">
        <v>353</v>
      </c>
      <c r="GU77" s="841" t="s">
        <v>353</v>
      </c>
      <c r="GV77" s="841" t="s">
        <v>1419</v>
      </c>
      <c r="GW77" s="841" t="s">
        <v>353</v>
      </c>
      <c r="GX77" s="841" t="s">
        <v>353</v>
      </c>
      <c r="GY77" s="841">
        <v>24</v>
      </c>
      <c r="GZ77" s="841" t="s">
        <v>1420</v>
      </c>
      <c r="HA77" s="841" t="s">
        <v>353</v>
      </c>
      <c r="HB77" s="841" t="s">
        <v>353</v>
      </c>
      <c r="HC77" s="841" t="s">
        <v>1421</v>
      </c>
      <c r="HD77" s="841" t="s">
        <v>2129</v>
      </c>
      <c r="HE77" s="841" t="s">
        <v>353</v>
      </c>
      <c r="HF77" s="841" t="s">
        <v>353</v>
      </c>
      <c r="HG77" s="841" t="s">
        <v>353</v>
      </c>
      <c r="HH77" s="841" t="s">
        <v>353</v>
      </c>
      <c r="HI77" s="841" t="s">
        <v>1439</v>
      </c>
      <c r="HJ77" s="841" t="s">
        <v>2130</v>
      </c>
      <c r="HK77" s="841">
        <v>180000</v>
      </c>
      <c r="HL77" s="841" t="s">
        <v>353</v>
      </c>
      <c r="HM77" s="841" t="s">
        <v>1423</v>
      </c>
      <c r="HN77" s="841" t="s">
        <v>353</v>
      </c>
      <c r="HO77" s="841" t="s">
        <v>353</v>
      </c>
      <c r="HP77" s="841">
        <v>9522</v>
      </c>
      <c r="HQ77" s="841" t="s">
        <v>353</v>
      </c>
      <c r="HR77" s="841" t="s">
        <v>353</v>
      </c>
      <c r="HS77" s="841">
        <v>180000</v>
      </c>
      <c r="HT77" s="841" t="s">
        <v>353</v>
      </c>
      <c r="HU77" s="841" t="s">
        <v>353</v>
      </c>
      <c r="HV77" s="841" t="s">
        <v>353</v>
      </c>
      <c r="HW77" s="841">
        <v>120000</v>
      </c>
      <c r="HX77" s="841" t="s">
        <v>353</v>
      </c>
      <c r="HY77" s="841" t="s">
        <v>353</v>
      </c>
      <c r="HZ77" s="841">
        <v>145000</v>
      </c>
      <c r="IA77" s="841" t="s">
        <v>353</v>
      </c>
      <c r="IB77" s="841" t="s">
        <v>2131</v>
      </c>
      <c r="IC77" s="841" t="s">
        <v>353</v>
      </c>
      <c r="ID77" s="841" t="s">
        <v>353</v>
      </c>
      <c r="IE77" s="841" t="s">
        <v>353</v>
      </c>
      <c r="IF77" s="841" t="s">
        <v>353</v>
      </c>
      <c r="IG77" s="841" t="s">
        <v>353</v>
      </c>
      <c r="IH77" s="841" t="s">
        <v>353</v>
      </c>
      <c r="II77" s="841" t="s">
        <v>353</v>
      </c>
      <c r="IJ77" s="841">
        <v>979</v>
      </c>
      <c r="IK77" s="841" t="s">
        <v>353</v>
      </c>
      <c r="IL77" s="841">
        <v>180000</v>
      </c>
      <c r="IM77" s="841" t="s">
        <v>353</v>
      </c>
      <c r="IN77" s="841" t="s">
        <v>353</v>
      </c>
      <c r="IO77" s="841" t="s">
        <v>353</v>
      </c>
      <c r="IP77" s="841" t="s">
        <v>353</v>
      </c>
      <c r="IQ77" s="841" t="s">
        <v>353</v>
      </c>
      <c r="IR77" s="841">
        <v>0</v>
      </c>
      <c r="IS77" s="841" t="s">
        <v>353</v>
      </c>
      <c r="IT77" s="841" t="s">
        <v>353</v>
      </c>
      <c r="IU77" s="841" t="s">
        <v>353</v>
      </c>
      <c r="IV77" s="841" t="s">
        <v>353</v>
      </c>
      <c r="IW77" s="841" t="s">
        <v>2132</v>
      </c>
      <c r="IX77" s="841" t="s">
        <v>353</v>
      </c>
      <c r="IY77" s="841" t="s">
        <v>1578</v>
      </c>
      <c r="IZ77" s="841" t="s">
        <v>353</v>
      </c>
      <c r="JA77" s="841">
        <v>180000</v>
      </c>
      <c r="JB77" s="841" t="s">
        <v>353</v>
      </c>
      <c r="JC77" s="841" t="s">
        <v>353</v>
      </c>
      <c r="JD77" s="841" t="s">
        <v>1456</v>
      </c>
      <c r="JE77" s="841" t="s">
        <v>353</v>
      </c>
      <c r="JF77" s="841" t="s">
        <v>1739</v>
      </c>
      <c r="JG77" s="841" t="s">
        <v>1740</v>
      </c>
      <c r="JH77" s="841" t="s">
        <v>2133</v>
      </c>
      <c r="JI77" s="841" t="s">
        <v>2134</v>
      </c>
    </row>
    <row r="78" spans="1:269" x14ac:dyDescent="0.25">
      <c r="A78" s="841" t="s">
        <v>2135</v>
      </c>
      <c r="B78" s="841" t="s">
        <v>353</v>
      </c>
      <c r="C78" s="841" t="s">
        <v>353</v>
      </c>
      <c r="D78" s="841" t="s">
        <v>353</v>
      </c>
      <c r="E78" s="841" t="s">
        <v>353</v>
      </c>
      <c r="F78" s="841" t="s">
        <v>1856</v>
      </c>
      <c r="G78" s="841" t="s">
        <v>2136</v>
      </c>
      <c r="H78" s="841" t="s">
        <v>353</v>
      </c>
      <c r="I78" s="841" t="s">
        <v>353</v>
      </c>
      <c r="J78" s="841" t="s">
        <v>353</v>
      </c>
      <c r="K78" s="841" t="s">
        <v>353</v>
      </c>
      <c r="L78" s="842">
        <v>44596.515277777777</v>
      </c>
      <c r="M78" s="841" t="s">
        <v>353</v>
      </c>
      <c r="N78" s="841" t="s">
        <v>353</v>
      </c>
      <c r="O78" s="841" t="s">
        <v>353</v>
      </c>
      <c r="P78" s="841" t="s">
        <v>33</v>
      </c>
      <c r="Q78" s="841" t="s">
        <v>353</v>
      </c>
      <c r="R78" s="841" t="s">
        <v>353</v>
      </c>
      <c r="S78" s="841" t="s">
        <v>1520</v>
      </c>
      <c r="T78" s="841" t="s">
        <v>1390</v>
      </c>
      <c r="U78" s="841" t="s">
        <v>353</v>
      </c>
      <c r="V78" s="841" t="s">
        <v>353</v>
      </c>
      <c r="W78" s="841" t="s">
        <v>1529</v>
      </c>
      <c r="X78" s="841" t="s">
        <v>1930</v>
      </c>
      <c r="Y78" s="841" t="s">
        <v>353</v>
      </c>
      <c r="Z78" s="841" t="s">
        <v>353</v>
      </c>
      <c r="AA78" s="841" t="s">
        <v>33</v>
      </c>
      <c r="AB78" s="841" t="s">
        <v>353</v>
      </c>
      <c r="AC78" s="841">
        <v>414000</v>
      </c>
      <c r="AD78" s="841" t="s">
        <v>353</v>
      </c>
      <c r="AE78" s="841" t="s">
        <v>33</v>
      </c>
      <c r="AF78" s="841">
        <v>3443.1</v>
      </c>
      <c r="AG78" s="841" t="s">
        <v>353</v>
      </c>
      <c r="AH78" s="841">
        <v>3100</v>
      </c>
      <c r="AI78" s="841" t="s">
        <v>1521</v>
      </c>
      <c r="AJ78" s="841" t="s">
        <v>353</v>
      </c>
      <c r="AK78" s="841">
        <v>64</v>
      </c>
      <c r="AL78" s="841" t="s">
        <v>353</v>
      </c>
      <c r="AM78" s="841" t="s">
        <v>353</v>
      </c>
      <c r="AN78" s="841" t="s">
        <v>353</v>
      </c>
      <c r="AO78" s="841" t="s">
        <v>353</v>
      </c>
      <c r="AP78" s="841" t="s">
        <v>353</v>
      </c>
      <c r="AQ78" s="841" t="s">
        <v>353</v>
      </c>
      <c r="AR78" s="841" t="s">
        <v>33</v>
      </c>
      <c r="AS78" s="841" t="s">
        <v>353</v>
      </c>
      <c r="AT78" s="841" t="s">
        <v>353</v>
      </c>
      <c r="AU78" s="841" t="s">
        <v>353</v>
      </c>
      <c r="AV78" s="841" t="s">
        <v>353</v>
      </c>
      <c r="AW78" s="843">
        <v>44596</v>
      </c>
      <c r="AX78" s="841" t="s">
        <v>353</v>
      </c>
      <c r="AY78" s="841" t="s">
        <v>353</v>
      </c>
      <c r="AZ78" s="841" t="s">
        <v>353</v>
      </c>
      <c r="BA78" s="841" t="s">
        <v>353</v>
      </c>
      <c r="BB78" s="841" t="s">
        <v>353</v>
      </c>
      <c r="BC78" s="841">
        <v>774221</v>
      </c>
      <c r="BD78" s="841" t="s">
        <v>353</v>
      </c>
      <c r="BE78" s="841" t="s">
        <v>353</v>
      </c>
      <c r="BF78" s="841" t="s">
        <v>353</v>
      </c>
      <c r="BG78" s="841" t="s">
        <v>353</v>
      </c>
      <c r="BH78" s="841" t="s">
        <v>353</v>
      </c>
      <c r="BI78" s="841" t="s">
        <v>353</v>
      </c>
      <c r="BJ78" s="841" t="s">
        <v>353</v>
      </c>
      <c r="BK78" s="841">
        <v>440000</v>
      </c>
      <c r="BL78" s="841" t="s">
        <v>2137</v>
      </c>
      <c r="BM78" s="842">
        <v>44592.384722222225</v>
      </c>
      <c r="BN78" s="841" t="s">
        <v>353</v>
      </c>
      <c r="BO78" s="841" t="s">
        <v>353</v>
      </c>
      <c r="BP78" s="841" t="s">
        <v>353</v>
      </c>
      <c r="BQ78" s="841" t="s">
        <v>353</v>
      </c>
      <c r="BR78" s="841" t="s">
        <v>353</v>
      </c>
      <c r="BS78" s="841" t="s">
        <v>353</v>
      </c>
      <c r="BT78" s="841">
        <v>910000</v>
      </c>
      <c r="BU78" s="841" t="s">
        <v>353</v>
      </c>
      <c r="BV78" s="841" t="s">
        <v>1662</v>
      </c>
      <c r="BW78" s="841" t="s">
        <v>1578</v>
      </c>
      <c r="BX78" s="841" t="s">
        <v>2138</v>
      </c>
      <c r="BY78" s="841" t="s">
        <v>353</v>
      </c>
      <c r="BZ78" s="841" t="s">
        <v>353</v>
      </c>
      <c r="CA78" s="841" t="s">
        <v>353</v>
      </c>
      <c r="CB78" s="841" t="s">
        <v>353</v>
      </c>
      <c r="CC78" s="841" t="s">
        <v>353</v>
      </c>
      <c r="CD78" s="841" t="s">
        <v>353</v>
      </c>
      <c r="CE78" s="841" t="s">
        <v>353</v>
      </c>
      <c r="CF78" s="841" t="s">
        <v>353</v>
      </c>
      <c r="CG78" s="841" t="s">
        <v>353</v>
      </c>
      <c r="CH78" s="841" t="s">
        <v>353</v>
      </c>
      <c r="CI78" s="841" t="s">
        <v>33</v>
      </c>
      <c r="CJ78" s="841">
        <v>1500</v>
      </c>
      <c r="CK78" s="841">
        <v>1</v>
      </c>
      <c r="CL78" s="841" t="s">
        <v>353</v>
      </c>
      <c r="CM78" s="841">
        <v>4</v>
      </c>
      <c r="CN78" s="841" t="s">
        <v>353</v>
      </c>
      <c r="CO78" s="841" t="s">
        <v>353</v>
      </c>
      <c r="CP78" s="841" t="s">
        <v>2139</v>
      </c>
      <c r="CQ78" s="841" t="s">
        <v>353</v>
      </c>
      <c r="CR78" s="841" t="s">
        <v>353</v>
      </c>
      <c r="CS78" s="841" t="s">
        <v>353</v>
      </c>
      <c r="CT78" s="841" t="s">
        <v>353</v>
      </c>
      <c r="CU78" s="841" t="s">
        <v>1391</v>
      </c>
      <c r="CV78" s="841" t="s">
        <v>353</v>
      </c>
      <c r="CW78" s="841" t="s">
        <v>353</v>
      </c>
      <c r="CX78" s="841" t="s">
        <v>353</v>
      </c>
      <c r="CY78" s="841" t="s">
        <v>353</v>
      </c>
      <c r="CZ78" s="841">
        <v>4</v>
      </c>
      <c r="DA78" s="841" t="s">
        <v>353</v>
      </c>
      <c r="DB78" s="841" t="s">
        <v>353</v>
      </c>
      <c r="DC78" s="841" t="s">
        <v>353</v>
      </c>
      <c r="DD78" s="841" t="s">
        <v>353</v>
      </c>
      <c r="DE78" s="841" t="s">
        <v>353</v>
      </c>
      <c r="DF78" s="841">
        <v>18</v>
      </c>
      <c r="DG78" s="841" t="s">
        <v>353</v>
      </c>
      <c r="DH78" s="841" t="s">
        <v>353</v>
      </c>
      <c r="DI78" s="841" t="s">
        <v>353</v>
      </c>
      <c r="DJ78" s="841" t="s">
        <v>2140</v>
      </c>
      <c r="DK78" s="841" t="s">
        <v>353</v>
      </c>
      <c r="DL78" s="842">
        <v>44589.384722222225</v>
      </c>
      <c r="DM78" s="841" t="s">
        <v>353</v>
      </c>
      <c r="DN78" s="841" t="s">
        <v>33</v>
      </c>
      <c r="DO78" s="841" t="s">
        <v>33</v>
      </c>
      <c r="DP78" s="841" t="s">
        <v>1481</v>
      </c>
      <c r="DQ78" s="841" t="s">
        <v>1451</v>
      </c>
      <c r="DR78" s="841" t="s">
        <v>353</v>
      </c>
      <c r="DS78" s="841">
        <v>30</v>
      </c>
      <c r="DT78" s="841" t="s">
        <v>353</v>
      </c>
      <c r="DU78" s="841" t="s">
        <v>353</v>
      </c>
      <c r="DV78" s="841">
        <v>513856.8</v>
      </c>
      <c r="DW78" s="841">
        <v>828000</v>
      </c>
      <c r="DX78" s="841" t="s">
        <v>33</v>
      </c>
      <c r="DY78" s="841" t="s">
        <v>353</v>
      </c>
      <c r="DZ78" s="841" t="s">
        <v>353</v>
      </c>
      <c r="EA78" s="841" t="s">
        <v>353</v>
      </c>
      <c r="EB78" s="841" t="s">
        <v>353</v>
      </c>
      <c r="EC78" s="841" t="s">
        <v>353</v>
      </c>
      <c r="ED78" s="841" t="s">
        <v>353</v>
      </c>
      <c r="EE78" s="841" t="s">
        <v>353</v>
      </c>
      <c r="EF78" s="841" t="s">
        <v>353</v>
      </c>
      <c r="EG78" s="841" t="s">
        <v>353</v>
      </c>
      <c r="EH78" s="841" t="s">
        <v>353</v>
      </c>
      <c r="EI78" s="841">
        <v>297583.2</v>
      </c>
      <c r="EJ78" s="841" t="s">
        <v>353</v>
      </c>
      <c r="EK78" s="841" t="s">
        <v>353</v>
      </c>
      <c r="EL78" s="841" t="s">
        <v>1930</v>
      </c>
      <c r="EM78" s="841">
        <v>16560</v>
      </c>
      <c r="EN78" s="841" t="s">
        <v>353</v>
      </c>
      <c r="EO78" s="841" t="s">
        <v>353</v>
      </c>
      <c r="EP78" s="841" t="s">
        <v>353</v>
      </c>
      <c r="EQ78" s="841" t="s">
        <v>353</v>
      </c>
      <c r="ER78" s="841" t="s">
        <v>353</v>
      </c>
      <c r="ES78" s="841" t="s">
        <v>33</v>
      </c>
      <c r="ET78" s="841" t="s">
        <v>1496</v>
      </c>
      <c r="EU78" s="841" t="s">
        <v>2141</v>
      </c>
      <c r="EV78" s="841" t="s">
        <v>353</v>
      </c>
      <c r="EW78" s="841" t="s">
        <v>353</v>
      </c>
      <c r="EX78" s="841" t="s">
        <v>33</v>
      </c>
      <c r="EY78" s="842">
        <v>44596.384722222225</v>
      </c>
      <c r="EZ78" s="841" t="s">
        <v>353</v>
      </c>
      <c r="FA78" s="841" t="s">
        <v>353</v>
      </c>
      <c r="FB78" s="841" t="s">
        <v>353</v>
      </c>
      <c r="FC78" s="841" t="s">
        <v>353</v>
      </c>
      <c r="FD78" s="841" t="s">
        <v>353</v>
      </c>
      <c r="FE78" s="842">
        <v>44589.549305555556</v>
      </c>
      <c r="FF78" s="841" t="s">
        <v>353</v>
      </c>
      <c r="FG78" s="841" t="s">
        <v>2142</v>
      </c>
      <c r="FH78" s="841" t="s">
        <v>353</v>
      </c>
      <c r="FI78" s="841" t="s">
        <v>353</v>
      </c>
      <c r="FJ78" s="841" t="s">
        <v>353</v>
      </c>
      <c r="FK78" s="841" t="s">
        <v>353</v>
      </c>
      <c r="FL78" s="841" t="s">
        <v>353</v>
      </c>
      <c r="FM78" s="841" t="s">
        <v>353</v>
      </c>
      <c r="FN78" s="841" t="s">
        <v>353</v>
      </c>
      <c r="FO78" s="841" t="s">
        <v>1528</v>
      </c>
      <c r="FP78" s="841" t="s">
        <v>353</v>
      </c>
      <c r="FQ78" s="841" t="s">
        <v>353</v>
      </c>
      <c r="FR78" s="841" t="s">
        <v>353</v>
      </c>
      <c r="FS78" s="841" t="s">
        <v>353</v>
      </c>
      <c r="FT78" s="841" t="s">
        <v>353</v>
      </c>
      <c r="FU78" s="841" t="s">
        <v>1467</v>
      </c>
      <c r="FV78" s="841" t="s">
        <v>353</v>
      </c>
      <c r="FW78" s="841" t="s">
        <v>353</v>
      </c>
      <c r="FX78" s="841" t="s">
        <v>353</v>
      </c>
      <c r="FY78" s="841" t="s">
        <v>353</v>
      </c>
      <c r="FZ78" s="841" t="s">
        <v>353</v>
      </c>
      <c r="GA78" s="841" t="s">
        <v>353</v>
      </c>
      <c r="GB78" s="841">
        <v>1</v>
      </c>
      <c r="GC78" s="841" t="s">
        <v>353</v>
      </c>
      <c r="GD78" s="841" t="s">
        <v>1417</v>
      </c>
      <c r="GE78" s="841" t="s">
        <v>353</v>
      </c>
      <c r="GF78" s="841" t="s">
        <v>353</v>
      </c>
      <c r="GG78" s="841" t="s">
        <v>353</v>
      </c>
      <c r="GH78" s="841">
        <v>414000</v>
      </c>
      <c r="GI78" s="841" t="s">
        <v>353</v>
      </c>
      <c r="GJ78" s="841" t="s">
        <v>353</v>
      </c>
      <c r="GK78" s="841" t="s">
        <v>353</v>
      </c>
      <c r="GL78" s="841" t="s">
        <v>1453</v>
      </c>
      <c r="GM78" s="841" t="s">
        <v>353</v>
      </c>
      <c r="GN78" s="841" t="s">
        <v>353</v>
      </c>
      <c r="GO78" s="841" t="s">
        <v>353</v>
      </c>
      <c r="GP78" s="841" t="s">
        <v>353</v>
      </c>
      <c r="GQ78" s="841" t="s">
        <v>353</v>
      </c>
      <c r="GR78" s="842">
        <v>44595.625</v>
      </c>
      <c r="GS78" s="841" t="s">
        <v>1662</v>
      </c>
      <c r="GT78" s="841" t="s">
        <v>353</v>
      </c>
      <c r="GU78" s="841" t="s">
        <v>353</v>
      </c>
      <c r="GV78" s="841" t="s">
        <v>1419</v>
      </c>
      <c r="GW78" s="841" t="s">
        <v>353</v>
      </c>
      <c r="GX78" s="841" t="s">
        <v>1556</v>
      </c>
      <c r="GY78" s="841">
        <v>36</v>
      </c>
      <c r="GZ78" s="841" t="s">
        <v>1529</v>
      </c>
      <c r="HA78" s="841" t="s">
        <v>353</v>
      </c>
      <c r="HB78" s="841" t="s">
        <v>353</v>
      </c>
      <c r="HC78" s="841" t="s">
        <v>1421</v>
      </c>
      <c r="HD78" s="841" t="s">
        <v>2143</v>
      </c>
      <c r="HE78" s="841">
        <v>12420</v>
      </c>
      <c r="HF78" s="841" t="s">
        <v>353</v>
      </c>
      <c r="HG78" s="841" t="s">
        <v>353</v>
      </c>
      <c r="HH78" s="841">
        <v>1380</v>
      </c>
      <c r="HI78" s="841" t="s">
        <v>1422</v>
      </c>
      <c r="HJ78" s="841" t="s">
        <v>353</v>
      </c>
      <c r="HK78" s="841">
        <v>828000</v>
      </c>
      <c r="HL78" s="841" t="s">
        <v>49</v>
      </c>
      <c r="HM78" s="841" t="s">
        <v>1530</v>
      </c>
      <c r="HN78" s="841" t="s">
        <v>353</v>
      </c>
      <c r="HO78" s="841" t="s">
        <v>353</v>
      </c>
      <c r="HP78" s="841">
        <v>49597.2</v>
      </c>
      <c r="HQ78" s="841" t="s">
        <v>353</v>
      </c>
      <c r="HR78" s="841" t="s">
        <v>353</v>
      </c>
      <c r="HS78" s="841">
        <v>530416.80000000005</v>
      </c>
      <c r="HT78" s="841" t="s">
        <v>353</v>
      </c>
      <c r="HU78" s="841" t="s">
        <v>353</v>
      </c>
      <c r="HV78" s="841" t="s">
        <v>353</v>
      </c>
      <c r="HW78" s="841">
        <v>1300000</v>
      </c>
      <c r="HX78" s="841" t="s">
        <v>353</v>
      </c>
      <c r="HY78" s="841" t="s">
        <v>353</v>
      </c>
      <c r="HZ78" s="841" t="s">
        <v>353</v>
      </c>
      <c r="IA78" s="841" t="s">
        <v>353</v>
      </c>
      <c r="IB78" s="841" t="s">
        <v>1424</v>
      </c>
      <c r="IC78" s="841" t="s">
        <v>353</v>
      </c>
      <c r="ID78" s="841" t="s">
        <v>353</v>
      </c>
      <c r="IE78" s="841" t="s">
        <v>353</v>
      </c>
      <c r="IF78" s="841" t="s">
        <v>353</v>
      </c>
      <c r="IG78" s="841" t="s">
        <v>353</v>
      </c>
      <c r="IH78" s="841" t="s">
        <v>353</v>
      </c>
      <c r="II78" s="841" t="s">
        <v>353</v>
      </c>
      <c r="IJ78" s="841" t="s">
        <v>353</v>
      </c>
      <c r="IK78" s="841" t="s">
        <v>353</v>
      </c>
      <c r="IL78" s="841">
        <v>790781</v>
      </c>
      <c r="IM78" s="841" t="s">
        <v>353</v>
      </c>
      <c r="IN78" s="841" t="s">
        <v>353</v>
      </c>
      <c r="IO78" s="841">
        <v>199</v>
      </c>
      <c r="IP78" s="841" t="s">
        <v>353</v>
      </c>
      <c r="IQ78" s="841" t="s">
        <v>353</v>
      </c>
      <c r="IR78" s="841">
        <v>6</v>
      </c>
      <c r="IS78" s="841" t="s">
        <v>33</v>
      </c>
      <c r="IT78" s="841" t="s">
        <v>353</v>
      </c>
      <c r="IU78" s="841" t="s">
        <v>353</v>
      </c>
      <c r="IV78" s="841" t="s">
        <v>353</v>
      </c>
      <c r="IW78" s="841" t="s">
        <v>353</v>
      </c>
      <c r="IX78" s="841" t="s">
        <v>353</v>
      </c>
      <c r="IY78" s="841" t="s">
        <v>1578</v>
      </c>
      <c r="IZ78" s="841" t="s">
        <v>353</v>
      </c>
      <c r="JA78" s="841">
        <v>828000</v>
      </c>
      <c r="JB78" s="841" t="s">
        <v>353</v>
      </c>
      <c r="JC78" s="841" t="s">
        <v>353</v>
      </c>
      <c r="JD78" s="841" t="s">
        <v>1527</v>
      </c>
      <c r="JE78" s="841" t="s">
        <v>33</v>
      </c>
      <c r="JF78" s="841" t="s">
        <v>1891</v>
      </c>
      <c r="JG78" s="841" t="s">
        <v>1892</v>
      </c>
      <c r="JH78" s="841" t="s">
        <v>2144</v>
      </c>
      <c r="JI78" s="841" t="s">
        <v>2145</v>
      </c>
    </row>
    <row r="79" spans="1:269" x14ac:dyDescent="0.25">
      <c r="A79" s="841" t="s">
        <v>2146</v>
      </c>
      <c r="B79" s="841" t="s">
        <v>353</v>
      </c>
      <c r="C79" s="841" t="s">
        <v>353</v>
      </c>
      <c r="D79" s="841" t="s">
        <v>353</v>
      </c>
      <c r="E79" s="841" t="s">
        <v>353</v>
      </c>
      <c r="F79" s="841" t="s">
        <v>353</v>
      </c>
      <c r="G79" s="841" t="s">
        <v>2147</v>
      </c>
      <c r="H79" s="841" t="s">
        <v>353</v>
      </c>
      <c r="I79" s="841" t="s">
        <v>353</v>
      </c>
      <c r="J79" s="841" t="s">
        <v>353</v>
      </c>
      <c r="K79" s="841" t="s">
        <v>353</v>
      </c>
      <c r="L79" s="842">
        <v>44596.6875</v>
      </c>
      <c r="M79" s="841" t="s">
        <v>353</v>
      </c>
      <c r="N79" s="841" t="s">
        <v>353</v>
      </c>
      <c r="O79" s="841" t="s">
        <v>353</v>
      </c>
      <c r="P79" s="841" t="s">
        <v>353</v>
      </c>
      <c r="Q79" s="841" t="s">
        <v>353</v>
      </c>
      <c r="R79" s="841" t="s">
        <v>353</v>
      </c>
      <c r="S79" s="841" t="s">
        <v>61</v>
      </c>
      <c r="T79" s="841" t="s">
        <v>1390</v>
      </c>
      <c r="U79" s="841" t="s">
        <v>353</v>
      </c>
      <c r="V79" s="841" t="s">
        <v>353</v>
      </c>
      <c r="W79" s="841" t="s">
        <v>353</v>
      </c>
      <c r="X79" s="841" t="s">
        <v>1435</v>
      </c>
      <c r="Y79" s="841" t="s">
        <v>353</v>
      </c>
      <c r="Z79" s="841" t="s">
        <v>353</v>
      </c>
      <c r="AA79" s="841" t="s">
        <v>353</v>
      </c>
      <c r="AB79" s="841" t="s">
        <v>353</v>
      </c>
      <c r="AC79" s="841">
        <v>112400</v>
      </c>
      <c r="AD79" s="841" t="s">
        <v>353</v>
      </c>
      <c r="AE79" s="841" t="s">
        <v>353</v>
      </c>
      <c r="AF79" s="841" t="s">
        <v>353</v>
      </c>
      <c r="AG79" s="841" t="s">
        <v>353</v>
      </c>
      <c r="AH79" s="841">
        <v>2000</v>
      </c>
      <c r="AI79" s="841" t="s">
        <v>1521</v>
      </c>
      <c r="AJ79" s="841" t="s">
        <v>353</v>
      </c>
      <c r="AK79" s="841">
        <v>75</v>
      </c>
      <c r="AL79" s="841" t="s">
        <v>353</v>
      </c>
      <c r="AM79" s="841" t="s">
        <v>353</v>
      </c>
      <c r="AN79" s="841" t="s">
        <v>353</v>
      </c>
      <c r="AO79" s="841" t="s">
        <v>353</v>
      </c>
      <c r="AP79" s="841" t="s">
        <v>353</v>
      </c>
      <c r="AQ79" s="841" t="s">
        <v>353</v>
      </c>
      <c r="AR79" s="841" t="s">
        <v>353</v>
      </c>
      <c r="AS79" s="841" t="s">
        <v>353</v>
      </c>
      <c r="AT79" s="841" t="s">
        <v>353</v>
      </c>
      <c r="AU79" s="841" t="s">
        <v>353</v>
      </c>
      <c r="AV79" s="841" t="s">
        <v>353</v>
      </c>
      <c r="AW79" s="841" t="s">
        <v>353</v>
      </c>
      <c r="AX79" s="841" t="s">
        <v>353</v>
      </c>
      <c r="AY79" s="841" t="s">
        <v>353</v>
      </c>
      <c r="AZ79" s="841" t="s">
        <v>353</v>
      </c>
      <c r="BA79" s="841" t="s">
        <v>353</v>
      </c>
      <c r="BB79" s="841" t="s">
        <v>353</v>
      </c>
      <c r="BC79" s="841">
        <v>531385</v>
      </c>
      <c r="BD79" s="841" t="s">
        <v>353</v>
      </c>
      <c r="BE79" s="841" t="s">
        <v>353</v>
      </c>
      <c r="BF79" s="841" t="s">
        <v>353</v>
      </c>
      <c r="BG79" s="841" t="s">
        <v>353</v>
      </c>
      <c r="BH79" s="841" t="s">
        <v>353</v>
      </c>
      <c r="BI79" s="841" t="s">
        <v>353</v>
      </c>
      <c r="BJ79" s="841" t="s">
        <v>353</v>
      </c>
      <c r="BK79" s="841">
        <v>65000</v>
      </c>
      <c r="BL79" s="841" t="s">
        <v>2148</v>
      </c>
      <c r="BM79" s="842">
        <v>44592.706944444442</v>
      </c>
      <c r="BN79" s="841" t="s">
        <v>353</v>
      </c>
      <c r="BO79" s="841" t="s">
        <v>353</v>
      </c>
      <c r="BP79" s="841" t="s">
        <v>353</v>
      </c>
      <c r="BQ79" s="841" t="s">
        <v>353</v>
      </c>
      <c r="BR79" s="841" t="s">
        <v>353</v>
      </c>
      <c r="BS79" s="841" t="s">
        <v>353</v>
      </c>
      <c r="BT79" s="841">
        <v>562000</v>
      </c>
      <c r="BU79" s="841" t="s">
        <v>353</v>
      </c>
      <c r="BV79" s="841" t="s">
        <v>1955</v>
      </c>
      <c r="BW79" s="841" t="s">
        <v>353</v>
      </c>
      <c r="BX79" s="841" t="s">
        <v>2148</v>
      </c>
      <c r="BY79" s="841" t="s">
        <v>353</v>
      </c>
      <c r="BZ79" s="841" t="s">
        <v>353</v>
      </c>
      <c r="CA79" s="841" t="s">
        <v>353</v>
      </c>
      <c r="CB79" s="841" t="s">
        <v>353</v>
      </c>
      <c r="CC79" s="841" t="s">
        <v>353</v>
      </c>
      <c r="CD79" s="841" t="s">
        <v>353</v>
      </c>
      <c r="CE79" s="841" t="s">
        <v>353</v>
      </c>
      <c r="CF79" s="841" t="s">
        <v>353</v>
      </c>
      <c r="CG79" s="841" t="s">
        <v>353</v>
      </c>
      <c r="CH79" s="841" t="s">
        <v>353</v>
      </c>
      <c r="CI79" s="841" t="s">
        <v>353</v>
      </c>
      <c r="CJ79" s="841" t="s">
        <v>353</v>
      </c>
      <c r="CK79" s="841">
        <v>14</v>
      </c>
      <c r="CL79" s="841" t="s">
        <v>353</v>
      </c>
      <c r="CM79" s="841">
        <v>14</v>
      </c>
      <c r="CN79" s="841" t="s">
        <v>353</v>
      </c>
      <c r="CO79" s="841" t="s">
        <v>353</v>
      </c>
      <c r="CP79" s="841" t="s">
        <v>2149</v>
      </c>
      <c r="CQ79" s="841" t="s">
        <v>353</v>
      </c>
      <c r="CR79" s="841" t="s">
        <v>353</v>
      </c>
      <c r="CS79" s="841" t="s">
        <v>353</v>
      </c>
      <c r="CT79" s="841" t="s">
        <v>353</v>
      </c>
      <c r="CU79" s="841" t="s">
        <v>1391</v>
      </c>
      <c r="CV79" s="841" t="s">
        <v>353</v>
      </c>
      <c r="CW79" s="841" t="s">
        <v>353</v>
      </c>
      <c r="CX79" s="841" t="s">
        <v>353</v>
      </c>
      <c r="CY79" s="841" t="s">
        <v>353</v>
      </c>
      <c r="CZ79" s="841" t="s">
        <v>353</v>
      </c>
      <c r="DA79" s="841" t="s">
        <v>353</v>
      </c>
      <c r="DB79" s="841" t="s">
        <v>353</v>
      </c>
      <c r="DC79" s="841" t="s">
        <v>353</v>
      </c>
      <c r="DD79" s="841" t="s">
        <v>353</v>
      </c>
      <c r="DE79" s="841" t="s">
        <v>353</v>
      </c>
      <c r="DF79" s="841">
        <v>21</v>
      </c>
      <c r="DG79" s="841" t="s">
        <v>353</v>
      </c>
      <c r="DH79" s="841" t="s">
        <v>353</v>
      </c>
      <c r="DI79" s="841" t="s">
        <v>353</v>
      </c>
      <c r="DJ79" s="841" t="s">
        <v>2150</v>
      </c>
      <c r="DK79" s="841" t="s">
        <v>353</v>
      </c>
      <c r="DL79" s="842">
        <v>44588.706944444442</v>
      </c>
      <c r="DM79" s="841" t="s">
        <v>353</v>
      </c>
      <c r="DN79" s="841" t="s">
        <v>353</v>
      </c>
      <c r="DO79" s="841" t="s">
        <v>353</v>
      </c>
      <c r="DP79" s="841" t="s">
        <v>353</v>
      </c>
      <c r="DQ79" s="841" t="s">
        <v>1434</v>
      </c>
      <c r="DR79" s="841">
        <v>750000</v>
      </c>
      <c r="DS79" s="841">
        <v>33</v>
      </c>
      <c r="DT79" s="841" t="s">
        <v>353</v>
      </c>
      <c r="DU79" s="841" t="s">
        <v>353</v>
      </c>
      <c r="DV79" s="841" t="s">
        <v>353</v>
      </c>
      <c r="DW79" s="841">
        <v>562000</v>
      </c>
      <c r="DX79" s="841" t="s">
        <v>353</v>
      </c>
      <c r="DY79" s="841" t="s">
        <v>353</v>
      </c>
      <c r="DZ79" s="841" t="s">
        <v>353</v>
      </c>
      <c r="EA79" s="841" t="s">
        <v>353</v>
      </c>
      <c r="EB79" s="841" t="s">
        <v>353</v>
      </c>
      <c r="EC79" s="841" t="s">
        <v>353</v>
      </c>
      <c r="ED79" s="841" t="s">
        <v>353</v>
      </c>
      <c r="EE79" s="841" t="s">
        <v>353</v>
      </c>
      <c r="EF79" s="841" t="s">
        <v>353</v>
      </c>
      <c r="EG79" s="841" t="s">
        <v>353</v>
      </c>
      <c r="EH79" s="841" t="s">
        <v>353</v>
      </c>
      <c r="EI79" s="841">
        <v>80759.399999999994</v>
      </c>
      <c r="EJ79" s="841" t="s">
        <v>353</v>
      </c>
      <c r="EK79" s="841" t="s">
        <v>353</v>
      </c>
      <c r="EL79" s="841" t="s">
        <v>353</v>
      </c>
      <c r="EM79" s="841" t="s">
        <v>353</v>
      </c>
      <c r="EN79" s="841" t="s">
        <v>353</v>
      </c>
      <c r="EO79" s="841" t="s">
        <v>353</v>
      </c>
      <c r="EP79" s="841" t="s">
        <v>353</v>
      </c>
      <c r="EQ79" s="841" t="s">
        <v>353</v>
      </c>
      <c r="ER79" s="841" t="s">
        <v>353</v>
      </c>
      <c r="ES79" s="841" t="s">
        <v>353</v>
      </c>
      <c r="ET79" s="841" t="s">
        <v>1496</v>
      </c>
      <c r="EU79" s="841" t="s">
        <v>353</v>
      </c>
      <c r="EV79" s="841" t="s">
        <v>353</v>
      </c>
      <c r="EW79" s="841" t="s">
        <v>353</v>
      </c>
      <c r="EX79" s="841" t="s">
        <v>353</v>
      </c>
      <c r="EY79" s="842">
        <v>44596.6875</v>
      </c>
      <c r="EZ79" s="841" t="s">
        <v>353</v>
      </c>
      <c r="FA79" s="841" t="s">
        <v>353</v>
      </c>
      <c r="FB79" s="841" t="s">
        <v>353</v>
      </c>
      <c r="FC79" s="841" t="s">
        <v>353</v>
      </c>
      <c r="FD79" s="841" t="s">
        <v>353</v>
      </c>
      <c r="FE79" s="842">
        <v>44588.707638888889</v>
      </c>
      <c r="FF79" s="841" t="s">
        <v>353</v>
      </c>
      <c r="FG79" s="841" t="s">
        <v>353</v>
      </c>
      <c r="FH79" s="841" t="s">
        <v>353</v>
      </c>
      <c r="FI79" s="841" t="s">
        <v>353</v>
      </c>
      <c r="FJ79" s="841" t="s">
        <v>353</v>
      </c>
      <c r="FK79" s="841" t="s">
        <v>353</v>
      </c>
      <c r="FL79" s="841" t="s">
        <v>353</v>
      </c>
      <c r="FM79" s="841" t="s">
        <v>353</v>
      </c>
      <c r="FN79" s="841" t="s">
        <v>353</v>
      </c>
      <c r="FO79" s="841" t="s">
        <v>353</v>
      </c>
      <c r="FP79" s="841" t="s">
        <v>353</v>
      </c>
      <c r="FQ79" s="841" t="s">
        <v>353</v>
      </c>
      <c r="FR79" s="841" t="s">
        <v>353</v>
      </c>
      <c r="FS79" s="841" t="s">
        <v>353</v>
      </c>
      <c r="FT79" s="841" t="s">
        <v>353</v>
      </c>
      <c r="FU79" s="841" t="s">
        <v>1416</v>
      </c>
      <c r="FV79" s="841" t="s">
        <v>353</v>
      </c>
      <c r="FW79" s="841" t="s">
        <v>353</v>
      </c>
      <c r="FX79" s="841" t="s">
        <v>353</v>
      </c>
      <c r="FY79" s="841" t="s">
        <v>353</v>
      </c>
      <c r="FZ79" s="841" t="s">
        <v>353</v>
      </c>
      <c r="GA79" s="841" t="s">
        <v>353</v>
      </c>
      <c r="GB79" s="841">
        <v>1</v>
      </c>
      <c r="GC79" s="841" t="s">
        <v>353</v>
      </c>
      <c r="GD79" s="841" t="s">
        <v>1417</v>
      </c>
      <c r="GE79" s="841" t="s">
        <v>353</v>
      </c>
      <c r="GF79" s="841" t="s">
        <v>353</v>
      </c>
      <c r="GG79" s="841" t="s">
        <v>353</v>
      </c>
      <c r="GH79" s="841">
        <v>112400</v>
      </c>
      <c r="GI79" s="841" t="s">
        <v>353</v>
      </c>
      <c r="GJ79" s="841" t="s">
        <v>353</v>
      </c>
      <c r="GK79" s="841" t="s">
        <v>353</v>
      </c>
      <c r="GL79" s="841" t="s">
        <v>1418</v>
      </c>
      <c r="GM79" s="841" t="s">
        <v>353</v>
      </c>
      <c r="GN79" s="841" t="s">
        <v>353</v>
      </c>
      <c r="GO79" s="841" t="s">
        <v>353</v>
      </c>
      <c r="GP79" s="841" t="s">
        <v>353</v>
      </c>
      <c r="GQ79" s="841" t="s">
        <v>353</v>
      </c>
      <c r="GR79" s="842">
        <v>44596.6875</v>
      </c>
      <c r="GS79" s="841" t="s">
        <v>1955</v>
      </c>
      <c r="GT79" s="841" t="s">
        <v>353</v>
      </c>
      <c r="GU79" s="841" t="s">
        <v>353</v>
      </c>
      <c r="GV79" s="841" t="s">
        <v>1419</v>
      </c>
      <c r="GW79" s="841" t="s">
        <v>353</v>
      </c>
      <c r="GX79" s="841" t="s">
        <v>2151</v>
      </c>
      <c r="GY79" s="841">
        <v>36</v>
      </c>
      <c r="GZ79" s="841" t="s">
        <v>1486</v>
      </c>
      <c r="HA79" s="841" t="s">
        <v>353</v>
      </c>
      <c r="HB79" s="841" t="s">
        <v>353</v>
      </c>
      <c r="HC79" s="841" t="s">
        <v>1421</v>
      </c>
      <c r="HD79" s="841" t="s">
        <v>2152</v>
      </c>
      <c r="HE79" s="841" t="s">
        <v>353</v>
      </c>
      <c r="HF79" s="841" t="s">
        <v>353</v>
      </c>
      <c r="HG79" s="841" t="s">
        <v>353</v>
      </c>
      <c r="HH79" s="841" t="s">
        <v>353</v>
      </c>
      <c r="HI79" s="841" t="s">
        <v>1422</v>
      </c>
      <c r="HJ79" s="841" t="s">
        <v>353</v>
      </c>
      <c r="HK79" s="841">
        <v>562000</v>
      </c>
      <c r="HL79" s="841" t="s">
        <v>353</v>
      </c>
      <c r="HM79" s="841" t="s">
        <v>1530</v>
      </c>
      <c r="HN79" s="841" t="s">
        <v>353</v>
      </c>
      <c r="HO79" s="841" t="s">
        <v>353</v>
      </c>
      <c r="HP79" s="841">
        <v>26919.8</v>
      </c>
      <c r="HQ79" s="841" t="s">
        <v>353</v>
      </c>
      <c r="HR79" s="841" t="s">
        <v>353</v>
      </c>
      <c r="HS79" s="841" t="s">
        <v>353</v>
      </c>
      <c r="HT79" s="841" t="s">
        <v>353</v>
      </c>
      <c r="HU79" s="841" t="s">
        <v>353</v>
      </c>
      <c r="HV79" s="841" t="s">
        <v>353</v>
      </c>
      <c r="HW79" s="841">
        <v>750000</v>
      </c>
      <c r="HX79" s="841" t="s">
        <v>353</v>
      </c>
      <c r="HY79" s="841" t="s">
        <v>353</v>
      </c>
      <c r="HZ79" s="841" t="s">
        <v>353</v>
      </c>
      <c r="IA79" s="841" t="s">
        <v>353</v>
      </c>
      <c r="IB79" s="841" t="s">
        <v>1424</v>
      </c>
      <c r="IC79" s="841" t="s">
        <v>353</v>
      </c>
      <c r="ID79" s="841" t="s">
        <v>353</v>
      </c>
      <c r="IE79" s="841" t="s">
        <v>353</v>
      </c>
      <c r="IF79" s="841" t="s">
        <v>353</v>
      </c>
      <c r="IG79" s="841" t="s">
        <v>353</v>
      </c>
      <c r="IH79" s="841" t="s">
        <v>353</v>
      </c>
      <c r="II79" s="841" t="s">
        <v>353</v>
      </c>
      <c r="IJ79" s="841" t="s">
        <v>353</v>
      </c>
      <c r="IK79" s="841" t="s">
        <v>353</v>
      </c>
      <c r="IL79" s="841" t="s">
        <v>353</v>
      </c>
      <c r="IM79" s="841" t="s">
        <v>353</v>
      </c>
      <c r="IN79" s="841" t="s">
        <v>353</v>
      </c>
      <c r="IO79" s="841" t="s">
        <v>353</v>
      </c>
      <c r="IP79" s="841" t="s">
        <v>353</v>
      </c>
      <c r="IQ79" s="841" t="s">
        <v>353</v>
      </c>
      <c r="IR79" s="841">
        <v>3</v>
      </c>
      <c r="IS79" s="841" t="s">
        <v>353</v>
      </c>
      <c r="IT79" s="841" t="s">
        <v>353</v>
      </c>
      <c r="IU79" s="841" t="s">
        <v>353</v>
      </c>
      <c r="IV79" s="841" t="s">
        <v>353</v>
      </c>
      <c r="IW79" s="841" t="s">
        <v>353</v>
      </c>
      <c r="IX79" s="841" t="s">
        <v>353</v>
      </c>
      <c r="IY79" s="841" t="s">
        <v>1622</v>
      </c>
      <c r="IZ79" s="841" t="s">
        <v>353</v>
      </c>
      <c r="JA79" s="841">
        <v>562000</v>
      </c>
      <c r="JB79" s="841" t="s">
        <v>353</v>
      </c>
      <c r="JC79" s="841" t="s">
        <v>353</v>
      </c>
      <c r="JD79" s="841" t="s">
        <v>1488</v>
      </c>
      <c r="JE79" s="841" t="s">
        <v>353</v>
      </c>
      <c r="JF79" s="841" t="s">
        <v>2153</v>
      </c>
      <c r="JG79" s="841" t="s">
        <v>2154</v>
      </c>
      <c r="JH79" s="841" t="s">
        <v>2155</v>
      </c>
      <c r="JI79" s="841" t="s">
        <v>2156</v>
      </c>
    </row>
    <row r="80" spans="1:269" x14ac:dyDescent="0.25">
      <c r="A80" s="841" t="s">
        <v>2157</v>
      </c>
      <c r="B80" s="841" t="s">
        <v>353</v>
      </c>
      <c r="C80" s="841" t="s">
        <v>353</v>
      </c>
      <c r="D80" s="841" t="s">
        <v>353</v>
      </c>
      <c r="E80" s="841" t="s">
        <v>353</v>
      </c>
      <c r="F80" s="841" t="s">
        <v>353</v>
      </c>
      <c r="G80" s="841" t="s">
        <v>2147</v>
      </c>
      <c r="H80" s="841" t="s">
        <v>353</v>
      </c>
      <c r="I80" s="841" t="s">
        <v>353</v>
      </c>
      <c r="J80" s="841" t="s">
        <v>353</v>
      </c>
      <c r="K80" s="841" t="s">
        <v>353</v>
      </c>
      <c r="L80" s="842">
        <v>44589.46875</v>
      </c>
      <c r="M80" s="841" t="s">
        <v>353</v>
      </c>
      <c r="N80" s="841" t="s">
        <v>353</v>
      </c>
      <c r="O80" s="841" t="s">
        <v>353</v>
      </c>
      <c r="P80" s="841" t="s">
        <v>353</v>
      </c>
      <c r="Q80" s="841" t="s">
        <v>353</v>
      </c>
      <c r="R80" s="841" t="s">
        <v>353</v>
      </c>
      <c r="S80" s="841" t="s">
        <v>61</v>
      </c>
      <c r="T80" s="841" t="s">
        <v>1390</v>
      </c>
      <c r="U80" s="841" t="s">
        <v>353</v>
      </c>
      <c r="V80" s="841" t="s">
        <v>353</v>
      </c>
      <c r="W80" s="841" t="s">
        <v>353</v>
      </c>
      <c r="X80" s="841" t="s">
        <v>1435</v>
      </c>
      <c r="Y80" s="841" t="s">
        <v>353</v>
      </c>
      <c r="Z80" s="841" t="s">
        <v>353</v>
      </c>
      <c r="AA80" s="841" t="s">
        <v>353</v>
      </c>
      <c r="AB80" s="841" t="s">
        <v>353</v>
      </c>
      <c r="AC80" s="841">
        <v>465000</v>
      </c>
      <c r="AD80" s="841" t="s">
        <v>353</v>
      </c>
      <c r="AE80" s="841" t="s">
        <v>353</v>
      </c>
      <c r="AF80" s="841" t="s">
        <v>353</v>
      </c>
      <c r="AG80" s="841" t="s">
        <v>353</v>
      </c>
      <c r="AH80" s="841">
        <v>8233</v>
      </c>
      <c r="AI80" s="841" t="s">
        <v>1406</v>
      </c>
      <c r="AJ80" s="841" t="s">
        <v>353</v>
      </c>
      <c r="AK80" s="841">
        <v>75</v>
      </c>
      <c r="AL80" s="841" t="s">
        <v>353</v>
      </c>
      <c r="AM80" s="841" t="s">
        <v>353</v>
      </c>
      <c r="AN80" s="841" t="s">
        <v>353</v>
      </c>
      <c r="AO80" s="841" t="s">
        <v>353</v>
      </c>
      <c r="AP80" s="841" t="s">
        <v>353</v>
      </c>
      <c r="AQ80" s="841" t="s">
        <v>353</v>
      </c>
      <c r="AR80" s="841" t="s">
        <v>353</v>
      </c>
      <c r="AS80" s="841" t="s">
        <v>353</v>
      </c>
      <c r="AT80" s="841" t="s">
        <v>353</v>
      </c>
      <c r="AU80" s="841" t="s">
        <v>353</v>
      </c>
      <c r="AV80" s="841" t="s">
        <v>353</v>
      </c>
      <c r="AW80" s="841" t="s">
        <v>353</v>
      </c>
      <c r="AX80" s="841" t="s">
        <v>353</v>
      </c>
      <c r="AY80" s="841" t="s">
        <v>353</v>
      </c>
      <c r="AZ80" s="841" t="s">
        <v>353</v>
      </c>
      <c r="BA80" s="841" t="s">
        <v>353</v>
      </c>
      <c r="BB80" s="841" t="s">
        <v>353</v>
      </c>
      <c r="BC80" s="841">
        <v>2198346</v>
      </c>
      <c r="BD80" s="841" t="s">
        <v>353</v>
      </c>
      <c r="BE80" s="841" t="s">
        <v>353</v>
      </c>
      <c r="BF80" s="841" t="s">
        <v>353</v>
      </c>
      <c r="BG80" s="841" t="s">
        <v>353</v>
      </c>
      <c r="BH80" s="841" t="s">
        <v>353</v>
      </c>
      <c r="BI80" s="841" t="s">
        <v>353</v>
      </c>
      <c r="BJ80" s="841" t="s">
        <v>353</v>
      </c>
      <c r="BK80" s="841" t="s">
        <v>353</v>
      </c>
      <c r="BL80" s="841" t="s">
        <v>2158</v>
      </c>
      <c r="BM80" s="842">
        <v>44592.68472222222</v>
      </c>
      <c r="BN80" s="841" t="s">
        <v>353</v>
      </c>
      <c r="BO80" s="841" t="s">
        <v>353</v>
      </c>
      <c r="BP80" s="841" t="s">
        <v>353</v>
      </c>
      <c r="BQ80" s="841" t="s">
        <v>353</v>
      </c>
      <c r="BR80" s="841" t="s">
        <v>353</v>
      </c>
      <c r="BS80" s="841" t="s">
        <v>353</v>
      </c>
      <c r="BT80" s="841">
        <v>2325000</v>
      </c>
      <c r="BU80" s="841" t="s">
        <v>353</v>
      </c>
      <c r="BV80" s="841" t="s">
        <v>1616</v>
      </c>
      <c r="BW80" s="841" t="s">
        <v>353</v>
      </c>
      <c r="BX80" s="841" t="s">
        <v>353</v>
      </c>
      <c r="BY80" s="841" t="s">
        <v>353</v>
      </c>
      <c r="BZ80" s="841" t="s">
        <v>353</v>
      </c>
      <c r="CA80" s="841" t="s">
        <v>353</v>
      </c>
      <c r="CB80" s="841" t="s">
        <v>353</v>
      </c>
      <c r="CC80" s="841" t="s">
        <v>353</v>
      </c>
      <c r="CD80" s="841" t="s">
        <v>353</v>
      </c>
      <c r="CE80" s="841" t="s">
        <v>353</v>
      </c>
      <c r="CF80" s="841" t="s">
        <v>353</v>
      </c>
      <c r="CG80" s="841" t="s">
        <v>353</v>
      </c>
      <c r="CH80" s="841" t="s">
        <v>353</v>
      </c>
      <c r="CI80" s="841" t="s">
        <v>353</v>
      </c>
      <c r="CJ80" s="841" t="s">
        <v>353</v>
      </c>
      <c r="CK80" s="841" t="s">
        <v>353</v>
      </c>
      <c r="CL80" s="841" t="s">
        <v>353</v>
      </c>
      <c r="CM80" s="841" t="s">
        <v>353</v>
      </c>
      <c r="CN80" s="841" t="s">
        <v>353</v>
      </c>
      <c r="CO80" s="841" t="s">
        <v>353</v>
      </c>
      <c r="CP80" s="841" t="s">
        <v>2159</v>
      </c>
      <c r="CQ80" s="841" t="s">
        <v>353</v>
      </c>
      <c r="CR80" s="841" t="s">
        <v>353</v>
      </c>
      <c r="CS80" s="841" t="s">
        <v>1405</v>
      </c>
      <c r="CT80" s="841" t="s">
        <v>353</v>
      </c>
      <c r="CU80" s="841" t="s">
        <v>1391</v>
      </c>
      <c r="CV80" s="841" t="s">
        <v>353</v>
      </c>
      <c r="CW80" s="841" t="s">
        <v>353</v>
      </c>
      <c r="CX80" s="841" t="s">
        <v>353</v>
      </c>
      <c r="CY80" s="841" t="s">
        <v>353</v>
      </c>
      <c r="CZ80" s="841">
        <v>3</v>
      </c>
      <c r="DA80" s="841" t="s">
        <v>353</v>
      </c>
      <c r="DB80" s="841" t="s">
        <v>353</v>
      </c>
      <c r="DC80" s="841" t="s">
        <v>353</v>
      </c>
      <c r="DD80" s="841" t="s">
        <v>353</v>
      </c>
      <c r="DE80" s="841" t="s">
        <v>353</v>
      </c>
      <c r="DF80" s="841">
        <v>33</v>
      </c>
      <c r="DG80" s="841" t="s">
        <v>353</v>
      </c>
      <c r="DH80" s="841" t="s">
        <v>353</v>
      </c>
      <c r="DI80" s="841" t="s">
        <v>353</v>
      </c>
      <c r="DJ80" s="841" t="s">
        <v>2126</v>
      </c>
      <c r="DK80" s="841" t="s">
        <v>353</v>
      </c>
      <c r="DL80" s="842">
        <v>44588.68472222222</v>
      </c>
      <c r="DM80" s="841" t="s">
        <v>353</v>
      </c>
      <c r="DN80" s="841" t="s">
        <v>353</v>
      </c>
      <c r="DO80" s="841" t="s">
        <v>353</v>
      </c>
      <c r="DP80" s="841" t="s">
        <v>1412</v>
      </c>
      <c r="DQ80" s="841" t="s">
        <v>1451</v>
      </c>
      <c r="DR80" s="841" t="s">
        <v>353</v>
      </c>
      <c r="DS80" s="841">
        <v>33</v>
      </c>
      <c r="DT80" s="841" t="s">
        <v>353</v>
      </c>
      <c r="DU80" s="841" t="s">
        <v>353</v>
      </c>
      <c r="DV80" s="841" t="s">
        <v>353</v>
      </c>
      <c r="DW80" s="841">
        <v>2325000</v>
      </c>
      <c r="DX80" s="841" t="s">
        <v>353</v>
      </c>
      <c r="DY80" s="841" t="s">
        <v>353</v>
      </c>
      <c r="DZ80" s="841" t="s">
        <v>353</v>
      </c>
      <c r="EA80" s="841" t="s">
        <v>353</v>
      </c>
      <c r="EB80" s="841" t="s">
        <v>353</v>
      </c>
      <c r="EC80" s="841" t="s">
        <v>353</v>
      </c>
      <c r="ED80" s="841" t="s">
        <v>353</v>
      </c>
      <c r="EE80" s="841" t="s">
        <v>353</v>
      </c>
      <c r="EF80" s="841" t="s">
        <v>353</v>
      </c>
      <c r="EG80" s="841" t="s">
        <v>353</v>
      </c>
      <c r="EH80" s="841" t="s">
        <v>353</v>
      </c>
      <c r="EI80" s="841">
        <v>334102.5</v>
      </c>
      <c r="EJ80" s="841" t="s">
        <v>353</v>
      </c>
      <c r="EK80" s="841" t="s">
        <v>353</v>
      </c>
      <c r="EL80" s="841" t="s">
        <v>353</v>
      </c>
      <c r="EM80" s="841" t="s">
        <v>353</v>
      </c>
      <c r="EN80" s="841" t="s">
        <v>353</v>
      </c>
      <c r="EO80" s="841" t="s">
        <v>353</v>
      </c>
      <c r="EP80" s="841" t="s">
        <v>353</v>
      </c>
      <c r="EQ80" s="841" t="s">
        <v>353</v>
      </c>
      <c r="ER80" s="841" t="s">
        <v>353</v>
      </c>
      <c r="ES80" s="841" t="s">
        <v>353</v>
      </c>
      <c r="ET80" s="841" t="s">
        <v>1512</v>
      </c>
      <c r="EU80" s="841" t="s">
        <v>353</v>
      </c>
      <c r="EV80" s="841" t="s">
        <v>353</v>
      </c>
      <c r="EW80" s="841" t="s">
        <v>353</v>
      </c>
      <c r="EX80" s="841" t="s">
        <v>353</v>
      </c>
      <c r="EY80" s="841" t="s">
        <v>353</v>
      </c>
      <c r="EZ80" s="841" t="s">
        <v>353</v>
      </c>
      <c r="FA80" s="841" t="s">
        <v>353</v>
      </c>
      <c r="FB80" s="841" t="s">
        <v>353</v>
      </c>
      <c r="FC80" s="841" t="s">
        <v>353</v>
      </c>
      <c r="FD80" s="841" t="s">
        <v>353</v>
      </c>
      <c r="FE80" s="842">
        <v>44588.685416666667</v>
      </c>
      <c r="FF80" s="841" t="s">
        <v>353</v>
      </c>
      <c r="FG80" s="841" t="s">
        <v>353</v>
      </c>
      <c r="FH80" s="841" t="s">
        <v>353</v>
      </c>
      <c r="FI80" s="841" t="s">
        <v>353</v>
      </c>
      <c r="FJ80" s="841" t="s">
        <v>353</v>
      </c>
      <c r="FK80" s="841" t="s">
        <v>353</v>
      </c>
      <c r="FL80" s="841" t="s">
        <v>353</v>
      </c>
      <c r="FM80" s="841" t="s">
        <v>353</v>
      </c>
      <c r="FN80" s="841" t="s">
        <v>353</v>
      </c>
      <c r="FO80" s="841" t="s">
        <v>1729</v>
      </c>
      <c r="FP80" s="841" t="s">
        <v>353</v>
      </c>
      <c r="FQ80" s="841" t="s">
        <v>353</v>
      </c>
      <c r="FR80" s="841" t="s">
        <v>353</v>
      </c>
      <c r="FS80" s="841" t="s">
        <v>353</v>
      </c>
      <c r="FT80" s="841" t="s">
        <v>353</v>
      </c>
      <c r="FU80" s="841" t="s">
        <v>1416</v>
      </c>
      <c r="FV80" s="841" t="s">
        <v>353</v>
      </c>
      <c r="FW80" s="841" t="s">
        <v>353</v>
      </c>
      <c r="FX80" s="841" t="s">
        <v>353</v>
      </c>
      <c r="FY80" s="841" t="s">
        <v>353</v>
      </c>
      <c r="FZ80" s="841" t="s">
        <v>353</v>
      </c>
      <c r="GA80" s="841" t="s">
        <v>353</v>
      </c>
      <c r="GB80" s="841">
        <v>1</v>
      </c>
      <c r="GC80" s="841" t="s">
        <v>353</v>
      </c>
      <c r="GD80" s="841" t="s">
        <v>1417</v>
      </c>
      <c r="GE80" s="841" t="s">
        <v>353</v>
      </c>
      <c r="GF80" s="841" t="s">
        <v>353</v>
      </c>
      <c r="GG80" s="841" t="s">
        <v>353</v>
      </c>
      <c r="GH80" s="841">
        <v>465000</v>
      </c>
      <c r="GI80" s="841" t="s">
        <v>353</v>
      </c>
      <c r="GJ80" s="841" t="s">
        <v>353</v>
      </c>
      <c r="GK80" s="841" t="s">
        <v>353</v>
      </c>
      <c r="GL80" s="841" t="s">
        <v>2116</v>
      </c>
      <c r="GM80" s="841" t="s">
        <v>353</v>
      </c>
      <c r="GN80" s="841" t="s">
        <v>353</v>
      </c>
      <c r="GO80" s="841" t="s">
        <v>353</v>
      </c>
      <c r="GP80" s="841" t="s">
        <v>353</v>
      </c>
      <c r="GQ80" s="841" t="s">
        <v>353</v>
      </c>
      <c r="GR80" s="841" t="s">
        <v>353</v>
      </c>
      <c r="GS80" s="841" t="s">
        <v>1616</v>
      </c>
      <c r="GT80" s="841" t="s">
        <v>353</v>
      </c>
      <c r="GU80" s="841" t="s">
        <v>353</v>
      </c>
      <c r="GV80" s="841" t="s">
        <v>1419</v>
      </c>
      <c r="GW80" s="841" t="s">
        <v>353</v>
      </c>
      <c r="GX80" s="841" t="s">
        <v>353</v>
      </c>
      <c r="GY80" s="841">
        <v>36</v>
      </c>
      <c r="GZ80" s="841" t="s">
        <v>1575</v>
      </c>
      <c r="HA80" s="841" t="s">
        <v>353</v>
      </c>
      <c r="HB80" s="841" t="s">
        <v>353</v>
      </c>
      <c r="HC80" s="841" t="s">
        <v>1421</v>
      </c>
      <c r="HD80" s="841" t="s">
        <v>2160</v>
      </c>
      <c r="HE80" s="841" t="s">
        <v>353</v>
      </c>
      <c r="HF80" s="841" t="s">
        <v>353</v>
      </c>
      <c r="HG80" s="841" t="s">
        <v>353</v>
      </c>
      <c r="HH80" s="841" t="s">
        <v>353</v>
      </c>
      <c r="HI80" s="841" t="s">
        <v>1422</v>
      </c>
      <c r="HJ80" s="841" t="s">
        <v>2118</v>
      </c>
      <c r="HK80" s="841">
        <v>2325000</v>
      </c>
      <c r="HL80" s="841" t="s">
        <v>353</v>
      </c>
      <c r="HM80" s="841" t="s">
        <v>1423</v>
      </c>
      <c r="HN80" s="841" t="s">
        <v>353</v>
      </c>
      <c r="HO80" s="841" t="s">
        <v>353</v>
      </c>
      <c r="HP80" s="841">
        <v>111367.5</v>
      </c>
      <c r="HQ80" s="841" t="s">
        <v>353</v>
      </c>
      <c r="HR80" s="841" t="s">
        <v>353</v>
      </c>
      <c r="HS80" s="841" t="s">
        <v>353</v>
      </c>
      <c r="HT80" s="841" t="s">
        <v>353</v>
      </c>
      <c r="HU80" s="841" t="s">
        <v>353</v>
      </c>
      <c r="HV80" s="841" t="s">
        <v>353</v>
      </c>
      <c r="HW80" s="841">
        <v>3100000</v>
      </c>
      <c r="HX80" s="841" t="s">
        <v>353</v>
      </c>
      <c r="HY80" s="841" t="s">
        <v>353</v>
      </c>
      <c r="HZ80" s="841" t="s">
        <v>353</v>
      </c>
      <c r="IA80" s="841" t="s">
        <v>353</v>
      </c>
      <c r="IB80" s="841" t="s">
        <v>1424</v>
      </c>
      <c r="IC80" s="841" t="s">
        <v>353</v>
      </c>
      <c r="ID80" s="841" t="s">
        <v>353</v>
      </c>
      <c r="IE80" s="841" t="s">
        <v>353</v>
      </c>
      <c r="IF80" s="841" t="s">
        <v>353</v>
      </c>
      <c r="IG80" s="841" t="s">
        <v>353</v>
      </c>
      <c r="IH80" s="841" t="s">
        <v>353</v>
      </c>
      <c r="II80" s="841" t="s">
        <v>353</v>
      </c>
      <c r="IJ80" s="841" t="s">
        <v>353</v>
      </c>
      <c r="IK80" s="841" t="s">
        <v>353</v>
      </c>
      <c r="IL80" s="841">
        <v>2233221</v>
      </c>
      <c r="IM80" s="841" t="s">
        <v>353</v>
      </c>
      <c r="IN80" s="841" t="s">
        <v>353</v>
      </c>
      <c r="IO80" s="841" t="s">
        <v>353</v>
      </c>
      <c r="IP80" s="841" t="s">
        <v>353</v>
      </c>
      <c r="IQ80" s="841" t="s">
        <v>353</v>
      </c>
      <c r="IR80" s="841">
        <v>3</v>
      </c>
      <c r="IS80" s="841" t="s">
        <v>353</v>
      </c>
      <c r="IT80" s="841" t="s">
        <v>353</v>
      </c>
      <c r="IU80" s="841" t="s">
        <v>353</v>
      </c>
      <c r="IV80" s="841" t="s">
        <v>353</v>
      </c>
      <c r="IW80" s="841" t="s">
        <v>353</v>
      </c>
      <c r="IX80" s="841" t="s">
        <v>353</v>
      </c>
      <c r="IY80" s="841" t="s">
        <v>1578</v>
      </c>
      <c r="IZ80" s="841" t="s">
        <v>353</v>
      </c>
      <c r="JA80" s="841">
        <v>2325000</v>
      </c>
      <c r="JB80" s="841" t="s">
        <v>353</v>
      </c>
      <c r="JC80" s="841" t="s">
        <v>353</v>
      </c>
      <c r="JD80" s="841" t="s">
        <v>1488</v>
      </c>
      <c r="JE80" s="841" t="s">
        <v>353</v>
      </c>
      <c r="JF80" s="841" t="s">
        <v>1781</v>
      </c>
      <c r="JG80" s="841" t="s">
        <v>1782</v>
      </c>
      <c r="JH80" s="841" t="s">
        <v>2119</v>
      </c>
      <c r="JI80" s="841" t="s">
        <v>2120</v>
      </c>
    </row>
    <row r="81" spans="1:269" x14ac:dyDescent="0.25">
      <c r="A81" s="841" t="s">
        <v>2161</v>
      </c>
      <c r="B81" s="841" t="s">
        <v>353</v>
      </c>
      <c r="C81" s="841" t="s">
        <v>353</v>
      </c>
      <c r="D81" s="841" t="s">
        <v>353</v>
      </c>
      <c r="E81" s="841" t="s">
        <v>353</v>
      </c>
      <c r="F81" s="841" t="s">
        <v>353</v>
      </c>
      <c r="G81" s="841" t="s">
        <v>353</v>
      </c>
      <c r="H81" s="841" t="s">
        <v>353</v>
      </c>
      <c r="I81" s="841" t="s">
        <v>353</v>
      </c>
      <c r="J81" s="841" t="s">
        <v>353</v>
      </c>
      <c r="K81" s="841" t="s">
        <v>353</v>
      </c>
      <c r="L81" s="842">
        <v>44600.42291666667</v>
      </c>
      <c r="M81" s="841" t="s">
        <v>353</v>
      </c>
      <c r="N81" s="841" t="s">
        <v>353</v>
      </c>
      <c r="O81" s="841" t="s">
        <v>353</v>
      </c>
      <c r="P81" s="841" t="s">
        <v>353</v>
      </c>
      <c r="Q81" s="841" t="s">
        <v>353</v>
      </c>
      <c r="R81" s="841" t="s">
        <v>353</v>
      </c>
      <c r="S81" s="841" t="s">
        <v>353</v>
      </c>
      <c r="T81" s="841" t="s">
        <v>1390</v>
      </c>
      <c r="U81" s="841" t="s">
        <v>353</v>
      </c>
      <c r="V81" s="841" t="s">
        <v>353</v>
      </c>
      <c r="W81" s="841" t="s">
        <v>353</v>
      </c>
      <c r="X81" s="841" t="s">
        <v>353</v>
      </c>
      <c r="Y81" s="841" t="s">
        <v>353</v>
      </c>
      <c r="Z81" s="841" t="s">
        <v>353</v>
      </c>
      <c r="AA81" s="841" t="s">
        <v>353</v>
      </c>
      <c r="AB81" s="841" t="s">
        <v>353</v>
      </c>
      <c r="AC81" s="841" t="s">
        <v>353</v>
      </c>
      <c r="AD81" s="841" t="s">
        <v>353</v>
      </c>
      <c r="AE81" s="841" t="s">
        <v>353</v>
      </c>
      <c r="AF81" s="841" t="s">
        <v>353</v>
      </c>
      <c r="AG81" s="841" t="s">
        <v>353</v>
      </c>
      <c r="AH81" s="841" t="s">
        <v>353</v>
      </c>
      <c r="AI81" s="841" t="s">
        <v>353</v>
      </c>
      <c r="AJ81" s="841" t="s">
        <v>353</v>
      </c>
      <c r="AK81" s="841" t="s">
        <v>353</v>
      </c>
      <c r="AL81" s="841" t="s">
        <v>353</v>
      </c>
      <c r="AM81" s="841" t="s">
        <v>353</v>
      </c>
      <c r="AN81" s="841" t="s">
        <v>353</v>
      </c>
      <c r="AO81" s="841" t="s">
        <v>353</v>
      </c>
      <c r="AP81" s="841" t="s">
        <v>353</v>
      </c>
      <c r="AQ81" s="841" t="s">
        <v>353</v>
      </c>
      <c r="AR81" s="841" t="s">
        <v>353</v>
      </c>
      <c r="AS81" s="841" t="s">
        <v>353</v>
      </c>
      <c r="AT81" s="841" t="s">
        <v>353</v>
      </c>
      <c r="AU81" s="841" t="s">
        <v>353</v>
      </c>
      <c r="AV81" s="841" t="s">
        <v>353</v>
      </c>
      <c r="AW81" s="841" t="s">
        <v>353</v>
      </c>
      <c r="AX81" s="841" t="s">
        <v>353</v>
      </c>
      <c r="AY81" s="841" t="s">
        <v>353</v>
      </c>
      <c r="AZ81" s="841" t="s">
        <v>353</v>
      </c>
      <c r="BA81" s="841" t="s">
        <v>353</v>
      </c>
      <c r="BB81" s="841" t="s">
        <v>353</v>
      </c>
      <c r="BC81" s="841" t="s">
        <v>353</v>
      </c>
      <c r="BD81" s="841" t="s">
        <v>353</v>
      </c>
      <c r="BE81" s="841" t="s">
        <v>353</v>
      </c>
      <c r="BF81" s="841" t="s">
        <v>353</v>
      </c>
      <c r="BG81" s="841" t="s">
        <v>353</v>
      </c>
      <c r="BH81" s="841" t="s">
        <v>353</v>
      </c>
      <c r="BI81" s="841" t="s">
        <v>353</v>
      </c>
      <c r="BJ81" s="841" t="s">
        <v>353</v>
      </c>
      <c r="BK81" s="841" t="s">
        <v>353</v>
      </c>
      <c r="BL81" s="841" t="s">
        <v>2162</v>
      </c>
      <c r="BM81" s="842">
        <v>44592.65625</v>
      </c>
      <c r="BN81" s="841" t="s">
        <v>353</v>
      </c>
      <c r="BO81" s="841" t="s">
        <v>353</v>
      </c>
      <c r="BP81" s="841" t="s">
        <v>353</v>
      </c>
      <c r="BQ81" s="841" t="s">
        <v>353</v>
      </c>
      <c r="BR81" s="841" t="s">
        <v>353</v>
      </c>
      <c r="BS81" s="841" t="s">
        <v>353</v>
      </c>
      <c r="BT81" s="841">
        <v>200000</v>
      </c>
      <c r="BU81" s="841" t="s">
        <v>353</v>
      </c>
      <c r="BV81" s="841" t="s">
        <v>353</v>
      </c>
      <c r="BW81" s="841" t="s">
        <v>353</v>
      </c>
      <c r="BX81" s="841" t="s">
        <v>353</v>
      </c>
      <c r="BY81" s="841" t="s">
        <v>353</v>
      </c>
      <c r="BZ81" s="841" t="s">
        <v>353</v>
      </c>
      <c r="CA81" s="841" t="s">
        <v>353</v>
      </c>
      <c r="CB81" s="841" t="s">
        <v>353</v>
      </c>
      <c r="CC81" s="841" t="s">
        <v>353</v>
      </c>
      <c r="CD81" s="841" t="s">
        <v>353</v>
      </c>
      <c r="CE81" s="841" t="s">
        <v>353</v>
      </c>
      <c r="CF81" s="841" t="s">
        <v>353</v>
      </c>
      <c r="CG81" s="841" t="s">
        <v>353</v>
      </c>
      <c r="CH81" s="841" t="s">
        <v>353</v>
      </c>
      <c r="CI81" s="841" t="s">
        <v>353</v>
      </c>
      <c r="CJ81" s="841" t="s">
        <v>353</v>
      </c>
      <c r="CK81" s="841">
        <v>0</v>
      </c>
      <c r="CL81" s="841" t="s">
        <v>353</v>
      </c>
      <c r="CM81" s="841">
        <v>4</v>
      </c>
      <c r="CN81" s="841" t="s">
        <v>353</v>
      </c>
      <c r="CO81" s="841" t="s">
        <v>353</v>
      </c>
      <c r="CP81" s="841" t="s">
        <v>353</v>
      </c>
      <c r="CQ81" s="841" t="s">
        <v>353</v>
      </c>
      <c r="CR81" s="841" t="s">
        <v>353</v>
      </c>
      <c r="CS81" s="841" t="s">
        <v>353</v>
      </c>
      <c r="CT81" s="841" t="s">
        <v>353</v>
      </c>
      <c r="CU81" s="841" t="s">
        <v>1391</v>
      </c>
      <c r="CV81" s="841" t="s">
        <v>353</v>
      </c>
      <c r="CW81" s="841" t="s">
        <v>353</v>
      </c>
      <c r="CX81" s="841" t="s">
        <v>353</v>
      </c>
      <c r="CY81" s="841" t="s">
        <v>353</v>
      </c>
      <c r="CZ81" s="841" t="s">
        <v>353</v>
      </c>
      <c r="DA81" s="841" t="s">
        <v>353</v>
      </c>
      <c r="DB81" s="841" t="s">
        <v>353</v>
      </c>
      <c r="DC81" s="841" t="s">
        <v>353</v>
      </c>
      <c r="DD81" s="841" t="s">
        <v>353</v>
      </c>
      <c r="DE81" s="841" t="s">
        <v>353</v>
      </c>
      <c r="DF81" s="841" t="s">
        <v>353</v>
      </c>
      <c r="DG81" s="841" t="s">
        <v>353</v>
      </c>
      <c r="DH81" s="841" t="s">
        <v>353</v>
      </c>
      <c r="DI81" s="841" t="s">
        <v>353</v>
      </c>
      <c r="DJ81" s="841" t="s">
        <v>353</v>
      </c>
      <c r="DK81" s="841" t="s">
        <v>353</v>
      </c>
      <c r="DL81" s="842">
        <v>44588.65625</v>
      </c>
      <c r="DM81" s="841" t="s">
        <v>353</v>
      </c>
      <c r="DN81" s="841" t="s">
        <v>353</v>
      </c>
      <c r="DO81" s="841" t="s">
        <v>353</v>
      </c>
      <c r="DP81" s="841" t="s">
        <v>353</v>
      </c>
      <c r="DQ81" s="841" t="s">
        <v>673</v>
      </c>
      <c r="DR81" s="841" t="s">
        <v>353</v>
      </c>
      <c r="DS81" s="841" t="s">
        <v>353</v>
      </c>
      <c r="DT81" s="841" t="s">
        <v>353</v>
      </c>
      <c r="DU81" s="841" t="s">
        <v>353</v>
      </c>
      <c r="DV81" s="841" t="s">
        <v>353</v>
      </c>
      <c r="DW81" s="841" t="s">
        <v>353</v>
      </c>
      <c r="DX81" s="841" t="s">
        <v>353</v>
      </c>
      <c r="DY81" s="841" t="s">
        <v>353</v>
      </c>
      <c r="DZ81" s="841" t="s">
        <v>353</v>
      </c>
      <c r="EA81" s="841" t="s">
        <v>353</v>
      </c>
      <c r="EB81" s="841" t="s">
        <v>353</v>
      </c>
      <c r="EC81" s="841" t="s">
        <v>353</v>
      </c>
      <c r="ED81" s="841" t="s">
        <v>353</v>
      </c>
      <c r="EE81" s="841" t="s">
        <v>353</v>
      </c>
      <c r="EF81" s="841" t="s">
        <v>353</v>
      </c>
      <c r="EG81" s="841" t="s">
        <v>353</v>
      </c>
      <c r="EH81" s="841" t="s">
        <v>353</v>
      </c>
      <c r="EI81" s="841" t="s">
        <v>353</v>
      </c>
      <c r="EJ81" s="841" t="s">
        <v>353</v>
      </c>
      <c r="EK81" s="841" t="s">
        <v>353</v>
      </c>
      <c r="EL81" s="841" t="s">
        <v>353</v>
      </c>
      <c r="EM81" s="841" t="s">
        <v>353</v>
      </c>
      <c r="EN81" s="841" t="s">
        <v>353</v>
      </c>
      <c r="EO81" s="841" t="s">
        <v>353</v>
      </c>
      <c r="EP81" s="841" t="s">
        <v>353</v>
      </c>
      <c r="EQ81" s="841" t="s">
        <v>353</v>
      </c>
      <c r="ER81" s="841" t="s">
        <v>353</v>
      </c>
      <c r="ES81" s="841" t="s">
        <v>353</v>
      </c>
      <c r="ET81" s="841" t="s">
        <v>1414</v>
      </c>
      <c r="EU81" s="841" t="s">
        <v>353</v>
      </c>
      <c r="EV81" s="841" t="s">
        <v>353</v>
      </c>
      <c r="EW81" s="841" t="s">
        <v>353</v>
      </c>
      <c r="EX81" s="841" t="s">
        <v>353</v>
      </c>
      <c r="EY81" s="842">
        <v>44600.42291666667</v>
      </c>
      <c r="EZ81" s="841" t="s">
        <v>353</v>
      </c>
      <c r="FA81" s="841" t="s">
        <v>353</v>
      </c>
      <c r="FB81" s="841" t="s">
        <v>353</v>
      </c>
      <c r="FC81" s="841" t="s">
        <v>353</v>
      </c>
      <c r="FD81" s="841" t="s">
        <v>353</v>
      </c>
      <c r="FE81" s="842">
        <v>44588.65625</v>
      </c>
      <c r="FF81" s="841" t="s">
        <v>353</v>
      </c>
      <c r="FG81" s="841" t="s">
        <v>353</v>
      </c>
      <c r="FH81" s="841" t="s">
        <v>353</v>
      </c>
      <c r="FI81" s="841" t="s">
        <v>353</v>
      </c>
      <c r="FJ81" s="841" t="s">
        <v>353</v>
      </c>
      <c r="FK81" s="841" t="s">
        <v>353</v>
      </c>
      <c r="FL81" s="841" t="s">
        <v>353</v>
      </c>
      <c r="FM81" s="841" t="s">
        <v>353</v>
      </c>
      <c r="FN81" s="841" t="s">
        <v>353</v>
      </c>
      <c r="FO81" s="841" t="s">
        <v>353</v>
      </c>
      <c r="FP81" s="841" t="s">
        <v>353</v>
      </c>
      <c r="FQ81" s="841" t="s">
        <v>353</v>
      </c>
      <c r="FR81" s="841" t="s">
        <v>353</v>
      </c>
      <c r="FS81" s="841" t="s">
        <v>353</v>
      </c>
      <c r="FT81" s="841" t="s">
        <v>353</v>
      </c>
      <c r="FU81" s="841" t="s">
        <v>1394</v>
      </c>
      <c r="FV81" s="841" t="s">
        <v>353</v>
      </c>
      <c r="FW81" s="841" t="s">
        <v>353</v>
      </c>
      <c r="FX81" s="841" t="s">
        <v>353</v>
      </c>
      <c r="FY81" s="841" t="s">
        <v>353</v>
      </c>
      <c r="FZ81" s="841" t="s">
        <v>353</v>
      </c>
      <c r="GA81" s="841" t="s">
        <v>353</v>
      </c>
      <c r="GB81" s="841">
        <v>1</v>
      </c>
      <c r="GC81" s="841" t="s">
        <v>353</v>
      </c>
      <c r="GD81" s="841" t="s">
        <v>1417</v>
      </c>
      <c r="GE81" s="841" t="s">
        <v>353</v>
      </c>
      <c r="GF81" s="841" t="s">
        <v>353</v>
      </c>
      <c r="GG81" s="841" t="s">
        <v>353</v>
      </c>
      <c r="GH81" s="841" t="s">
        <v>353</v>
      </c>
      <c r="GI81" s="841" t="s">
        <v>353</v>
      </c>
      <c r="GJ81" s="841" t="s">
        <v>353</v>
      </c>
      <c r="GK81" s="841" t="s">
        <v>353</v>
      </c>
      <c r="GL81" s="841" t="s">
        <v>1505</v>
      </c>
      <c r="GM81" s="841" t="s">
        <v>353</v>
      </c>
      <c r="GN81" s="841" t="s">
        <v>353</v>
      </c>
      <c r="GO81" s="841" t="s">
        <v>353</v>
      </c>
      <c r="GP81" s="841" t="s">
        <v>353</v>
      </c>
      <c r="GQ81" s="841" t="s">
        <v>353</v>
      </c>
      <c r="GR81" s="841" t="s">
        <v>353</v>
      </c>
      <c r="GS81" s="841" t="s">
        <v>353</v>
      </c>
      <c r="GT81" s="841" t="s">
        <v>353</v>
      </c>
      <c r="GU81" s="841" t="s">
        <v>353</v>
      </c>
      <c r="GV81" s="841" t="s">
        <v>1419</v>
      </c>
      <c r="GW81" s="841" t="s">
        <v>353</v>
      </c>
      <c r="GX81" s="841" t="s">
        <v>353</v>
      </c>
      <c r="GY81" s="841" t="s">
        <v>353</v>
      </c>
      <c r="GZ81" s="841" t="s">
        <v>353</v>
      </c>
      <c r="HA81" s="841" t="s">
        <v>353</v>
      </c>
      <c r="HB81" s="841" t="s">
        <v>353</v>
      </c>
      <c r="HC81" s="841" t="s">
        <v>353</v>
      </c>
      <c r="HD81" s="841" t="s">
        <v>2163</v>
      </c>
      <c r="HE81" s="841" t="s">
        <v>353</v>
      </c>
      <c r="HF81" s="841" t="s">
        <v>353</v>
      </c>
      <c r="HG81" s="841" t="s">
        <v>353</v>
      </c>
      <c r="HH81" s="841" t="s">
        <v>353</v>
      </c>
      <c r="HI81" s="841" t="s">
        <v>1422</v>
      </c>
      <c r="HJ81" s="841" t="s">
        <v>353</v>
      </c>
      <c r="HK81" s="841" t="s">
        <v>353</v>
      </c>
      <c r="HL81" s="841" t="s">
        <v>353</v>
      </c>
      <c r="HM81" s="841" t="s">
        <v>353</v>
      </c>
      <c r="HN81" s="841" t="s">
        <v>353</v>
      </c>
      <c r="HO81" s="841" t="s">
        <v>353</v>
      </c>
      <c r="HP81" s="841" t="s">
        <v>353</v>
      </c>
      <c r="HQ81" s="841" t="s">
        <v>353</v>
      </c>
      <c r="HR81" s="841" t="s">
        <v>353</v>
      </c>
      <c r="HS81" s="841" t="s">
        <v>353</v>
      </c>
      <c r="HT81" s="841" t="s">
        <v>353</v>
      </c>
      <c r="HU81" s="841" t="s">
        <v>353</v>
      </c>
      <c r="HV81" s="841" t="s">
        <v>353</v>
      </c>
      <c r="HW81" s="841">
        <v>800000</v>
      </c>
      <c r="HX81" s="841" t="s">
        <v>353</v>
      </c>
      <c r="HY81" s="841" t="s">
        <v>353</v>
      </c>
      <c r="HZ81" s="841" t="s">
        <v>353</v>
      </c>
      <c r="IA81" s="841" t="s">
        <v>353</v>
      </c>
      <c r="IB81" s="841" t="s">
        <v>353</v>
      </c>
      <c r="IC81" s="841" t="s">
        <v>353</v>
      </c>
      <c r="ID81" s="841" t="s">
        <v>353</v>
      </c>
      <c r="IE81" s="841" t="s">
        <v>353</v>
      </c>
      <c r="IF81" s="841" t="s">
        <v>353</v>
      </c>
      <c r="IG81" s="841" t="s">
        <v>353</v>
      </c>
      <c r="IH81" s="841" t="s">
        <v>353</v>
      </c>
      <c r="II81" s="841" t="s">
        <v>353</v>
      </c>
      <c r="IJ81" s="841" t="s">
        <v>353</v>
      </c>
      <c r="IK81" s="841" t="s">
        <v>353</v>
      </c>
      <c r="IL81" s="841" t="s">
        <v>353</v>
      </c>
      <c r="IM81" s="841" t="s">
        <v>353</v>
      </c>
      <c r="IN81" s="841" t="s">
        <v>353</v>
      </c>
      <c r="IO81" s="841" t="s">
        <v>353</v>
      </c>
      <c r="IP81" s="841" t="s">
        <v>353</v>
      </c>
      <c r="IQ81" s="841" t="s">
        <v>353</v>
      </c>
      <c r="IR81" s="841" t="s">
        <v>353</v>
      </c>
      <c r="IS81" s="841" t="s">
        <v>353</v>
      </c>
      <c r="IT81" s="841" t="s">
        <v>353</v>
      </c>
      <c r="IU81" s="841" t="s">
        <v>353</v>
      </c>
      <c r="IV81" s="841" t="s">
        <v>353</v>
      </c>
      <c r="IW81" s="841" t="s">
        <v>353</v>
      </c>
      <c r="IX81" s="841" t="s">
        <v>353</v>
      </c>
      <c r="IY81" s="841" t="s">
        <v>353</v>
      </c>
      <c r="IZ81" s="841" t="s">
        <v>353</v>
      </c>
      <c r="JA81" s="841" t="s">
        <v>353</v>
      </c>
      <c r="JB81" s="841" t="s">
        <v>353</v>
      </c>
      <c r="JC81" s="841" t="s">
        <v>353</v>
      </c>
      <c r="JD81" s="841" t="s">
        <v>353</v>
      </c>
      <c r="JE81" s="841" t="s">
        <v>353</v>
      </c>
      <c r="JF81" s="841" t="s">
        <v>353</v>
      </c>
      <c r="JG81" s="841" t="s">
        <v>353</v>
      </c>
      <c r="JH81" s="841" t="s">
        <v>2164</v>
      </c>
      <c r="JI81" s="841" t="s">
        <v>2165</v>
      </c>
    </row>
    <row r="82" spans="1:269" x14ac:dyDescent="0.25">
      <c r="A82" s="841" t="s">
        <v>2166</v>
      </c>
      <c r="B82" s="841" t="s">
        <v>353</v>
      </c>
      <c r="C82" s="841" t="s">
        <v>1403</v>
      </c>
      <c r="D82" s="841" t="s">
        <v>353</v>
      </c>
      <c r="E82" s="841" t="s">
        <v>33</v>
      </c>
      <c r="F82" s="841" t="s">
        <v>1405</v>
      </c>
      <c r="G82" s="841" t="s">
        <v>2035</v>
      </c>
      <c r="H82" s="841" t="s">
        <v>353</v>
      </c>
      <c r="I82" s="841" t="s">
        <v>33</v>
      </c>
      <c r="J82" s="841" t="s">
        <v>353</v>
      </c>
      <c r="K82" s="841" t="s">
        <v>2167</v>
      </c>
      <c r="L82" s="842">
        <v>44607.458333333336</v>
      </c>
      <c r="M82" s="841" t="s">
        <v>353</v>
      </c>
      <c r="N82" s="841" t="s">
        <v>33</v>
      </c>
      <c r="O82" s="841" t="s">
        <v>353</v>
      </c>
      <c r="P82" s="841" t="s">
        <v>673</v>
      </c>
      <c r="Q82" s="841" t="s">
        <v>353</v>
      </c>
      <c r="R82" s="841" t="s">
        <v>353</v>
      </c>
      <c r="S82" s="841" t="s">
        <v>61</v>
      </c>
      <c r="T82" s="841" t="s">
        <v>1390</v>
      </c>
      <c r="U82" s="841" t="s">
        <v>353</v>
      </c>
      <c r="V82" s="841" t="s">
        <v>353</v>
      </c>
      <c r="W82" s="841" t="s">
        <v>1486</v>
      </c>
      <c r="X82" s="841" t="s">
        <v>1856</v>
      </c>
      <c r="Y82" s="841" t="s">
        <v>353</v>
      </c>
      <c r="Z82" s="841" t="s">
        <v>353</v>
      </c>
      <c r="AA82" s="841" t="s">
        <v>673</v>
      </c>
      <c r="AB82" s="843">
        <v>44588</v>
      </c>
      <c r="AC82" s="841">
        <v>656000</v>
      </c>
      <c r="AD82" s="841" t="s">
        <v>353</v>
      </c>
      <c r="AE82" s="841" t="s">
        <v>673</v>
      </c>
      <c r="AF82" s="841">
        <v>2345.1999999999998</v>
      </c>
      <c r="AG82" s="841" t="s">
        <v>353</v>
      </c>
      <c r="AH82" s="841">
        <v>2700</v>
      </c>
      <c r="AI82" s="841" t="s">
        <v>1406</v>
      </c>
      <c r="AJ82" s="841" t="s">
        <v>2168</v>
      </c>
      <c r="AK82" s="841">
        <v>75</v>
      </c>
      <c r="AL82" s="841" t="s">
        <v>353</v>
      </c>
      <c r="AM82" s="841">
        <v>0</v>
      </c>
      <c r="AN82" s="841" t="s">
        <v>33</v>
      </c>
      <c r="AO82" s="841" t="s">
        <v>353</v>
      </c>
      <c r="AP82" s="841" t="s">
        <v>353</v>
      </c>
      <c r="AQ82" s="841" t="s">
        <v>353</v>
      </c>
      <c r="AR82" s="841" t="s">
        <v>673</v>
      </c>
      <c r="AS82" s="841" t="s">
        <v>353</v>
      </c>
      <c r="AT82" s="841" t="s">
        <v>353</v>
      </c>
      <c r="AU82" s="841" t="s">
        <v>1405</v>
      </c>
      <c r="AV82" s="841" t="s">
        <v>353</v>
      </c>
      <c r="AW82" s="843">
        <v>44588</v>
      </c>
      <c r="AX82" s="841" t="s">
        <v>353</v>
      </c>
      <c r="AY82" s="841" t="s">
        <v>353</v>
      </c>
      <c r="AZ82" s="841" t="s">
        <v>353</v>
      </c>
      <c r="BA82" s="841" t="s">
        <v>353</v>
      </c>
      <c r="BB82" s="841" t="s">
        <v>353</v>
      </c>
      <c r="BC82" s="841">
        <v>631630</v>
      </c>
      <c r="BD82" s="841" t="s">
        <v>353</v>
      </c>
      <c r="BE82" s="841" t="s">
        <v>353</v>
      </c>
      <c r="BF82" s="841" t="s">
        <v>353</v>
      </c>
      <c r="BG82" s="841" t="s">
        <v>353</v>
      </c>
      <c r="BH82" s="841" t="s">
        <v>353</v>
      </c>
      <c r="BI82" s="841" t="s">
        <v>353</v>
      </c>
      <c r="BJ82" s="841" t="s">
        <v>353</v>
      </c>
      <c r="BK82" s="841">
        <v>637500</v>
      </c>
      <c r="BL82" s="841" t="s">
        <v>2169</v>
      </c>
      <c r="BM82" s="842">
        <v>44602.677083333336</v>
      </c>
      <c r="BN82" s="841" t="s">
        <v>353</v>
      </c>
      <c r="BO82" s="841" t="s">
        <v>353</v>
      </c>
      <c r="BP82" s="841" t="s">
        <v>33</v>
      </c>
      <c r="BQ82" s="841" t="s">
        <v>353</v>
      </c>
      <c r="BR82" s="841" t="s">
        <v>353</v>
      </c>
      <c r="BS82" s="841" t="s">
        <v>353</v>
      </c>
      <c r="BT82" s="841">
        <v>656000</v>
      </c>
      <c r="BU82" s="841" t="s">
        <v>353</v>
      </c>
      <c r="BV82" s="841" t="s">
        <v>1616</v>
      </c>
      <c r="BW82" s="841" t="s">
        <v>1578</v>
      </c>
      <c r="BX82" s="841" t="s">
        <v>2170</v>
      </c>
      <c r="BY82" s="841" t="s">
        <v>353</v>
      </c>
      <c r="BZ82" s="841" t="s">
        <v>353</v>
      </c>
      <c r="CA82" s="841" t="s">
        <v>353</v>
      </c>
      <c r="CB82" s="841" t="s">
        <v>353</v>
      </c>
      <c r="CC82" s="841" t="s">
        <v>353</v>
      </c>
      <c r="CD82" s="841" t="s">
        <v>353</v>
      </c>
      <c r="CE82" s="841" t="s">
        <v>353</v>
      </c>
      <c r="CF82" s="841" t="s">
        <v>353</v>
      </c>
      <c r="CG82" s="841" t="s">
        <v>353</v>
      </c>
      <c r="CH82" s="841" t="s">
        <v>353</v>
      </c>
      <c r="CI82" s="841" t="s">
        <v>33</v>
      </c>
      <c r="CJ82" s="841">
        <v>420</v>
      </c>
      <c r="CK82" s="841">
        <v>0</v>
      </c>
      <c r="CL82" s="841" t="s">
        <v>353</v>
      </c>
      <c r="CM82" s="841">
        <v>6</v>
      </c>
      <c r="CN82" s="841" t="s">
        <v>353</v>
      </c>
      <c r="CO82" s="841" t="s">
        <v>353</v>
      </c>
      <c r="CP82" s="841" t="s">
        <v>2171</v>
      </c>
      <c r="CQ82" s="841" t="s">
        <v>353</v>
      </c>
      <c r="CR82" s="841" t="s">
        <v>353</v>
      </c>
      <c r="CS82" s="841" t="s">
        <v>1405</v>
      </c>
      <c r="CT82" s="841" t="s">
        <v>353</v>
      </c>
      <c r="CU82" s="841" t="s">
        <v>1391</v>
      </c>
      <c r="CV82" s="841" t="s">
        <v>353</v>
      </c>
      <c r="CW82" s="841" t="s">
        <v>353</v>
      </c>
      <c r="CX82" s="841" t="s">
        <v>353</v>
      </c>
      <c r="CY82" s="841" t="s">
        <v>353</v>
      </c>
      <c r="CZ82" s="841" t="s">
        <v>353</v>
      </c>
      <c r="DA82" s="841" t="s">
        <v>353</v>
      </c>
      <c r="DB82" s="843">
        <v>44537</v>
      </c>
      <c r="DC82" s="841" t="s">
        <v>353</v>
      </c>
      <c r="DD82" s="841" t="s">
        <v>353</v>
      </c>
      <c r="DE82" s="841" t="s">
        <v>353</v>
      </c>
      <c r="DF82" s="841">
        <v>31</v>
      </c>
      <c r="DG82" s="841" t="s">
        <v>353</v>
      </c>
      <c r="DH82" s="841" t="s">
        <v>353</v>
      </c>
      <c r="DI82" s="841" t="s">
        <v>353</v>
      </c>
      <c r="DJ82" s="841" t="s">
        <v>2172</v>
      </c>
      <c r="DK82" s="841" t="s">
        <v>353</v>
      </c>
      <c r="DL82" s="842">
        <v>44588.42291666667</v>
      </c>
      <c r="DM82" s="841" t="s">
        <v>353</v>
      </c>
      <c r="DN82" s="841" t="s">
        <v>33</v>
      </c>
      <c r="DO82" s="841" t="s">
        <v>673</v>
      </c>
      <c r="DP82" s="841" t="s">
        <v>1412</v>
      </c>
      <c r="DQ82" s="841" t="s">
        <v>673</v>
      </c>
      <c r="DR82" s="841" t="s">
        <v>353</v>
      </c>
      <c r="DS82" s="841">
        <v>34</v>
      </c>
      <c r="DT82" s="841" t="s">
        <v>353</v>
      </c>
      <c r="DU82" s="841" t="s">
        <v>353</v>
      </c>
      <c r="DV82" s="841">
        <v>583315.19999999995</v>
      </c>
      <c r="DW82" s="841">
        <v>656000</v>
      </c>
      <c r="DX82" s="841" t="s">
        <v>673</v>
      </c>
      <c r="DY82" s="841" t="s">
        <v>353</v>
      </c>
      <c r="DZ82" s="841">
        <v>0</v>
      </c>
      <c r="EA82" s="841" t="s">
        <v>353</v>
      </c>
      <c r="EB82" s="841" t="s">
        <v>353</v>
      </c>
      <c r="EC82" s="841" t="s">
        <v>353</v>
      </c>
      <c r="ED82" s="841" t="s">
        <v>353</v>
      </c>
      <c r="EE82" s="841" t="s">
        <v>673</v>
      </c>
      <c r="EF82" s="841" t="s">
        <v>353</v>
      </c>
      <c r="EG82" s="841" t="s">
        <v>353</v>
      </c>
      <c r="EH82" s="841" t="s">
        <v>33</v>
      </c>
      <c r="EI82" s="841">
        <v>62844.800000000003</v>
      </c>
      <c r="EJ82" s="841" t="s">
        <v>353</v>
      </c>
      <c r="EK82" s="841" t="s">
        <v>1488</v>
      </c>
      <c r="EL82" s="841" t="s">
        <v>1930</v>
      </c>
      <c r="EM82" s="841">
        <v>9840</v>
      </c>
      <c r="EN82" s="841" t="s">
        <v>353</v>
      </c>
      <c r="EO82" s="841" t="s">
        <v>353</v>
      </c>
      <c r="EP82" s="841" t="s">
        <v>353</v>
      </c>
      <c r="EQ82" s="841" t="s">
        <v>353</v>
      </c>
      <c r="ER82" s="841" t="s">
        <v>33</v>
      </c>
      <c r="ES82" s="841" t="s">
        <v>33</v>
      </c>
      <c r="ET82" s="841" t="s">
        <v>1414</v>
      </c>
      <c r="EU82" s="841" t="s">
        <v>2173</v>
      </c>
      <c r="EV82" s="841" t="s">
        <v>353</v>
      </c>
      <c r="EW82" s="841" t="s">
        <v>353</v>
      </c>
      <c r="EX82" s="841" t="s">
        <v>33</v>
      </c>
      <c r="EY82" s="842">
        <v>44607.333333333336</v>
      </c>
      <c r="EZ82" s="842">
        <v>44610.333333333336</v>
      </c>
      <c r="FA82" s="841" t="s">
        <v>353</v>
      </c>
      <c r="FB82" s="841" t="s">
        <v>353</v>
      </c>
      <c r="FC82" s="841" t="s">
        <v>353</v>
      </c>
      <c r="FD82" s="841">
        <v>875000</v>
      </c>
      <c r="FE82" s="842">
        <v>44588.42291666667</v>
      </c>
      <c r="FF82" s="841" t="s">
        <v>353</v>
      </c>
      <c r="FG82" s="841" t="s">
        <v>2174</v>
      </c>
      <c r="FH82" s="841" t="s">
        <v>353</v>
      </c>
      <c r="FI82" s="841" t="s">
        <v>353</v>
      </c>
      <c r="FJ82" s="841" t="s">
        <v>353</v>
      </c>
      <c r="FK82" s="841" t="s">
        <v>353</v>
      </c>
      <c r="FL82" s="841" t="s">
        <v>353</v>
      </c>
      <c r="FM82" s="841" t="s">
        <v>353</v>
      </c>
      <c r="FN82" s="841" t="s">
        <v>353</v>
      </c>
      <c r="FO82" s="841" t="s">
        <v>1528</v>
      </c>
      <c r="FP82" s="841" t="s">
        <v>2175</v>
      </c>
      <c r="FQ82" s="841" t="s">
        <v>353</v>
      </c>
      <c r="FR82" s="841" t="s">
        <v>353</v>
      </c>
      <c r="FS82" s="841" t="s">
        <v>353</v>
      </c>
      <c r="FT82" s="841" t="s">
        <v>353</v>
      </c>
      <c r="FU82" s="841" t="s">
        <v>2176</v>
      </c>
      <c r="FV82" s="841" t="s">
        <v>353</v>
      </c>
      <c r="FW82" s="841" t="s">
        <v>353</v>
      </c>
      <c r="FX82" s="841" t="s">
        <v>353</v>
      </c>
      <c r="FY82" s="841" t="s">
        <v>353</v>
      </c>
      <c r="FZ82" s="841" t="s">
        <v>353</v>
      </c>
      <c r="GA82" s="841" t="s">
        <v>353</v>
      </c>
      <c r="GB82" s="841">
        <v>1</v>
      </c>
      <c r="GC82" s="841" t="s">
        <v>353</v>
      </c>
      <c r="GD82" s="841" t="s">
        <v>1417</v>
      </c>
      <c r="GE82" s="841" t="s">
        <v>353</v>
      </c>
      <c r="GF82" s="841">
        <v>0</v>
      </c>
      <c r="GG82" s="841" t="s">
        <v>349</v>
      </c>
      <c r="GH82" s="841">
        <v>656000</v>
      </c>
      <c r="GI82" s="841" t="s">
        <v>353</v>
      </c>
      <c r="GJ82" s="841">
        <v>875000</v>
      </c>
      <c r="GK82" s="841" t="s">
        <v>353</v>
      </c>
      <c r="GL82" s="841" t="s">
        <v>1418</v>
      </c>
      <c r="GM82" s="841" t="s">
        <v>353</v>
      </c>
      <c r="GN82" s="841" t="s">
        <v>353</v>
      </c>
      <c r="GO82" s="841" t="s">
        <v>353</v>
      </c>
      <c r="GP82" s="841" t="s">
        <v>353</v>
      </c>
      <c r="GQ82" s="841" t="s">
        <v>353</v>
      </c>
      <c r="GR82" s="841" t="s">
        <v>353</v>
      </c>
      <c r="GS82" s="841" t="s">
        <v>1616</v>
      </c>
      <c r="GT82" s="841" t="s">
        <v>353</v>
      </c>
      <c r="GU82" s="841" t="s">
        <v>353</v>
      </c>
      <c r="GV82" s="841" t="s">
        <v>1419</v>
      </c>
      <c r="GW82" s="841" t="s">
        <v>353</v>
      </c>
      <c r="GX82" s="841" t="s">
        <v>2177</v>
      </c>
      <c r="GY82" s="841">
        <v>36</v>
      </c>
      <c r="GZ82" s="841" t="s">
        <v>1486</v>
      </c>
      <c r="HA82" s="841" t="s">
        <v>353</v>
      </c>
      <c r="HB82" s="841" t="s">
        <v>353</v>
      </c>
      <c r="HC82" s="841" t="s">
        <v>1421</v>
      </c>
      <c r="HD82" s="841" t="s">
        <v>2171</v>
      </c>
      <c r="HE82" s="841">
        <v>6560</v>
      </c>
      <c r="HF82" s="841" t="s">
        <v>353</v>
      </c>
      <c r="HG82" s="841" t="s">
        <v>353</v>
      </c>
      <c r="HH82" s="841">
        <v>420</v>
      </c>
      <c r="HI82" s="841" t="s">
        <v>1422</v>
      </c>
      <c r="HJ82" s="841" t="s">
        <v>353</v>
      </c>
      <c r="HK82" s="841">
        <v>656000</v>
      </c>
      <c r="HL82" s="841" t="s">
        <v>49</v>
      </c>
      <c r="HM82" s="841" t="s">
        <v>1423</v>
      </c>
      <c r="HN82" s="841" t="s">
        <v>33</v>
      </c>
      <c r="HO82" s="841" t="s">
        <v>353</v>
      </c>
      <c r="HP82" s="841">
        <v>31422.400000000001</v>
      </c>
      <c r="HQ82" s="841" t="s">
        <v>353</v>
      </c>
      <c r="HR82" s="841" t="s">
        <v>353</v>
      </c>
      <c r="HS82" s="841">
        <v>593155.19999999995</v>
      </c>
      <c r="HT82" s="841" t="s">
        <v>353</v>
      </c>
      <c r="HU82" s="841" t="s">
        <v>353</v>
      </c>
      <c r="HV82" s="841" t="s">
        <v>353</v>
      </c>
      <c r="HW82" s="841">
        <v>875000</v>
      </c>
      <c r="HX82" s="841" t="s">
        <v>353</v>
      </c>
      <c r="HY82" s="841" t="s">
        <v>353</v>
      </c>
      <c r="HZ82" s="841" t="s">
        <v>353</v>
      </c>
      <c r="IA82" s="841" t="s">
        <v>353</v>
      </c>
      <c r="IB82" s="841" t="s">
        <v>1424</v>
      </c>
      <c r="IC82" s="841" t="s">
        <v>353</v>
      </c>
      <c r="ID82" s="841" t="s">
        <v>353</v>
      </c>
      <c r="IE82" s="841" t="s">
        <v>353</v>
      </c>
      <c r="IF82" s="841" t="s">
        <v>353</v>
      </c>
      <c r="IG82" s="841" t="s">
        <v>353</v>
      </c>
      <c r="IH82" s="841" t="s">
        <v>353</v>
      </c>
      <c r="II82" s="841" t="s">
        <v>353</v>
      </c>
      <c r="IJ82" s="841" t="s">
        <v>353</v>
      </c>
      <c r="IK82" s="841" t="s">
        <v>353</v>
      </c>
      <c r="IL82" s="841">
        <v>631630</v>
      </c>
      <c r="IM82" s="841" t="s">
        <v>353</v>
      </c>
      <c r="IN82" s="841" t="s">
        <v>353</v>
      </c>
      <c r="IO82" s="841">
        <v>0</v>
      </c>
      <c r="IP82" s="841">
        <v>6560</v>
      </c>
      <c r="IQ82" s="841" t="s">
        <v>353</v>
      </c>
      <c r="IR82" s="841">
        <v>2</v>
      </c>
      <c r="IS82" s="841" t="s">
        <v>33</v>
      </c>
      <c r="IT82" s="841" t="s">
        <v>353</v>
      </c>
      <c r="IU82" s="841" t="s">
        <v>33</v>
      </c>
      <c r="IV82" s="841" t="s">
        <v>353</v>
      </c>
      <c r="IW82" s="841" t="s">
        <v>353</v>
      </c>
      <c r="IX82" s="841" t="s">
        <v>353</v>
      </c>
      <c r="IY82" s="841" t="s">
        <v>353</v>
      </c>
      <c r="IZ82" s="841" t="s">
        <v>353</v>
      </c>
      <c r="JA82" s="841">
        <v>656000</v>
      </c>
      <c r="JB82" s="841" t="s">
        <v>353</v>
      </c>
      <c r="JC82" s="841" t="s">
        <v>33</v>
      </c>
      <c r="JD82" s="841" t="s">
        <v>1488</v>
      </c>
      <c r="JE82" s="841" t="s">
        <v>33</v>
      </c>
      <c r="JF82" s="841" t="s">
        <v>353</v>
      </c>
      <c r="JG82" s="841" t="s">
        <v>353</v>
      </c>
      <c r="JH82" s="841" t="s">
        <v>2178</v>
      </c>
      <c r="JI82" s="841" t="s">
        <v>2179</v>
      </c>
    </row>
    <row r="83" spans="1:269" x14ac:dyDescent="0.25">
      <c r="A83" s="841" t="s">
        <v>2180</v>
      </c>
      <c r="B83" s="841" t="s">
        <v>353</v>
      </c>
      <c r="C83" s="841" t="s">
        <v>353</v>
      </c>
      <c r="D83" s="841" t="s">
        <v>353</v>
      </c>
      <c r="E83" s="841" t="s">
        <v>353</v>
      </c>
      <c r="F83" s="841" t="s">
        <v>353</v>
      </c>
      <c r="G83" s="841" t="s">
        <v>2086</v>
      </c>
      <c r="H83" s="841" t="s">
        <v>353</v>
      </c>
      <c r="I83" s="841" t="s">
        <v>353</v>
      </c>
      <c r="J83" s="841" t="s">
        <v>353</v>
      </c>
      <c r="K83" s="841" t="s">
        <v>353</v>
      </c>
      <c r="L83" s="842">
        <v>44600.709722222222</v>
      </c>
      <c r="M83" s="841" t="s">
        <v>353</v>
      </c>
      <c r="N83" s="841" t="s">
        <v>353</v>
      </c>
      <c r="O83" s="841" t="s">
        <v>353</v>
      </c>
      <c r="P83" s="841" t="s">
        <v>353</v>
      </c>
      <c r="Q83" s="841" t="s">
        <v>353</v>
      </c>
      <c r="R83" s="841" t="s">
        <v>353</v>
      </c>
      <c r="S83" s="841" t="s">
        <v>64</v>
      </c>
      <c r="T83" s="841" t="s">
        <v>1390</v>
      </c>
      <c r="U83" s="841" t="s">
        <v>353</v>
      </c>
      <c r="V83" s="841" t="s">
        <v>353</v>
      </c>
      <c r="W83" s="841" t="s">
        <v>353</v>
      </c>
      <c r="X83" s="841" t="s">
        <v>1405</v>
      </c>
      <c r="Y83" s="841" t="s">
        <v>353</v>
      </c>
      <c r="Z83" s="841" t="s">
        <v>353</v>
      </c>
      <c r="AA83" s="841" t="s">
        <v>353</v>
      </c>
      <c r="AB83" s="841" t="s">
        <v>353</v>
      </c>
      <c r="AC83" s="841">
        <v>84000</v>
      </c>
      <c r="AD83" s="841" t="s">
        <v>353</v>
      </c>
      <c r="AE83" s="841" t="s">
        <v>353</v>
      </c>
      <c r="AF83" s="841" t="s">
        <v>353</v>
      </c>
      <c r="AG83" s="841" t="s">
        <v>353</v>
      </c>
      <c r="AH83" s="841">
        <v>2400</v>
      </c>
      <c r="AI83" s="841" t="s">
        <v>1406</v>
      </c>
      <c r="AJ83" s="841" t="s">
        <v>353</v>
      </c>
      <c r="AK83" s="841">
        <v>60</v>
      </c>
      <c r="AL83" s="841" t="s">
        <v>353</v>
      </c>
      <c r="AM83" s="841" t="s">
        <v>353</v>
      </c>
      <c r="AN83" s="841" t="s">
        <v>353</v>
      </c>
      <c r="AO83" s="841" t="s">
        <v>353</v>
      </c>
      <c r="AP83" s="841" t="s">
        <v>353</v>
      </c>
      <c r="AQ83" s="841" t="s">
        <v>353</v>
      </c>
      <c r="AR83" s="841" t="s">
        <v>353</v>
      </c>
      <c r="AS83" s="841" t="s">
        <v>353</v>
      </c>
      <c r="AT83" s="841" t="s">
        <v>353</v>
      </c>
      <c r="AU83" s="841" t="s">
        <v>353</v>
      </c>
      <c r="AV83" s="841" t="s">
        <v>353</v>
      </c>
      <c r="AW83" s="841" t="s">
        <v>353</v>
      </c>
      <c r="AX83" s="841" t="s">
        <v>353</v>
      </c>
      <c r="AY83" s="841" t="s">
        <v>353</v>
      </c>
      <c r="AZ83" s="841" t="s">
        <v>353</v>
      </c>
      <c r="BA83" s="841" t="s">
        <v>353</v>
      </c>
      <c r="BB83" s="841" t="s">
        <v>353</v>
      </c>
      <c r="BC83" s="841">
        <v>412650</v>
      </c>
      <c r="BD83" s="841" t="s">
        <v>353</v>
      </c>
      <c r="BE83" s="841" t="s">
        <v>353</v>
      </c>
      <c r="BF83" s="841" t="s">
        <v>353</v>
      </c>
      <c r="BG83" s="841" t="s">
        <v>353</v>
      </c>
      <c r="BH83" s="841" t="s">
        <v>353</v>
      </c>
      <c r="BI83" s="841" t="s">
        <v>353</v>
      </c>
      <c r="BJ83" s="841" t="s">
        <v>353</v>
      </c>
      <c r="BK83" s="841" t="s">
        <v>353</v>
      </c>
      <c r="BL83" s="841" t="s">
        <v>2181</v>
      </c>
      <c r="BM83" s="842">
        <v>44592.413888888892</v>
      </c>
      <c r="BN83" s="841" t="s">
        <v>353</v>
      </c>
      <c r="BO83" s="841" t="s">
        <v>353</v>
      </c>
      <c r="BP83" s="841" t="s">
        <v>353</v>
      </c>
      <c r="BQ83" s="841" t="s">
        <v>353</v>
      </c>
      <c r="BR83" s="841" t="s">
        <v>353</v>
      </c>
      <c r="BS83" s="841" t="s">
        <v>353</v>
      </c>
      <c r="BT83" s="841">
        <v>450000</v>
      </c>
      <c r="BU83" s="841" t="s">
        <v>353</v>
      </c>
      <c r="BV83" s="841" t="s">
        <v>2182</v>
      </c>
      <c r="BW83" s="841" t="s">
        <v>353</v>
      </c>
      <c r="BX83" s="841" t="s">
        <v>2183</v>
      </c>
      <c r="BY83" s="841" t="s">
        <v>353</v>
      </c>
      <c r="BZ83" s="841" t="s">
        <v>353</v>
      </c>
      <c r="CA83" s="841" t="s">
        <v>353</v>
      </c>
      <c r="CB83" s="841" t="s">
        <v>353</v>
      </c>
      <c r="CC83" s="841" t="s">
        <v>353</v>
      </c>
      <c r="CD83" s="841" t="s">
        <v>353</v>
      </c>
      <c r="CE83" s="841" t="s">
        <v>353</v>
      </c>
      <c r="CF83" s="841" t="s">
        <v>353</v>
      </c>
      <c r="CG83" s="841" t="s">
        <v>353</v>
      </c>
      <c r="CH83" s="841" t="s">
        <v>353</v>
      </c>
      <c r="CI83" s="841" t="s">
        <v>353</v>
      </c>
      <c r="CJ83" s="841" t="s">
        <v>353</v>
      </c>
      <c r="CK83" s="841">
        <v>2</v>
      </c>
      <c r="CL83" s="841" t="s">
        <v>353</v>
      </c>
      <c r="CM83" s="841">
        <v>2</v>
      </c>
      <c r="CN83" s="841" t="s">
        <v>353</v>
      </c>
      <c r="CO83" s="841" t="s">
        <v>353</v>
      </c>
      <c r="CP83" s="841" t="s">
        <v>2184</v>
      </c>
      <c r="CQ83" s="841" t="s">
        <v>353</v>
      </c>
      <c r="CR83" s="841" t="s">
        <v>353</v>
      </c>
      <c r="CS83" s="841" t="s">
        <v>353</v>
      </c>
      <c r="CT83" s="841" t="s">
        <v>353</v>
      </c>
      <c r="CU83" s="841" t="s">
        <v>1391</v>
      </c>
      <c r="CV83" s="841" t="s">
        <v>353</v>
      </c>
      <c r="CW83" s="841" t="s">
        <v>353</v>
      </c>
      <c r="CX83" s="841" t="s">
        <v>353</v>
      </c>
      <c r="CY83" s="841" t="s">
        <v>353</v>
      </c>
      <c r="CZ83" s="841">
        <v>2</v>
      </c>
      <c r="DA83" s="841" t="s">
        <v>353</v>
      </c>
      <c r="DB83" s="841" t="s">
        <v>353</v>
      </c>
      <c r="DC83" s="841" t="s">
        <v>353</v>
      </c>
      <c r="DD83" s="841" t="s">
        <v>353</v>
      </c>
      <c r="DE83" s="841" t="s">
        <v>353</v>
      </c>
      <c r="DF83" s="841">
        <v>24</v>
      </c>
      <c r="DG83" s="841" t="s">
        <v>353</v>
      </c>
      <c r="DH83" s="841" t="s">
        <v>353</v>
      </c>
      <c r="DI83" s="841" t="s">
        <v>353</v>
      </c>
      <c r="DJ83" s="841" t="s">
        <v>2150</v>
      </c>
      <c r="DK83" s="841" t="s">
        <v>353</v>
      </c>
      <c r="DL83" s="842">
        <v>44588.413888888892</v>
      </c>
      <c r="DM83" s="841" t="s">
        <v>353</v>
      </c>
      <c r="DN83" s="841" t="s">
        <v>353</v>
      </c>
      <c r="DO83" s="841" t="s">
        <v>353</v>
      </c>
      <c r="DP83" s="841" t="s">
        <v>353</v>
      </c>
      <c r="DQ83" s="841" t="s">
        <v>1451</v>
      </c>
      <c r="DR83" s="841">
        <v>350000</v>
      </c>
      <c r="DS83" s="841">
        <v>24</v>
      </c>
      <c r="DT83" s="841" t="s">
        <v>353</v>
      </c>
      <c r="DU83" s="841" t="s">
        <v>353</v>
      </c>
      <c r="DV83" s="841" t="s">
        <v>353</v>
      </c>
      <c r="DW83" s="841">
        <v>420000</v>
      </c>
      <c r="DX83" s="841" t="s">
        <v>353</v>
      </c>
      <c r="DY83" s="841" t="s">
        <v>353</v>
      </c>
      <c r="DZ83" s="841" t="s">
        <v>353</v>
      </c>
      <c r="EA83" s="841" t="s">
        <v>353</v>
      </c>
      <c r="EB83" s="841" t="s">
        <v>353</v>
      </c>
      <c r="EC83" s="841" t="s">
        <v>353</v>
      </c>
      <c r="ED83" s="841" t="s">
        <v>353</v>
      </c>
      <c r="EE83" s="841" t="s">
        <v>353</v>
      </c>
      <c r="EF83" s="841" t="s">
        <v>353</v>
      </c>
      <c r="EG83" s="841" t="s">
        <v>353</v>
      </c>
      <c r="EH83" s="841" t="s">
        <v>353</v>
      </c>
      <c r="EI83" s="841">
        <v>0</v>
      </c>
      <c r="EJ83" s="841" t="s">
        <v>353</v>
      </c>
      <c r="EK83" s="841" t="s">
        <v>353</v>
      </c>
      <c r="EL83" s="841" t="s">
        <v>353</v>
      </c>
      <c r="EM83" s="841" t="s">
        <v>353</v>
      </c>
      <c r="EN83" s="841" t="s">
        <v>353</v>
      </c>
      <c r="EO83" s="841" t="s">
        <v>353</v>
      </c>
      <c r="EP83" s="841" t="s">
        <v>353</v>
      </c>
      <c r="EQ83" s="841" t="s">
        <v>353</v>
      </c>
      <c r="ER83" s="841" t="s">
        <v>353</v>
      </c>
      <c r="ES83" s="841" t="s">
        <v>353</v>
      </c>
      <c r="ET83" s="841" t="s">
        <v>1452</v>
      </c>
      <c r="EU83" s="841" t="s">
        <v>353</v>
      </c>
      <c r="EV83" s="841" t="s">
        <v>353</v>
      </c>
      <c r="EW83" s="841" t="s">
        <v>353</v>
      </c>
      <c r="EX83" s="841" t="s">
        <v>353</v>
      </c>
      <c r="EY83" s="842">
        <v>44587.65902777778</v>
      </c>
      <c r="EZ83" s="841" t="s">
        <v>353</v>
      </c>
      <c r="FA83" s="841" t="s">
        <v>353</v>
      </c>
      <c r="FB83" s="841" t="s">
        <v>353</v>
      </c>
      <c r="FC83" s="841" t="s">
        <v>353</v>
      </c>
      <c r="FD83" s="841" t="s">
        <v>353</v>
      </c>
      <c r="FE83" s="842">
        <v>44600.709722222222</v>
      </c>
      <c r="FF83" s="841" t="s">
        <v>353</v>
      </c>
      <c r="FG83" s="841" t="s">
        <v>353</v>
      </c>
      <c r="FH83" s="841" t="s">
        <v>353</v>
      </c>
      <c r="FI83" s="841" t="s">
        <v>353</v>
      </c>
      <c r="FJ83" s="841" t="s">
        <v>353</v>
      </c>
      <c r="FK83" s="841" t="s">
        <v>353</v>
      </c>
      <c r="FL83" s="841" t="s">
        <v>353</v>
      </c>
      <c r="FM83" s="841" t="s">
        <v>353</v>
      </c>
      <c r="FN83" s="841" t="s">
        <v>353</v>
      </c>
      <c r="FO83" s="841" t="s">
        <v>1528</v>
      </c>
      <c r="FP83" s="841" t="s">
        <v>353</v>
      </c>
      <c r="FQ83" s="841" t="s">
        <v>353</v>
      </c>
      <c r="FR83" s="841" t="s">
        <v>353</v>
      </c>
      <c r="FS83" s="841" t="s">
        <v>353</v>
      </c>
      <c r="FT83" s="841" t="s">
        <v>353</v>
      </c>
      <c r="FU83" s="841" t="s">
        <v>1416</v>
      </c>
      <c r="FV83" s="841" t="s">
        <v>353</v>
      </c>
      <c r="FW83" s="841" t="s">
        <v>353</v>
      </c>
      <c r="FX83" s="841" t="s">
        <v>353</v>
      </c>
      <c r="FY83" s="841" t="s">
        <v>353</v>
      </c>
      <c r="FZ83" s="841" t="s">
        <v>353</v>
      </c>
      <c r="GA83" s="841" t="s">
        <v>353</v>
      </c>
      <c r="GB83" s="841">
        <v>1</v>
      </c>
      <c r="GC83" s="841" t="s">
        <v>353</v>
      </c>
      <c r="GD83" s="841" t="s">
        <v>1417</v>
      </c>
      <c r="GE83" s="841" t="s">
        <v>353</v>
      </c>
      <c r="GF83" s="841" t="s">
        <v>353</v>
      </c>
      <c r="GG83" s="841" t="s">
        <v>353</v>
      </c>
      <c r="GH83" s="841">
        <v>84000</v>
      </c>
      <c r="GI83" s="841" t="s">
        <v>353</v>
      </c>
      <c r="GJ83" s="841" t="s">
        <v>353</v>
      </c>
      <c r="GK83" s="841" t="s">
        <v>353</v>
      </c>
      <c r="GL83" s="841" t="s">
        <v>1453</v>
      </c>
      <c r="GM83" s="841" t="s">
        <v>353</v>
      </c>
      <c r="GN83" s="841" t="s">
        <v>353</v>
      </c>
      <c r="GO83" s="841" t="s">
        <v>353</v>
      </c>
      <c r="GP83" s="841" t="s">
        <v>353</v>
      </c>
      <c r="GQ83" s="841" t="s">
        <v>353</v>
      </c>
      <c r="GR83" s="842">
        <v>44587.65902777778</v>
      </c>
      <c r="GS83" s="841" t="s">
        <v>2182</v>
      </c>
      <c r="GT83" s="841" t="s">
        <v>353</v>
      </c>
      <c r="GU83" s="841" t="s">
        <v>353</v>
      </c>
      <c r="GV83" s="841" t="s">
        <v>1076</v>
      </c>
      <c r="GW83" s="841" t="s">
        <v>353</v>
      </c>
      <c r="GX83" s="841" t="s">
        <v>353</v>
      </c>
      <c r="GY83" s="841">
        <v>24</v>
      </c>
      <c r="GZ83" s="841" t="s">
        <v>1420</v>
      </c>
      <c r="HA83" s="841" t="s">
        <v>353</v>
      </c>
      <c r="HB83" s="841" t="s">
        <v>353</v>
      </c>
      <c r="HC83" s="841" t="s">
        <v>1421</v>
      </c>
      <c r="HD83" s="841" t="s">
        <v>2185</v>
      </c>
      <c r="HE83" s="841" t="s">
        <v>353</v>
      </c>
      <c r="HF83" s="841" t="s">
        <v>353</v>
      </c>
      <c r="HG83" s="841" t="s">
        <v>353</v>
      </c>
      <c r="HH83" s="841" t="s">
        <v>353</v>
      </c>
      <c r="HI83" s="841" t="s">
        <v>1439</v>
      </c>
      <c r="HJ83" s="841" t="s">
        <v>353</v>
      </c>
      <c r="HK83" s="841">
        <v>420000</v>
      </c>
      <c r="HL83" s="841" t="s">
        <v>353</v>
      </c>
      <c r="HM83" s="841" t="s">
        <v>1423</v>
      </c>
      <c r="HN83" s="841" t="s">
        <v>353</v>
      </c>
      <c r="HO83" s="841" t="s">
        <v>353</v>
      </c>
      <c r="HP83" s="841">
        <v>22218</v>
      </c>
      <c r="HQ83" s="841" t="s">
        <v>353</v>
      </c>
      <c r="HR83" s="841" t="s">
        <v>353</v>
      </c>
      <c r="HS83" s="841" t="s">
        <v>353</v>
      </c>
      <c r="HT83" s="841" t="s">
        <v>353</v>
      </c>
      <c r="HU83" s="841" t="s">
        <v>353</v>
      </c>
      <c r="HV83" s="841" t="s">
        <v>353</v>
      </c>
      <c r="HW83" s="841">
        <v>350000</v>
      </c>
      <c r="HX83" s="841" t="s">
        <v>353</v>
      </c>
      <c r="HY83" s="841" t="s">
        <v>353</v>
      </c>
      <c r="HZ83" s="841" t="s">
        <v>353</v>
      </c>
      <c r="IA83" s="841" t="s">
        <v>353</v>
      </c>
      <c r="IB83" s="841" t="s">
        <v>1440</v>
      </c>
      <c r="IC83" s="841" t="s">
        <v>353</v>
      </c>
      <c r="ID83" s="841" t="s">
        <v>353</v>
      </c>
      <c r="IE83" s="841" t="s">
        <v>353</v>
      </c>
      <c r="IF83" s="841" t="s">
        <v>353</v>
      </c>
      <c r="IG83" s="841" t="s">
        <v>353</v>
      </c>
      <c r="IH83" s="841" t="s">
        <v>353</v>
      </c>
      <c r="II83" s="841" t="s">
        <v>353</v>
      </c>
      <c r="IJ83" s="841" t="s">
        <v>353</v>
      </c>
      <c r="IK83" s="841" t="s">
        <v>353</v>
      </c>
      <c r="IL83" s="841" t="s">
        <v>353</v>
      </c>
      <c r="IM83" s="841" t="s">
        <v>353</v>
      </c>
      <c r="IN83" s="841" t="s">
        <v>353</v>
      </c>
      <c r="IO83" s="841" t="s">
        <v>353</v>
      </c>
      <c r="IP83" s="841" t="s">
        <v>353</v>
      </c>
      <c r="IQ83" s="841" t="s">
        <v>353</v>
      </c>
      <c r="IR83" s="841">
        <v>0</v>
      </c>
      <c r="IS83" s="841" t="s">
        <v>353</v>
      </c>
      <c r="IT83" s="841" t="s">
        <v>353</v>
      </c>
      <c r="IU83" s="841" t="s">
        <v>353</v>
      </c>
      <c r="IV83" s="841" t="s">
        <v>353</v>
      </c>
      <c r="IW83" s="841" t="s">
        <v>353</v>
      </c>
      <c r="IX83" s="841" t="s">
        <v>353</v>
      </c>
      <c r="IY83" s="841" t="s">
        <v>1578</v>
      </c>
      <c r="IZ83" s="841" t="s">
        <v>353</v>
      </c>
      <c r="JA83" s="841">
        <v>420000</v>
      </c>
      <c r="JB83" s="841" t="s">
        <v>353</v>
      </c>
      <c r="JC83" s="841" t="s">
        <v>353</v>
      </c>
      <c r="JD83" s="841" t="s">
        <v>1456</v>
      </c>
      <c r="JE83" s="841" t="s">
        <v>353</v>
      </c>
      <c r="JF83" s="841" t="s">
        <v>353</v>
      </c>
      <c r="JG83" s="841" t="s">
        <v>353</v>
      </c>
      <c r="JH83" s="841" t="s">
        <v>2022</v>
      </c>
      <c r="JI83" s="841" t="s">
        <v>2023</v>
      </c>
    </row>
    <row r="84" spans="1:269" x14ac:dyDescent="0.25">
      <c r="A84" s="841" t="s">
        <v>2186</v>
      </c>
      <c r="B84" s="841" t="s">
        <v>353</v>
      </c>
      <c r="C84" s="841" t="s">
        <v>353</v>
      </c>
      <c r="D84" s="841" t="s">
        <v>353</v>
      </c>
      <c r="E84" s="841" t="s">
        <v>33</v>
      </c>
      <c r="F84" s="841" t="s">
        <v>1435</v>
      </c>
      <c r="G84" s="841" t="s">
        <v>2086</v>
      </c>
      <c r="H84" s="841" t="s">
        <v>353</v>
      </c>
      <c r="I84" s="841" t="s">
        <v>353</v>
      </c>
      <c r="J84" s="841" t="s">
        <v>353</v>
      </c>
      <c r="K84" s="841" t="s">
        <v>353</v>
      </c>
      <c r="L84" s="842">
        <v>44608.418749999997</v>
      </c>
      <c r="M84" s="841" t="s">
        <v>353</v>
      </c>
      <c r="N84" s="841" t="s">
        <v>353</v>
      </c>
      <c r="O84" s="841" t="s">
        <v>353</v>
      </c>
      <c r="P84" s="841" t="s">
        <v>33</v>
      </c>
      <c r="Q84" s="841" t="s">
        <v>353</v>
      </c>
      <c r="R84" s="841" t="s">
        <v>353</v>
      </c>
      <c r="S84" s="841" t="s">
        <v>64</v>
      </c>
      <c r="T84" s="841" t="s">
        <v>1390</v>
      </c>
      <c r="U84" s="841" t="s">
        <v>353</v>
      </c>
      <c r="V84" s="841" t="s">
        <v>353</v>
      </c>
      <c r="W84" s="841" t="s">
        <v>1420</v>
      </c>
      <c r="X84" s="841" t="s">
        <v>2187</v>
      </c>
      <c r="Y84" s="841" t="s">
        <v>353</v>
      </c>
      <c r="Z84" s="841" t="s">
        <v>353</v>
      </c>
      <c r="AA84" s="841" t="s">
        <v>33</v>
      </c>
      <c r="AB84" s="841" t="s">
        <v>353</v>
      </c>
      <c r="AC84" s="841">
        <v>117000</v>
      </c>
      <c r="AD84" s="841" t="s">
        <v>353</v>
      </c>
      <c r="AE84" s="841" t="s">
        <v>33</v>
      </c>
      <c r="AF84" s="841" t="s">
        <v>353</v>
      </c>
      <c r="AG84" s="841" t="s">
        <v>353</v>
      </c>
      <c r="AH84" s="841">
        <v>1100</v>
      </c>
      <c r="AI84" s="841" t="s">
        <v>1535</v>
      </c>
      <c r="AJ84" s="841" t="s">
        <v>353</v>
      </c>
      <c r="AK84" s="841">
        <v>75</v>
      </c>
      <c r="AL84" s="841" t="s">
        <v>353</v>
      </c>
      <c r="AM84" s="841" t="s">
        <v>353</v>
      </c>
      <c r="AN84" s="841" t="s">
        <v>353</v>
      </c>
      <c r="AO84" s="841" t="s">
        <v>353</v>
      </c>
      <c r="AP84" s="841" t="s">
        <v>353</v>
      </c>
      <c r="AQ84" s="841" t="s">
        <v>353</v>
      </c>
      <c r="AR84" s="841" t="s">
        <v>33</v>
      </c>
      <c r="AS84" s="841" t="s">
        <v>353</v>
      </c>
      <c r="AT84" s="841" t="s">
        <v>353</v>
      </c>
      <c r="AU84" s="841" t="s">
        <v>353</v>
      </c>
      <c r="AV84" s="841" t="s">
        <v>353</v>
      </c>
      <c r="AW84" s="843">
        <v>44594</v>
      </c>
      <c r="AX84" s="841" t="s">
        <v>353</v>
      </c>
      <c r="AY84" s="841" t="s">
        <v>353</v>
      </c>
      <c r="AZ84" s="841" t="s">
        <v>353</v>
      </c>
      <c r="BA84" s="841" t="s">
        <v>353</v>
      </c>
      <c r="BB84" s="841" t="s">
        <v>353</v>
      </c>
      <c r="BC84" s="841">
        <v>186517</v>
      </c>
      <c r="BD84" s="841" t="s">
        <v>353</v>
      </c>
      <c r="BE84" s="841" t="s">
        <v>353</v>
      </c>
      <c r="BF84" s="841" t="s">
        <v>353</v>
      </c>
      <c r="BG84" s="841" t="s">
        <v>353</v>
      </c>
      <c r="BH84" s="841" t="s">
        <v>353</v>
      </c>
      <c r="BI84" s="841" t="s">
        <v>353</v>
      </c>
      <c r="BJ84" s="841" t="s">
        <v>353</v>
      </c>
      <c r="BK84" s="841" t="s">
        <v>353</v>
      </c>
      <c r="BL84" s="841" t="s">
        <v>2188</v>
      </c>
      <c r="BM84" s="842">
        <v>44592.353472222225</v>
      </c>
      <c r="BN84" s="841" t="s">
        <v>353</v>
      </c>
      <c r="BO84" s="841" t="s">
        <v>353</v>
      </c>
      <c r="BP84" s="841" t="s">
        <v>353</v>
      </c>
      <c r="BQ84" s="841" t="s">
        <v>353</v>
      </c>
      <c r="BR84" s="841" t="s">
        <v>353</v>
      </c>
      <c r="BS84" s="841" t="s">
        <v>353</v>
      </c>
      <c r="BT84" s="841">
        <v>195000</v>
      </c>
      <c r="BU84" s="841" t="s">
        <v>353</v>
      </c>
      <c r="BV84" s="841" t="s">
        <v>1843</v>
      </c>
      <c r="BW84" s="841" t="s">
        <v>1578</v>
      </c>
      <c r="BX84" s="841" t="s">
        <v>2189</v>
      </c>
      <c r="BY84" s="841" t="s">
        <v>353</v>
      </c>
      <c r="BZ84" s="841" t="s">
        <v>353</v>
      </c>
      <c r="CA84" s="841" t="s">
        <v>353</v>
      </c>
      <c r="CB84" s="841" t="s">
        <v>353</v>
      </c>
      <c r="CC84" s="841" t="s">
        <v>353</v>
      </c>
      <c r="CD84" s="841" t="s">
        <v>353</v>
      </c>
      <c r="CE84" s="841" t="s">
        <v>353</v>
      </c>
      <c r="CF84" s="841" t="s">
        <v>353</v>
      </c>
      <c r="CG84" s="841" t="s">
        <v>353</v>
      </c>
      <c r="CH84" s="841" t="s">
        <v>353</v>
      </c>
      <c r="CI84" s="841" t="s">
        <v>33</v>
      </c>
      <c r="CJ84" s="841">
        <v>960</v>
      </c>
      <c r="CK84" s="841">
        <v>0</v>
      </c>
      <c r="CL84" s="841" t="s">
        <v>353</v>
      </c>
      <c r="CM84" s="841">
        <v>1</v>
      </c>
      <c r="CN84" s="841" t="s">
        <v>353</v>
      </c>
      <c r="CO84" s="841" t="s">
        <v>353</v>
      </c>
      <c r="CP84" s="841" t="s">
        <v>2190</v>
      </c>
      <c r="CQ84" s="841" t="s">
        <v>353</v>
      </c>
      <c r="CR84" s="841" t="s">
        <v>353</v>
      </c>
      <c r="CS84" s="841" t="s">
        <v>1405</v>
      </c>
      <c r="CT84" s="841" t="s">
        <v>353</v>
      </c>
      <c r="CU84" s="841" t="s">
        <v>1391</v>
      </c>
      <c r="CV84" s="841" t="s">
        <v>353</v>
      </c>
      <c r="CW84" s="841" t="s">
        <v>353</v>
      </c>
      <c r="CX84" s="841" t="s">
        <v>353</v>
      </c>
      <c r="CY84" s="841" t="s">
        <v>353</v>
      </c>
      <c r="CZ84" s="841">
        <v>2</v>
      </c>
      <c r="DA84" s="841" t="s">
        <v>353</v>
      </c>
      <c r="DB84" s="843">
        <v>44604</v>
      </c>
      <c r="DC84" s="841" t="s">
        <v>353</v>
      </c>
      <c r="DD84" s="841" t="s">
        <v>353</v>
      </c>
      <c r="DE84" s="841" t="s">
        <v>353</v>
      </c>
      <c r="DF84" s="841">
        <v>24</v>
      </c>
      <c r="DG84" s="841" t="s">
        <v>353</v>
      </c>
      <c r="DH84" s="841" t="s">
        <v>353</v>
      </c>
      <c r="DI84" s="841" t="s">
        <v>353</v>
      </c>
      <c r="DJ84" s="841" t="s">
        <v>2191</v>
      </c>
      <c r="DK84" s="841" t="s">
        <v>353</v>
      </c>
      <c r="DL84" s="842">
        <v>44588.353472222225</v>
      </c>
      <c r="DM84" s="841" t="s">
        <v>353</v>
      </c>
      <c r="DN84" s="841" t="s">
        <v>33</v>
      </c>
      <c r="DO84" s="841" t="s">
        <v>673</v>
      </c>
      <c r="DP84" s="841" t="s">
        <v>1412</v>
      </c>
      <c r="DQ84" s="841" t="s">
        <v>1451</v>
      </c>
      <c r="DR84" s="841">
        <v>260000</v>
      </c>
      <c r="DS84" s="841">
        <v>24</v>
      </c>
      <c r="DT84" s="841" t="s">
        <v>353</v>
      </c>
      <c r="DU84" s="841" t="s">
        <v>353</v>
      </c>
      <c r="DV84" s="841">
        <v>191587.5</v>
      </c>
      <c r="DW84" s="841">
        <v>195000</v>
      </c>
      <c r="DX84" s="841" t="s">
        <v>33</v>
      </c>
      <c r="DY84" s="841" t="s">
        <v>353</v>
      </c>
      <c r="DZ84" s="841" t="s">
        <v>353</v>
      </c>
      <c r="EA84" s="841" t="s">
        <v>353</v>
      </c>
      <c r="EB84" s="841" t="s">
        <v>353</v>
      </c>
      <c r="EC84" s="841" t="s">
        <v>353</v>
      </c>
      <c r="ED84" s="841" t="s">
        <v>353</v>
      </c>
      <c r="EE84" s="841" t="s">
        <v>33</v>
      </c>
      <c r="EF84" s="841" t="s">
        <v>353</v>
      </c>
      <c r="EG84" s="841" t="s">
        <v>353</v>
      </c>
      <c r="EH84" s="841" t="s">
        <v>33</v>
      </c>
      <c r="EI84" s="841">
        <v>0</v>
      </c>
      <c r="EJ84" s="841" t="s">
        <v>353</v>
      </c>
      <c r="EK84" s="841" t="s">
        <v>353</v>
      </c>
      <c r="EL84" s="841" t="s">
        <v>1435</v>
      </c>
      <c r="EM84" s="841">
        <v>3412.5</v>
      </c>
      <c r="EN84" s="841" t="s">
        <v>353</v>
      </c>
      <c r="EO84" s="841" t="s">
        <v>353</v>
      </c>
      <c r="EP84" s="841" t="s">
        <v>353</v>
      </c>
      <c r="EQ84" s="841" t="s">
        <v>353</v>
      </c>
      <c r="ER84" s="841" t="s">
        <v>353</v>
      </c>
      <c r="ES84" s="841" t="s">
        <v>33</v>
      </c>
      <c r="ET84" s="841" t="s">
        <v>1512</v>
      </c>
      <c r="EU84" s="841" t="s">
        <v>353</v>
      </c>
      <c r="EV84" s="841" t="s">
        <v>353</v>
      </c>
      <c r="EW84" s="841" t="s">
        <v>353</v>
      </c>
      <c r="EX84" s="841" t="s">
        <v>33</v>
      </c>
      <c r="EY84" s="842">
        <v>44594.464583333334</v>
      </c>
      <c r="EZ84" s="841" t="s">
        <v>353</v>
      </c>
      <c r="FA84" s="841" t="s">
        <v>353</v>
      </c>
      <c r="FB84" s="841" t="s">
        <v>353</v>
      </c>
      <c r="FC84" s="841" t="s">
        <v>353</v>
      </c>
      <c r="FD84" s="841" t="s">
        <v>353</v>
      </c>
      <c r="FE84" s="842">
        <v>44588.395833333336</v>
      </c>
      <c r="FF84" s="841" t="s">
        <v>353</v>
      </c>
      <c r="FG84" s="841" t="s">
        <v>353</v>
      </c>
      <c r="FH84" s="841" t="s">
        <v>353</v>
      </c>
      <c r="FI84" s="841" t="s">
        <v>353</v>
      </c>
      <c r="FJ84" s="841" t="s">
        <v>353</v>
      </c>
      <c r="FK84" s="841" t="s">
        <v>353</v>
      </c>
      <c r="FL84" s="841" t="s">
        <v>353</v>
      </c>
      <c r="FM84" s="841" t="s">
        <v>353</v>
      </c>
      <c r="FN84" s="841" t="s">
        <v>353</v>
      </c>
      <c r="FO84" s="841" t="s">
        <v>1582</v>
      </c>
      <c r="FP84" s="841" t="s">
        <v>353</v>
      </c>
      <c r="FQ84" s="841" t="s">
        <v>353</v>
      </c>
      <c r="FR84" s="841" t="s">
        <v>353</v>
      </c>
      <c r="FS84" s="841" t="s">
        <v>353</v>
      </c>
      <c r="FT84" s="841" t="s">
        <v>353</v>
      </c>
      <c r="FU84" s="841" t="s">
        <v>1714</v>
      </c>
      <c r="FV84" s="841" t="s">
        <v>353</v>
      </c>
      <c r="FW84" s="841" t="s">
        <v>353</v>
      </c>
      <c r="FX84" s="841" t="s">
        <v>353</v>
      </c>
      <c r="FY84" s="841" t="s">
        <v>353</v>
      </c>
      <c r="FZ84" s="841" t="s">
        <v>353</v>
      </c>
      <c r="GA84" s="841" t="s">
        <v>353</v>
      </c>
      <c r="GB84" s="841">
        <v>1</v>
      </c>
      <c r="GC84" s="841" t="s">
        <v>353</v>
      </c>
      <c r="GD84" s="841" t="s">
        <v>1417</v>
      </c>
      <c r="GE84" s="841" t="s">
        <v>353</v>
      </c>
      <c r="GF84" s="841" t="s">
        <v>353</v>
      </c>
      <c r="GG84" s="841" t="s">
        <v>353</v>
      </c>
      <c r="GH84" s="841">
        <v>117000</v>
      </c>
      <c r="GI84" s="841" t="s">
        <v>353</v>
      </c>
      <c r="GJ84" s="841" t="s">
        <v>353</v>
      </c>
      <c r="GK84" s="841" t="s">
        <v>353</v>
      </c>
      <c r="GL84" s="841" t="s">
        <v>1418</v>
      </c>
      <c r="GM84" s="841" t="s">
        <v>353</v>
      </c>
      <c r="GN84" s="841" t="s">
        <v>353</v>
      </c>
      <c r="GO84" s="841" t="s">
        <v>353</v>
      </c>
      <c r="GP84" s="841" t="s">
        <v>353</v>
      </c>
      <c r="GQ84" s="841" t="s">
        <v>353</v>
      </c>
      <c r="GR84" s="841" t="s">
        <v>353</v>
      </c>
      <c r="GS84" s="841" t="s">
        <v>1843</v>
      </c>
      <c r="GT84" s="841" t="s">
        <v>353</v>
      </c>
      <c r="GU84" s="841" t="s">
        <v>353</v>
      </c>
      <c r="GV84" s="841" t="s">
        <v>1419</v>
      </c>
      <c r="GW84" s="841" t="s">
        <v>353</v>
      </c>
      <c r="GX84" s="841" t="s">
        <v>353</v>
      </c>
      <c r="GY84" s="841">
        <v>24</v>
      </c>
      <c r="GZ84" s="841" t="s">
        <v>1420</v>
      </c>
      <c r="HA84" s="841" t="s">
        <v>353</v>
      </c>
      <c r="HB84" s="841" t="s">
        <v>353</v>
      </c>
      <c r="HC84" s="841" t="s">
        <v>1421</v>
      </c>
      <c r="HD84" s="841" t="s">
        <v>2192</v>
      </c>
      <c r="HE84" s="841">
        <v>3900</v>
      </c>
      <c r="HF84" s="841" t="s">
        <v>353</v>
      </c>
      <c r="HG84" s="841" t="s">
        <v>353</v>
      </c>
      <c r="HH84" s="841">
        <v>840</v>
      </c>
      <c r="HI84" s="841" t="s">
        <v>1422</v>
      </c>
      <c r="HJ84" s="841" t="s">
        <v>2193</v>
      </c>
      <c r="HK84" s="841">
        <v>195000</v>
      </c>
      <c r="HL84" s="841" t="s">
        <v>353</v>
      </c>
      <c r="HM84" s="841" t="s">
        <v>1423</v>
      </c>
      <c r="HN84" s="841" t="s">
        <v>353</v>
      </c>
      <c r="HO84" s="841" t="s">
        <v>353</v>
      </c>
      <c r="HP84" s="841">
        <v>10315.5</v>
      </c>
      <c r="HQ84" s="841" t="s">
        <v>353</v>
      </c>
      <c r="HR84" s="841" t="s">
        <v>353</v>
      </c>
      <c r="HS84" s="841">
        <v>195000</v>
      </c>
      <c r="HT84" s="841" t="s">
        <v>353</v>
      </c>
      <c r="HU84" s="841" t="s">
        <v>353</v>
      </c>
      <c r="HV84" s="841" t="s">
        <v>353</v>
      </c>
      <c r="HW84" s="841">
        <v>260000</v>
      </c>
      <c r="HX84" s="841" t="s">
        <v>353</v>
      </c>
      <c r="HY84" s="841" t="s">
        <v>353</v>
      </c>
      <c r="HZ84" s="841" t="s">
        <v>353</v>
      </c>
      <c r="IA84" s="841" t="s">
        <v>353</v>
      </c>
      <c r="IB84" s="841" t="s">
        <v>1424</v>
      </c>
      <c r="IC84" s="841" t="s">
        <v>353</v>
      </c>
      <c r="ID84" s="841" t="s">
        <v>353</v>
      </c>
      <c r="IE84" s="841" t="s">
        <v>353</v>
      </c>
      <c r="IF84" s="841" t="s">
        <v>353</v>
      </c>
      <c r="IG84" s="841" t="s">
        <v>353</v>
      </c>
      <c r="IH84" s="841" t="s">
        <v>353</v>
      </c>
      <c r="II84" s="841" t="s">
        <v>353</v>
      </c>
      <c r="IJ84" s="841">
        <v>119</v>
      </c>
      <c r="IK84" s="841" t="s">
        <v>353</v>
      </c>
      <c r="IL84" s="841">
        <v>189930</v>
      </c>
      <c r="IM84" s="841" t="s">
        <v>353</v>
      </c>
      <c r="IN84" s="841" t="s">
        <v>353</v>
      </c>
      <c r="IO84" s="841">
        <v>199</v>
      </c>
      <c r="IP84" s="841" t="s">
        <v>353</v>
      </c>
      <c r="IQ84" s="841" t="s">
        <v>353</v>
      </c>
      <c r="IR84" s="841">
        <v>0</v>
      </c>
      <c r="IS84" s="841" t="s">
        <v>33</v>
      </c>
      <c r="IT84" s="841" t="s">
        <v>353</v>
      </c>
      <c r="IU84" s="841" t="s">
        <v>353</v>
      </c>
      <c r="IV84" s="841" t="s">
        <v>353</v>
      </c>
      <c r="IW84" s="841" t="s">
        <v>353</v>
      </c>
      <c r="IX84" s="841" t="s">
        <v>353</v>
      </c>
      <c r="IY84" s="841" t="s">
        <v>1622</v>
      </c>
      <c r="IZ84" s="841" t="s">
        <v>353</v>
      </c>
      <c r="JA84" s="841">
        <v>195000</v>
      </c>
      <c r="JB84" s="841" t="s">
        <v>353</v>
      </c>
      <c r="JC84" s="841" t="s">
        <v>353</v>
      </c>
      <c r="JD84" s="841" t="s">
        <v>1456</v>
      </c>
      <c r="JE84" s="841" t="s">
        <v>33</v>
      </c>
      <c r="JF84" s="841" t="s">
        <v>1865</v>
      </c>
      <c r="JG84" s="841" t="s">
        <v>1866</v>
      </c>
      <c r="JH84" s="841" t="s">
        <v>2194</v>
      </c>
      <c r="JI84" s="841" t="s">
        <v>2195</v>
      </c>
    </row>
    <row r="85" spans="1:269" x14ac:dyDescent="0.25">
      <c r="A85" s="841" t="s">
        <v>2196</v>
      </c>
      <c r="B85" s="841" t="s">
        <v>353</v>
      </c>
      <c r="C85" s="841" t="s">
        <v>353</v>
      </c>
      <c r="D85" s="841" t="s">
        <v>353</v>
      </c>
      <c r="E85" s="841" t="s">
        <v>33</v>
      </c>
      <c r="F85" s="841" t="s">
        <v>1405</v>
      </c>
      <c r="G85" s="841" t="s">
        <v>2197</v>
      </c>
      <c r="H85" s="841" t="s">
        <v>353</v>
      </c>
      <c r="I85" s="841" t="s">
        <v>353</v>
      </c>
      <c r="J85" s="841" t="s">
        <v>353</v>
      </c>
      <c r="K85" s="841" t="s">
        <v>2167</v>
      </c>
      <c r="L85" s="842">
        <v>44603.53125</v>
      </c>
      <c r="M85" s="841" t="s">
        <v>353</v>
      </c>
      <c r="N85" s="841" t="s">
        <v>33</v>
      </c>
      <c r="O85" s="841" t="s">
        <v>353</v>
      </c>
      <c r="P85" s="841" t="s">
        <v>33</v>
      </c>
      <c r="Q85" s="841" t="s">
        <v>353</v>
      </c>
      <c r="R85" s="841" t="s">
        <v>353</v>
      </c>
      <c r="S85" s="841" t="s">
        <v>61</v>
      </c>
      <c r="T85" s="841" t="s">
        <v>1390</v>
      </c>
      <c r="U85" s="841" t="s">
        <v>353</v>
      </c>
      <c r="V85" s="841" t="s">
        <v>353</v>
      </c>
      <c r="W85" s="841" t="s">
        <v>1575</v>
      </c>
      <c r="X85" s="841" t="s">
        <v>1405</v>
      </c>
      <c r="Y85" s="841" t="s">
        <v>353</v>
      </c>
      <c r="Z85" s="841" t="s">
        <v>353</v>
      </c>
      <c r="AA85" s="841" t="s">
        <v>33</v>
      </c>
      <c r="AB85" s="843">
        <v>44603</v>
      </c>
      <c r="AC85" s="841">
        <v>198900</v>
      </c>
      <c r="AD85" s="841" t="s">
        <v>353</v>
      </c>
      <c r="AE85" s="841" t="s">
        <v>33</v>
      </c>
      <c r="AF85" s="841" t="s">
        <v>353</v>
      </c>
      <c r="AG85" s="841" t="s">
        <v>353</v>
      </c>
      <c r="AH85" s="841">
        <v>1200</v>
      </c>
      <c r="AI85" s="841" t="s">
        <v>1521</v>
      </c>
      <c r="AJ85" s="841" t="s">
        <v>2198</v>
      </c>
      <c r="AK85" s="841">
        <v>75</v>
      </c>
      <c r="AL85" s="841" t="s">
        <v>353</v>
      </c>
      <c r="AM85" s="841" t="s">
        <v>353</v>
      </c>
      <c r="AN85" s="841" t="s">
        <v>33</v>
      </c>
      <c r="AO85" s="841" t="s">
        <v>353</v>
      </c>
      <c r="AP85" s="841" t="s">
        <v>353</v>
      </c>
      <c r="AQ85" s="841" t="s">
        <v>353</v>
      </c>
      <c r="AR85" s="841" t="s">
        <v>33</v>
      </c>
      <c r="AS85" s="841" t="s">
        <v>353</v>
      </c>
      <c r="AT85" s="841" t="s">
        <v>353</v>
      </c>
      <c r="AU85" s="841" t="s">
        <v>353</v>
      </c>
      <c r="AV85" s="841" t="s">
        <v>353</v>
      </c>
      <c r="AW85" s="843">
        <v>44589</v>
      </c>
      <c r="AX85" s="841" t="s">
        <v>353</v>
      </c>
      <c r="AY85" s="841" t="s">
        <v>353</v>
      </c>
      <c r="AZ85" s="841" t="s">
        <v>353</v>
      </c>
      <c r="BA85" s="841" t="s">
        <v>353</v>
      </c>
      <c r="BB85" s="841" t="s">
        <v>353</v>
      </c>
      <c r="BC85" s="841">
        <v>217685</v>
      </c>
      <c r="BD85" s="841" t="s">
        <v>353</v>
      </c>
      <c r="BE85" s="841" t="s">
        <v>33</v>
      </c>
      <c r="BF85" s="841" t="s">
        <v>353</v>
      </c>
      <c r="BG85" s="841" t="s">
        <v>353</v>
      </c>
      <c r="BH85" s="841" t="s">
        <v>353</v>
      </c>
      <c r="BI85" s="841" t="s">
        <v>353</v>
      </c>
      <c r="BJ85" s="841" t="s">
        <v>353</v>
      </c>
      <c r="BK85" s="841" t="s">
        <v>353</v>
      </c>
      <c r="BL85" s="841" t="s">
        <v>2199</v>
      </c>
      <c r="BM85" s="842">
        <v>44592.651388888888</v>
      </c>
      <c r="BN85" s="841" t="s">
        <v>353</v>
      </c>
      <c r="BO85" s="841" t="s">
        <v>353</v>
      </c>
      <c r="BP85" s="841" t="s">
        <v>33</v>
      </c>
      <c r="BQ85" s="841" t="s">
        <v>353</v>
      </c>
      <c r="BR85" s="841" t="s">
        <v>353</v>
      </c>
      <c r="BS85" s="841" t="s">
        <v>353</v>
      </c>
      <c r="BT85" s="841">
        <v>221000</v>
      </c>
      <c r="BU85" s="841" t="s">
        <v>353</v>
      </c>
      <c r="BV85" s="841" t="s">
        <v>1408</v>
      </c>
      <c r="BW85" s="841" t="s">
        <v>1578</v>
      </c>
      <c r="BX85" s="841" t="s">
        <v>2200</v>
      </c>
      <c r="BY85" s="841" t="s">
        <v>353</v>
      </c>
      <c r="BZ85" s="841" t="s">
        <v>353</v>
      </c>
      <c r="CA85" s="841" t="s">
        <v>353</v>
      </c>
      <c r="CB85" s="841" t="s">
        <v>353</v>
      </c>
      <c r="CC85" s="841" t="s">
        <v>353</v>
      </c>
      <c r="CD85" s="841" t="s">
        <v>353</v>
      </c>
      <c r="CE85" s="841" t="s">
        <v>353</v>
      </c>
      <c r="CF85" s="841" t="s">
        <v>353</v>
      </c>
      <c r="CG85" s="841" t="s">
        <v>353</v>
      </c>
      <c r="CH85" s="841" t="s">
        <v>353</v>
      </c>
      <c r="CI85" s="841" t="s">
        <v>33</v>
      </c>
      <c r="CJ85" s="841">
        <v>900</v>
      </c>
      <c r="CK85" s="841">
        <v>0</v>
      </c>
      <c r="CL85" s="841" t="s">
        <v>353</v>
      </c>
      <c r="CM85" s="841">
        <v>2</v>
      </c>
      <c r="CN85" s="841" t="s">
        <v>353</v>
      </c>
      <c r="CO85" s="841" t="s">
        <v>353</v>
      </c>
      <c r="CP85" s="841" t="s">
        <v>2201</v>
      </c>
      <c r="CQ85" s="841" t="s">
        <v>353</v>
      </c>
      <c r="CR85" s="841" t="s">
        <v>353</v>
      </c>
      <c r="CS85" s="841" t="s">
        <v>1405</v>
      </c>
      <c r="CT85" s="841" t="s">
        <v>353</v>
      </c>
      <c r="CU85" s="841" t="s">
        <v>1391</v>
      </c>
      <c r="CV85" s="841" t="s">
        <v>353</v>
      </c>
      <c r="CW85" s="841" t="s">
        <v>353</v>
      </c>
      <c r="CX85" s="841" t="s">
        <v>353</v>
      </c>
      <c r="CY85" s="841" t="s">
        <v>353</v>
      </c>
      <c r="CZ85" s="841">
        <v>3</v>
      </c>
      <c r="DA85" s="841" t="s">
        <v>353</v>
      </c>
      <c r="DB85" s="843">
        <v>44599</v>
      </c>
      <c r="DC85" s="841" t="s">
        <v>353</v>
      </c>
      <c r="DD85" s="841" t="s">
        <v>353</v>
      </c>
      <c r="DE85" s="841" t="s">
        <v>353</v>
      </c>
      <c r="DF85" s="841">
        <v>24</v>
      </c>
      <c r="DG85" s="841" t="s">
        <v>353</v>
      </c>
      <c r="DH85" s="841" t="s">
        <v>353</v>
      </c>
      <c r="DI85" s="841" t="s">
        <v>353</v>
      </c>
      <c r="DJ85" s="841" t="s">
        <v>2202</v>
      </c>
      <c r="DK85" s="841" t="s">
        <v>353</v>
      </c>
      <c r="DL85" s="842">
        <v>44587.651388888888</v>
      </c>
      <c r="DM85" s="841" t="s">
        <v>353</v>
      </c>
      <c r="DN85" s="841" t="s">
        <v>33</v>
      </c>
      <c r="DO85" s="841" t="s">
        <v>673</v>
      </c>
      <c r="DP85" s="841" t="s">
        <v>1481</v>
      </c>
      <c r="DQ85" s="841" t="s">
        <v>1451</v>
      </c>
      <c r="DR85" s="841">
        <v>295000</v>
      </c>
      <c r="DS85" s="841">
        <v>24</v>
      </c>
      <c r="DT85" s="841" t="s">
        <v>353</v>
      </c>
      <c r="DU85" s="841" t="s">
        <v>353</v>
      </c>
      <c r="DV85" s="841">
        <v>217685</v>
      </c>
      <c r="DW85" s="841">
        <v>221000</v>
      </c>
      <c r="DX85" s="841" t="s">
        <v>33</v>
      </c>
      <c r="DY85" s="841" t="s">
        <v>353</v>
      </c>
      <c r="DZ85" s="841">
        <v>1200</v>
      </c>
      <c r="EA85" s="841" t="s">
        <v>353</v>
      </c>
      <c r="EB85" s="841" t="s">
        <v>353</v>
      </c>
      <c r="EC85" s="841" t="s">
        <v>353</v>
      </c>
      <c r="ED85" s="841" t="s">
        <v>353</v>
      </c>
      <c r="EE85" s="841" t="s">
        <v>33</v>
      </c>
      <c r="EF85" s="841" t="s">
        <v>353</v>
      </c>
      <c r="EG85" s="841" t="s">
        <v>353</v>
      </c>
      <c r="EH85" s="841" t="s">
        <v>33</v>
      </c>
      <c r="EI85" s="841">
        <v>0</v>
      </c>
      <c r="EJ85" s="841" t="s">
        <v>353</v>
      </c>
      <c r="EK85" s="841" t="s">
        <v>353</v>
      </c>
      <c r="EL85" s="841" t="s">
        <v>1435</v>
      </c>
      <c r="EM85" s="841">
        <v>3315</v>
      </c>
      <c r="EN85" s="841" t="s">
        <v>353</v>
      </c>
      <c r="EO85" s="841" t="s">
        <v>353</v>
      </c>
      <c r="EP85" s="841" t="s">
        <v>353</v>
      </c>
      <c r="EQ85" s="841" t="s">
        <v>353</v>
      </c>
      <c r="ER85" s="841" t="s">
        <v>353</v>
      </c>
      <c r="ES85" s="841" t="s">
        <v>33</v>
      </c>
      <c r="ET85" s="841" t="s">
        <v>1512</v>
      </c>
      <c r="EU85" s="841" t="s">
        <v>1972</v>
      </c>
      <c r="EV85" s="841" t="s">
        <v>353</v>
      </c>
      <c r="EW85" s="841" t="s">
        <v>353</v>
      </c>
      <c r="EX85" s="841" t="s">
        <v>33</v>
      </c>
      <c r="EY85" s="842">
        <v>44589.503472222219</v>
      </c>
      <c r="EZ85" s="842">
        <v>44609.625</v>
      </c>
      <c r="FA85" s="841" t="s">
        <v>353</v>
      </c>
      <c r="FB85" s="841" t="s">
        <v>353</v>
      </c>
      <c r="FC85" s="841" t="s">
        <v>353</v>
      </c>
      <c r="FD85" s="841">
        <v>295000</v>
      </c>
      <c r="FE85" s="842">
        <v>44587.652083333334</v>
      </c>
      <c r="FF85" s="841" t="s">
        <v>353</v>
      </c>
      <c r="FG85" s="841" t="s">
        <v>353</v>
      </c>
      <c r="FH85" s="841" t="s">
        <v>353</v>
      </c>
      <c r="FI85" s="841" t="s">
        <v>353</v>
      </c>
      <c r="FJ85" s="841" t="s">
        <v>353</v>
      </c>
      <c r="FK85" s="841" t="s">
        <v>353</v>
      </c>
      <c r="FL85" s="841" t="s">
        <v>353</v>
      </c>
      <c r="FM85" s="841" t="s">
        <v>353</v>
      </c>
      <c r="FN85" s="841" t="s">
        <v>353</v>
      </c>
      <c r="FO85" s="841" t="s">
        <v>1729</v>
      </c>
      <c r="FP85" s="841" t="s">
        <v>2175</v>
      </c>
      <c r="FQ85" s="841" t="s">
        <v>353</v>
      </c>
      <c r="FR85" s="841" t="s">
        <v>353</v>
      </c>
      <c r="FS85" s="841" t="s">
        <v>353</v>
      </c>
      <c r="FT85" s="841" t="s">
        <v>353</v>
      </c>
      <c r="FU85" s="841" t="s">
        <v>2203</v>
      </c>
      <c r="FV85" s="841" t="s">
        <v>353</v>
      </c>
      <c r="FW85" s="841" t="s">
        <v>353</v>
      </c>
      <c r="FX85" s="841" t="s">
        <v>353</v>
      </c>
      <c r="FY85" s="841" t="s">
        <v>353</v>
      </c>
      <c r="FZ85" s="841" t="s">
        <v>353</v>
      </c>
      <c r="GA85" s="841" t="s">
        <v>353</v>
      </c>
      <c r="GB85" s="841">
        <v>1</v>
      </c>
      <c r="GC85" s="841" t="s">
        <v>353</v>
      </c>
      <c r="GD85" s="841" t="s">
        <v>1417</v>
      </c>
      <c r="GE85" s="841" t="s">
        <v>353</v>
      </c>
      <c r="GF85" s="841">
        <v>1200</v>
      </c>
      <c r="GG85" s="841" t="s">
        <v>349</v>
      </c>
      <c r="GH85" s="841">
        <v>198900</v>
      </c>
      <c r="GI85" s="841" t="s">
        <v>353</v>
      </c>
      <c r="GJ85" s="841">
        <v>295000</v>
      </c>
      <c r="GK85" s="841" t="s">
        <v>353</v>
      </c>
      <c r="GL85" s="841" t="s">
        <v>1453</v>
      </c>
      <c r="GM85" s="841" t="s">
        <v>353</v>
      </c>
      <c r="GN85" s="841" t="s">
        <v>353</v>
      </c>
      <c r="GO85" s="841" t="s">
        <v>353</v>
      </c>
      <c r="GP85" s="841" t="s">
        <v>353</v>
      </c>
      <c r="GQ85" s="841" t="s">
        <v>353</v>
      </c>
      <c r="GR85" s="841" t="s">
        <v>353</v>
      </c>
      <c r="GS85" s="841" t="s">
        <v>1408</v>
      </c>
      <c r="GT85" s="841" t="s">
        <v>353</v>
      </c>
      <c r="GU85" s="841" t="s">
        <v>353</v>
      </c>
      <c r="GV85" s="841" t="s">
        <v>1419</v>
      </c>
      <c r="GW85" s="841" t="s">
        <v>353</v>
      </c>
      <c r="GX85" s="841" t="s">
        <v>353</v>
      </c>
      <c r="GY85" s="841">
        <v>24</v>
      </c>
      <c r="GZ85" s="841" t="s">
        <v>1575</v>
      </c>
      <c r="HA85" s="841" t="s">
        <v>353</v>
      </c>
      <c r="HB85" s="841" t="s">
        <v>353</v>
      </c>
      <c r="HC85" s="841" t="s">
        <v>1421</v>
      </c>
      <c r="HD85" s="841" t="s">
        <v>2204</v>
      </c>
      <c r="HE85" s="841">
        <v>2210</v>
      </c>
      <c r="HF85" s="841" t="s">
        <v>353</v>
      </c>
      <c r="HG85" s="841" t="s">
        <v>353</v>
      </c>
      <c r="HH85" s="841">
        <v>780</v>
      </c>
      <c r="HI85" s="841" t="s">
        <v>1422</v>
      </c>
      <c r="HJ85" s="841" t="s">
        <v>2205</v>
      </c>
      <c r="HK85" s="841">
        <v>221000</v>
      </c>
      <c r="HL85" s="841" t="s">
        <v>49</v>
      </c>
      <c r="HM85" s="841" t="s">
        <v>1530</v>
      </c>
      <c r="HN85" s="841" t="s">
        <v>33</v>
      </c>
      <c r="HO85" s="841" t="s">
        <v>353</v>
      </c>
      <c r="HP85" s="841">
        <v>10585.9</v>
      </c>
      <c r="HQ85" s="841" t="s">
        <v>353</v>
      </c>
      <c r="HR85" s="841" t="s">
        <v>353</v>
      </c>
      <c r="HS85" s="841">
        <v>221000</v>
      </c>
      <c r="HT85" s="841" t="s">
        <v>353</v>
      </c>
      <c r="HU85" s="841" t="s">
        <v>353</v>
      </c>
      <c r="HV85" s="841" t="s">
        <v>353</v>
      </c>
      <c r="HW85" s="841">
        <v>295000</v>
      </c>
      <c r="HX85" s="841" t="s">
        <v>353</v>
      </c>
      <c r="HY85" s="841" t="s">
        <v>353</v>
      </c>
      <c r="HZ85" s="841" t="s">
        <v>353</v>
      </c>
      <c r="IA85" s="841" t="s">
        <v>353</v>
      </c>
      <c r="IB85" s="841" t="s">
        <v>1424</v>
      </c>
      <c r="IC85" s="843">
        <v>44587</v>
      </c>
      <c r="ID85" s="841" t="s">
        <v>353</v>
      </c>
      <c r="IE85" s="841" t="s">
        <v>353</v>
      </c>
      <c r="IF85" s="841" t="s">
        <v>353</v>
      </c>
      <c r="IG85" s="841" t="s">
        <v>353</v>
      </c>
      <c r="IH85" s="841" t="s">
        <v>353</v>
      </c>
      <c r="II85" s="841" t="s">
        <v>353</v>
      </c>
      <c r="IJ85" s="841" t="s">
        <v>353</v>
      </c>
      <c r="IK85" s="841" t="s">
        <v>353</v>
      </c>
      <c r="IL85" s="841">
        <v>221000</v>
      </c>
      <c r="IM85" s="841" t="s">
        <v>353</v>
      </c>
      <c r="IN85" s="841" t="s">
        <v>353</v>
      </c>
      <c r="IO85" s="841">
        <v>199</v>
      </c>
      <c r="IP85" s="841" t="s">
        <v>353</v>
      </c>
      <c r="IQ85" s="841" t="s">
        <v>353</v>
      </c>
      <c r="IR85" s="841">
        <v>0</v>
      </c>
      <c r="IS85" s="841" t="s">
        <v>33</v>
      </c>
      <c r="IT85" s="841" t="s">
        <v>353</v>
      </c>
      <c r="IU85" s="841" t="s">
        <v>33</v>
      </c>
      <c r="IV85" s="841" t="s">
        <v>353</v>
      </c>
      <c r="IW85" s="841" t="s">
        <v>353</v>
      </c>
      <c r="IX85" s="841" t="s">
        <v>353</v>
      </c>
      <c r="IY85" s="841" t="s">
        <v>1622</v>
      </c>
      <c r="IZ85" s="841" t="s">
        <v>353</v>
      </c>
      <c r="JA85" s="841">
        <v>221000</v>
      </c>
      <c r="JB85" s="841" t="s">
        <v>353</v>
      </c>
      <c r="JC85" s="841" t="s">
        <v>353</v>
      </c>
      <c r="JD85" s="841" t="s">
        <v>1488</v>
      </c>
      <c r="JE85" s="841" t="s">
        <v>33</v>
      </c>
      <c r="JF85" s="841" t="s">
        <v>2206</v>
      </c>
      <c r="JG85" s="841" t="s">
        <v>2207</v>
      </c>
      <c r="JH85" s="841" t="s">
        <v>2208</v>
      </c>
      <c r="JI85" s="841" t="s">
        <v>2209</v>
      </c>
    </row>
    <row r="86" spans="1:269" x14ac:dyDescent="0.25">
      <c r="A86" s="841" t="s">
        <v>2210</v>
      </c>
      <c r="B86" s="841" t="s">
        <v>353</v>
      </c>
      <c r="C86" s="841" t="s">
        <v>353</v>
      </c>
      <c r="D86" s="841" t="s">
        <v>353</v>
      </c>
      <c r="E86" s="841" t="s">
        <v>353</v>
      </c>
      <c r="F86" s="841" t="s">
        <v>353</v>
      </c>
      <c r="G86" s="841" t="s">
        <v>353</v>
      </c>
      <c r="H86" s="841" t="s">
        <v>353</v>
      </c>
      <c r="I86" s="841" t="s">
        <v>353</v>
      </c>
      <c r="J86" s="841" t="s">
        <v>353</v>
      </c>
      <c r="K86" s="841" t="s">
        <v>353</v>
      </c>
      <c r="L86" s="842">
        <v>44606.481249999997</v>
      </c>
      <c r="M86" s="841" t="s">
        <v>353</v>
      </c>
      <c r="N86" s="841" t="s">
        <v>353</v>
      </c>
      <c r="O86" s="841" t="s">
        <v>353</v>
      </c>
      <c r="P86" s="841" t="s">
        <v>353</v>
      </c>
      <c r="Q86" s="841" t="s">
        <v>353</v>
      </c>
      <c r="R86" s="841" t="s">
        <v>353</v>
      </c>
      <c r="S86" s="841" t="s">
        <v>353</v>
      </c>
      <c r="T86" s="841" t="s">
        <v>1390</v>
      </c>
      <c r="U86" s="841" t="s">
        <v>353</v>
      </c>
      <c r="V86" s="841" t="s">
        <v>353</v>
      </c>
      <c r="W86" s="841" t="s">
        <v>353</v>
      </c>
      <c r="X86" s="841" t="s">
        <v>353</v>
      </c>
      <c r="Y86" s="841" t="s">
        <v>353</v>
      </c>
      <c r="Z86" s="841" t="s">
        <v>353</v>
      </c>
      <c r="AA86" s="841" t="s">
        <v>353</v>
      </c>
      <c r="AB86" s="841" t="s">
        <v>353</v>
      </c>
      <c r="AC86" s="841">
        <v>245600</v>
      </c>
      <c r="AD86" s="841" t="s">
        <v>353</v>
      </c>
      <c r="AE86" s="841" t="s">
        <v>353</v>
      </c>
      <c r="AF86" s="841" t="s">
        <v>353</v>
      </c>
      <c r="AG86" s="841" t="s">
        <v>353</v>
      </c>
      <c r="AH86" s="841" t="s">
        <v>353</v>
      </c>
      <c r="AI86" s="841" t="s">
        <v>1406</v>
      </c>
      <c r="AJ86" s="841" t="s">
        <v>353</v>
      </c>
      <c r="AK86" s="841" t="s">
        <v>353</v>
      </c>
      <c r="AL86" s="841" t="s">
        <v>353</v>
      </c>
      <c r="AM86" s="841" t="s">
        <v>353</v>
      </c>
      <c r="AN86" s="841" t="s">
        <v>353</v>
      </c>
      <c r="AO86" s="841" t="s">
        <v>353</v>
      </c>
      <c r="AP86" s="841" t="s">
        <v>353</v>
      </c>
      <c r="AQ86" s="841" t="s">
        <v>353</v>
      </c>
      <c r="AR86" s="841" t="s">
        <v>353</v>
      </c>
      <c r="AS86" s="841" t="s">
        <v>353</v>
      </c>
      <c r="AT86" s="841" t="s">
        <v>353</v>
      </c>
      <c r="AU86" s="841" t="s">
        <v>353</v>
      </c>
      <c r="AV86" s="841" t="s">
        <v>353</v>
      </c>
      <c r="AW86" s="841" t="s">
        <v>353</v>
      </c>
      <c r="AX86" s="841" t="s">
        <v>353</v>
      </c>
      <c r="AY86" s="841" t="s">
        <v>353</v>
      </c>
      <c r="AZ86" s="841" t="s">
        <v>353</v>
      </c>
      <c r="BA86" s="841" t="s">
        <v>353</v>
      </c>
      <c r="BB86" s="841" t="s">
        <v>353</v>
      </c>
      <c r="BC86" s="841" t="s">
        <v>353</v>
      </c>
      <c r="BD86" s="841" t="s">
        <v>353</v>
      </c>
      <c r="BE86" s="841" t="s">
        <v>353</v>
      </c>
      <c r="BF86" s="841" t="s">
        <v>353</v>
      </c>
      <c r="BG86" s="841" t="s">
        <v>353</v>
      </c>
      <c r="BH86" s="841" t="s">
        <v>353</v>
      </c>
      <c r="BI86" s="841" t="s">
        <v>353</v>
      </c>
      <c r="BJ86" s="841" t="s">
        <v>353</v>
      </c>
      <c r="BK86" s="841" t="s">
        <v>353</v>
      </c>
      <c r="BL86" s="841" t="s">
        <v>2211</v>
      </c>
      <c r="BM86" s="842">
        <v>44592.62777777778</v>
      </c>
      <c r="BN86" s="841" t="s">
        <v>353</v>
      </c>
      <c r="BO86" s="841" t="s">
        <v>353</v>
      </c>
      <c r="BP86" s="841" t="s">
        <v>353</v>
      </c>
      <c r="BQ86" s="841" t="s">
        <v>353</v>
      </c>
      <c r="BR86" s="841" t="s">
        <v>353</v>
      </c>
      <c r="BS86" s="841" t="s">
        <v>353</v>
      </c>
      <c r="BT86" s="841">
        <v>2456000</v>
      </c>
      <c r="BU86" s="841" t="s">
        <v>353</v>
      </c>
      <c r="BV86" s="841" t="s">
        <v>353</v>
      </c>
      <c r="BW86" s="841" t="s">
        <v>353</v>
      </c>
      <c r="BX86" s="841" t="s">
        <v>353</v>
      </c>
      <c r="BY86" s="841" t="s">
        <v>353</v>
      </c>
      <c r="BZ86" s="841" t="s">
        <v>353</v>
      </c>
      <c r="CA86" s="841" t="s">
        <v>353</v>
      </c>
      <c r="CB86" s="841" t="s">
        <v>353</v>
      </c>
      <c r="CC86" s="841" t="s">
        <v>353</v>
      </c>
      <c r="CD86" s="841" t="s">
        <v>353</v>
      </c>
      <c r="CE86" s="841" t="s">
        <v>353</v>
      </c>
      <c r="CF86" s="841" t="s">
        <v>353</v>
      </c>
      <c r="CG86" s="841" t="s">
        <v>353</v>
      </c>
      <c r="CH86" s="841" t="s">
        <v>353</v>
      </c>
      <c r="CI86" s="841" t="s">
        <v>353</v>
      </c>
      <c r="CJ86" s="841" t="s">
        <v>353</v>
      </c>
      <c r="CK86" s="841">
        <v>1</v>
      </c>
      <c r="CL86" s="841" t="s">
        <v>353</v>
      </c>
      <c r="CM86" s="841">
        <v>2</v>
      </c>
      <c r="CN86" s="841" t="s">
        <v>353</v>
      </c>
      <c r="CO86" s="841" t="s">
        <v>353</v>
      </c>
      <c r="CP86" s="841" t="s">
        <v>2212</v>
      </c>
      <c r="CQ86" s="841" t="s">
        <v>353</v>
      </c>
      <c r="CR86" s="841" t="s">
        <v>353</v>
      </c>
      <c r="CS86" s="841" t="s">
        <v>353</v>
      </c>
      <c r="CT86" s="841" t="s">
        <v>353</v>
      </c>
      <c r="CU86" s="841" t="s">
        <v>1391</v>
      </c>
      <c r="CV86" s="841" t="s">
        <v>353</v>
      </c>
      <c r="CW86" s="841" t="s">
        <v>353</v>
      </c>
      <c r="CX86" s="841" t="s">
        <v>353</v>
      </c>
      <c r="CY86" s="841" t="s">
        <v>353</v>
      </c>
      <c r="CZ86" s="841" t="s">
        <v>353</v>
      </c>
      <c r="DA86" s="841" t="s">
        <v>353</v>
      </c>
      <c r="DB86" s="841" t="s">
        <v>353</v>
      </c>
      <c r="DC86" s="841" t="s">
        <v>353</v>
      </c>
      <c r="DD86" s="841" t="s">
        <v>353</v>
      </c>
      <c r="DE86" s="841" t="s">
        <v>353</v>
      </c>
      <c r="DF86" s="841" t="s">
        <v>353</v>
      </c>
      <c r="DG86" s="841" t="s">
        <v>353</v>
      </c>
      <c r="DH86" s="841" t="s">
        <v>353</v>
      </c>
      <c r="DI86" s="841" t="s">
        <v>353</v>
      </c>
      <c r="DJ86" s="841" t="s">
        <v>2213</v>
      </c>
      <c r="DK86" s="841" t="s">
        <v>353</v>
      </c>
      <c r="DL86" s="842">
        <v>44587.62777777778</v>
      </c>
      <c r="DM86" s="841" t="s">
        <v>353</v>
      </c>
      <c r="DN86" s="841" t="s">
        <v>353</v>
      </c>
      <c r="DO86" s="841" t="s">
        <v>353</v>
      </c>
      <c r="DP86" s="841" t="s">
        <v>1481</v>
      </c>
      <c r="DQ86" s="841" t="s">
        <v>1392</v>
      </c>
      <c r="DR86" s="841" t="s">
        <v>353</v>
      </c>
      <c r="DS86" s="841" t="s">
        <v>353</v>
      </c>
      <c r="DT86" s="841" t="s">
        <v>353</v>
      </c>
      <c r="DU86" s="841" t="s">
        <v>353</v>
      </c>
      <c r="DV86" s="841" t="s">
        <v>353</v>
      </c>
      <c r="DW86" s="841">
        <v>2456000</v>
      </c>
      <c r="DX86" s="841" t="s">
        <v>353</v>
      </c>
      <c r="DY86" s="841" t="s">
        <v>353</v>
      </c>
      <c r="DZ86" s="841" t="s">
        <v>353</v>
      </c>
      <c r="EA86" s="841" t="s">
        <v>353</v>
      </c>
      <c r="EB86" s="841" t="s">
        <v>353</v>
      </c>
      <c r="EC86" s="841" t="s">
        <v>353</v>
      </c>
      <c r="ED86" s="841" t="s">
        <v>353</v>
      </c>
      <c r="EE86" s="841" t="s">
        <v>353</v>
      </c>
      <c r="EF86" s="841" t="s">
        <v>353</v>
      </c>
      <c r="EG86" s="841" t="s">
        <v>353</v>
      </c>
      <c r="EH86" s="841" t="s">
        <v>353</v>
      </c>
      <c r="EI86" s="841" t="s">
        <v>353</v>
      </c>
      <c r="EJ86" s="841" t="s">
        <v>353</v>
      </c>
      <c r="EK86" s="841" t="s">
        <v>353</v>
      </c>
      <c r="EL86" s="841" t="s">
        <v>353</v>
      </c>
      <c r="EM86" s="841" t="s">
        <v>353</v>
      </c>
      <c r="EN86" s="841" t="s">
        <v>353</v>
      </c>
      <c r="EO86" s="841" t="s">
        <v>353</v>
      </c>
      <c r="EP86" s="841" t="s">
        <v>353</v>
      </c>
      <c r="EQ86" s="841" t="s">
        <v>353</v>
      </c>
      <c r="ER86" s="841" t="s">
        <v>353</v>
      </c>
      <c r="ES86" s="841" t="s">
        <v>353</v>
      </c>
      <c r="ET86" s="841" t="s">
        <v>1393</v>
      </c>
      <c r="EU86" s="841" t="s">
        <v>353</v>
      </c>
      <c r="EV86" s="841" t="s">
        <v>353</v>
      </c>
      <c r="EW86" s="841" t="s">
        <v>353</v>
      </c>
      <c r="EX86" s="841" t="s">
        <v>353</v>
      </c>
      <c r="EY86" s="842">
        <v>44606.480555555558</v>
      </c>
      <c r="EZ86" s="841" t="s">
        <v>353</v>
      </c>
      <c r="FA86" s="841" t="s">
        <v>353</v>
      </c>
      <c r="FB86" s="841" t="s">
        <v>353</v>
      </c>
      <c r="FC86" s="841" t="s">
        <v>353</v>
      </c>
      <c r="FD86" s="841" t="s">
        <v>353</v>
      </c>
      <c r="FE86" s="842">
        <v>44600.538888888892</v>
      </c>
      <c r="FF86" s="841" t="s">
        <v>353</v>
      </c>
      <c r="FG86" s="841" t="s">
        <v>2214</v>
      </c>
      <c r="FH86" s="841" t="s">
        <v>353</v>
      </c>
      <c r="FI86" s="841" t="s">
        <v>353</v>
      </c>
      <c r="FJ86" s="841" t="s">
        <v>353</v>
      </c>
      <c r="FK86" s="841" t="s">
        <v>353</v>
      </c>
      <c r="FL86" s="841" t="s">
        <v>353</v>
      </c>
      <c r="FM86" s="841" t="s">
        <v>353</v>
      </c>
      <c r="FN86" s="841" t="s">
        <v>353</v>
      </c>
      <c r="FO86" s="841" t="s">
        <v>353</v>
      </c>
      <c r="FP86" s="841" t="s">
        <v>353</v>
      </c>
      <c r="FQ86" s="841" t="s">
        <v>353</v>
      </c>
      <c r="FR86" s="841" t="s">
        <v>353</v>
      </c>
      <c r="FS86" s="841" t="s">
        <v>353</v>
      </c>
      <c r="FT86" s="841" t="s">
        <v>353</v>
      </c>
      <c r="FU86" s="841" t="s">
        <v>1394</v>
      </c>
      <c r="FV86" s="841" t="s">
        <v>353</v>
      </c>
      <c r="FW86" s="841" t="s">
        <v>353</v>
      </c>
      <c r="FX86" s="841" t="s">
        <v>353</v>
      </c>
      <c r="FY86" s="841" t="s">
        <v>353</v>
      </c>
      <c r="FZ86" s="841" t="s">
        <v>353</v>
      </c>
      <c r="GA86" s="841" t="s">
        <v>353</v>
      </c>
      <c r="GB86" s="841">
        <v>1</v>
      </c>
      <c r="GC86" s="841" t="s">
        <v>353</v>
      </c>
      <c r="GD86" s="841" t="s">
        <v>1417</v>
      </c>
      <c r="GE86" s="841" t="s">
        <v>353</v>
      </c>
      <c r="GF86" s="841" t="s">
        <v>353</v>
      </c>
      <c r="GG86" s="841" t="s">
        <v>353</v>
      </c>
      <c r="GH86" s="841">
        <v>245600</v>
      </c>
      <c r="GI86" s="841" t="s">
        <v>353</v>
      </c>
      <c r="GJ86" s="841" t="s">
        <v>353</v>
      </c>
      <c r="GK86" s="841" t="s">
        <v>353</v>
      </c>
      <c r="GL86" s="841" t="s">
        <v>1541</v>
      </c>
      <c r="GM86" s="841" t="s">
        <v>353</v>
      </c>
      <c r="GN86" s="841" t="s">
        <v>353</v>
      </c>
      <c r="GO86" s="841" t="s">
        <v>353</v>
      </c>
      <c r="GP86" s="841" t="s">
        <v>353</v>
      </c>
      <c r="GQ86" s="841" t="s">
        <v>353</v>
      </c>
      <c r="GR86" s="842">
        <v>44606.480555555558</v>
      </c>
      <c r="GS86" s="841" t="s">
        <v>353</v>
      </c>
      <c r="GT86" s="841" t="s">
        <v>353</v>
      </c>
      <c r="GU86" s="841" t="s">
        <v>353</v>
      </c>
      <c r="GV86" s="841" t="s">
        <v>1076</v>
      </c>
      <c r="GW86" s="841" t="s">
        <v>353</v>
      </c>
      <c r="GX86" s="841" t="s">
        <v>2215</v>
      </c>
      <c r="GY86" s="841" t="s">
        <v>353</v>
      </c>
      <c r="GZ86" s="841" t="s">
        <v>353</v>
      </c>
      <c r="HA86" s="841" t="s">
        <v>353</v>
      </c>
      <c r="HB86" s="841" t="s">
        <v>353</v>
      </c>
      <c r="HC86" s="841" t="s">
        <v>353</v>
      </c>
      <c r="HD86" s="841" t="s">
        <v>2216</v>
      </c>
      <c r="HE86" s="841" t="s">
        <v>353</v>
      </c>
      <c r="HF86" s="841" t="s">
        <v>353</v>
      </c>
      <c r="HG86" s="841" t="s">
        <v>353</v>
      </c>
      <c r="HH86" s="841" t="s">
        <v>353</v>
      </c>
      <c r="HI86" s="841" t="s">
        <v>1603</v>
      </c>
      <c r="HJ86" s="841" t="s">
        <v>353</v>
      </c>
      <c r="HK86" s="841">
        <v>2456000</v>
      </c>
      <c r="HL86" s="841" t="s">
        <v>353</v>
      </c>
      <c r="HM86" s="841" t="s">
        <v>353</v>
      </c>
      <c r="HN86" s="841" t="s">
        <v>353</v>
      </c>
      <c r="HO86" s="841" t="s">
        <v>2215</v>
      </c>
      <c r="HP86" s="841" t="s">
        <v>353</v>
      </c>
      <c r="HQ86" s="841" t="s">
        <v>353</v>
      </c>
      <c r="HR86" s="841" t="s">
        <v>353</v>
      </c>
      <c r="HS86" s="841" t="s">
        <v>353</v>
      </c>
      <c r="HT86" s="841" t="s">
        <v>353</v>
      </c>
      <c r="HU86" s="841" t="s">
        <v>2215</v>
      </c>
      <c r="HV86" s="841" t="s">
        <v>353</v>
      </c>
      <c r="HW86" s="841">
        <v>675000</v>
      </c>
      <c r="HX86" s="841" t="s">
        <v>353</v>
      </c>
      <c r="HY86" s="841" t="s">
        <v>353</v>
      </c>
      <c r="HZ86" s="841">
        <v>1450000</v>
      </c>
      <c r="IA86" s="841" t="s">
        <v>353</v>
      </c>
      <c r="IB86" s="841" t="s">
        <v>1604</v>
      </c>
      <c r="IC86" s="841" t="s">
        <v>353</v>
      </c>
      <c r="ID86" s="841" t="s">
        <v>353</v>
      </c>
      <c r="IE86" s="841" t="s">
        <v>353</v>
      </c>
      <c r="IF86" s="841" t="s">
        <v>353</v>
      </c>
      <c r="IG86" s="841">
        <v>1150000</v>
      </c>
      <c r="IH86" s="841" t="s">
        <v>353</v>
      </c>
      <c r="II86" s="841" t="s">
        <v>353</v>
      </c>
      <c r="IJ86" s="841" t="s">
        <v>353</v>
      </c>
      <c r="IK86" s="841" t="s">
        <v>353</v>
      </c>
      <c r="IL86" s="841" t="s">
        <v>353</v>
      </c>
      <c r="IM86" s="841" t="s">
        <v>353</v>
      </c>
      <c r="IN86" s="841" t="s">
        <v>353</v>
      </c>
      <c r="IO86" s="841" t="s">
        <v>353</v>
      </c>
      <c r="IP86" s="841" t="s">
        <v>353</v>
      </c>
      <c r="IQ86" s="841" t="s">
        <v>353</v>
      </c>
      <c r="IR86" s="841" t="s">
        <v>353</v>
      </c>
      <c r="IS86" s="841" t="s">
        <v>353</v>
      </c>
      <c r="IT86" s="841" t="s">
        <v>353</v>
      </c>
      <c r="IU86" s="841" t="s">
        <v>353</v>
      </c>
      <c r="IV86" s="841" t="s">
        <v>353</v>
      </c>
      <c r="IW86" s="841" t="s">
        <v>2217</v>
      </c>
      <c r="IX86" s="841" t="s">
        <v>353</v>
      </c>
      <c r="IY86" s="841" t="s">
        <v>353</v>
      </c>
      <c r="IZ86" s="841" t="s">
        <v>2218</v>
      </c>
      <c r="JA86" s="841">
        <v>2456000</v>
      </c>
      <c r="JB86" s="841" t="s">
        <v>353</v>
      </c>
      <c r="JC86" s="841" t="s">
        <v>353</v>
      </c>
      <c r="JD86" s="841" t="s">
        <v>353</v>
      </c>
      <c r="JE86" s="841" t="s">
        <v>353</v>
      </c>
      <c r="JF86" s="841" t="s">
        <v>2219</v>
      </c>
      <c r="JG86" s="841" t="s">
        <v>2220</v>
      </c>
      <c r="JH86" s="841" t="s">
        <v>2221</v>
      </c>
      <c r="JI86" s="841" t="s">
        <v>2222</v>
      </c>
    </row>
    <row r="87" spans="1:269" x14ac:dyDescent="0.25">
      <c r="A87" s="841" t="s">
        <v>2223</v>
      </c>
      <c r="B87" s="841" t="s">
        <v>353</v>
      </c>
      <c r="C87" s="841" t="s">
        <v>353</v>
      </c>
      <c r="D87" s="841" t="s">
        <v>353</v>
      </c>
      <c r="E87" s="841" t="s">
        <v>353</v>
      </c>
      <c r="F87" s="841" t="s">
        <v>1405</v>
      </c>
      <c r="G87" s="841" t="s">
        <v>2052</v>
      </c>
      <c r="H87" s="841" t="s">
        <v>353</v>
      </c>
      <c r="I87" s="841" t="s">
        <v>353</v>
      </c>
      <c r="J87" s="841" t="s">
        <v>353</v>
      </c>
      <c r="K87" s="841" t="s">
        <v>353</v>
      </c>
      <c r="L87" s="842">
        <v>44603.625</v>
      </c>
      <c r="M87" s="841" t="s">
        <v>353</v>
      </c>
      <c r="N87" s="841" t="s">
        <v>353</v>
      </c>
      <c r="O87" s="841" t="s">
        <v>353</v>
      </c>
      <c r="P87" s="841" t="s">
        <v>33</v>
      </c>
      <c r="Q87" s="841" t="s">
        <v>353</v>
      </c>
      <c r="R87" s="841" t="s">
        <v>353</v>
      </c>
      <c r="S87" s="841" t="s">
        <v>67</v>
      </c>
      <c r="T87" s="841" t="s">
        <v>1390</v>
      </c>
      <c r="U87" s="841" t="s">
        <v>353</v>
      </c>
      <c r="V87" s="841" t="s">
        <v>353</v>
      </c>
      <c r="W87" s="841" t="s">
        <v>1420</v>
      </c>
      <c r="X87" s="841" t="s">
        <v>1821</v>
      </c>
      <c r="Y87" s="841" t="s">
        <v>353</v>
      </c>
      <c r="Z87" s="841" t="s">
        <v>353</v>
      </c>
      <c r="AA87" s="841" t="s">
        <v>33</v>
      </c>
      <c r="AB87" s="841" t="s">
        <v>353</v>
      </c>
      <c r="AC87" s="841">
        <v>1430000</v>
      </c>
      <c r="AD87" s="841" t="s">
        <v>353</v>
      </c>
      <c r="AE87" s="841" t="s">
        <v>33</v>
      </c>
      <c r="AF87" s="841">
        <v>13813.98</v>
      </c>
      <c r="AG87" s="841" t="s">
        <v>353</v>
      </c>
      <c r="AH87" s="841">
        <v>12000</v>
      </c>
      <c r="AI87" s="841" t="s">
        <v>1592</v>
      </c>
      <c r="AJ87" s="841" t="s">
        <v>353</v>
      </c>
      <c r="AK87" s="841">
        <v>65</v>
      </c>
      <c r="AL87" s="841" t="s">
        <v>353</v>
      </c>
      <c r="AM87" s="841" t="s">
        <v>353</v>
      </c>
      <c r="AN87" s="841" t="s">
        <v>353</v>
      </c>
      <c r="AO87" s="841" t="s">
        <v>353</v>
      </c>
      <c r="AP87" s="841" t="s">
        <v>353</v>
      </c>
      <c r="AQ87" s="841" t="s">
        <v>353</v>
      </c>
      <c r="AR87" s="841" t="s">
        <v>33</v>
      </c>
      <c r="AS87" s="841" t="s">
        <v>353</v>
      </c>
      <c r="AT87" s="841" t="s">
        <v>353</v>
      </c>
      <c r="AU87" s="841" t="s">
        <v>353</v>
      </c>
      <c r="AV87" s="841" t="s">
        <v>353</v>
      </c>
      <c r="AW87" s="843">
        <v>44602</v>
      </c>
      <c r="AX87" s="841" t="s">
        <v>353</v>
      </c>
      <c r="AY87" s="841" t="s">
        <v>353</v>
      </c>
      <c r="AZ87" s="841" t="s">
        <v>353</v>
      </c>
      <c r="BA87" s="841" t="s">
        <v>353</v>
      </c>
      <c r="BB87" s="841" t="s">
        <v>353</v>
      </c>
      <c r="BC87" s="841">
        <v>2721353</v>
      </c>
      <c r="BD87" s="841" t="s">
        <v>353</v>
      </c>
      <c r="BE87" s="841" t="s">
        <v>353</v>
      </c>
      <c r="BF87" s="841" t="s">
        <v>353</v>
      </c>
      <c r="BG87" s="841" t="s">
        <v>353</v>
      </c>
      <c r="BH87" s="841" t="s">
        <v>353</v>
      </c>
      <c r="BI87" s="841" t="s">
        <v>353</v>
      </c>
      <c r="BJ87" s="841" t="s">
        <v>353</v>
      </c>
      <c r="BK87" s="841" t="s">
        <v>353</v>
      </c>
      <c r="BL87" s="841" t="s">
        <v>2224</v>
      </c>
      <c r="BM87" s="842">
        <v>44592.540972222225</v>
      </c>
      <c r="BN87" s="841" t="s">
        <v>353</v>
      </c>
      <c r="BO87" s="841" t="s">
        <v>353</v>
      </c>
      <c r="BP87" s="841" t="s">
        <v>353</v>
      </c>
      <c r="BQ87" s="841" t="s">
        <v>353</v>
      </c>
      <c r="BR87" s="841" t="s">
        <v>353</v>
      </c>
      <c r="BS87" s="841" t="s">
        <v>353</v>
      </c>
      <c r="BT87" s="841">
        <v>2860000</v>
      </c>
      <c r="BU87" s="841" t="s">
        <v>353</v>
      </c>
      <c r="BV87" s="841" t="s">
        <v>1662</v>
      </c>
      <c r="BW87" s="841" t="s">
        <v>1578</v>
      </c>
      <c r="BX87" s="841" t="s">
        <v>2225</v>
      </c>
      <c r="BY87" s="841" t="s">
        <v>353</v>
      </c>
      <c r="BZ87" s="841" t="s">
        <v>353</v>
      </c>
      <c r="CA87" s="841" t="s">
        <v>353</v>
      </c>
      <c r="CB87" s="841" t="s">
        <v>353</v>
      </c>
      <c r="CC87" s="841" t="s">
        <v>353</v>
      </c>
      <c r="CD87" s="841" t="s">
        <v>353</v>
      </c>
      <c r="CE87" s="841" t="s">
        <v>353</v>
      </c>
      <c r="CF87" s="841" t="s">
        <v>353</v>
      </c>
      <c r="CG87" s="841" t="s">
        <v>353</v>
      </c>
      <c r="CH87" s="841" t="s">
        <v>353</v>
      </c>
      <c r="CI87" s="841" t="s">
        <v>33</v>
      </c>
      <c r="CJ87" s="841">
        <v>3456</v>
      </c>
      <c r="CK87" s="841">
        <v>0</v>
      </c>
      <c r="CL87" s="841" t="s">
        <v>353</v>
      </c>
      <c r="CM87" s="841">
        <v>2</v>
      </c>
      <c r="CN87" s="841" t="s">
        <v>353</v>
      </c>
      <c r="CO87" s="841" t="s">
        <v>353</v>
      </c>
      <c r="CP87" s="841" t="s">
        <v>2226</v>
      </c>
      <c r="CQ87" s="841" t="s">
        <v>353</v>
      </c>
      <c r="CR87" s="841" t="s">
        <v>353</v>
      </c>
      <c r="CS87" s="841" t="s">
        <v>1405</v>
      </c>
      <c r="CT87" s="841" t="s">
        <v>353</v>
      </c>
      <c r="CU87" s="841" t="s">
        <v>1391</v>
      </c>
      <c r="CV87" s="841" t="s">
        <v>353</v>
      </c>
      <c r="CW87" s="841" t="s">
        <v>353</v>
      </c>
      <c r="CX87" s="841" t="s">
        <v>353</v>
      </c>
      <c r="CY87" s="841" t="s">
        <v>353</v>
      </c>
      <c r="CZ87" s="841">
        <v>3</v>
      </c>
      <c r="DA87" s="841" t="s">
        <v>353</v>
      </c>
      <c r="DB87" s="841" t="s">
        <v>353</v>
      </c>
      <c r="DC87" s="841" t="s">
        <v>353</v>
      </c>
      <c r="DD87" s="841" t="s">
        <v>353</v>
      </c>
      <c r="DE87" s="841" t="s">
        <v>353</v>
      </c>
      <c r="DF87" s="841">
        <v>18</v>
      </c>
      <c r="DG87" s="841" t="s">
        <v>353</v>
      </c>
      <c r="DH87" s="841" t="s">
        <v>353</v>
      </c>
      <c r="DI87" s="841" t="s">
        <v>353</v>
      </c>
      <c r="DJ87" s="841" t="s">
        <v>2227</v>
      </c>
      <c r="DK87" s="841" t="s">
        <v>353</v>
      </c>
      <c r="DL87" s="842">
        <v>44587.540972222225</v>
      </c>
      <c r="DM87" s="841" t="s">
        <v>353</v>
      </c>
      <c r="DN87" s="841" t="s">
        <v>33</v>
      </c>
      <c r="DO87" s="841" t="s">
        <v>673</v>
      </c>
      <c r="DP87" s="841" t="s">
        <v>1412</v>
      </c>
      <c r="DQ87" s="841" t="s">
        <v>1392</v>
      </c>
      <c r="DR87" s="841">
        <v>4400000</v>
      </c>
      <c r="DS87" s="841">
        <v>18</v>
      </c>
      <c r="DT87" s="841" t="s">
        <v>353</v>
      </c>
      <c r="DU87" s="841" t="s">
        <v>353</v>
      </c>
      <c r="DV87" s="841">
        <v>1816386</v>
      </c>
      <c r="DW87" s="841">
        <v>2860000</v>
      </c>
      <c r="DX87" s="841" t="s">
        <v>33</v>
      </c>
      <c r="DY87" s="841" t="s">
        <v>353</v>
      </c>
      <c r="DZ87" s="841" t="s">
        <v>353</v>
      </c>
      <c r="EA87" s="841" t="s">
        <v>353</v>
      </c>
      <c r="EB87" s="841" t="s">
        <v>353</v>
      </c>
      <c r="EC87" s="841" t="s">
        <v>353</v>
      </c>
      <c r="ED87" s="841" t="s">
        <v>353</v>
      </c>
      <c r="EE87" s="841" t="s">
        <v>353</v>
      </c>
      <c r="EF87" s="841" t="s">
        <v>353</v>
      </c>
      <c r="EG87" s="841" t="s">
        <v>353</v>
      </c>
      <c r="EH87" s="841" t="s">
        <v>353</v>
      </c>
      <c r="EI87" s="841">
        <v>993564</v>
      </c>
      <c r="EJ87" s="841" t="s">
        <v>353</v>
      </c>
      <c r="EK87" s="841" t="s">
        <v>353</v>
      </c>
      <c r="EL87" s="841" t="s">
        <v>1435</v>
      </c>
      <c r="EM87" s="841">
        <v>50050</v>
      </c>
      <c r="EN87" s="841" t="s">
        <v>353</v>
      </c>
      <c r="EO87" s="841" t="s">
        <v>353</v>
      </c>
      <c r="EP87" s="841" t="s">
        <v>353</v>
      </c>
      <c r="EQ87" s="841" t="s">
        <v>353</v>
      </c>
      <c r="ER87" s="841" t="s">
        <v>353</v>
      </c>
      <c r="ES87" s="841" t="s">
        <v>33</v>
      </c>
      <c r="ET87" s="841" t="s">
        <v>1512</v>
      </c>
      <c r="EU87" s="841" t="s">
        <v>2228</v>
      </c>
      <c r="EV87" s="841" t="s">
        <v>353</v>
      </c>
      <c r="EW87" s="841" t="s">
        <v>353</v>
      </c>
      <c r="EX87" s="841" t="s">
        <v>33</v>
      </c>
      <c r="EY87" s="842">
        <v>44603.444444444445</v>
      </c>
      <c r="EZ87" s="841" t="s">
        <v>353</v>
      </c>
      <c r="FA87" s="841" t="s">
        <v>353</v>
      </c>
      <c r="FB87" s="841" t="s">
        <v>353</v>
      </c>
      <c r="FC87" s="841" t="s">
        <v>353</v>
      </c>
      <c r="FD87" s="841" t="s">
        <v>353</v>
      </c>
      <c r="FE87" s="842">
        <v>44587.541666666664</v>
      </c>
      <c r="FF87" s="841" t="s">
        <v>353</v>
      </c>
      <c r="FG87" s="841" t="s">
        <v>353</v>
      </c>
      <c r="FH87" s="841" t="s">
        <v>353</v>
      </c>
      <c r="FI87" s="841" t="s">
        <v>353</v>
      </c>
      <c r="FJ87" s="841" t="s">
        <v>353</v>
      </c>
      <c r="FK87" s="841" t="s">
        <v>353</v>
      </c>
      <c r="FL87" s="841" t="s">
        <v>353</v>
      </c>
      <c r="FM87" s="841" t="s">
        <v>353</v>
      </c>
      <c r="FN87" s="841" t="s">
        <v>353</v>
      </c>
      <c r="FO87" s="841" t="s">
        <v>1582</v>
      </c>
      <c r="FP87" s="841" t="s">
        <v>353</v>
      </c>
      <c r="FQ87" s="841" t="s">
        <v>353</v>
      </c>
      <c r="FR87" s="841" t="s">
        <v>353</v>
      </c>
      <c r="FS87" s="841" t="s">
        <v>353</v>
      </c>
      <c r="FT87" s="841" t="s">
        <v>353</v>
      </c>
      <c r="FU87" s="841" t="s">
        <v>1467</v>
      </c>
      <c r="FV87" s="841" t="s">
        <v>353</v>
      </c>
      <c r="FW87" s="841" t="s">
        <v>353</v>
      </c>
      <c r="FX87" s="841" t="s">
        <v>353</v>
      </c>
      <c r="FY87" s="841" t="s">
        <v>353</v>
      </c>
      <c r="FZ87" s="841" t="s">
        <v>353</v>
      </c>
      <c r="GA87" s="841" t="s">
        <v>353</v>
      </c>
      <c r="GB87" s="841">
        <v>1</v>
      </c>
      <c r="GC87" s="841" t="s">
        <v>353</v>
      </c>
      <c r="GD87" s="841" t="s">
        <v>1417</v>
      </c>
      <c r="GE87" s="841" t="s">
        <v>353</v>
      </c>
      <c r="GF87" s="841" t="s">
        <v>353</v>
      </c>
      <c r="GG87" s="841" t="s">
        <v>353</v>
      </c>
      <c r="GH87" s="841">
        <v>1430000</v>
      </c>
      <c r="GI87" s="841" t="s">
        <v>353</v>
      </c>
      <c r="GJ87" s="841" t="s">
        <v>353</v>
      </c>
      <c r="GK87" s="841" t="s">
        <v>353</v>
      </c>
      <c r="GL87" s="841" t="s">
        <v>1418</v>
      </c>
      <c r="GM87" s="841" t="s">
        <v>353</v>
      </c>
      <c r="GN87" s="841" t="s">
        <v>353</v>
      </c>
      <c r="GO87" s="841" t="s">
        <v>353</v>
      </c>
      <c r="GP87" s="841" t="s">
        <v>353</v>
      </c>
      <c r="GQ87" s="841" t="s">
        <v>353</v>
      </c>
      <c r="GR87" s="841" t="s">
        <v>353</v>
      </c>
      <c r="GS87" s="841" t="s">
        <v>1662</v>
      </c>
      <c r="GT87" s="841" t="s">
        <v>353</v>
      </c>
      <c r="GU87" s="841" t="s">
        <v>353</v>
      </c>
      <c r="GV87" s="841" t="s">
        <v>1419</v>
      </c>
      <c r="GW87" s="841" t="s">
        <v>353</v>
      </c>
      <c r="GX87" s="841" t="s">
        <v>353</v>
      </c>
      <c r="GY87" s="841">
        <v>24</v>
      </c>
      <c r="GZ87" s="841" t="s">
        <v>1420</v>
      </c>
      <c r="HA87" s="841" t="s">
        <v>353</v>
      </c>
      <c r="HB87" s="841" t="s">
        <v>353</v>
      </c>
      <c r="HC87" s="841" t="s">
        <v>1421</v>
      </c>
      <c r="HD87" s="841" t="s">
        <v>2229</v>
      </c>
      <c r="HE87" s="841">
        <v>28600</v>
      </c>
      <c r="HF87" s="841" t="s">
        <v>353</v>
      </c>
      <c r="HG87" s="841" t="s">
        <v>353</v>
      </c>
      <c r="HH87" s="841">
        <v>3336</v>
      </c>
      <c r="HI87" s="841" t="s">
        <v>1422</v>
      </c>
      <c r="HJ87" s="841" t="s">
        <v>2230</v>
      </c>
      <c r="HK87" s="841">
        <v>2860000</v>
      </c>
      <c r="HL87" s="841" t="s">
        <v>49</v>
      </c>
      <c r="HM87" s="841" t="s">
        <v>1423</v>
      </c>
      <c r="HN87" s="841" t="s">
        <v>353</v>
      </c>
      <c r="HO87" s="841" t="s">
        <v>353</v>
      </c>
      <c r="HP87" s="841">
        <v>165594</v>
      </c>
      <c r="HQ87" s="841" t="s">
        <v>353</v>
      </c>
      <c r="HR87" s="841" t="s">
        <v>353</v>
      </c>
      <c r="HS87" s="841">
        <v>1866436</v>
      </c>
      <c r="HT87" s="841" t="s">
        <v>353</v>
      </c>
      <c r="HU87" s="841" t="s">
        <v>353</v>
      </c>
      <c r="HV87" s="841" t="s">
        <v>353</v>
      </c>
      <c r="HW87" s="841">
        <v>4400000</v>
      </c>
      <c r="HX87" s="841" t="s">
        <v>353</v>
      </c>
      <c r="HY87" s="841" t="s">
        <v>353</v>
      </c>
      <c r="HZ87" s="841" t="s">
        <v>353</v>
      </c>
      <c r="IA87" s="841" t="s">
        <v>353</v>
      </c>
      <c r="IB87" s="841" t="s">
        <v>1424</v>
      </c>
      <c r="IC87" s="841" t="s">
        <v>353</v>
      </c>
      <c r="ID87" s="841" t="s">
        <v>353</v>
      </c>
      <c r="IE87" s="841" t="s">
        <v>353</v>
      </c>
      <c r="IF87" s="841" t="s">
        <v>353</v>
      </c>
      <c r="IG87" s="841" t="s">
        <v>353</v>
      </c>
      <c r="IH87" s="841" t="s">
        <v>353</v>
      </c>
      <c r="II87" s="841" t="s">
        <v>353</v>
      </c>
      <c r="IJ87" s="841" t="s">
        <v>353</v>
      </c>
      <c r="IK87" s="841" t="s">
        <v>353</v>
      </c>
      <c r="IL87" s="841">
        <v>2771456</v>
      </c>
      <c r="IM87" s="841" t="s">
        <v>353</v>
      </c>
      <c r="IN87" s="841" t="s">
        <v>353</v>
      </c>
      <c r="IO87" s="841">
        <v>199</v>
      </c>
      <c r="IP87" s="841" t="s">
        <v>353</v>
      </c>
      <c r="IQ87" s="841" t="s">
        <v>353</v>
      </c>
      <c r="IR87" s="841">
        <v>6</v>
      </c>
      <c r="IS87" s="841" t="s">
        <v>33</v>
      </c>
      <c r="IT87" s="841" t="s">
        <v>353</v>
      </c>
      <c r="IU87" s="841" t="s">
        <v>353</v>
      </c>
      <c r="IV87" s="841" t="s">
        <v>353</v>
      </c>
      <c r="IW87" s="841" t="s">
        <v>353</v>
      </c>
      <c r="IX87" s="841" t="s">
        <v>353</v>
      </c>
      <c r="IY87" s="841" t="s">
        <v>1622</v>
      </c>
      <c r="IZ87" s="841" t="s">
        <v>353</v>
      </c>
      <c r="JA87" s="841">
        <v>2860000</v>
      </c>
      <c r="JB87" s="841" t="s">
        <v>353</v>
      </c>
      <c r="JC87" s="841" t="s">
        <v>353</v>
      </c>
      <c r="JD87" s="841" t="s">
        <v>1413</v>
      </c>
      <c r="JE87" s="841" t="s">
        <v>33</v>
      </c>
      <c r="JF87" s="841" t="s">
        <v>2231</v>
      </c>
      <c r="JG87" s="841" t="s">
        <v>2232</v>
      </c>
      <c r="JH87" s="841" t="s">
        <v>2233</v>
      </c>
      <c r="JI87" s="841" t="s">
        <v>2234</v>
      </c>
    </row>
    <row r="88" spans="1:269" x14ac:dyDescent="0.25">
      <c r="A88" s="841" t="s">
        <v>2235</v>
      </c>
      <c r="B88" s="841" t="s">
        <v>353</v>
      </c>
      <c r="C88" s="841" t="s">
        <v>1403</v>
      </c>
      <c r="D88" s="841" t="s">
        <v>353</v>
      </c>
      <c r="E88" s="841" t="s">
        <v>353</v>
      </c>
      <c r="F88" s="841" t="s">
        <v>1405</v>
      </c>
      <c r="G88" s="841" t="s">
        <v>2236</v>
      </c>
      <c r="H88" s="841" t="s">
        <v>353</v>
      </c>
      <c r="I88" s="841" t="s">
        <v>353</v>
      </c>
      <c r="J88" s="841" t="s">
        <v>353</v>
      </c>
      <c r="K88" s="841" t="s">
        <v>353</v>
      </c>
      <c r="L88" s="842">
        <v>44608.336111111108</v>
      </c>
      <c r="M88" s="841" t="s">
        <v>353</v>
      </c>
      <c r="N88" s="841" t="s">
        <v>353</v>
      </c>
      <c r="O88" s="841" t="s">
        <v>353</v>
      </c>
      <c r="P88" s="841" t="s">
        <v>673</v>
      </c>
      <c r="Q88" s="841" t="s">
        <v>353</v>
      </c>
      <c r="R88" s="841" t="s">
        <v>353</v>
      </c>
      <c r="S88" s="841" t="s">
        <v>61</v>
      </c>
      <c r="T88" s="841" t="s">
        <v>1390</v>
      </c>
      <c r="U88" s="841" t="s">
        <v>353</v>
      </c>
      <c r="V88" s="841" t="s">
        <v>353</v>
      </c>
      <c r="W88" s="841" t="s">
        <v>1405</v>
      </c>
      <c r="X88" s="841" t="s">
        <v>1930</v>
      </c>
      <c r="Y88" s="841" t="s">
        <v>353</v>
      </c>
      <c r="Z88" s="841" t="s">
        <v>353</v>
      </c>
      <c r="AA88" s="841" t="s">
        <v>673</v>
      </c>
      <c r="AB88" s="841" t="s">
        <v>353</v>
      </c>
      <c r="AC88" s="841">
        <v>335000</v>
      </c>
      <c r="AD88" s="841" t="s">
        <v>353</v>
      </c>
      <c r="AE88" s="841" t="s">
        <v>673</v>
      </c>
      <c r="AF88" s="841">
        <v>2116.08</v>
      </c>
      <c r="AG88" s="841" t="s">
        <v>353</v>
      </c>
      <c r="AH88" s="841">
        <v>2700</v>
      </c>
      <c r="AI88" s="841" t="s">
        <v>1521</v>
      </c>
      <c r="AJ88" s="841" t="s">
        <v>353</v>
      </c>
      <c r="AK88" s="841">
        <v>75</v>
      </c>
      <c r="AL88" s="841" t="s">
        <v>353</v>
      </c>
      <c r="AM88" s="841" t="s">
        <v>353</v>
      </c>
      <c r="AN88" s="841" t="s">
        <v>353</v>
      </c>
      <c r="AO88" s="841" t="s">
        <v>353</v>
      </c>
      <c r="AP88" s="841" t="s">
        <v>353</v>
      </c>
      <c r="AQ88" s="841" t="s">
        <v>353</v>
      </c>
      <c r="AR88" s="841" t="s">
        <v>673</v>
      </c>
      <c r="AS88" s="841" t="s">
        <v>353</v>
      </c>
      <c r="AT88" s="841" t="s">
        <v>353</v>
      </c>
      <c r="AU88" s="841" t="s">
        <v>1405</v>
      </c>
      <c r="AV88" s="841" t="s">
        <v>353</v>
      </c>
      <c r="AW88" s="843">
        <v>44587</v>
      </c>
      <c r="AX88" s="841" t="s">
        <v>353</v>
      </c>
      <c r="AY88" s="841" t="s">
        <v>353</v>
      </c>
      <c r="AZ88" s="841" t="s">
        <v>353</v>
      </c>
      <c r="BA88" s="841" t="s">
        <v>353</v>
      </c>
      <c r="BB88" s="841" t="s">
        <v>353</v>
      </c>
      <c r="BC88" s="841">
        <v>640202</v>
      </c>
      <c r="BD88" s="841" t="s">
        <v>353</v>
      </c>
      <c r="BE88" s="841" t="s">
        <v>353</v>
      </c>
      <c r="BF88" s="841" t="s">
        <v>353</v>
      </c>
      <c r="BG88" s="841" t="s">
        <v>353</v>
      </c>
      <c r="BH88" s="841" t="s">
        <v>353</v>
      </c>
      <c r="BI88" s="841" t="s">
        <v>353</v>
      </c>
      <c r="BJ88" s="841" t="s">
        <v>353</v>
      </c>
      <c r="BK88" s="841">
        <v>260000</v>
      </c>
      <c r="BL88" s="841" t="s">
        <v>2237</v>
      </c>
      <c r="BM88" s="842">
        <v>44592.538888888892</v>
      </c>
      <c r="BN88" s="841" t="s">
        <v>353</v>
      </c>
      <c r="BO88" s="841" t="s">
        <v>353</v>
      </c>
      <c r="BP88" s="841" t="s">
        <v>353</v>
      </c>
      <c r="BQ88" s="841" t="s">
        <v>353</v>
      </c>
      <c r="BR88" s="841" t="s">
        <v>353</v>
      </c>
      <c r="BS88" s="841" t="s">
        <v>353</v>
      </c>
      <c r="BT88" s="841">
        <v>670000</v>
      </c>
      <c r="BU88" s="841" t="s">
        <v>353</v>
      </c>
      <c r="BV88" s="841" t="s">
        <v>1616</v>
      </c>
      <c r="BW88" s="841" t="s">
        <v>1578</v>
      </c>
      <c r="BX88" s="841" t="s">
        <v>2238</v>
      </c>
      <c r="BY88" s="841" t="s">
        <v>353</v>
      </c>
      <c r="BZ88" s="841" t="s">
        <v>353</v>
      </c>
      <c r="CA88" s="841" t="s">
        <v>353</v>
      </c>
      <c r="CB88" s="841" t="s">
        <v>353</v>
      </c>
      <c r="CC88" s="841" t="s">
        <v>353</v>
      </c>
      <c r="CD88" s="841" t="s">
        <v>353</v>
      </c>
      <c r="CE88" s="841" t="s">
        <v>353</v>
      </c>
      <c r="CF88" s="841" t="s">
        <v>353</v>
      </c>
      <c r="CG88" s="841" t="s">
        <v>353</v>
      </c>
      <c r="CH88" s="841" t="s">
        <v>353</v>
      </c>
      <c r="CI88" s="841" t="s">
        <v>33</v>
      </c>
      <c r="CJ88" s="841" t="s">
        <v>353</v>
      </c>
      <c r="CK88" s="841">
        <v>0</v>
      </c>
      <c r="CL88" s="841" t="s">
        <v>353</v>
      </c>
      <c r="CM88" s="841">
        <v>6</v>
      </c>
      <c r="CN88" s="841" t="s">
        <v>353</v>
      </c>
      <c r="CO88" s="841" t="s">
        <v>353</v>
      </c>
      <c r="CP88" s="841" t="s">
        <v>2239</v>
      </c>
      <c r="CQ88" s="841" t="s">
        <v>353</v>
      </c>
      <c r="CR88" s="841" t="s">
        <v>353</v>
      </c>
      <c r="CS88" s="841" t="s">
        <v>353</v>
      </c>
      <c r="CT88" s="841" t="s">
        <v>353</v>
      </c>
      <c r="CU88" s="841" t="s">
        <v>1391</v>
      </c>
      <c r="CV88" s="841" t="s">
        <v>353</v>
      </c>
      <c r="CW88" s="841" t="s">
        <v>353</v>
      </c>
      <c r="CX88" s="841" t="s">
        <v>353</v>
      </c>
      <c r="CY88" s="841" t="s">
        <v>353</v>
      </c>
      <c r="CZ88" s="841" t="s">
        <v>353</v>
      </c>
      <c r="DA88" s="841" t="s">
        <v>353</v>
      </c>
      <c r="DB88" s="841" t="s">
        <v>353</v>
      </c>
      <c r="DC88" s="841" t="s">
        <v>353</v>
      </c>
      <c r="DD88" s="841" t="s">
        <v>353</v>
      </c>
      <c r="DE88" s="841" t="s">
        <v>353</v>
      </c>
      <c r="DF88" s="841">
        <v>21</v>
      </c>
      <c r="DG88" s="841" t="s">
        <v>353</v>
      </c>
      <c r="DH88" s="841" t="s">
        <v>353</v>
      </c>
      <c r="DI88" s="841" t="s">
        <v>353</v>
      </c>
      <c r="DJ88" s="841" t="s">
        <v>2240</v>
      </c>
      <c r="DK88" s="841" t="s">
        <v>353</v>
      </c>
      <c r="DL88" s="842">
        <v>44587.538888888892</v>
      </c>
      <c r="DM88" s="841" t="s">
        <v>353</v>
      </c>
      <c r="DN88" s="841" t="s">
        <v>33</v>
      </c>
      <c r="DO88" s="841" t="s">
        <v>673</v>
      </c>
      <c r="DP88" s="841" t="s">
        <v>1412</v>
      </c>
      <c r="DQ88" s="841" t="s">
        <v>673</v>
      </c>
      <c r="DR88" s="841" t="s">
        <v>353</v>
      </c>
      <c r="DS88" s="841">
        <v>21</v>
      </c>
      <c r="DT88" s="841" t="s">
        <v>353</v>
      </c>
      <c r="DU88" s="841" t="s">
        <v>353</v>
      </c>
      <c r="DV88" s="841">
        <v>573721</v>
      </c>
      <c r="DW88" s="841">
        <v>670000</v>
      </c>
      <c r="DX88" s="841" t="s">
        <v>33</v>
      </c>
      <c r="DY88" s="841" t="s">
        <v>353</v>
      </c>
      <c r="DZ88" s="841" t="s">
        <v>353</v>
      </c>
      <c r="EA88" s="841" t="s">
        <v>353</v>
      </c>
      <c r="EB88" s="841" t="s">
        <v>353</v>
      </c>
      <c r="EC88" s="841" t="s">
        <v>353</v>
      </c>
      <c r="ED88" s="841" t="s">
        <v>353</v>
      </c>
      <c r="EE88" s="841" t="s">
        <v>353</v>
      </c>
      <c r="EF88" s="841" t="s">
        <v>353</v>
      </c>
      <c r="EG88" s="841" t="s">
        <v>353</v>
      </c>
      <c r="EH88" s="841" t="s">
        <v>353</v>
      </c>
      <c r="EI88" s="841">
        <v>96279</v>
      </c>
      <c r="EJ88" s="841" t="s">
        <v>353</v>
      </c>
      <c r="EK88" s="841" t="s">
        <v>1488</v>
      </c>
      <c r="EL88" s="841" t="s">
        <v>1930</v>
      </c>
      <c r="EM88" s="841">
        <v>0</v>
      </c>
      <c r="EN88" s="841" t="s">
        <v>353</v>
      </c>
      <c r="EO88" s="841" t="s">
        <v>353</v>
      </c>
      <c r="EP88" s="841" t="s">
        <v>353</v>
      </c>
      <c r="EQ88" s="841" t="s">
        <v>353</v>
      </c>
      <c r="ER88" s="841" t="s">
        <v>353</v>
      </c>
      <c r="ES88" s="841" t="s">
        <v>33</v>
      </c>
      <c r="ET88" s="841" t="s">
        <v>1414</v>
      </c>
      <c r="EU88" s="841" t="s">
        <v>353</v>
      </c>
      <c r="EV88" s="841" t="s">
        <v>353</v>
      </c>
      <c r="EW88" s="841" t="s">
        <v>353</v>
      </c>
      <c r="EX88" s="841" t="s">
        <v>33</v>
      </c>
      <c r="EY88" s="842">
        <v>44608.333333333336</v>
      </c>
      <c r="EZ88" s="841" t="s">
        <v>353</v>
      </c>
      <c r="FA88" s="841" t="s">
        <v>353</v>
      </c>
      <c r="FB88" s="841" t="s">
        <v>353</v>
      </c>
      <c r="FC88" s="841" t="s">
        <v>353</v>
      </c>
      <c r="FD88" s="841" t="s">
        <v>353</v>
      </c>
      <c r="FE88" s="842">
        <v>44587.538888888892</v>
      </c>
      <c r="FF88" s="841" t="s">
        <v>353</v>
      </c>
      <c r="FG88" s="841" t="s">
        <v>353</v>
      </c>
      <c r="FH88" s="841" t="s">
        <v>353</v>
      </c>
      <c r="FI88" s="841" t="s">
        <v>353</v>
      </c>
      <c r="FJ88" s="841" t="s">
        <v>353</v>
      </c>
      <c r="FK88" s="841" t="s">
        <v>353</v>
      </c>
      <c r="FL88" s="841" t="s">
        <v>353</v>
      </c>
      <c r="FM88" s="841" t="s">
        <v>353</v>
      </c>
      <c r="FN88" s="841" t="s">
        <v>353</v>
      </c>
      <c r="FO88" s="841" t="s">
        <v>1528</v>
      </c>
      <c r="FP88" s="841" t="s">
        <v>353</v>
      </c>
      <c r="FQ88" s="841" t="s">
        <v>353</v>
      </c>
      <c r="FR88" s="841" t="s">
        <v>353</v>
      </c>
      <c r="FS88" s="841" t="s">
        <v>353</v>
      </c>
      <c r="FT88" s="841" t="s">
        <v>353</v>
      </c>
      <c r="FU88" s="841" t="s">
        <v>1467</v>
      </c>
      <c r="FV88" s="841" t="s">
        <v>353</v>
      </c>
      <c r="FW88" s="841" t="s">
        <v>353</v>
      </c>
      <c r="FX88" s="841" t="s">
        <v>353</v>
      </c>
      <c r="FY88" s="841" t="s">
        <v>353</v>
      </c>
      <c r="FZ88" s="841" t="s">
        <v>353</v>
      </c>
      <c r="GA88" s="841" t="s">
        <v>353</v>
      </c>
      <c r="GB88" s="841">
        <v>1</v>
      </c>
      <c r="GC88" s="841" t="s">
        <v>353</v>
      </c>
      <c r="GD88" s="841" t="s">
        <v>1395</v>
      </c>
      <c r="GE88" s="841" t="s">
        <v>353</v>
      </c>
      <c r="GF88" s="841" t="s">
        <v>353</v>
      </c>
      <c r="GG88" s="841" t="s">
        <v>353</v>
      </c>
      <c r="GH88" s="841">
        <v>335000</v>
      </c>
      <c r="GI88" s="841" t="s">
        <v>353</v>
      </c>
      <c r="GJ88" s="841" t="s">
        <v>353</v>
      </c>
      <c r="GK88" s="841" t="s">
        <v>353</v>
      </c>
      <c r="GL88" s="841" t="s">
        <v>1468</v>
      </c>
      <c r="GM88" s="841" t="s">
        <v>353</v>
      </c>
      <c r="GN88" s="841" t="s">
        <v>353</v>
      </c>
      <c r="GO88" s="841" t="s">
        <v>353</v>
      </c>
      <c r="GP88" s="841" t="s">
        <v>353</v>
      </c>
      <c r="GQ88" s="841" t="s">
        <v>353</v>
      </c>
      <c r="GR88" s="841" t="s">
        <v>353</v>
      </c>
      <c r="GS88" s="841" t="s">
        <v>1616</v>
      </c>
      <c r="GT88" s="841" t="s">
        <v>353</v>
      </c>
      <c r="GU88" s="841" t="s">
        <v>353</v>
      </c>
      <c r="GV88" s="841" t="s">
        <v>1419</v>
      </c>
      <c r="GW88" s="841" t="s">
        <v>353</v>
      </c>
      <c r="GX88" s="841" t="s">
        <v>2241</v>
      </c>
      <c r="GY88" s="841">
        <v>24</v>
      </c>
      <c r="GZ88" s="841" t="s">
        <v>1486</v>
      </c>
      <c r="HA88" s="841" t="s">
        <v>353</v>
      </c>
      <c r="HB88" s="841" t="s">
        <v>353</v>
      </c>
      <c r="HC88" s="841" t="s">
        <v>1421</v>
      </c>
      <c r="HD88" s="841" t="s">
        <v>2239</v>
      </c>
      <c r="HE88" s="841">
        <v>6700</v>
      </c>
      <c r="HF88" s="841" t="s">
        <v>353</v>
      </c>
      <c r="HG88" s="841" t="s">
        <v>353</v>
      </c>
      <c r="HH88" s="841" t="s">
        <v>353</v>
      </c>
      <c r="HI88" s="841" t="s">
        <v>1422</v>
      </c>
      <c r="HJ88" s="841" t="s">
        <v>353</v>
      </c>
      <c r="HK88" s="841">
        <v>670000</v>
      </c>
      <c r="HL88" s="841" t="s">
        <v>353</v>
      </c>
      <c r="HM88" s="841" t="s">
        <v>1423</v>
      </c>
      <c r="HN88" s="841" t="s">
        <v>353</v>
      </c>
      <c r="HO88" s="841" t="s">
        <v>353</v>
      </c>
      <c r="HP88" s="841">
        <v>32093</v>
      </c>
      <c r="HQ88" s="841" t="s">
        <v>353</v>
      </c>
      <c r="HR88" s="841" t="s">
        <v>353</v>
      </c>
      <c r="HS88" s="841">
        <v>573721</v>
      </c>
      <c r="HT88" s="841" t="s">
        <v>353</v>
      </c>
      <c r="HU88" s="841" t="s">
        <v>353</v>
      </c>
      <c r="HV88" s="841" t="s">
        <v>353</v>
      </c>
      <c r="HW88" s="841">
        <v>895000</v>
      </c>
      <c r="HX88" s="841" t="s">
        <v>353</v>
      </c>
      <c r="HY88" s="841" t="s">
        <v>353</v>
      </c>
      <c r="HZ88" s="841" t="s">
        <v>353</v>
      </c>
      <c r="IA88" s="841" t="s">
        <v>353</v>
      </c>
      <c r="IB88" s="841" t="s">
        <v>1424</v>
      </c>
      <c r="IC88" s="841" t="s">
        <v>353</v>
      </c>
      <c r="ID88" s="841" t="s">
        <v>353</v>
      </c>
      <c r="IE88" s="841" t="s">
        <v>353</v>
      </c>
      <c r="IF88" s="841" t="s">
        <v>353</v>
      </c>
      <c r="IG88" s="841" t="s">
        <v>353</v>
      </c>
      <c r="IH88" s="841" t="s">
        <v>353</v>
      </c>
      <c r="II88" s="841" t="s">
        <v>353</v>
      </c>
      <c r="IJ88" s="841">
        <v>980</v>
      </c>
      <c r="IK88" s="841" t="s">
        <v>353</v>
      </c>
      <c r="IL88" s="841">
        <v>650252</v>
      </c>
      <c r="IM88" s="841" t="s">
        <v>353</v>
      </c>
      <c r="IN88" s="841" t="s">
        <v>353</v>
      </c>
      <c r="IO88" s="841">
        <v>0</v>
      </c>
      <c r="IP88" s="841">
        <v>6700</v>
      </c>
      <c r="IQ88" s="841" t="s">
        <v>353</v>
      </c>
      <c r="IR88" s="841">
        <v>3</v>
      </c>
      <c r="IS88" s="841" t="s">
        <v>33</v>
      </c>
      <c r="IT88" s="841" t="s">
        <v>353</v>
      </c>
      <c r="IU88" s="841" t="s">
        <v>353</v>
      </c>
      <c r="IV88" s="841" t="s">
        <v>353</v>
      </c>
      <c r="IW88" s="841" t="s">
        <v>353</v>
      </c>
      <c r="IX88" s="841" t="s">
        <v>353</v>
      </c>
      <c r="IY88" s="841" t="s">
        <v>353</v>
      </c>
      <c r="IZ88" s="841" t="s">
        <v>353</v>
      </c>
      <c r="JA88" s="841">
        <v>670000</v>
      </c>
      <c r="JB88" s="841" t="s">
        <v>353</v>
      </c>
      <c r="JC88" s="841" t="s">
        <v>353</v>
      </c>
      <c r="JD88" s="841" t="s">
        <v>1488</v>
      </c>
      <c r="JE88" s="841" t="s">
        <v>33</v>
      </c>
      <c r="JF88" s="841" t="s">
        <v>353</v>
      </c>
      <c r="JG88" s="841" t="s">
        <v>353</v>
      </c>
      <c r="JH88" s="841" t="s">
        <v>2242</v>
      </c>
      <c r="JI88" s="841" t="s">
        <v>2243</v>
      </c>
    </row>
    <row r="89" spans="1:269" x14ac:dyDescent="0.25">
      <c r="A89" s="841" t="s">
        <v>2244</v>
      </c>
      <c r="B89" s="841" t="s">
        <v>353</v>
      </c>
      <c r="C89" s="841" t="s">
        <v>353</v>
      </c>
      <c r="D89" s="841" t="s">
        <v>353</v>
      </c>
      <c r="E89" s="841" t="s">
        <v>353</v>
      </c>
      <c r="F89" s="841" t="s">
        <v>353</v>
      </c>
      <c r="G89" s="841" t="s">
        <v>2245</v>
      </c>
      <c r="H89" s="841" t="s">
        <v>353</v>
      </c>
      <c r="I89" s="841" t="s">
        <v>353</v>
      </c>
      <c r="J89" s="841" t="s">
        <v>353</v>
      </c>
      <c r="K89" s="841" t="s">
        <v>353</v>
      </c>
      <c r="L89" s="842">
        <v>44592.520833333336</v>
      </c>
      <c r="M89" s="841" t="s">
        <v>353</v>
      </c>
      <c r="N89" s="841" t="s">
        <v>353</v>
      </c>
      <c r="O89" s="841" t="s">
        <v>353</v>
      </c>
      <c r="P89" s="841" t="s">
        <v>353</v>
      </c>
      <c r="Q89" s="841" t="s">
        <v>353</v>
      </c>
      <c r="R89" s="841" t="s">
        <v>353</v>
      </c>
      <c r="S89" s="841" t="s">
        <v>61</v>
      </c>
      <c r="T89" s="841" t="s">
        <v>1390</v>
      </c>
      <c r="U89" s="841" t="s">
        <v>353</v>
      </c>
      <c r="V89" s="841" t="s">
        <v>353</v>
      </c>
      <c r="W89" s="841" t="s">
        <v>353</v>
      </c>
      <c r="X89" s="841" t="s">
        <v>1405</v>
      </c>
      <c r="Y89" s="841" t="s">
        <v>353</v>
      </c>
      <c r="Z89" s="841" t="s">
        <v>353</v>
      </c>
      <c r="AA89" s="841" t="s">
        <v>353</v>
      </c>
      <c r="AB89" s="841" t="s">
        <v>353</v>
      </c>
      <c r="AC89" s="841">
        <v>126000</v>
      </c>
      <c r="AD89" s="841" t="s">
        <v>353</v>
      </c>
      <c r="AE89" s="841" t="s">
        <v>353</v>
      </c>
      <c r="AF89" s="841">
        <v>2514.75</v>
      </c>
      <c r="AG89" s="841" t="s">
        <v>353</v>
      </c>
      <c r="AH89" s="841">
        <v>3500</v>
      </c>
      <c r="AI89" s="841" t="s">
        <v>1521</v>
      </c>
      <c r="AJ89" s="841" t="s">
        <v>353</v>
      </c>
      <c r="AK89" s="841">
        <v>70</v>
      </c>
      <c r="AL89" s="841" t="s">
        <v>353</v>
      </c>
      <c r="AM89" s="841" t="s">
        <v>353</v>
      </c>
      <c r="AN89" s="841" t="s">
        <v>353</v>
      </c>
      <c r="AO89" s="841" t="s">
        <v>353</v>
      </c>
      <c r="AP89" s="841" t="s">
        <v>353</v>
      </c>
      <c r="AQ89" s="841" t="s">
        <v>353</v>
      </c>
      <c r="AR89" s="841" t="s">
        <v>353</v>
      </c>
      <c r="AS89" s="841" t="s">
        <v>353</v>
      </c>
      <c r="AT89" s="841" t="s">
        <v>353</v>
      </c>
      <c r="AU89" s="841" t="s">
        <v>353</v>
      </c>
      <c r="AV89" s="841" t="s">
        <v>353</v>
      </c>
      <c r="AW89" s="841" t="s">
        <v>353</v>
      </c>
      <c r="AX89" s="841" t="s">
        <v>353</v>
      </c>
      <c r="AY89" s="841" t="s">
        <v>353</v>
      </c>
      <c r="AZ89" s="841" t="s">
        <v>353</v>
      </c>
      <c r="BA89" s="841" t="s">
        <v>353</v>
      </c>
      <c r="BB89" s="841" t="s">
        <v>353</v>
      </c>
      <c r="BC89" s="841">
        <v>620550</v>
      </c>
      <c r="BD89" s="841" t="s">
        <v>353</v>
      </c>
      <c r="BE89" s="841" t="s">
        <v>353</v>
      </c>
      <c r="BF89" s="841" t="s">
        <v>353</v>
      </c>
      <c r="BG89" s="841" t="s">
        <v>353</v>
      </c>
      <c r="BH89" s="841" t="s">
        <v>353</v>
      </c>
      <c r="BI89" s="841" t="s">
        <v>353</v>
      </c>
      <c r="BJ89" s="841" t="s">
        <v>353</v>
      </c>
      <c r="BK89" s="841" t="s">
        <v>353</v>
      </c>
      <c r="BL89" s="841" t="s">
        <v>2246</v>
      </c>
      <c r="BM89" s="842">
        <v>44592.476388888892</v>
      </c>
      <c r="BN89" s="841" t="s">
        <v>353</v>
      </c>
      <c r="BO89" s="841" t="s">
        <v>353</v>
      </c>
      <c r="BP89" s="841" t="s">
        <v>353</v>
      </c>
      <c r="BQ89" s="841" t="s">
        <v>353</v>
      </c>
      <c r="BR89" s="841" t="s">
        <v>353</v>
      </c>
      <c r="BS89" s="841" t="s">
        <v>353</v>
      </c>
      <c r="BT89" s="841">
        <v>630000</v>
      </c>
      <c r="BU89" s="841" t="s">
        <v>353</v>
      </c>
      <c r="BV89" s="841" t="s">
        <v>2247</v>
      </c>
      <c r="BW89" s="841" t="s">
        <v>353</v>
      </c>
      <c r="BX89" s="841" t="s">
        <v>2248</v>
      </c>
      <c r="BY89" s="841" t="s">
        <v>353</v>
      </c>
      <c r="BZ89" s="841" t="s">
        <v>353</v>
      </c>
      <c r="CA89" s="841" t="s">
        <v>353</v>
      </c>
      <c r="CB89" s="841" t="s">
        <v>353</v>
      </c>
      <c r="CC89" s="841" t="s">
        <v>353</v>
      </c>
      <c r="CD89" s="841" t="s">
        <v>353</v>
      </c>
      <c r="CE89" s="841" t="s">
        <v>353</v>
      </c>
      <c r="CF89" s="841" t="s">
        <v>353</v>
      </c>
      <c r="CG89" s="841" t="s">
        <v>353</v>
      </c>
      <c r="CH89" s="841" t="s">
        <v>353</v>
      </c>
      <c r="CI89" s="841" t="s">
        <v>353</v>
      </c>
      <c r="CJ89" s="841" t="s">
        <v>353</v>
      </c>
      <c r="CK89" s="841">
        <v>5</v>
      </c>
      <c r="CL89" s="841" t="s">
        <v>353</v>
      </c>
      <c r="CM89" s="841">
        <v>6</v>
      </c>
      <c r="CN89" s="841" t="s">
        <v>353</v>
      </c>
      <c r="CO89" s="841" t="s">
        <v>353</v>
      </c>
      <c r="CP89" s="841" t="s">
        <v>2249</v>
      </c>
      <c r="CQ89" s="841" t="s">
        <v>353</v>
      </c>
      <c r="CR89" s="841" t="s">
        <v>353</v>
      </c>
      <c r="CS89" s="841" t="s">
        <v>353</v>
      </c>
      <c r="CT89" s="841" t="s">
        <v>353</v>
      </c>
      <c r="CU89" s="841" t="s">
        <v>1391</v>
      </c>
      <c r="CV89" s="841" t="s">
        <v>353</v>
      </c>
      <c r="CW89" s="841" t="s">
        <v>353</v>
      </c>
      <c r="CX89" s="841" t="s">
        <v>353</v>
      </c>
      <c r="CY89" s="841" t="s">
        <v>353</v>
      </c>
      <c r="CZ89" s="841">
        <v>5</v>
      </c>
      <c r="DA89" s="841" t="s">
        <v>353</v>
      </c>
      <c r="DB89" s="841" t="s">
        <v>353</v>
      </c>
      <c r="DC89" s="841" t="s">
        <v>353</v>
      </c>
      <c r="DD89" s="841" t="s">
        <v>353</v>
      </c>
      <c r="DE89" s="841" t="s">
        <v>353</v>
      </c>
      <c r="DF89" s="841">
        <v>24</v>
      </c>
      <c r="DG89" s="841" t="s">
        <v>353</v>
      </c>
      <c r="DH89" s="841" t="s">
        <v>353</v>
      </c>
      <c r="DI89" s="841" t="s">
        <v>353</v>
      </c>
      <c r="DJ89" s="841" t="s">
        <v>2213</v>
      </c>
      <c r="DK89" s="841" t="s">
        <v>353</v>
      </c>
      <c r="DL89" s="842">
        <v>44587.476388888892</v>
      </c>
      <c r="DM89" s="841" t="s">
        <v>353</v>
      </c>
      <c r="DN89" s="841" t="s">
        <v>353</v>
      </c>
      <c r="DO89" s="841" t="s">
        <v>353</v>
      </c>
      <c r="DP89" s="841" t="s">
        <v>353</v>
      </c>
      <c r="DQ89" s="841" t="s">
        <v>1565</v>
      </c>
      <c r="DR89" s="841">
        <v>905500</v>
      </c>
      <c r="DS89" s="841">
        <v>24</v>
      </c>
      <c r="DT89" s="841" t="s">
        <v>353</v>
      </c>
      <c r="DU89" s="841" t="s">
        <v>353</v>
      </c>
      <c r="DV89" s="841" t="s">
        <v>353</v>
      </c>
      <c r="DW89" s="841">
        <v>630000</v>
      </c>
      <c r="DX89" s="841" t="s">
        <v>353</v>
      </c>
      <c r="DY89" s="841" t="s">
        <v>353</v>
      </c>
      <c r="DZ89" s="841" t="s">
        <v>353</v>
      </c>
      <c r="EA89" s="841" t="s">
        <v>353</v>
      </c>
      <c r="EB89" s="841" t="s">
        <v>353</v>
      </c>
      <c r="EC89" s="841" t="s">
        <v>353</v>
      </c>
      <c r="ED89" s="841" t="s">
        <v>353</v>
      </c>
      <c r="EE89" s="841" t="s">
        <v>353</v>
      </c>
      <c r="EF89" s="841" t="s">
        <v>353</v>
      </c>
      <c r="EG89" s="841" t="s">
        <v>353</v>
      </c>
      <c r="EH89" s="841" t="s">
        <v>353</v>
      </c>
      <c r="EI89" s="841">
        <v>0</v>
      </c>
      <c r="EJ89" s="841" t="s">
        <v>353</v>
      </c>
      <c r="EK89" s="841" t="s">
        <v>353</v>
      </c>
      <c r="EL89" s="841" t="s">
        <v>353</v>
      </c>
      <c r="EM89" s="841" t="s">
        <v>353</v>
      </c>
      <c r="EN89" s="841" t="s">
        <v>353</v>
      </c>
      <c r="EO89" s="841" t="s">
        <v>353</v>
      </c>
      <c r="EP89" s="841" t="s">
        <v>353</v>
      </c>
      <c r="EQ89" s="841" t="s">
        <v>353</v>
      </c>
      <c r="ER89" s="841" t="s">
        <v>353</v>
      </c>
      <c r="ES89" s="841" t="s">
        <v>353</v>
      </c>
      <c r="ET89" s="841" t="s">
        <v>1496</v>
      </c>
      <c r="EU89" s="841" t="s">
        <v>353</v>
      </c>
      <c r="EV89" s="841" t="s">
        <v>353</v>
      </c>
      <c r="EW89" s="841" t="s">
        <v>353</v>
      </c>
      <c r="EX89" s="841" t="s">
        <v>353</v>
      </c>
      <c r="EY89" s="842">
        <v>44592.520833333336</v>
      </c>
      <c r="EZ89" s="841" t="s">
        <v>353</v>
      </c>
      <c r="FA89" s="841" t="s">
        <v>353</v>
      </c>
      <c r="FB89" s="841" t="s">
        <v>353</v>
      </c>
      <c r="FC89" s="841" t="s">
        <v>353</v>
      </c>
      <c r="FD89" s="841" t="s">
        <v>353</v>
      </c>
      <c r="FE89" s="842">
        <v>44587.477777777778</v>
      </c>
      <c r="FF89" s="841" t="s">
        <v>353</v>
      </c>
      <c r="FG89" s="841" t="s">
        <v>353</v>
      </c>
      <c r="FH89" s="841" t="s">
        <v>353</v>
      </c>
      <c r="FI89" s="841" t="s">
        <v>353</v>
      </c>
      <c r="FJ89" s="841" t="s">
        <v>353</v>
      </c>
      <c r="FK89" s="841" t="s">
        <v>353</v>
      </c>
      <c r="FL89" s="841" t="s">
        <v>353</v>
      </c>
      <c r="FM89" s="841" t="s">
        <v>353</v>
      </c>
      <c r="FN89" s="841" t="s">
        <v>353</v>
      </c>
      <c r="FO89" s="841" t="s">
        <v>1648</v>
      </c>
      <c r="FP89" s="841" t="s">
        <v>353</v>
      </c>
      <c r="FQ89" s="841" t="s">
        <v>353</v>
      </c>
      <c r="FR89" s="841" t="s">
        <v>353</v>
      </c>
      <c r="FS89" s="841" t="s">
        <v>353</v>
      </c>
      <c r="FT89" s="841" t="s">
        <v>353</v>
      </c>
      <c r="FU89" s="841" t="s">
        <v>1416</v>
      </c>
      <c r="FV89" s="841" t="s">
        <v>353</v>
      </c>
      <c r="FW89" s="841" t="s">
        <v>353</v>
      </c>
      <c r="FX89" s="841" t="s">
        <v>353</v>
      </c>
      <c r="FY89" s="841" t="s">
        <v>353</v>
      </c>
      <c r="FZ89" s="841" t="s">
        <v>353</v>
      </c>
      <c r="GA89" s="841" t="s">
        <v>353</v>
      </c>
      <c r="GB89" s="841">
        <v>1</v>
      </c>
      <c r="GC89" s="841" t="s">
        <v>353</v>
      </c>
      <c r="GD89" s="841" t="s">
        <v>1417</v>
      </c>
      <c r="GE89" s="841" t="s">
        <v>353</v>
      </c>
      <c r="GF89" s="841" t="s">
        <v>353</v>
      </c>
      <c r="GG89" s="841" t="s">
        <v>353</v>
      </c>
      <c r="GH89" s="841">
        <v>126000</v>
      </c>
      <c r="GI89" s="841" t="s">
        <v>353</v>
      </c>
      <c r="GJ89" s="841" t="s">
        <v>353</v>
      </c>
      <c r="GK89" s="841" t="s">
        <v>353</v>
      </c>
      <c r="GL89" s="841" t="s">
        <v>1567</v>
      </c>
      <c r="GM89" s="841" t="s">
        <v>353</v>
      </c>
      <c r="GN89" s="841" t="s">
        <v>353</v>
      </c>
      <c r="GO89" s="841" t="s">
        <v>353</v>
      </c>
      <c r="GP89" s="841" t="s">
        <v>353</v>
      </c>
      <c r="GQ89" s="841" t="s">
        <v>353</v>
      </c>
      <c r="GR89" s="842">
        <v>44587.384027777778</v>
      </c>
      <c r="GS89" s="841" t="s">
        <v>2247</v>
      </c>
      <c r="GT89" s="841" t="s">
        <v>353</v>
      </c>
      <c r="GU89" s="841" t="s">
        <v>353</v>
      </c>
      <c r="GV89" s="841" t="s">
        <v>1419</v>
      </c>
      <c r="GW89" s="841" t="s">
        <v>353</v>
      </c>
      <c r="GX89" s="841" t="s">
        <v>353</v>
      </c>
      <c r="GY89" s="841">
        <v>24</v>
      </c>
      <c r="GZ89" s="841" t="s">
        <v>1420</v>
      </c>
      <c r="HA89" s="841" t="s">
        <v>353</v>
      </c>
      <c r="HB89" s="841" t="s">
        <v>353</v>
      </c>
      <c r="HC89" s="841" t="s">
        <v>1421</v>
      </c>
      <c r="HD89" s="841" t="s">
        <v>2250</v>
      </c>
      <c r="HE89" s="841" t="s">
        <v>353</v>
      </c>
      <c r="HF89" s="841" t="s">
        <v>353</v>
      </c>
      <c r="HG89" s="841" t="s">
        <v>353</v>
      </c>
      <c r="HH89" s="841" t="s">
        <v>353</v>
      </c>
      <c r="HI89" s="841" t="s">
        <v>1422</v>
      </c>
      <c r="HJ89" s="841" t="s">
        <v>353</v>
      </c>
      <c r="HK89" s="841">
        <v>630000</v>
      </c>
      <c r="HL89" s="841" t="s">
        <v>353</v>
      </c>
      <c r="HM89" s="841" t="s">
        <v>1530</v>
      </c>
      <c r="HN89" s="841" t="s">
        <v>353</v>
      </c>
      <c r="HO89" s="841" t="s">
        <v>353</v>
      </c>
      <c r="HP89" s="841">
        <v>30177</v>
      </c>
      <c r="HQ89" s="841" t="s">
        <v>353</v>
      </c>
      <c r="HR89" s="841" t="s">
        <v>353</v>
      </c>
      <c r="HS89" s="841" t="s">
        <v>353</v>
      </c>
      <c r="HT89" s="841" t="s">
        <v>353</v>
      </c>
      <c r="HU89" s="841" t="s">
        <v>353</v>
      </c>
      <c r="HV89" s="841" t="s">
        <v>353</v>
      </c>
      <c r="HW89" s="841">
        <v>905500</v>
      </c>
      <c r="HX89" s="841" t="s">
        <v>353</v>
      </c>
      <c r="HY89" s="841" t="s">
        <v>353</v>
      </c>
      <c r="HZ89" s="841" t="s">
        <v>353</v>
      </c>
      <c r="IA89" s="841" t="s">
        <v>353</v>
      </c>
      <c r="IB89" s="841" t="s">
        <v>1424</v>
      </c>
      <c r="IC89" s="841" t="s">
        <v>353</v>
      </c>
      <c r="ID89" s="841" t="s">
        <v>353</v>
      </c>
      <c r="IE89" s="841" t="s">
        <v>353</v>
      </c>
      <c r="IF89" s="841" t="s">
        <v>353</v>
      </c>
      <c r="IG89" s="841" t="s">
        <v>353</v>
      </c>
      <c r="IH89" s="841" t="s">
        <v>353</v>
      </c>
      <c r="II89" s="841" t="s">
        <v>353</v>
      </c>
      <c r="IJ89" s="841" t="s">
        <v>353</v>
      </c>
      <c r="IK89" s="841" t="s">
        <v>353</v>
      </c>
      <c r="IL89" s="841" t="s">
        <v>353</v>
      </c>
      <c r="IM89" s="841" t="s">
        <v>353</v>
      </c>
      <c r="IN89" s="841" t="s">
        <v>353</v>
      </c>
      <c r="IO89" s="841" t="s">
        <v>353</v>
      </c>
      <c r="IP89" s="841" t="s">
        <v>353</v>
      </c>
      <c r="IQ89" s="841" t="s">
        <v>353</v>
      </c>
      <c r="IR89" s="841">
        <v>0</v>
      </c>
      <c r="IS89" s="841" t="s">
        <v>353</v>
      </c>
      <c r="IT89" s="841" t="s">
        <v>353</v>
      </c>
      <c r="IU89" s="841" t="s">
        <v>353</v>
      </c>
      <c r="IV89" s="841" t="s">
        <v>353</v>
      </c>
      <c r="IW89" s="841" t="s">
        <v>353</v>
      </c>
      <c r="IX89" s="841" t="s">
        <v>353</v>
      </c>
      <c r="IY89" s="841" t="s">
        <v>1622</v>
      </c>
      <c r="IZ89" s="841" t="s">
        <v>353</v>
      </c>
      <c r="JA89" s="841">
        <v>630000</v>
      </c>
      <c r="JB89" s="841" t="s">
        <v>353</v>
      </c>
      <c r="JC89" s="841" t="s">
        <v>353</v>
      </c>
      <c r="JD89" s="841" t="s">
        <v>1488</v>
      </c>
      <c r="JE89" s="841" t="s">
        <v>353</v>
      </c>
      <c r="JF89" s="841" t="s">
        <v>2251</v>
      </c>
      <c r="JG89" s="841" t="s">
        <v>2252</v>
      </c>
      <c r="JH89" s="841" t="s">
        <v>2253</v>
      </c>
      <c r="JI89" s="841" t="s">
        <v>2254</v>
      </c>
    </row>
    <row r="90" spans="1:269" x14ac:dyDescent="0.25">
      <c r="A90" s="841" t="s">
        <v>2255</v>
      </c>
      <c r="B90" s="841" t="s">
        <v>353</v>
      </c>
      <c r="C90" s="841" t="s">
        <v>353</v>
      </c>
      <c r="D90" s="841" t="s">
        <v>353</v>
      </c>
      <c r="E90" s="841" t="s">
        <v>353</v>
      </c>
      <c r="F90" s="841" t="s">
        <v>353</v>
      </c>
      <c r="G90" s="841" t="s">
        <v>353</v>
      </c>
      <c r="H90" s="841" t="s">
        <v>353</v>
      </c>
      <c r="I90" s="841" t="s">
        <v>353</v>
      </c>
      <c r="J90" s="841" t="s">
        <v>353</v>
      </c>
      <c r="K90" s="841" t="s">
        <v>353</v>
      </c>
      <c r="L90" s="842">
        <v>44587.486805555556</v>
      </c>
      <c r="M90" s="841" t="s">
        <v>353</v>
      </c>
      <c r="N90" s="841" t="s">
        <v>353</v>
      </c>
      <c r="O90" s="841" t="s">
        <v>353</v>
      </c>
      <c r="P90" s="841" t="s">
        <v>353</v>
      </c>
      <c r="Q90" s="841" t="s">
        <v>353</v>
      </c>
      <c r="R90" s="841" t="s">
        <v>353</v>
      </c>
      <c r="S90" s="841" t="s">
        <v>353</v>
      </c>
      <c r="T90" s="841" t="s">
        <v>1390</v>
      </c>
      <c r="U90" s="841" t="s">
        <v>353</v>
      </c>
      <c r="V90" s="841" t="s">
        <v>353</v>
      </c>
      <c r="W90" s="841" t="s">
        <v>353</v>
      </c>
      <c r="X90" s="841" t="s">
        <v>353</v>
      </c>
      <c r="Y90" s="841" t="s">
        <v>353</v>
      </c>
      <c r="Z90" s="841" t="s">
        <v>353</v>
      </c>
      <c r="AA90" s="841" t="s">
        <v>353</v>
      </c>
      <c r="AB90" s="841" t="s">
        <v>353</v>
      </c>
      <c r="AC90" s="841" t="s">
        <v>353</v>
      </c>
      <c r="AD90" s="841" t="s">
        <v>353</v>
      </c>
      <c r="AE90" s="841" t="s">
        <v>353</v>
      </c>
      <c r="AF90" s="841" t="s">
        <v>353</v>
      </c>
      <c r="AG90" s="841" t="s">
        <v>353</v>
      </c>
      <c r="AH90" s="841" t="s">
        <v>353</v>
      </c>
      <c r="AI90" s="841" t="s">
        <v>353</v>
      </c>
      <c r="AJ90" s="841" t="s">
        <v>353</v>
      </c>
      <c r="AK90" s="841" t="s">
        <v>353</v>
      </c>
      <c r="AL90" s="841" t="s">
        <v>353</v>
      </c>
      <c r="AM90" s="841" t="s">
        <v>353</v>
      </c>
      <c r="AN90" s="841" t="s">
        <v>353</v>
      </c>
      <c r="AO90" s="841" t="s">
        <v>353</v>
      </c>
      <c r="AP90" s="841" t="s">
        <v>353</v>
      </c>
      <c r="AQ90" s="841" t="s">
        <v>353</v>
      </c>
      <c r="AR90" s="841" t="s">
        <v>353</v>
      </c>
      <c r="AS90" s="841" t="s">
        <v>353</v>
      </c>
      <c r="AT90" s="841" t="s">
        <v>353</v>
      </c>
      <c r="AU90" s="841" t="s">
        <v>353</v>
      </c>
      <c r="AV90" s="841" t="s">
        <v>353</v>
      </c>
      <c r="AW90" s="841" t="s">
        <v>353</v>
      </c>
      <c r="AX90" s="841" t="s">
        <v>353</v>
      </c>
      <c r="AY90" s="841" t="s">
        <v>353</v>
      </c>
      <c r="AZ90" s="841" t="s">
        <v>353</v>
      </c>
      <c r="BA90" s="841" t="s">
        <v>353</v>
      </c>
      <c r="BB90" s="841" t="s">
        <v>353</v>
      </c>
      <c r="BC90" s="841" t="s">
        <v>353</v>
      </c>
      <c r="BD90" s="841" t="s">
        <v>353</v>
      </c>
      <c r="BE90" s="841" t="s">
        <v>353</v>
      </c>
      <c r="BF90" s="841" t="s">
        <v>353</v>
      </c>
      <c r="BG90" s="841" t="s">
        <v>353</v>
      </c>
      <c r="BH90" s="841" t="s">
        <v>353</v>
      </c>
      <c r="BI90" s="841" t="s">
        <v>353</v>
      </c>
      <c r="BJ90" s="841" t="s">
        <v>353</v>
      </c>
      <c r="BK90" s="841" t="s">
        <v>353</v>
      </c>
      <c r="BL90" s="841" t="s">
        <v>353</v>
      </c>
      <c r="BM90" s="842">
        <v>44592.467361111114</v>
      </c>
      <c r="BN90" s="841" t="s">
        <v>353</v>
      </c>
      <c r="BO90" s="841" t="s">
        <v>353</v>
      </c>
      <c r="BP90" s="841" t="s">
        <v>353</v>
      </c>
      <c r="BQ90" s="841" t="s">
        <v>353</v>
      </c>
      <c r="BR90" s="841" t="s">
        <v>353</v>
      </c>
      <c r="BS90" s="841" t="s">
        <v>353</v>
      </c>
      <c r="BT90" s="841">
        <v>1012500</v>
      </c>
      <c r="BU90" s="841" t="s">
        <v>353</v>
      </c>
      <c r="BV90" s="841" t="s">
        <v>353</v>
      </c>
      <c r="BW90" s="841" t="s">
        <v>353</v>
      </c>
      <c r="BX90" s="841" t="s">
        <v>353</v>
      </c>
      <c r="BY90" s="841" t="s">
        <v>353</v>
      </c>
      <c r="BZ90" s="841" t="s">
        <v>353</v>
      </c>
      <c r="CA90" s="841" t="s">
        <v>353</v>
      </c>
      <c r="CB90" s="841" t="s">
        <v>353</v>
      </c>
      <c r="CC90" s="841" t="s">
        <v>353</v>
      </c>
      <c r="CD90" s="841" t="s">
        <v>353</v>
      </c>
      <c r="CE90" s="841" t="s">
        <v>353</v>
      </c>
      <c r="CF90" s="841" t="s">
        <v>353</v>
      </c>
      <c r="CG90" s="841" t="s">
        <v>353</v>
      </c>
      <c r="CH90" s="841" t="s">
        <v>353</v>
      </c>
      <c r="CI90" s="841" t="s">
        <v>353</v>
      </c>
      <c r="CJ90" s="841" t="s">
        <v>353</v>
      </c>
      <c r="CK90" s="841" t="s">
        <v>353</v>
      </c>
      <c r="CL90" s="841" t="s">
        <v>353</v>
      </c>
      <c r="CM90" s="841" t="s">
        <v>353</v>
      </c>
      <c r="CN90" s="841" t="s">
        <v>353</v>
      </c>
      <c r="CO90" s="841" t="s">
        <v>353</v>
      </c>
      <c r="CP90" s="841" t="s">
        <v>353</v>
      </c>
      <c r="CQ90" s="841" t="s">
        <v>353</v>
      </c>
      <c r="CR90" s="841" t="s">
        <v>353</v>
      </c>
      <c r="CS90" s="841" t="s">
        <v>353</v>
      </c>
      <c r="CT90" s="841" t="s">
        <v>353</v>
      </c>
      <c r="CU90" s="841" t="s">
        <v>1391</v>
      </c>
      <c r="CV90" s="841" t="s">
        <v>353</v>
      </c>
      <c r="CW90" s="841" t="s">
        <v>353</v>
      </c>
      <c r="CX90" s="841" t="s">
        <v>353</v>
      </c>
      <c r="CY90" s="841" t="s">
        <v>353</v>
      </c>
      <c r="CZ90" s="841" t="s">
        <v>353</v>
      </c>
      <c r="DA90" s="841" t="s">
        <v>353</v>
      </c>
      <c r="DB90" s="841" t="s">
        <v>353</v>
      </c>
      <c r="DC90" s="841" t="s">
        <v>353</v>
      </c>
      <c r="DD90" s="841" t="s">
        <v>353</v>
      </c>
      <c r="DE90" s="841" t="s">
        <v>353</v>
      </c>
      <c r="DF90" s="841" t="s">
        <v>353</v>
      </c>
      <c r="DG90" s="841" t="s">
        <v>353</v>
      </c>
      <c r="DH90" s="841" t="s">
        <v>353</v>
      </c>
      <c r="DI90" s="841" t="s">
        <v>353</v>
      </c>
      <c r="DJ90" s="841" t="s">
        <v>2256</v>
      </c>
      <c r="DK90" s="841" t="s">
        <v>353</v>
      </c>
      <c r="DL90" s="842">
        <v>44587.467361111114</v>
      </c>
      <c r="DM90" s="841" t="s">
        <v>353</v>
      </c>
      <c r="DN90" s="841" t="s">
        <v>353</v>
      </c>
      <c r="DO90" s="841" t="s">
        <v>353</v>
      </c>
      <c r="DP90" s="841" t="s">
        <v>353</v>
      </c>
      <c r="DQ90" s="841" t="s">
        <v>673</v>
      </c>
      <c r="DR90" s="841" t="s">
        <v>353</v>
      </c>
      <c r="DS90" s="841" t="s">
        <v>353</v>
      </c>
      <c r="DT90" s="841" t="s">
        <v>353</v>
      </c>
      <c r="DU90" s="841" t="s">
        <v>353</v>
      </c>
      <c r="DV90" s="841" t="s">
        <v>353</v>
      </c>
      <c r="DW90" s="841" t="s">
        <v>353</v>
      </c>
      <c r="DX90" s="841" t="s">
        <v>353</v>
      </c>
      <c r="DY90" s="841" t="s">
        <v>353</v>
      </c>
      <c r="DZ90" s="841" t="s">
        <v>353</v>
      </c>
      <c r="EA90" s="841" t="s">
        <v>353</v>
      </c>
      <c r="EB90" s="841" t="s">
        <v>353</v>
      </c>
      <c r="EC90" s="841" t="s">
        <v>353</v>
      </c>
      <c r="ED90" s="841" t="s">
        <v>353</v>
      </c>
      <c r="EE90" s="841" t="s">
        <v>353</v>
      </c>
      <c r="EF90" s="841" t="s">
        <v>353</v>
      </c>
      <c r="EG90" s="841" t="s">
        <v>353</v>
      </c>
      <c r="EH90" s="841" t="s">
        <v>353</v>
      </c>
      <c r="EI90" s="841" t="s">
        <v>353</v>
      </c>
      <c r="EJ90" s="841" t="s">
        <v>353</v>
      </c>
      <c r="EK90" s="841" t="s">
        <v>353</v>
      </c>
      <c r="EL90" s="841" t="s">
        <v>353</v>
      </c>
      <c r="EM90" s="841" t="s">
        <v>353</v>
      </c>
      <c r="EN90" s="841" t="s">
        <v>353</v>
      </c>
      <c r="EO90" s="841" t="s">
        <v>353</v>
      </c>
      <c r="EP90" s="841" t="s">
        <v>353</v>
      </c>
      <c r="EQ90" s="841" t="s">
        <v>353</v>
      </c>
      <c r="ER90" s="841" t="s">
        <v>353</v>
      </c>
      <c r="ES90" s="841" t="s">
        <v>353</v>
      </c>
      <c r="ET90" s="841" t="s">
        <v>1711</v>
      </c>
      <c r="EU90" s="841" t="s">
        <v>353</v>
      </c>
      <c r="EV90" s="841" t="s">
        <v>353</v>
      </c>
      <c r="EW90" s="841" t="s">
        <v>353</v>
      </c>
      <c r="EX90" s="841" t="s">
        <v>353</v>
      </c>
      <c r="EY90" s="841" t="s">
        <v>353</v>
      </c>
      <c r="EZ90" s="841" t="s">
        <v>353</v>
      </c>
      <c r="FA90" s="841" t="s">
        <v>353</v>
      </c>
      <c r="FB90" s="841" t="s">
        <v>353</v>
      </c>
      <c r="FC90" s="841" t="s">
        <v>353</v>
      </c>
      <c r="FD90" s="841" t="s">
        <v>353</v>
      </c>
      <c r="FE90" s="842">
        <v>44587.468055555553</v>
      </c>
      <c r="FF90" s="841" t="s">
        <v>353</v>
      </c>
      <c r="FG90" s="841" t="s">
        <v>353</v>
      </c>
      <c r="FH90" s="841" t="s">
        <v>353</v>
      </c>
      <c r="FI90" s="841" t="s">
        <v>353</v>
      </c>
      <c r="FJ90" s="841" t="s">
        <v>353</v>
      </c>
      <c r="FK90" s="841" t="s">
        <v>353</v>
      </c>
      <c r="FL90" s="841" t="s">
        <v>353</v>
      </c>
      <c r="FM90" s="841" t="s">
        <v>353</v>
      </c>
      <c r="FN90" s="841" t="s">
        <v>353</v>
      </c>
      <c r="FO90" s="841" t="s">
        <v>353</v>
      </c>
      <c r="FP90" s="841" t="s">
        <v>353</v>
      </c>
      <c r="FQ90" s="841" t="s">
        <v>353</v>
      </c>
      <c r="FR90" s="841" t="s">
        <v>353</v>
      </c>
      <c r="FS90" s="841" t="s">
        <v>353</v>
      </c>
      <c r="FT90" s="841" t="s">
        <v>353</v>
      </c>
      <c r="FU90" s="841" t="s">
        <v>1394</v>
      </c>
      <c r="FV90" s="841" t="s">
        <v>353</v>
      </c>
      <c r="FW90" s="841" t="s">
        <v>353</v>
      </c>
      <c r="FX90" s="841" t="s">
        <v>353</v>
      </c>
      <c r="FY90" s="841" t="s">
        <v>353</v>
      </c>
      <c r="FZ90" s="841" t="s">
        <v>353</v>
      </c>
      <c r="GA90" s="841" t="s">
        <v>353</v>
      </c>
      <c r="GB90" s="841">
        <v>1</v>
      </c>
      <c r="GC90" s="841" t="s">
        <v>353</v>
      </c>
      <c r="GD90" s="841" t="s">
        <v>1417</v>
      </c>
      <c r="GE90" s="841" t="s">
        <v>353</v>
      </c>
      <c r="GF90" s="841" t="s">
        <v>353</v>
      </c>
      <c r="GG90" s="841" t="s">
        <v>353</v>
      </c>
      <c r="GH90" s="841" t="s">
        <v>353</v>
      </c>
      <c r="GI90" s="841" t="s">
        <v>353</v>
      </c>
      <c r="GJ90" s="841" t="s">
        <v>353</v>
      </c>
      <c r="GK90" s="841" t="s">
        <v>353</v>
      </c>
      <c r="GL90" s="841" t="s">
        <v>2116</v>
      </c>
      <c r="GM90" s="841" t="s">
        <v>353</v>
      </c>
      <c r="GN90" s="841" t="s">
        <v>353</v>
      </c>
      <c r="GO90" s="841" t="s">
        <v>353</v>
      </c>
      <c r="GP90" s="841" t="s">
        <v>353</v>
      </c>
      <c r="GQ90" s="841" t="s">
        <v>353</v>
      </c>
      <c r="GR90" s="841" t="s">
        <v>353</v>
      </c>
      <c r="GS90" s="841" t="s">
        <v>353</v>
      </c>
      <c r="GT90" s="841" t="s">
        <v>353</v>
      </c>
      <c r="GU90" s="841" t="s">
        <v>353</v>
      </c>
      <c r="GV90" s="841" t="s">
        <v>1419</v>
      </c>
      <c r="GW90" s="841" t="s">
        <v>353</v>
      </c>
      <c r="GX90" s="841" t="s">
        <v>353</v>
      </c>
      <c r="GY90" s="841" t="s">
        <v>353</v>
      </c>
      <c r="GZ90" s="841" t="s">
        <v>353</v>
      </c>
      <c r="HA90" s="841" t="s">
        <v>353</v>
      </c>
      <c r="HB90" s="841" t="s">
        <v>353</v>
      </c>
      <c r="HC90" s="841" t="s">
        <v>353</v>
      </c>
      <c r="HD90" s="841" t="s">
        <v>2257</v>
      </c>
      <c r="HE90" s="841" t="s">
        <v>353</v>
      </c>
      <c r="HF90" s="841" t="s">
        <v>353</v>
      </c>
      <c r="HG90" s="841" t="s">
        <v>353</v>
      </c>
      <c r="HH90" s="841" t="s">
        <v>353</v>
      </c>
      <c r="HI90" s="841" t="s">
        <v>353</v>
      </c>
      <c r="HJ90" s="841" t="s">
        <v>353</v>
      </c>
      <c r="HK90" s="841" t="s">
        <v>353</v>
      </c>
      <c r="HL90" s="841" t="s">
        <v>353</v>
      </c>
      <c r="HM90" s="841" t="s">
        <v>353</v>
      </c>
      <c r="HN90" s="841" t="s">
        <v>353</v>
      </c>
      <c r="HO90" s="841" t="s">
        <v>353</v>
      </c>
      <c r="HP90" s="841" t="s">
        <v>353</v>
      </c>
      <c r="HQ90" s="841" t="s">
        <v>353</v>
      </c>
      <c r="HR90" s="841" t="s">
        <v>353</v>
      </c>
      <c r="HS90" s="841" t="s">
        <v>353</v>
      </c>
      <c r="HT90" s="841" t="s">
        <v>353</v>
      </c>
      <c r="HU90" s="841" t="s">
        <v>353</v>
      </c>
      <c r="HV90" s="841" t="s">
        <v>353</v>
      </c>
      <c r="HW90" s="841" t="s">
        <v>353</v>
      </c>
      <c r="HX90" s="841" t="s">
        <v>353</v>
      </c>
      <c r="HY90" s="841" t="s">
        <v>353</v>
      </c>
      <c r="HZ90" s="841" t="s">
        <v>353</v>
      </c>
      <c r="IA90" s="841" t="s">
        <v>353</v>
      </c>
      <c r="IB90" s="841" t="s">
        <v>353</v>
      </c>
      <c r="IC90" s="841" t="s">
        <v>353</v>
      </c>
      <c r="ID90" s="841" t="s">
        <v>353</v>
      </c>
      <c r="IE90" s="841" t="s">
        <v>353</v>
      </c>
      <c r="IF90" s="841" t="s">
        <v>353</v>
      </c>
      <c r="IG90" s="841" t="s">
        <v>353</v>
      </c>
      <c r="IH90" s="841" t="s">
        <v>353</v>
      </c>
      <c r="II90" s="841" t="s">
        <v>353</v>
      </c>
      <c r="IJ90" s="841" t="s">
        <v>353</v>
      </c>
      <c r="IK90" s="841" t="s">
        <v>353</v>
      </c>
      <c r="IL90" s="841" t="s">
        <v>353</v>
      </c>
      <c r="IM90" s="841" t="s">
        <v>353</v>
      </c>
      <c r="IN90" s="841" t="s">
        <v>353</v>
      </c>
      <c r="IO90" s="841" t="s">
        <v>353</v>
      </c>
      <c r="IP90" s="841" t="s">
        <v>353</v>
      </c>
      <c r="IQ90" s="841" t="s">
        <v>353</v>
      </c>
      <c r="IR90" s="841" t="s">
        <v>353</v>
      </c>
      <c r="IS90" s="841" t="s">
        <v>353</v>
      </c>
      <c r="IT90" s="841" t="s">
        <v>353</v>
      </c>
      <c r="IU90" s="841" t="s">
        <v>353</v>
      </c>
      <c r="IV90" s="841" t="s">
        <v>353</v>
      </c>
      <c r="IW90" s="841" t="s">
        <v>353</v>
      </c>
      <c r="IX90" s="841" t="s">
        <v>353</v>
      </c>
      <c r="IY90" s="841" t="s">
        <v>353</v>
      </c>
      <c r="IZ90" s="841" t="s">
        <v>353</v>
      </c>
      <c r="JA90" s="841" t="s">
        <v>353</v>
      </c>
      <c r="JB90" s="841" t="s">
        <v>353</v>
      </c>
      <c r="JC90" s="841" t="s">
        <v>353</v>
      </c>
      <c r="JD90" s="841" t="s">
        <v>353</v>
      </c>
      <c r="JE90" s="841" t="s">
        <v>353</v>
      </c>
      <c r="JF90" s="841" t="s">
        <v>2258</v>
      </c>
      <c r="JG90" s="841" t="s">
        <v>2259</v>
      </c>
      <c r="JH90" s="841" t="s">
        <v>2260</v>
      </c>
      <c r="JI90" s="841" t="s">
        <v>2261</v>
      </c>
    </row>
    <row r="91" spans="1:269" x14ac:dyDescent="0.25">
      <c r="A91" s="841" t="s">
        <v>2262</v>
      </c>
      <c r="B91" s="841" t="s">
        <v>353</v>
      </c>
      <c r="C91" s="841" t="s">
        <v>353</v>
      </c>
      <c r="D91" s="841" t="s">
        <v>353</v>
      </c>
      <c r="E91" s="841" t="s">
        <v>353</v>
      </c>
      <c r="F91" s="841" t="s">
        <v>353</v>
      </c>
      <c r="G91" s="841" t="s">
        <v>353</v>
      </c>
      <c r="H91" s="841" t="s">
        <v>353</v>
      </c>
      <c r="I91" s="841" t="s">
        <v>353</v>
      </c>
      <c r="J91" s="841" t="s">
        <v>353</v>
      </c>
      <c r="K91" s="841" t="s">
        <v>353</v>
      </c>
      <c r="L91" s="842">
        <v>44608.372916666667</v>
      </c>
      <c r="M91" s="841" t="s">
        <v>353</v>
      </c>
      <c r="N91" s="841" t="s">
        <v>353</v>
      </c>
      <c r="O91" s="841" t="s">
        <v>353</v>
      </c>
      <c r="P91" s="841" t="s">
        <v>353</v>
      </c>
      <c r="Q91" s="841" t="s">
        <v>353</v>
      </c>
      <c r="R91" s="841" t="s">
        <v>353</v>
      </c>
      <c r="S91" s="841" t="s">
        <v>353</v>
      </c>
      <c r="T91" s="841" t="s">
        <v>1390</v>
      </c>
      <c r="U91" s="841" t="s">
        <v>353</v>
      </c>
      <c r="V91" s="841" t="s">
        <v>353</v>
      </c>
      <c r="W91" s="841" t="s">
        <v>353</v>
      </c>
      <c r="X91" s="841" t="s">
        <v>353</v>
      </c>
      <c r="Y91" s="841" t="s">
        <v>353</v>
      </c>
      <c r="Z91" s="841" t="s">
        <v>353</v>
      </c>
      <c r="AA91" s="841" t="s">
        <v>353</v>
      </c>
      <c r="AB91" s="841" t="s">
        <v>353</v>
      </c>
      <c r="AC91" s="841" t="s">
        <v>353</v>
      </c>
      <c r="AD91" s="841" t="s">
        <v>353</v>
      </c>
      <c r="AE91" s="841" t="s">
        <v>353</v>
      </c>
      <c r="AF91" s="841" t="s">
        <v>353</v>
      </c>
      <c r="AG91" s="841" t="s">
        <v>353</v>
      </c>
      <c r="AH91" s="841" t="s">
        <v>353</v>
      </c>
      <c r="AI91" s="841" t="s">
        <v>1406</v>
      </c>
      <c r="AJ91" s="841" t="s">
        <v>353</v>
      </c>
      <c r="AK91" s="841" t="s">
        <v>353</v>
      </c>
      <c r="AL91" s="841" t="s">
        <v>353</v>
      </c>
      <c r="AM91" s="841" t="s">
        <v>353</v>
      </c>
      <c r="AN91" s="841" t="s">
        <v>353</v>
      </c>
      <c r="AO91" s="841" t="s">
        <v>353</v>
      </c>
      <c r="AP91" s="841" t="s">
        <v>353</v>
      </c>
      <c r="AQ91" s="841" t="s">
        <v>353</v>
      </c>
      <c r="AR91" s="841" t="s">
        <v>353</v>
      </c>
      <c r="AS91" s="841" t="s">
        <v>353</v>
      </c>
      <c r="AT91" s="841" t="s">
        <v>353</v>
      </c>
      <c r="AU91" s="841" t="s">
        <v>353</v>
      </c>
      <c r="AV91" s="841" t="s">
        <v>353</v>
      </c>
      <c r="AW91" s="841" t="s">
        <v>353</v>
      </c>
      <c r="AX91" s="841" t="s">
        <v>353</v>
      </c>
      <c r="AY91" s="841" t="s">
        <v>353</v>
      </c>
      <c r="AZ91" s="841" t="s">
        <v>353</v>
      </c>
      <c r="BA91" s="841" t="s">
        <v>353</v>
      </c>
      <c r="BB91" s="841" t="s">
        <v>353</v>
      </c>
      <c r="BC91" s="841" t="s">
        <v>353</v>
      </c>
      <c r="BD91" s="841" t="s">
        <v>353</v>
      </c>
      <c r="BE91" s="841" t="s">
        <v>353</v>
      </c>
      <c r="BF91" s="841" t="s">
        <v>353</v>
      </c>
      <c r="BG91" s="841" t="s">
        <v>353</v>
      </c>
      <c r="BH91" s="841" t="s">
        <v>353</v>
      </c>
      <c r="BI91" s="841" t="s">
        <v>353</v>
      </c>
      <c r="BJ91" s="841" t="s">
        <v>353</v>
      </c>
      <c r="BK91" s="841">
        <v>295409</v>
      </c>
      <c r="BL91" s="841" t="s">
        <v>1735</v>
      </c>
      <c r="BM91" s="842">
        <v>44592.454861111109</v>
      </c>
      <c r="BN91" s="841" t="s">
        <v>353</v>
      </c>
      <c r="BO91" s="841" t="s">
        <v>353</v>
      </c>
      <c r="BP91" s="841" t="s">
        <v>353</v>
      </c>
      <c r="BQ91" s="841" t="s">
        <v>353</v>
      </c>
      <c r="BR91" s="841" t="s">
        <v>353</v>
      </c>
      <c r="BS91" s="841" t="s">
        <v>353</v>
      </c>
      <c r="BT91" s="841">
        <v>300000</v>
      </c>
      <c r="BU91" s="841" t="s">
        <v>353</v>
      </c>
      <c r="BV91" s="841" t="s">
        <v>353</v>
      </c>
      <c r="BW91" s="841" t="s">
        <v>353</v>
      </c>
      <c r="BX91" s="841" t="s">
        <v>2263</v>
      </c>
      <c r="BY91" s="841" t="s">
        <v>353</v>
      </c>
      <c r="BZ91" s="841" t="s">
        <v>353</v>
      </c>
      <c r="CA91" s="841" t="s">
        <v>353</v>
      </c>
      <c r="CB91" s="841" t="s">
        <v>353</v>
      </c>
      <c r="CC91" s="841" t="s">
        <v>353</v>
      </c>
      <c r="CD91" s="841" t="s">
        <v>353</v>
      </c>
      <c r="CE91" s="841" t="s">
        <v>353</v>
      </c>
      <c r="CF91" s="841" t="s">
        <v>353</v>
      </c>
      <c r="CG91" s="841" t="s">
        <v>353</v>
      </c>
      <c r="CH91" s="841" t="s">
        <v>353</v>
      </c>
      <c r="CI91" s="841" t="s">
        <v>353</v>
      </c>
      <c r="CJ91" s="841" t="s">
        <v>353</v>
      </c>
      <c r="CK91" s="841">
        <v>30</v>
      </c>
      <c r="CL91" s="841" t="s">
        <v>353</v>
      </c>
      <c r="CM91" s="841">
        <v>31</v>
      </c>
      <c r="CN91" s="841" t="s">
        <v>353</v>
      </c>
      <c r="CO91" s="841" t="s">
        <v>353</v>
      </c>
      <c r="CP91" s="841" t="s">
        <v>2264</v>
      </c>
      <c r="CQ91" s="841" t="s">
        <v>353</v>
      </c>
      <c r="CR91" s="841" t="s">
        <v>353</v>
      </c>
      <c r="CS91" s="841" t="s">
        <v>353</v>
      </c>
      <c r="CT91" s="841" t="s">
        <v>353</v>
      </c>
      <c r="CU91" s="841" t="s">
        <v>1391</v>
      </c>
      <c r="CV91" s="841" t="s">
        <v>353</v>
      </c>
      <c r="CW91" s="841" t="s">
        <v>353</v>
      </c>
      <c r="CX91" s="841" t="s">
        <v>353</v>
      </c>
      <c r="CY91" s="841" t="s">
        <v>353</v>
      </c>
      <c r="CZ91" s="841" t="s">
        <v>353</v>
      </c>
      <c r="DA91" s="841" t="s">
        <v>353</v>
      </c>
      <c r="DB91" s="841" t="s">
        <v>353</v>
      </c>
      <c r="DC91" s="841" t="s">
        <v>353</v>
      </c>
      <c r="DD91" s="841" t="s">
        <v>353</v>
      </c>
      <c r="DE91" s="841" t="s">
        <v>353</v>
      </c>
      <c r="DF91" s="841" t="s">
        <v>353</v>
      </c>
      <c r="DG91" s="841" t="s">
        <v>353</v>
      </c>
      <c r="DH91" s="841" t="s">
        <v>353</v>
      </c>
      <c r="DI91" s="841" t="s">
        <v>353</v>
      </c>
      <c r="DJ91" s="841" t="s">
        <v>2213</v>
      </c>
      <c r="DK91" s="841" t="s">
        <v>353</v>
      </c>
      <c r="DL91" s="842">
        <v>44587.454861111109</v>
      </c>
      <c r="DM91" s="841" t="s">
        <v>353</v>
      </c>
      <c r="DN91" s="841" t="s">
        <v>353</v>
      </c>
      <c r="DO91" s="841" t="s">
        <v>353</v>
      </c>
      <c r="DP91" s="841" t="s">
        <v>353</v>
      </c>
      <c r="DQ91" s="841" t="s">
        <v>1581</v>
      </c>
      <c r="DR91" s="841" t="s">
        <v>353</v>
      </c>
      <c r="DS91" s="841" t="s">
        <v>353</v>
      </c>
      <c r="DT91" s="841" t="s">
        <v>353</v>
      </c>
      <c r="DU91" s="841" t="s">
        <v>353</v>
      </c>
      <c r="DV91" s="841" t="s">
        <v>353</v>
      </c>
      <c r="DW91" s="841" t="s">
        <v>353</v>
      </c>
      <c r="DX91" s="841" t="s">
        <v>353</v>
      </c>
      <c r="DY91" s="841" t="s">
        <v>353</v>
      </c>
      <c r="DZ91" s="841" t="s">
        <v>353</v>
      </c>
      <c r="EA91" s="841" t="s">
        <v>353</v>
      </c>
      <c r="EB91" s="841" t="s">
        <v>353</v>
      </c>
      <c r="EC91" s="841" t="s">
        <v>353</v>
      </c>
      <c r="ED91" s="841" t="s">
        <v>353</v>
      </c>
      <c r="EE91" s="841" t="s">
        <v>353</v>
      </c>
      <c r="EF91" s="841" t="s">
        <v>353</v>
      </c>
      <c r="EG91" s="841" t="s">
        <v>353</v>
      </c>
      <c r="EH91" s="841" t="s">
        <v>353</v>
      </c>
      <c r="EI91" s="841" t="s">
        <v>353</v>
      </c>
      <c r="EJ91" s="841" t="s">
        <v>353</v>
      </c>
      <c r="EK91" s="841" t="s">
        <v>353</v>
      </c>
      <c r="EL91" s="841" t="s">
        <v>353</v>
      </c>
      <c r="EM91" s="841" t="s">
        <v>353</v>
      </c>
      <c r="EN91" s="841" t="s">
        <v>353</v>
      </c>
      <c r="EO91" s="841" t="s">
        <v>353</v>
      </c>
      <c r="EP91" s="841" t="s">
        <v>353</v>
      </c>
      <c r="EQ91" s="841" t="s">
        <v>353</v>
      </c>
      <c r="ER91" s="841" t="s">
        <v>353</v>
      </c>
      <c r="ES91" s="841" t="s">
        <v>353</v>
      </c>
      <c r="ET91" s="841" t="s">
        <v>2265</v>
      </c>
      <c r="EU91" s="841" t="s">
        <v>353</v>
      </c>
      <c r="EV91" s="841" t="s">
        <v>353</v>
      </c>
      <c r="EW91" s="841" t="s">
        <v>353</v>
      </c>
      <c r="EX91" s="841" t="s">
        <v>353</v>
      </c>
      <c r="EY91" s="842">
        <v>44608.37222222222</v>
      </c>
      <c r="EZ91" s="841" t="s">
        <v>353</v>
      </c>
      <c r="FA91" s="841" t="s">
        <v>353</v>
      </c>
      <c r="FB91" s="841" t="s">
        <v>353</v>
      </c>
      <c r="FC91" s="841" t="s">
        <v>353</v>
      </c>
      <c r="FD91" s="841" t="s">
        <v>353</v>
      </c>
      <c r="FE91" s="842">
        <v>44600.527777777781</v>
      </c>
      <c r="FF91" s="841" t="s">
        <v>353</v>
      </c>
      <c r="FG91" s="841" t="s">
        <v>353</v>
      </c>
      <c r="FH91" s="841" t="s">
        <v>353</v>
      </c>
      <c r="FI91" s="841" t="s">
        <v>353</v>
      </c>
      <c r="FJ91" s="841" t="s">
        <v>353</v>
      </c>
      <c r="FK91" s="841" t="s">
        <v>353</v>
      </c>
      <c r="FL91" s="841" t="s">
        <v>353</v>
      </c>
      <c r="FM91" s="841" t="s">
        <v>353</v>
      </c>
      <c r="FN91" s="841" t="s">
        <v>353</v>
      </c>
      <c r="FO91" s="841" t="s">
        <v>353</v>
      </c>
      <c r="FP91" s="841" t="s">
        <v>353</v>
      </c>
      <c r="FQ91" s="841" t="s">
        <v>353</v>
      </c>
      <c r="FR91" s="841" t="s">
        <v>353</v>
      </c>
      <c r="FS91" s="841" t="s">
        <v>353</v>
      </c>
      <c r="FT91" s="841" t="s">
        <v>353</v>
      </c>
      <c r="FU91" s="841" t="s">
        <v>1394</v>
      </c>
      <c r="FV91" s="841" t="s">
        <v>353</v>
      </c>
      <c r="FW91" s="841" t="s">
        <v>353</v>
      </c>
      <c r="FX91" s="841" t="s">
        <v>353</v>
      </c>
      <c r="FY91" s="841" t="s">
        <v>353</v>
      </c>
      <c r="FZ91" s="841" t="s">
        <v>353</v>
      </c>
      <c r="GA91" s="841" t="s">
        <v>353</v>
      </c>
      <c r="GB91" s="841">
        <v>1</v>
      </c>
      <c r="GC91" s="841" t="s">
        <v>353</v>
      </c>
      <c r="GD91" s="841" t="s">
        <v>1395</v>
      </c>
      <c r="GE91" s="841" t="s">
        <v>353</v>
      </c>
      <c r="GF91" s="841" t="s">
        <v>353</v>
      </c>
      <c r="GG91" s="841" t="s">
        <v>353</v>
      </c>
      <c r="GH91" s="841" t="s">
        <v>353</v>
      </c>
      <c r="GI91" s="841" t="s">
        <v>353</v>
      </c>
      <c r="GJ91" s="841" t="s">
        <v>353</v>
      </c>
      <c r="GK91" s="841" t="s">
        <v>353</v>
      </c>
      <c r="GL91" s="841" t="s">
        <v>1737</v>
      </c>
      <c r="GM91" s="841" t="s">
        <v>353</v>
      </c>
      <c r="GN91" s="841" t="s">
        <v>353</v>
      </c>
      <c r="GO91" s="841" t="s">
        <v>353</v>
      </c>
      <c r="GP91" s="841" t="s">
        <v>353</v>
      </c>
      <c r="GQ91" s="841" t="s">
        <v>353</v>
      </c>
      <c r="GR91" s="842">
        <v>44608.37222222222</v>
      </c>
      <c r="GS91" s="841" t="s">
        <v>353</v>
      </c>
      <c r="GT91" s="841" t="s">
        <v>353</v>
      </c>
      <c r="GU91" s="841" t="s">
        <v>353</v>
      </c>
      <c r="GV91" s="841" t="s">
        <v>1076</v>
      </c>
      <c r="GW91" s="841" t="s">
        <v>353</v>
      </c>
      <c r="GX91" s="841" t="s">
        <v>2266</v>
      </c>
      <c r="GY91" s="841" t="s">
        <v>353</v>
      </c>
      <c r="GZ91" s="841" t="s">
        <v>353</v>
      </c>
      <c r="HA91" s="841" t="s">
        <v>353</v>
      </c>
      <c r="HB91" s="841" t="s">
        <v>353</v>
      </c>
      <c r="HC91" s="841" t="s">
        <v>353</v>
      </c>
      <c r="HD91" s="841" t="s">
        <v>2267</v>
      </c>
      <c r="HE91" s="841" t="s">
        <v>353</v>
      </c>
      <c r="HF91" s="841" t="s">
        <v>353</v>
      </c>
      <c r="HG91" s="841" t="s">
        <v>353</v>
      </c>
      <c r="HH91" s="841" t="s">
        <v>353</v>
      </c>
      <c r="HI91" s="841" t="s">
        <v>1422</v>
      </c>
      <c r="HJ91" s="841" t="s">
        <v>353</v>
      </c>
      <c r="HK91" s="841" t="s">
        <v>353</v>
      </c>
      <c r="HL91" s="841" t="s">
        <v>353</v>
      </c>
      <c r="HM91" s="841" t="s">
        <v>353</v>
      </c>
      <c r="HN91" s="841" t="s">
        <v>353</v>
      </c>
      <c r="HO91" s="841" t="s">
        <v>353</v>
      </c>
      <c r="HP91" s="841" t="s">
        <v>353</v>
      </c>
      <c r="HQ91" s="841" t="s">
        <v>353</v>
      </c>
      <c r="HR91" s="841" t="s">
        <v>353</v>
      </c>
      <c r="HS91" s="841" t="s">
        <v>353</v>
      </c>
      <c r="HT91" s="841" t="s">
        <v>353</v>
      </c>
      <c r="HU91" s="841" t="s">
        <v>353</v>
      </c>
      <c r="HV91" s="841" t="s">
        <v>353</v>
      </c>
      <c r="HW91" s="841">
        <v>230000</v>
      </c>
      <c r="HX91" s="841" t="s">
        <v>353</v>
      </c>
      <c r="HY91" s="841" t="s">
        <v>353</v>
      </c>
      <c r="HZ91" s="841">
        <v>120000</v>
      </c>
      <c r="IA91" s="841" t="s">
        <v>353</v>
      </c>
      <c r="IB91" s="841" t="s">
        <v>353</v>
      </c>
      <c r="IC91" s="841" t="s">
        <v>353</v>
      </c>
      <c r="ID91" s="841" t="s">
        <v>353</v>
      </c>
      <c r="IE91" s="841" t="s">
        <v>353</v>
      </c>
      <c r="IF91" s="841" t="s">
        <v>353</v>
      </c>
      <c r="IG91" s="841">
        <v>90000</v>
      </c>
      <c r="IH91" s="841" t="s">
        <v>353</v>
      </c>
      <c r="II91" s="841" t="s">
        <v>353</v>
      </c>
      <c r="IJ91" s="841" t="s">
        <v>353</v>
      </c>
      <c r="IK91" s="841" t="s">
        <v>353</v>
      </c>
      <c r="IL91" s="841" t="s">
        <v>353</v>
      </c>
      <c r="IM91" s="841" t="s">
        <v>353</v>
      </c>
      <c r="IN91" s="841" t="s">
        <v>353</v>
      </c>
      <c r="IO91" s="841" t="s">
        <v>353</v>
      </c>
      <c r="IP91" s="841" t="s">
        <v>353</v>
      </c>
      <c r="IQ91" s="841" t="s">
        <v>353</v>
      </c>
      <c r="IR91" s="841" t="s">
        <v>353</v>
      </c>
      <c r="IS91" s="841" t="s">
        <v>353</v>
      </c>
      <c r="IT91" s="841" t="s">
        <v>353</v>
      </c>
      <c r="IU91" s="841" t="s">
        <v>353</v>
      </c>
      <c r="IV91" s="841" t="s">
        <v>353</v>
      </c>
      <c r="IW91" s="841" t="s">
        <v>2268</v>
      </c>
      <c r="IX91" s="841" t="s">
        <v>353</v>
      </c>
      <c r="IY91" s="841" t="s">
        <v>353</v>
      </c>
      <c r="IZ91" s="841" t="s">
        <v>2269</v>
      </c>
      <c r="JA91" s="841" t="s">
        <v>353</v>
      </c>
      <c r="JB91" s="841" t="s">
        <v>353</v>
      </c>
      <c r="JC91" s="841" t="s">
        <v>353</v>
      </c>
      <c r="JD91" s="841" t="s">
        <v>353</v>
      </c>
      <c r="JE91" s="841" t="s">
        <v>353</v>
      </c>
      <c r="JF91" s="841" t="s">
        <v>1739</v>
      </c>
      <c r="JG91" s="841" t="s">
        <v>1740</v>
      </c>
      <c r="JH91" s="841" t="s">
        <v>1741</v>
      </c>
      <c r="JI91" s="841" t="s">
        <v>1742</v>
      </c>
    </row>
    <row r="92" spans="1:269" x14ac:dyDescent="0.25">
      <c r="A92" s="841" t="s">
        <v>2270</v>
      </c>
      <c r="B92" s="841" t="s">
        <v>353</v>
      </c>
      <c r="C92" s="841" t="s">
        <v>353</v>
      </c>
      <c r="D92" s="841" t="s">
        <v>353</v>
      </c>
      <c r="E92" s="841" t="s">
        <v>353</v>
      </c>
      <c r="F92" s="841" t="s">
        <v>2025</v>
      </c>
      <c r="G92" s="841" t="s">
        <v>2271</v>
      </c>
      <c r="H92" s="841" t="s">
        <v>353</v>
      </c>
      <c r="I92" s="841" t="s">
        <v>353</v>
      </c>
      <c r="J92" s="841" t="s">
        <v>353</v>
      </c>
      <c r="K92" s="841" t="s">
        <v>353</v>
      </c>
      <c r="L92" s="842">
        <v>44607.536111111112</v>
      </c>
      <c r="M92" s="841" t="s">
        <v>353</v>
      </c>
      <c r="N92" s="841" t="s">
        <v>353</v>
      </c>
      <c r="O92" s="841" t="s">
        <v>353</v>
      </c>
      <c r="P92" s="841" t="s">
        <v>353</v>
      </c>
      <c r="Q92" s="841" t="s">
        <v>353</v>
      </c>
      <c r="R92" s="841" t="s">
        <v>353</v>
      </c>
      <c r="S92" s="841" t="s">
        <v>67</v>
      </c>
      <c r="T92" s="841" t="s">
        <v>1390</v>
      </c>
      <c r="U92" s="841" t="s">
        <v>353</v>
      </c>
      <c r="V92" s="841" t="s">
        <v>353</v>
      </c>
      <c r="W92" s="841" t="s">
        <v>1420</v>
      </c>
      <c r="X92" s="841" t="s">
        <v>2272</v>
      </c>
      <c r="Y92" s="841" t="s">
        <v>353</v>
      </c>
      <c r="Z92" s="841" t="s">
        <v>353</v>
      </c>
      <c r="AA92" s="841" t="s">
        <v>353</v>
      </c>
      <c r="AB92" s="841" t="s">
        <v>353</v>
      </c>
      <c r="AC92" s="841">
        <v>85000</v>
      </c>
      <c r="AD92" s="841" t="s">
        <v>353</v>
      </c>
      <c r="AE92" s="841" t="s">
        <v>353</v>
      </c>
      <c r="AF92" s="841" t="s">
        <v>353</v>
      </c>
      <c r="AG92" s="841" t="s">
        <v>353</v>
      </c>
      <c r="AH92" s="841">
        <v>1800</v>
      </c>
      <c r="AI92" s="841" t="s">
        <v>1535</v>
      </c>
      <c r="AJ92" s="841" t="s">
        <v>353</v>
      </c>
      <c r="AK92" s="841">
        <v>70</v>
      </c>
      <c r="AL92" s="841" t="s">
        <v>353</v>
      </c>
      <c r="AM92" s="841" t="s">
        <v>353</v>
      </c>
      <c r="AN92" s="841" t="s">
        <v>353</v>
      </c>
      <c r="AO92" s="841" t="s">
        <v>353</v>
      </c>
      <c r="AP92" s="841" t="s">
        <v>353</v>
      </c>
      <c r="AQ92" s="841" t="s">
        <v>353</v>
      </c>
      <c r="AR92" s="841" t="s">
        <v>353</v>
      </c>
      <c r="AS92" s="841" t="s">
        <v>353</v>
      </c>
      <c r="AT92" s="841" t="s">
        <v>353</v>
      </c>
      <c r="AU92" s="841" t="s">
        <v>353</v>
      </c>
      <c r="AV92" s="841" t="s">
        <v>353</v>
      </c>
      <c r="AW92" s="841" t="s">
        <v>353</v>
      </c>
      <c r="AX92" s="841" t="s">
        <v>353</v>
      </c>
      <c r="AY92" s="841" t="s">
        <v>353</v>
      </c>
      <c r="AZ92" s="841" t="s">
        <v>353</v>
      </c>
      <c r="BA92" s="841" t="s">
        <v>353</v>
      </c>
      <c r="BB92" s="841" t="s">
        <v>353</v>
      </c>
      <c r="BC92" s="841">
        <v>404303</v>
      </c>
      <c r="BD92" s="841" t="s">
        <v>353</v>
      </c>
      <c r="BE92" s="841" t="s">
        <v>353</v>
      </c>
      <c r="BF92" s="841" t="s">
        <v>353</v>
      </c>
      <c r="BG92" s="841" t="s">
        <v>353</v>
      </c>
      <c r="BH92" s="841" t="s">
        <v>353</v>
      </c>
      <c r="BI92" s="841" t="s">
        <v>353</v>
      </c>
      <c r="BJ92" s="841" t="s">
        <v>353</v>
      </c>
      <c r="BK92" s="841" t="s">
        <v>353</v>
      </c>
      <c r="BL92" s="841" t="s">
        <v>2273</v>
      </c>
      <c r="BM92" s="842">
        <v>44592.415972222225</v>
      </c>
      <c r="BN92" s="841" t="s">
        <v>353</v>
      </c>
      <c r="BO92" s="841" t="s">
        <v>353</v>
      </c>
      <c r="BP92" s="841" t="s">
        <v>353</v>
      </c>
      <c r="BQ92" s="841" t="s">
        <v>353</v>
      </c>
      <c r="BR92" s="841" t="s">
        <v>353</v>
      </c>
      <c r="BS92" s="841" t="s">
        <v>353</v>
      </c>
      <c r="BT92" s="841">
        <v>425000</v>
      </c>
      <c r="BU92" s="841" t="s">
        <v>353</v>
      </c>
      <c r="BV92" s="841" t="s">
        <v>1662</v>
      </c>
      <c r="BW92" s="841" t="s">
        <v>1578</v>
      </c>
      <c r="BX92" s="841" t="s">
        <v>353</v>
      </c>
      <c r="BY92" s="841" t="s">
        <v>353</v>
      </c>
      <c r="BZ92" s="841" t="s">
        <v>353</v>
      </c>
      <c r="CA92" s="841" t="s">
        <v>353</v>
      </c>
      <c r="CB92" s="841" t="s">
        <v>353</v>
      </c>
      <c r="CC92" s="841" t="s">
        <v>353</v>
      </c>
      <c r="CD92" s="841" t="s">
        <v>353</v>
      </c>
      <c r="CE92" s="841" t="s">
        <v>353</v>
      </c>
      <c r="CF92" s="841" t="s">
        <v>353</v>
      </c>
      <c r="CG92" s="841" t="s">
        <v>353</v>
      </c>
      <c r="CH92" s="841" t="s">
        <v>353</v>
      </c>
      <c r="CI92" s="841" t="s">
        <v>353</v>
      </c>
      <c r="CJ92" s="841" t="s">
        <v>353</v>
      </c>
      <c r="CK92" s="841">
        <v>3</v>
      </c>
      <c r="CL92" s="841" t="s">
        <v>353</v>
      </c>
      <c r="CM92" s="841">
        <v>3</v>
      </c>
      <c r="CN92" s="841" t="s">
        <v>353</v>
      </c>
      <c r="CO92" s="841" t="s">
        <v>353</v>
      </c>
      <c r="CP92" s="841" t="s">
        <v>2274</v>
      </c>
      <c r="CQ92" s="841" t="s">
        <v>353</v>
      </c>
      <c r="CR92" s="841" t="s">
        <v>353</v>
      </c>
      <c r="CS92" s="841" t="s">
        <v>1405</v>
      </c>
      <c r="CT92" s="841" t="s">
        <v>353</v>
      </c>
      <c r="CU92" s="841" t="s">
        <v>1391</v>
      </c>
      <c r="CV92" s="841" t="s">
        <v>353</v>
      </c>
      <c r="CW92" s="841" t="s">
        <v>353</v>
      </c>
      <c r="CX92" s="841" t="s">
        <v>353</v>
      </c>
      <c r="CY92" s="841" t="s">
        <v>353</v>
      </c>
      <c r="CZ92" s="841">
        <v>2</v>
      </c>
      <c r="DA92" s="841" t="s">
        <v>353</v>
      </c>
      <c r="DB92" s="841" t="s">
        <v>353</v>
      </c>
      <c r="DC92" s="841" t="s">
        <v>353</v>
      </c>
      <c r="DD92" s="841" t="s">
        <v>353</v>
      </c>
      <c r="DE92" s="841" t="s">
        <v>353</v>
      </c>
      <c r="DF92" s="841">
        <v>18</v>
      </c>
      <c r="DG92" s="841" t="s">
        <v>353</v>
      </c>
      <c r="DH92" s="841" t="s">
        <v>353</v>
      </c>
      <c r="DI92" s="841" t="s">
        <v>353</v>
      </c>
      <c r="DJ92" s="841" t="s">
        <v>2275</v>
      </c>
      <c r="DK92" s="841" t="s">
        <v>353</v>
      </c>
      <c r="DL92" s="842">
        <v>44587.415972222225</v>
      </c>
      <c r="DM92" s="841" t="s">
        <v>353</v>
      </c>
      <c r="DN92" s="841" t="s">
        <v>353</v>
      </c>
      <c r="DO92" s="841" t="s">
        <v>673</v>
      </c>
      <c r="DP92" s="841" t="s">
        <v>1412</v>
      </c>
      <c r="DQ92" s="841" t="s">
        <v>1392</v>
      </c>
      <c r="DR92" s="841">
        <v>608000</v>
      </c>
      <c r="DS92" s="841">
        <v>18</v>
      </c>
      <c r="DT92" s="841" t="s">
        <v>353</v>
      </c>
      <c r="DU92" s="841" t="s">
        <v>353</v>
      </c>
      <c r="DV92" s="841">
        <v>269917.5</v>
      </c>
      <c r="DW92" s="841">
        <v>425000</v>
      </c>
      <c r="DX92" s="841" t="s">
        <v>353</v>
      </c>
      <c r="DY92" s="841" t="s">
        <v>353</v>
      </c>
      <c r="DZ92" s="841" t="s">
        <v>353</v>
      </c>
      <c r="EA92" s="841" t="s">
        <v>353</v>
      </c>
      <c r="EB92" s="841" t="s">
        <v>353</v>
      </c>
      <c r="EC92" s="841" t="s">
        <v>353</v>
      </c>
      <c r="ED92" s="841" t="s">
        <v>353</v>
      </c>
      <c r="EE92" s="841" t="s">
        <v>353</v>
      </c>
      <c r="EF92" s="841" t="s">
        <v>353</v>
      </c>
      <c r="EG92" s="841" t="s">
        <v>353</v>
      </c>
      <c r="EH92" s="841" t="s">
        <v>353</v>
      </c>
      <c r="EI92" s="841">
        <v>147645</v>
      </c>
      <c r="EJ92" s="841" t="s">
        <v>353</v>
      </c>
      <c r="EK92" s="841" t="s">
        <v>353</v>
      </c>
      <c r="EL92" s="841" t="s">
        <v>1435</v>
      </c>
      <c r="EM92" s="841">
        <v>7437.5</v>
      </c>
      <c r="EN92" s="841" t="s">
        <v>353</v>
      </c>
      <c r="EO92" s="841" t="s">
        <v>353</v>
      </c>
      <c r="EP92" s="841" t="s">
        <v>353</v>
      </c>
      <c r="EQ92" s="841" t="s">
        <v>353</v>
      </c>
      <c r="ER92" s="841" t="s">
        <v>353</v>
      </c>
      <c r="ES92" s="841" t="s">
        <v>353</v>
      </c>
      <c r="ET92" s="841" t="s">
        <v>1393</v>
      </c>
      <c r="EU92" s="841" t="s">
        <v>353</v>
      </c>
      <c r="EV92" s="841" t="s">
        <v>353</v>
      </c>
      <c r="EW92" s="841" t="s">
        <v>353</v>
      </c>
      <c r="EX92" s="841" t="s">
        <v>353</v>
      </c>
      <c r="EY92" s="842">
        <v>44607.535416666666</v>
      </c>
      <c r="EZ92" s="841" t="s">
        <v>353</v>
      </c>
      <c r="FA92" s="841" t="s">
        <v>353</v>
      </c>
      <c r="FB92" s="841" t="s">
        <v>353</v>
      </c>
      <c r="FC92" s="841" t="s">
        <v>353</v>
      </c>
      <c r="FD92" s="841" t="s">
        <v>353</v>
      </c>
      <c r="FE92" s="842">
        <v>44606.43472222222</v>
      </c>
      <c r="FF92" s="841" t="s">
        <v>353</v>
      </c>
      <c r="FG92" s="841" t="s">
        <v>353</v>
      </c>
      <c r="FH92" s="841" t="s">
        <v>353</v>
      </c>
      <c r="FI92" s="841" t="s">
        <v>353</v>
      </c>
      <c r="FJ92" s="841" t="s">
        <v>353</v>
      </c>
      <c r="FK92" s="841" t="s">
        <v>353</v>
      </c>
      <c r="FL92" s="841" t="s">
        <v>353</v>
      </c>
      <c r="FM92" s="841" t="s">
        <v>353</v>
      </c>
      <c r="FN92" s="841" t="s">
        <v>353</v>
      </c>
      <c r="FO92" s="841" t="s">
        <v>1582</v>
      </c>
      <c r="FP92" s="841" t="s">
        <v>353</v>
      </c>
      <c r="FQ92" s="841" t="s">
        <v>353</v>
      </c>
      <c r="FR92" s="841" t="s">
        <v>353</v>
      </c>
      <c r="FS92" s="841" t="s">
        <v>353</v>
      </c>
      <c r="FT92" s="841" t="s">
        <v>353</v>
      </c>
      <c r="FU92" s="841" t="s">
        <v>1416</v>
      </c>
      <c r="FV92" s="841" t="s">
        <v>353</v>
      </c>
      <c r="FW92" s="841" t="s">
        <v>353</v>
      </c>
      <c r="FX92" s="841" t="s">
        <v>353</v>
      </c>
      <c r="FY92" s="841" t="s">
        <v>353</v>
      </c>
      <c r="FZ92" s="841" t="s">
        <v>353</v>
      </c>
      <c r="GA92" s="841" t="s">
        <v>353</v>
      </c>
      <c r="GB92" s="841">
        <v>1</v>
      </c>
      <c r="GC92" s="841" t="s">
        <v>353</v>
      </c>
      <c r="GD92" s="841" t="s">
        <v>1395</v>
      </c>
      <c r="GE92" s="841" t="s">
        <v>353</v>
      </c>
      <c r="GF92" s="841" t="s">
        <v>353</v>
      </c>
      <c r="GG92" s="841" t="s">
        <v>353</v>
      </c>
      <c r="GH92" s="841">
        <v>85000</v>
      </c>
      <c r="GI92" s="841" t="s">
        <v>353</v>
      </c>
      <c r="GJ92" s="841" t="s">
        <v>353</v>
      </c>
      <c r="GK92" s="841" t="s">
        <v>353</v>
      </c>
      <c r="GL92" s="841" t="s">
        <v>2011</v>
      </c>
      <c r="GM92" s="841" t="s">
        <v>353</v>
      </c>
      <c r="GN92" s="841" t="s">
        <v>353</v>
      </c>
      <c r="GO92" s="841" t="s">
        <v>353</v>
      </c>
      <c r="GP92" s="841" t="s">
        <v>353</v>
      </c>
      <c r="GQ92" s="841" t="s">
        <v>353</v>
      </c>
      <c r="GR92" s="842">
        <v>44607.535416666666</v>
      </c>
      <c r="GS92" s="841" t="s">
        <v>1662</v>
      </c>
      <c r="GT92" s="841" t="s">
        <v>353</v>
      </c>
      <c r="GU92" s="841" t="s">
        <v>353</v>
      </c>
      <c r="GV92" s="841" t="s">
        <v>1076</v>
      </c>
      <c r="GW92" s="841" t="s">
        <v>353</v>
      </c>
      <c r="GX92" s="841" t="s">
        <v>353</v>
      </c>
      <c r="GY92" s="841">
        <v>24</v>
      </c>
      <c r="GZ92" s="841" t="s">
        <v>1420</v>
      </c>
      <c r="HA92" s="841" t="s">
        <v>353</v>
      </c>
      <c r="HB92" s="841" t="s">
        <v>353</v>
      </c>
      <c r="HC92" s="841" t="s">
        <v>1421</v>
      </c>
      <c r="HD92" s="841" t="s">
        <v>2276</v>
      </c>
      <c r="HE92" s="841">
        <v>5312.5</v>
      </c>
      <c r="HF92" s="841" t="s">
        <v>353</v>
      </c>
      <c r="HG92" s="841" t="s">
        <v>353</v>
      </c>
      <c r="HH92" s="841" t="s">
        <v>353</v>
      </c>
      <c r="HI92" s="841" t="s">
        <v>1422</v>
      </c>
      <c r="HJ92" s="841" t="s">
        <v>2277</v>
      </c>
      <c r="HK92" s="841">
        <v>425000</v>
      </c>
      <c r="HL92" s="841" t="s">
        <v>353</v>
      </c>
      <c r="HM92" s="841" t="s">
        <v>1423</v>
      </c>
      <c r="HN92" s="841" t="s">
        <v>353</v>
      </c>
      <c r="HO92" s="841" t="s">
        <v>353</v>
      </c>
      <c r="HP92" s="841">
        <v>24607.5</v>
      </c>
      <c r="HQ92" s="841" t="s">
        <v>353</v>
      </c>
      <c r="HR92" s="841" t="s">
        <v>353</v>
      </c>
      <c r="HS92" s="841">
        <v>277355</v>
      </c>
      <c r="HT92" s="841" t="s">
        <v>353</v>
      </c>
      <c r="HU92" s="841" t="s">
        <v>353</v>
      </c>
      <c r="HV92" s="841" t="s">
        <v>353</v>
      </c>
      <c r="HW92" s="841">
        <v>608000</v>
      </c>
      <c r="HX92" s="841" t="s">
        <v>353</v>
      </c>
      <c r="HY92" s="841" t="s">
        <v>353</v>
      </c>
      <c r="HZ92" s="841" t="s">
        <v>353</v>
      </c>
      <c r="IA92" s="841" t="s">
        <v>353</v>
      </c>
      <c r="IB92" s="841" t="s">
        <v>1424</v>
      </c>
      <c r="IC92" s="841" t="s">
        <v>353</v>
      </c>
      <c r="ID92" s="841" t="s">
        <v>353</v>
      </c>
      <c r="IE92" s="841" t="s">
        <v>353</v>
      </c>
      <c r="IF92" s="841" t="s">
        <v>353</v>
      </c>
      <c r="IG92" s="841" t="s">
        <v>353</v>
      </c>
      <c r="IH92" s="841" t="s">
        <v>353</v>
      </c>
      <c r="II92" s="841" t="s">
        <v>353</v>
      </c>
      <c r="IJ92" s="841" t="s">
        <v>353</v>
      </c>
      <c r="IK92" s="841" t="s">
        <v>353</v>
      </c>
      <c r="IL92" s="841">
        <v>411740</v>
      </c>
      <c r="IM92" s="841" t="s">
        <v>353</v>
      </c>
      <c r="IN92" s="841" t="s">
        <v>353</v>
      </c>
      <c r="IO92" s="841">
        <v>199</v>
      </c>
      <c r="IP92" s="841" t="s">
        <v>353</v>
      </c>
      <c r="IQ92" s="841" t="s">
        <v>353</v>
      </c>
      <c r="IR92" s="841">
        <v>6</v>
      </c>
      <c r="IS92" s="841" t="s">
        <v>353</v>
      </c>
      <c r="IT92" s="841" t="s">
        <v>353</v>
      </c>
      <c r="IU92" s="841" t="s">
        <v>353</v>
      </c>
      <c r="IV92" s="841" t="s">
        <v>353</v>
      </c>
      <c r="IW92" s="841" t="s">
        <v>353</v>
      </c>
      <c r="IX92" s="841" t="s">
        <v>353</v>
      </c>
      <c r="IY92" s="841" t="s">
        <v>1622</v>
      </c>
      <c r="IZ92" s="841" t="s">
        <v>353</v>
      </c>
      <c r="JA92" s="841">
        <v>425000</v>
      </c>
      <c r="JB92" s="841" t="s">
        <v>353</v>
      </c>
      <c r="JC92" s="841" t="s">
        <v>353</v>
      </c>
      <c r="JD92" s="841" t="s">
        <v>1413</v>
      </c>
      <c r="JE92" s="841" t="s">
        <v>353</v>
      </c>
      <c r="JF92" s="841" t="s">
        <v>1836</v>
      </c>
      <c r="JG92" s="841" t="s">
        <v>1837</v>
      </c>
      <c r="JH92" s="841" t="s">
        <v>2278</v>
      </c>
      <c r="JI92" s="841" t="s">
        <v>2279</v>
      </c>
    </row>
    <row r="93" spans="1:269" x14ac:dyDescent="0.25">
      <c r="A93" s="841" t="s">
        <v>2280</v>
      </c>
      <c r="B93" s="841" t="s">
        <v>353</v>
      </c>
      <c r="C93" s="841" t="s">
        <v>353</v>
      </c>
      <c r="D93" s="841" t="s">
        <v>353</v>
      </c>
      <c r="E93" s="841" t="s">
        <v>353</v>
      </c>
      <c r="F93" s="841" t="s">
        <v>353</v>
      </c>
      <c r="G93" s="841" t="s">
        <v>353</v>
      </c>
      <c r="H93" s="841" t="s">
        <v>353</v>
      </c>
      <c r="I93" s="841" t="s">
        <v>353</v>
      </c>
      <c r="J93" s="841" t="s">
        <v>353</v>
      </c>
      <c r="K93" s="841" t="s">
        <v>353</v>
      </c>
      <c r="L93" s="842">
        <v>44587.543749999997</v>
      </c>
      <c r="M93" s="841" t="s">
        <v>353</v>
      </c>
      <c r="N93" s="841" t="s">
        <v>353</v>
      </c>
      <c r="O93" s="841" t="s">
        <v>353</v>
      </c>
      <c r="P93" s="841" t="s">
        <v>353</v>
      </c>
      <c r="Q93" s="841" t="s">
        <v>353</v>
      </c>
      <c r="R93" s="841" t="s">
        <v>353</v>
      </c>
      <c r="S93" s="841" t="s">
        <v>353</v>
      </c>
      <c r="T93" s="841" t="s">
        <v>1390</v>
      </c>
      <c r="U93" s="841" t="s">
        <v>353</v>
      </c>
      <c r="V93" s="841" t="s">
        <v>353</v>
      </c>
      <c r="W93" s="841" t="s">
        <v>353</v>
      </c>
      <c r="X93" s="841" t="s">
        <v>353</v>
      </c>
      <c r="Y93" s="841" t="s">
        <v>353</v>
      </c>
      <c r="Z93" s="841" t="s">
        <v>353</v>
      </c>
      <c r="AA93" s="841" t="s">
        <v>353</v>
      </c>
      <c r="AB93" s="841" t="s">
        <v>353</v>
      </c>
      <c r="AC93" s="841" t="s">
        <v>353</v>
      </c>
      <c r="AD93" s="841" t="s">
        <v>353</v>
      </c>
      <c r="AE93" s="841" t="s">
        <v>353</v>
      </c>
      <c r="AF93" s="841" t="s">
        <v>353</v>
      </c>
      <c r="AG93" s="841" t="s">
        <v>353</v>
      </c>
      <c r="AH93" s="841" t="s">
        <v>353</v>
      </c>
      <c r="AI93" s="841" t="s">
        <v>353</v>
      </c>
      <c r="AJ93" s="841" t="s">
        <v>353</v>
      </c>
      <c r="AK93" s="841" t="s">
        <v>353</v>
      </c>
      <c r="AL93" s="841" t="s">
        <v>353</v>
      </c>
      <c r="AM93" s="841" t="s">
        <v>353</v>
      </c>
      <c r="AN93" s="841" t="s">
        <v>353</v>
      </c>
      <c r="AO93" s="841" t="s">
        <v>353</v>
      </c>
      <c r="AP93" s="841" t="s">
        <v>353</v>
      </c>
      <c r="AQ93" s="841" t="s">
        <v>353</v>
      </c>
      <c r="AR93" s="841" t="s">
        <v>353</v>
      </c>
      <c r="AS93" s="841" t="s">
        <v>353</v>
      </c>
      <c r="AT93" s="841" t="s">
        <v>353</v>
      </c>
      <c r="AU93" s="841" t="s">
        <v>353</v>
      </c>
      <c r="AV93" s="841" t="s">
        <v>353</v>
      </c>
      <c r="AW93" s="841" t="s">
        <v>353</v>
      </c>
      <c r="AX93" s="841" t="s">
        <v>353</v>
      </c>
      <c r="AY93" s="841" t="s">
        <v>353</v>
      </c>
      <c r="AZ93" s="841" t="s">
        <v>353</v>
      </c>
      <c r="BA93" s="841" t="s">
        <v>353</v>
      </c>
      <c r="BB93" s="841" t="s">
        <v>353</v>
      </c>
      <c r="BC93" s="841" t="s">
        <v>353</v>
      </c>
      <c r="BD93" s="841" t="s">
        <v>353</v>
      </c>
      <c r="BE93" s="841" t="s">
        <v>353</v>
      </c>
      <c r="BF93" s="841" t="s">
        <v>353</v>
      </c>
      <c r="BG93" s="841" t="s">
        <v>353</v>
      </c>
      <c r="BH93" s="841" t="s">
        <v>353</v>
      </c>
      <c r="BI93" s="841" t="s">
        <v>353</v>
      </c>
      <c r="BJ93" s="841" t="s">
        <v>353</v>
      </c>
      <c r="BK93" s="841" t="s">
        <v>353</v>
      </c>
      <c r="BL93" s="841" t="s">
        <v>353</v>
      </c>
      <c r="BM93" s="842">
        <v>44592.726388888892</v>
      </c>
      <c r="BN93" s="841" t="s">
        <v>353</v>
      </c>
      <c r="BO93" s="841" t="s">
        <v>353</v>
      </c>
      <c r="BP93" s="841" t="s">
        <v>353</v>
      </c>
      <c r="BQ93" s="841" t="s">
        <v>353</v>
      </c>
      <c r="BR93" s="841" t="s">
        <v>353</v>
      </c>
      <c r="BS93" s="841" t="s">
        <v>353</v>
      </c>
      <c r="BT93" s="841">
        <v>150000</v>
      </c>
      <c r="BU93" s="841" t="s">
        <v>353</v>
      </c>
      <c r="BV93" s="841" t="s">
        <v>353</v>
      </c>
      <c r="BW93" s="841" t="s">
        <v>353</v>
      </c>
      <c r="BX93" s="841" t="s">
        <v>353</v>
      </c>
      <c r="BY93" s="841" t="s">
        <v>353</v>
      </c>
      <c r="BZ93" s="841" t="s">
        <v>353</v>
      </c>
      <c r="CA93" s="841" t="s">
        <v>353</v>
      </c>
      <c r="CB93" s="841" t="s">
        <v>353</v>
      </c>
      <c r="CC93" s="841" t="s">
        <v>353</v>
      </c>
      <c r="CD93" s="841" t="s">
        <v>353</v>
      </c>
      <c r="CE93" s="841" t="s">
        <v>353</v>
      </c>
      <c r="CF93" s="841" t="s">
        <v>353</v>
      </c>
      <c r="CG93" s="841" t="s">
        <v>353</v>
      </c>
      <c r="CH93" s="841" t="s">
        <v>353</v>
      </c>
      <c r="CI93" s="841" t="s">
        <v>353</v>
      </c>
      <c r="CJ93" s="841" t="s">
        <v>353</v>
      </c>
      <c r="CK93" s="841">
        <v>2</v>
      </c>
      <c r="CL93" s="841" t="s">
        <v>353</v>
      </c>
      <c r="CM93" s="841">
        <v>2</v>
      </c>
      <c r="CN93" s="841" t="s">
        <v>353</v>
      </c>
      <c r="CO93" s="841" t="s">
        <v>353</v>
      </c>
      <c r="CP93" s="841" t="s">
        <v>353</v>
      </c>
      <c r="CQ93" s="841" t="s">
        <v>353</v>
      </c>
      <c r="CR93" s="841" t="s">
        <v>353</v>
      </c>
      <c r="CS93" s="841" t="s">
        <v>353</v>
      </c>
      <c r="CT93" s="841" t="s">
        <v>353</v>
      </c>
      <c r="CU93" s="841" t="s">
        <v>1391</v>
      </c>
      <c r="CV93" s="841" t="s">
        <v>353</v>
      </c>
      <c r="CW93" s="841" t="s">
        <v>353</v>
      </c>
      <c r="CX93" s="841" t="s">
        <v>353</v>
      </c>
      <c r="CY93" s="841" t="s">
        <v>353</v>
      </c>
      <c r="CZ93" s="841" t="s">
        <v>353</v>
      </c>
      <c r="DA93" s="841" t="s">
        <v>353</v>
      </c>
      <c r="DB93" s="841" t="s">
        <v>353</v>
      </c>
      <c r="DC93" s="841" t="s">
        <v>353</v>
      </c>
      <c r="DD93" s="841" t="s">
        <v>353</v>
      </c>
      <c r="DE93" s="841" t="s">
        <v>353</v>
      </c>
      <c r="DF93" s="841" t="s">
        <v>353</v>
      </c>
      <c r="DG93" s="841" t="s">
        <v>353</v>
      </c>
      <c r="DH93" s="841" t="s">
        <v>353</v>
      </c>
      <c r="DI93" s="841" t="s">
        <v>353</v>
      </c>
      <c r="DJ93" s="841" t="s">
        <v>2281</v>
      </c>
      <c r="DK93" s="841" t="s">
        <v>353</v>
      </c>
      <c r="DL93" s="842">
        <v>44586.726388888892</v>
      </c>
      <c r="DM93" s="841" t="s">
        <v>353</v>
      </c>
      <c r="DN93" s="841" t="s">
        <v>353</v>
      </c>
      <c r="DO93" s="841" t="s">
        <v>353</v>
      </c>
      <c r="DP93" s="841" t="s">
        <v>353</v>
      </c>
      <c r="DQ93" s="841" t="s">
        <v>673</v>
      </c>
      <c r="DR93" s="841" t="s">
        <v>353</v>
      </c>
      <c r="DS93" s="841" t="s">
        <v>353</v>
      </c>
      <c r="DT93" s="841" t="s">
        <v>353</v>
      </c>
      <c r="DU93" s="841" t="s">
        <v>353</v>
      </c>
      <c r="DV93" s="841" t="s">
        <v>353</v>
      </c>
      <c r="DW93" s="841" t="s">
        <v>353</v>
      </c>
      <c r="DX93" s="841" t="s">
        <v>353</v>
      </c>
      <c r="DY93" s="841" t="s">
        <v>353</v>
      </c>
      <c r="DZ93" s="841" t="s">
        <v>353</v>
      </c>
      <c r="EA93" s="841" t="s">
        <v>353</v>
      </c>
      <c r="EB93" s="841" t="s">
        <v>353</v>
      </c>
      <c r="EC93" s="841" t="s">
        <v>353</v>
      </c>
      <c r="ED93" s="841" t="s">
        <v>353</v>
      </c>
      <c r="EE93" s="841" t="s">
        <v>353</v>
      </c>
      <c r="EF93" s="841" t="s">
        <v>353</v>
      </c>
      <c r="EG93" s="841" t="s">
        <v>353</v>
      </c>
      <c r="EH93" s="841" t="s">
        <v>353</v>
      </c>
      <c r="EI93" s="841" t="s">
        <v>353</v>
      </c>
      <c r="EJ93" s="841" t="s">
        <v>353</v>
      </c>
      <c r="EK93" s="841" t="s">
        <v>353</v>
      </c>
      <c r="EL93" s="841" t="s">
        <v>353</v>
      </c>
      <c r="EM93" s="841" t="s">
        <v>353</v>
      </c>
      <c r="EN93" s="841" t="s">
        <v>353</v>
      </c>
      <c r="EO93" s="841" t="s">
        <v>353</v>
      </c>
      <c r="EP93" s="841" t="s">
        <v>353</v>
      </c>
      <c r="EQ93" s="841" t="s">
        <v>353</v>
      </c>
      <c r="ER93" s="841" t="s">
        <v>353</v>
      </c>
      <c r="ES93" s="841" t="s">
        <v>353</v>
      </c>
      <c r="ET93" s="841" t="s">
        <v>1711</v>
      </c>
      <c r="EU93" s="841" t="s">
        <v>353</v>
      </c>
      <c r="EV93" s="841" t="s">
        <v>353</v>
      </c>
      <c r="EW93" s="841" t="s">
        <v>353</v>
      </c>
      <c r="EX93" s="841" t="s">
        <v>353</v>
      </c>
      <c r="EY93" s="842">
        <v>44587.40625</v>
      </c>
      <c r="EZ93" s="841" t="s">
        <v>353</v>
      </c>
      <c r="FA93" s="841" t="s">
        <v>353</v>
      </c>
      <c r="FB93" s="841" t="s">
        <v>353</v>
      </c>
      <c r="FC93" s="841" t="s">
        <v>353</v>
      </c>
      <c r="FD93" s="841" t="s">
        <v>353</v>
      </c>
      <c r="FE93" s="842">
        <v>44586.727083333331</v>
      </c>
      <c r="FF93" s="841" t="s">
        <v>353</v>
      </c>
      <c r="FG93" s="841" t="s">
        <v>353</v>
      </c>
      <c r="FH93" s="841" t="s">
        <v>353</v>
      </c>
      <c r="FI93" s="841" t="s">
        <v>353</v>
      </c>
      <c r="FJ93" s="841" t="s">
        <v>353</v>
      </c>
      <c r="FK93" s="841" t="s">
        <v>353</v>
      </c>
      <c r="FL93" s="841" t="s">
        <v>353</v>
      </c>
      <c r="FM93" s="841" t="s">
        <v>353</v>
      </c>
      <c r="FN93" s="841" t="s">
        <v>353</v>
      </c>
      <c r="FO93" s="841" t="s">
        <v>353</v>
      </c>
      <c r="FP93" s="841" t="s">
        <v>353</v>
      </c>
      <c r="FQ93" s="841" t="s">
        <v>353</v>
      </c>
      <c r="FR93" s="841" t="s">
        <v>353</v>
      </c>
      <c r="FS93" s="841" t="s">
        <v>353</v>
      </c>
      <c r="FT93" s="841" t="s">
        <v>353</v>
      </c>
      <c r="FU93" s="841" t="s">
        <v>1394</v>
      </c>
      <c r="FV93" s="841" t="s">
        <v>353</v>
      </c>
      <c r="FW93" s="841" t="s">
        <v>353</v>
      </c>
      <c r="FX93" s="841" t="s">
        <v>353</v>
      </c>
      <c r="FY93" s="841" t="s">
        <v>353</v>
      </c>
      <c r="FZ93" s="841" t="s">
        <v>353</v>
      </c>
      <c r="GA93" s="841" t="s">
        <v>353</v>
      </c>
      <c r="GB93" s="841">
        <v>1</v>
      </c>
      <c r="GC93" s="841" t="s">
        <v>353</v>
      </c>
      <c r="GD93" s="841" t="s">
        <v>1417</v>
      </c>
      <c r="GE93" s="841" t="s">
        <v>353</v>
      </c>
      <c r="GF93" s="841" t="s">
        <v>353</v>
      </c>
      <c r="GG93" s="841" t="s">
        <v>353</v>
      </c>
      <c r="GH93" s="841" t="s">
        <v>353</v>
      </c>
      <c r="GI93" s="841" t="s">
        <v>353</v>
      </c>
      <c r="GJ93" s="841" t="s">
        <v>353</v>
      </c>
      <c r="GK93" s="841" t="s">
        <v>353</v>
      </c>
      <c r="GL93" s="841" t="s">
        <v>2282</v>
      </c>
      <c r="GM93" s="841" t="s">
        <v>353</v>
      </c>
      <c r="GN93" s="841" t="s">
        <v>353</v>
      </c>
      <c r="GO93" s="841" t="s">
        <v>353</v>
      </c>
      <c r="GP93" s="841" t="s">
        <v>353</v>
      </c>
      <c r="GQ93" s="841" t="s">
        <v>353</v>
      </c>
      <c r="GR93" s="842">
        <v>44587.40625</v>
      </c>
      <c r="GS93" s="841" t="s">
        <v>353</v>
      </c>
      <c r="GT93" s="841" t="s">
        <v>353</v>
      </c>
      <c r="GU93" s="841" t="s">
        <v>353</v>
      </c>
      <c r="GV93" s="841" t="s">
        <v>1419</v>
      </c>
      <c r="GW93" s="841" t="s">
        <v>353</v>
      </c>
      <c r="GX93" s="841" t="s">
        <v>353</v>
      </c>
      <c r="GY93" s="841" t="s">
        <v>353</v>
      </c>
      <c r="GZ93" s="841" t="s">
        <v>353</v>
      </c>
      <c r="HA93" s="841" t="s">
        <v>353</v>
      </c>
      <c r="HB93" s="841" t="s">
        <v>353</v>
      </c>
      <c r="HC93" s="841" t="s">
        <v>353</v>
      </c>
      <c r="HD93" s="841" t="s">
        <v>2283</v>
      </c>
      <c r="HE93" s="841" t="s">
        <v>353</v>
      </c>
      <c r="HF93" s="841" t="s">
        <v>353</v>
      </c>
      <c r="HG93" s="841" t="s">
        <v>353</v>
      </c>
      <c r="HH93" s="841" t="s">
        <v>353</v>
      </c>
      <c r="HI93" s="841" t="s">
        <v>353</v>
      </c>
      <c r="HJ93" s="841" t="s">
        <v>353</v>
      </c>
      <c r="HK93" s="841" t="s">
        <v>353</v>
      </c>
      <c r="HL93" s="841" t="s">
        <v>353</v>
      </c>
      <c r="HM93" s="841" t="s">
        <v>353</v>
      </c>
      <c r="HN93" s="841" t="s">
        <v>353</v>
      </c>
      <c r="HO93" s="841" t="s">
        <v>353</v>
      </c>
      <c r="HP93" s="841" t="s">
        <v>353</v>
      </c>
      <c r="HQ93" s="841" t="s">
        <v>353</v>
      </c>
      <c r="HR93" s="841" t="s">
        <v>353</v>
      </c>
      <c r="HS93" s="841" t="s">
        <v>353</v>
      </c>
      <c r="HT93" s="841" t="s">
        <v>353</v>
      </c>
      <c r="HU93" s="841" t="s">
        <v>353</v>
      </c>
      <c r="HV93" s="841" t="s">
        <v>353</v>
      </c>
      <c r="HW93" s="841" t="s">
        <v>353</v>
      </c>
      <c r="HX93" s="841" t="s">
        <v>353</v>
      </c>
      <c r="HY93" s="841" t="s">
        <v>353</v>
      </c>
      <c r="HZ93" s="841" t="s">
        <v>353</v>
      </c>
      <c r="IA93" s="841" t="s">
        <v>353</v>
      </c>
      <c r="IB93" s="841" t="s">
        <v>353</v>
      </c>
      <c r="IC93" s="841" t="s">
        <v>353</v>
      </c>
      <c r="ID93" s="841" t="s">
        <v>353</v>
      </c>
      <c r="IE93" s="841" t="s">
        <v>353</v>
      </c>
      <c r="IF93" s="841" t="s">
        <v>353</v>
      </c>
      <c r="IG93" s="841" t="s">
        <v>353</v>
      </c>
      <c r="IH93" s="841" t="s">
        <v>353</v>
      </c>
      <c r="II93" s="841" t="s">
        <v>353</v>
      </c>
      <c r="IJ93" s="841" t="s">
        <v>353</v>
      </c>
      <c r="IK93" s="841" t="s">
        <v>353</v>
      </c>
      <c r="IL93" s="841" t="s">
        <v>353</v>
      </c>
      <c r="IM93" s="841" t="s">
        <v>353</v>
      </c>
      <c r="IN93" s="841" t="s">
        <v>353</v>
      </c>
      <c r="IO93" s="841" t="s">
        <v>353</v>
      </c>
      <c r="IP93" s="841" t="s">
        <v>353</v>
      </c>
      <c r="IQ93" s="841" t="s">
        <v>353</v>
      </c>
      <c r="IR93" s="841" t="s">
        <v>353</v>
      </c>
      <c r="IS93" s="841" t="s">
        <v>353</v>
      </c>
      <c r="IT93" s="841" t="s">
        <v>353</v>
      </c>
      <c r="IU93" s="841" t="s">
        <v>353</v>
      </c>
      <c r="IV93" s="841" t="s">
        <v>353</v>
      </c>
      <c r="IW93" s="841" t="s">
        <v>353</v>
      </c>
      <c r="IX93" s="841" t="s">
        <v>353</v>
      </c>
      <c r="IY93" s="841" t="s">
        <v>353</v>
      </c>
      <c r="IZ93" s="841" t="s">
        <v>353</v>
      </c>
      <c r="JA93" s="841" t="s">
        <v>353</v>
      </c>
      <c r="JB93" s="841" t="s">
        <v>353</v>
      </c>
      <c r="JC93" s="841" t="s">
        <v>353</v>
      </c>
      <c r="JD93" s="841" t="s">
        <v>353</v>
      </c>
      <c r="JE93" s="841" t="s">
        <v>353</v>
      </c>
      <c r="JF93" s="841" t="s">
        <v>353</v>
      </c>
      <c r="JG93" s="841" t="s">
        <v>353</v>
      </c>
      <c r="JH93" s="841" t="s">
        <v>2284</v>
      </c>
      <c r="JI93" s="841" t="s">
        <v>2285</v>
      </c>
    </row>
    <row r="94" spans="1:269" x14ac:dyDescent="0.25">
      <c r="A94" s="841" t="s">
        <v>2286</v>
      </c>
      <c r="B94" s="841" t="s">
        <v>353</v>
      </c>
      <c r="C94" s="841" t="s">
        <v>353</v>
      </c>
      <c r="D94" s="841" t="s">
        <v>353</v>
      </c>
      <c r="E94" s="841" t="s">
        <v>33</v>
      </c>
      <c r="F94" s="841" t="s">
        <v>1930</v>
      </c>
      <c r="G94" s="841" t="s">
        <v>2197</v>
      </c>
      <c r="H94" s="841" t="s">
        <v>353</v>
      </c>
      <c r="I94" s="841" t="s">
        <v>353</v>
      </c>
      <c r="J94" s="841" t="s">
        <v>353</v>
      </c>
      <c r="K94" s="841" t="s">
        <v>353</v>
      </c>
      <c r="L94" s="842">
        <v>44607.675000000003</v>
      </c>
      <c r="M94" s="841" t="s">
        <v>353</v>
      </c>
      <c r="N94" s="841" t="s">
        <v>33</v>
      </c>
      <c r="O94" s="841" t="s">
        <v>353</v>
      </c>
      <c r="P94" s="841" t="s">
        <v>33</v>
      </c>
      <c r="Q94" s="841" t="s">
        <v>353</v>
      </c>
      <c r="R94" s="841" t="s">
        <v>353</v>
      </c>
      <c r="S94" s="841" t="s">
        <v>67</v>
      </c>
      <c r="T94" s="841" t="s">
        <v>1390</v>
      </c>
      <c r="U94" s="841" t="s">
        <v>353</v>
      </c>
      <c r="V94" s="841" t="s">
        <v>353</v>
      </c>
      <c r="W94" s="841" t="s">
        <v>353</v>
      </c>
      <c r="X94" s="841" t="s">
        <v>1405</v>
      </c>
      <c r="Y94" s="841" t="s">
        <v>353</v>
      </c>
      <c r="Z94" s="841" t="s">
        <v>353</v>
      </c>
      <c r="AA94" s="841" t="s">
        <v>33</v>
      </c>
      <c r="AB94" s="843">
        <v>44600</v>
      </c>
      <c r="AC94" s="841">
        <v>163800</v>
      </c>
      <c r="AD94" s="841" t="s">
        <v>353</v>
      </c>
      <c r="AE94" s="841" t="s">
        <v>33</v>
      </c>
      <c r="AF94" s="841">
        <v>878.15</v>
      </c>
      <c r="AG94" s="841" t="s">
        <v>353</v>
      </c>
      <c r="AH94" s="841">
        <v>1300</v>
      </c>
      <c r="AI94" s="841" t="s">
        <v>1406</v>
      </c>
      <c r="AJ94" s="841" t="s">
        <v>2168</v>
      </c>
      <c r="AK94" s="841">
        <v>75</v>
      </c>
      <c r="AL94" s="841" t="s">
        <v>353</v>
      </c>
      <c r="AM94" s="841" t="s">
        <v>353</v>
      </c>
      <c r="AN94" s="841" t="s">
        <v>33</v>
      </c>
      <c r="AO94" s="841" t="s">
        <v>353</v>
      </c>
      <c r="AP94" s="841" t="s">
        <v>353</v>
      </c>
      <c r="AQ94" s="841" t="s">
        <v>353</v>
      </c>
      <c r="AR94" s="841" t="s">
        <v>33</v>
      </c>
      <c r="AS94" s="841" t="s">
        <v>353</v>
      </c>
      <c r="AT94" s="841" t="s">
        <v>353</v>
      </c>
      <c r="AU94" s="841" t="s">
        <v>353</v>
      </c>
      <c r="AV94" s="841" t="s">
        <v>353</v>
      </c>
      <c r="AW94" s="843">
        <v>44592</v>
      </c>
      <c r="AX94" s="841" t="s">
        <v>353</v>
      </c>
      <c r="AY94" s="841" t="s">
        <v>353</v>
      </c>
      <c r="AZ94" s="841" t="s">
        <v>353</v>
      </c>
      <c r="BA94" s="841" t="s">
        <v>353</v>
      </c>
      <c r="BB94" s="841" t="s">
        <v>353</v>
      </c>
      <c r="BC94" s="841">
        <v>178815</v>
      </c>
      <c r="BD94" s="841" t="s">
        <v>353</v>
      </c>
      <c r="BE94" s="841" t="s">
        <v>353</v>
      </c>
      <c r="BF94" s="841" t="s">
        <v>353</v>
      </c>
      <c r="BG94" s="841" t="s">
        <v>353</v>
      </c>
      <c r="BH94" s="841" t="s">
        <v>353</v>
      </c>
      <c r="BI94" s="841" t="s">
        <v>353</v>
      </c>
      <c r="BJ94" s="841" t="s">
        <v>353</v>
      </c>
      <c r="BK94" s="841" t="s">
        <v>353</v>
      </c>
      <c r="BL94" s="841" t="s">
        <v>2287</v>
      </c>
      <c r="BM94" s="842">
        <v>44592.660416666666</v>
      </c>
      <c r="BN94" s="841" t="s">
        <v>353</v>
      </c>
      <c r="BO94" s="841" t="s">
        <v>353</v>
      </c>
      <c r="BP94" s="841" t="s">
        <v>673</v>
      </c>
      <c r="BQ94" s="841" t="s">
        <v>353</v>
      </c>
      <c r="BR94" s="841" t="s">
        <v>353</v>
      </c>
      <c r="BS94" s="841" t="s">
        <v>353</v>
      </c>
      <c r="BT94" s="841">
        <v>182000</v>
      </c>
      <c r="BU94" s="841" t="s">
        <v>353</v>
      </c>
      <c r="BV94" s="841" t="s">
        <v>1884</v>
      </c>
      <c r="BW94" s="841" t="s">
        <v>1578</v>
      </c>
      <c r="BX94" s="841" t="s">
        <v>2288</v>
      </c>
      <c r="BY94" s="841" t="s">
        <v>353</v>
      </c>
      <c r="BZ94" s="841" t="s">
        <v>353</v>
      </c>
      <c r="CA94" s="841" t="s">
        <v>353</v>
      </c>
      <c r="CB94" s="841" t="s">
        <v>353</v>
      </c>
      <c r="CC94" s="841" t="s">
        <v>353</v>
      </c>
      <c r="CD94" s="841" t="s">
        <v>353</v>
      </c>
      <c r="CE94" s="841" t="s">
        <v>353</v>
      </c>
      <c r="CF94" s="841" t="s">
        <v>353</v>
      </c>
      <c r="CG94" s="841" t="s">
        <v>353</v>
      </c>
      <c r="CH94" s="841" t="s">
        <v>353</v>
      </c>
      <c r="CI94" s="841" t="s">
        <v>33</v>
      </c>
      <c r="CJ94" s="841">
        <v>1275</v>
      </c>
      <c r="CK94" s="841">
        <v>64</v>
      </c>
      <c r="CL94" s="841" t="s">
        <v>353</v>
      </c>
      <c r="CM94" s="841">
        <v>65</v>
      </c>
      <c r="CN94" s="841" t="s">
        <v>353</v>
      </c>
      <c r="CO94" s="841" t="s">
        <v>353</v>
      </c>
      <c r="CP94" s="841" t="s">
        <v>2289</v>
      </c>
      <c r="CQ94" s="841" t="s">
        <v>353</v>
      </c>
      <c r="CR94" s="841" t="s">
        <v>353</v>
      </c>
      <c r="CS94" s="841" t="s">
        <v>353</v>
      </c>
      <c r="CT94" s="841" t="s">
        <v>353</v>
      </c>
      <c r="CU94" s="841" t="s">
        <v>1391</v>
      </c>
      <c r="CV94" s="841" t="s">
        <v>353</v>
      </c>
      <c r="CW94" s="841" t="s">
        <v>353</v>
      </c>
      <c r="CX94" s="841" t="s">
        <v>353</v>
      </c>
      <c r="CY94" s="841" t="s">
        <v>353</v>
      </c>
      <c r="CZ94" s="841">
        <v>1</v>
      </c>
      <c r="DA94" s="841" t="s">
        <v>353</v>
      </c>
      <c r="DB94" s="843">
        <v>44602</v>
      </c>
      <c r="DC94" s="841" t="s">
        <v>353</v>
      </c>
      <c r="DD94" s="841" t="s">
        <v>353</v>
      </c>
      <c r="DE94" s="841" t="s">
        <v>353</v>
      </c>
      <c r="DF94" s="841">
        <v>36</v>
      </c>
      <c r="DG94" s="841" t="s">
        <v>353</v>
      </c>
      <c r="DH94" s="841" t="s">
        <v>353</v>
      </c>
      <c r="DI94" s="841" t="s">
        <v>353</v>
      </c>
      <c r="DJ94" s="841" t="s">
        <v>2290</v>
      </c>
      <c r="DK94" s="841" t="s">
        <v>353</v>
      </c>
      <c r="DL94" s="842">
        <v>44586.660416666666</v>
      </c>
      <c r="DM94" s="841" t="s">
        <v>353</v>
      </c>
      <c r="DN94" s="841" t="s">
        <v>33</v>
      </c>
      <c r="DO94" s="841" t="s">
        <v>353</v>
      </c>
      <c r="DP94" s="841" t="s">
        <v>353</v>
      </c>
      <c r="DQ94" s="841" t="s">
        <v>1434</v>
      </c>
      <c r="DR94" s="841">
        <v>242688</v>
      </c>
      <c r="DS94" s="841">
        <v>36</v>
      </c>
      <c r="DT94" s="841" t="s">
        <v>353</v>
      </c>
      <c r="DU94" s="841" t="s">
        <v>353</v>
      </c>
      <c r="DV94" s="841" t="s">
        <v>353</v>
      </c>
      <c r="DW94" s="841">
        <v>182000</v>
      </c>
      <c r="DX94" s="841" t="s">
        <v>33</v>
      </c>
      <c r="DY94" s="841" t="s">
        <v>353</v>
      </c>
      <c r="DZ94" s="841">
        <v>1440</v>
      </c>
      <c r="EA94" s="841" t="s">
        <v>353</v>
      </c>
      <c r="EB94" s="841" t="s">
        <v>353</v>
      </c>
      <c r="EC94" s="841" t="s">
        <v>353</v>
      </c>
      <c r="ED94" s="841" t="s">
        <v>353</v>
      </c>
      <c r="EE94" s="841" t="s">
        <v>33</v>
      </c>
      <c r="EF94" s="841" t="s">
        <v>353</v>
      </c>
      <c r="EG94" s="841" t="s">
        <v>353</v>
      </c>
      <c r="EH94" s="841" t="s">
        <v>33</v>
      </c>
      <c r="EI94" s="841">
        <v>0</v>
      </c>
      <c r="EJ94" s="841" t="s">
        <v>353</v>
      </c>
      <c r="EK94" s="841" t="s">
        <v>353</v>
      </c>
      <c r="EL94" s="841" t="s">
        <v>1930</v>
      </c>
      <c r="EM94" s="841" t="s">
        <v>353</v>
      </c>
      <c r="EN94" s="841" t="s">
        <v>353</v>
      </c>
      <c r="EO94" s="841" t="s">
        <v>353</v>
      </c>
      <c r="EP94" s="841" t="s">
        <v>353</v>
      </c>
      <c r="EQ94" s="841" t="s">
        <v>353</v>
      </c>
      <c r="ER94" s="841" t="s">
        <v>353</v>
      </c>
      <c r="ES94" s="841" t="s">
        <v>33</v>
      </c>
      <c r="ET94" s="841" t="s">
        <v>1496</v>
      </c>
      <c r="EU94" s="841" t="s">
        <v>2291</v>
      </c>
      <c r="EV94" s="841" t="s">
        <v>353</v>
      </c>
      <c r="EW94" s="841" t="s">
        <v>353</v>
      </c>
      <c r="EX94" s="841" t="s">
        <v>33</v>
      </c>
      <c r="EY94" s="842">
        <v>44599.570138888892</v>
      </c>
      <c r="EZ94" s="841" t="s">
        <v>353</v>
      </c>
      <c r="FA94" s="841" t="s">
        <v>353</v>
      </c>
      <c r="FB94" s="841" t="s">
        <v>353</v>
      </c>
      <c r="FC94" s="841" t="s">
        <v>353</v>
      </c>
      <c r="FD94" s="841" t="s">
        <v>353</v>
      </c>
      <c r="FE94" s="842">
        <v>44586.661111111112</v>
      </c>
      <c r="FF94" s="841" t="s">
        <v>353</v>
      </c>
      <c r="FG94" s="841" t="s">
        <v>353</v>
      </c>
      <c r="FH94" s="841" t="s">
        <v>353</v>
      </c>
      <c r="FI94" s="841" t="s">
        <v>353</v>
      </c>
      <c r="FJ94" s="841" t="s">
        <v>353</v>
      </c>
      <c r="FK94" s="841" t="s">
        <v>353</v>
      </c>
      <c r="FL94" s="841" t="s">
        <v>353</v>
      </c>
      <c r="FM94" s="841" t="s">
        <v>353</v>
      </c>
      <c r="FN94" s="841" t="s">
        <v>353</v>
      </c>
      <c r="FO94" s="841" t="s">
        <v>1648</v>
      </c>
      <c r="FP94" s="841" t="s">
        <v>353</v>
      </c>
      <c r="FQ94" s="841" t="s">
        <v>353</v>
      </c>
      <c r="FR94" s="841" t="s">
        <v>353</v>
      </c>
      <c r="FS94" s="841" t="s">
        <v>353</v>
      </c>
      <c r="FT94" s="841" t="s">
        <v>353</v>
      </c>
      <c r="FU94" s="841" t="s">
        <v>2203</v>
      </c>
      <c r="FV94" s="841" t="s">
        <v>353</v>
      </c>
      <c r="FW94" s="841" t="s">
        <v>353</v>
      </c>
      <c r="FX94" s="841" t="s">
        <v>353</v>
      </c>
      <c r="FY94" s="841" t="s">
        <v>353</v>
      </c>
      <c r="FZ94" s="841" t="s">
        <v>353</v>
      </c>
      <c r="GA94" s="841" t="s">
        <v>353</v>
      </c>
      <c r="GB94" s="841">
        <v>1</v>
      </c>
      <c r="GC94" s="841" t="s">
        <v>353</v>
      </c>
      <c r="GD94" s="841" t="s">
        <v>1417</v>
      </c>
      <c r="GE94" s="841" t="s">
        <v>353</v>
      </c>
      <c r="GF94" s="841">
        <v>1440</v>
      </c>
      <c r="GG94" s="841" t="s">
        <v>353</v>
      </c>
      <c r="GH94" s="841">
        <v>163800</v>
      </c>
      <c r="GI94" s="841" t="s">
        <v>353</v>
      </c>
      <c r="GJ94" s="841" t="s">
        <v>353</v>
      </c>
      <c r="GK94" s="841" t="s">
        <v>353</v>
      </c>
      <c r="GL94" s="841" t="s">
        <v>1437</v>
      </c>
      <c r="GM94" s="841" t="s">
        <v>353</v>
      </c>
      <c r="GN94" s="841" t="s">
        <v>353</v>
      </c>
      <c r="GO94" s="841" t="s">
        <v>353</v>
      </c>
      <c r="GP94" s="841" t="s">
        <v>353</v>
      </c>
      <c r="GQ94" s="841" t="s">
        <v>353</v>
      </c>
      <c r="GR94" s="842">
        <v>44586.600694444445</v>
      </c>
      <c r="GS94" s="841" t="s">
        <v>1884</v>
      </c>
      <c r="GT94" s="841" t="s">
        <v>353</v>
      </c>
      <c r="GU94" s="841" t="s">
        <v>353</v>
      </c>
      <c r="GV94" s="841" t="s">
        <v>1419</v>
      </c>
      <c r="GW94" s="841" t="s">
        <v>353</v>
      </c>
      <c r="GX94" s="841" t="s">
        <v>353</v>
      </c>
      <c r="GY94" s="841">
        <v>36</v>
      </c>
      <c r="GZ94" s="841" t="s">
        <v>1420</v>
      </c>
      <c r="HA94" s="841" t="s">
        <v>353</v>
      </c>
      <c r="HB94" s="841" t="s">
        <v>353</v>
      </c>
      <c r="HC94" s="841" t="s">
        <v>1421</v>
      </c>
      <c r="HD94" s="841" t="s">
        <v>2292</v>
      </c>
      <c r="HE94" s="841">
        <v>3640</v>
      </c>
      <c r="HF94" s="841" t="s">
        <v>353</v>
      </c>
      <c r="HG94" s="841" t="s">
        <v>353</v>
      </c>
      <c r="HH94" s="841">
        <v>1155</v>
      </c>
      <c r="HI94" s="841" t="s">
        <v>1422</v>
      </c>
      <c r="HJ94" s="841" t="s">
        <v>353</v>
      </c>
      <c r="HK94" s="841">
        <v>182000</v>
      </c>
      <c r="HL94" s="841" t="s">
        <v>49</v>
      </c>
      <c r="HM94" s="841" t="s">
        <v>1423</v>
      </c>
      <c r="HN94" s="841" t="s">
        <v>353</v>
      </c>
      <c r="HO94" s="841" t="s">
        <v>353</v>
      </c>
      <c r="HP94" s="841">
        <v>10537.8</v>
      </c>
      <c r="HQ94" s="841" t="s">
        <v>353</v>
      </c>
      <c r="HR94" s="841" t="s">
        <v>353</v>
      </c>
      <c r="HS94" s="841" t="s">
        <v>353</v>
      </c>
      <c r="HT94" s="841" t="s">
        <v>353</v>
      </c>
      <c r="HU94" s="841" t="s">
        <v>353</v>
      </c>
      <c r="HV94" s="841" t="s">
        <v>353</v>
      </c>
      <c r="HW94" s="841">
        <v>242688</v>
      </c>
      <c r="HX94" s="841" t="s">
        <v>353</v>
      </c>
      <c r="HY94" s="841" t="s">
        <v>353</v>
      </c>
      <c r="HZ94" s="841" t="s">
        <v>353</v>
      </c>
      <c r="IA94" s="841" t="s">
        <v>353</v>
      </c>
      <c r="IB94" s="841" t="s">
        <v>1424</v>
      </c>
      <c r="IC94" s="841" t="s">
        <v>353</v>
      </c>
      <c r="ID94" s="841" t="s">
        <v>353</v>
      </c>
      <c r="IE94" s="841" t="s">
        <v>353</v>
      </c>
      <c r="IF94" s="841" t="s">
        <v>353</v>
      </c>
      <c r="IG94" s="841" t="s">
        <v>353</v>
      </c>
      <c r="IH94" s="841" t="s">
        <v>353</v>
      </c>
      <c r="II94" s="841" t="s">
        <v>353</v>
      </c>
      <c r="IJ94" s="841" t="s">
        <v>353</v>
      </c>
      <c r="IK94" s="841" t="s">
        <v>353</v>
      </c>
      <c r="IL94" s="841">
        <v>182000</v>
      </c>
      <c r="IM94" s="841" t="s">
        <v>353</v>
      </c>
      <c r="IN94" s="841" t="s">
        <v>353</v>
      </c>
      <c r="IO94" s="841">
        <v>199</v>
      </c>
      <c r="IP94" s="841" t="s">
        <v>353</v>
      </c>
      <c r="IQ94" s="841" t="s">
        <v>353</v>
      </c>
      <c r="IR94" s="841">
        <v>0</v>
      </c>
      <c r="IS94" s="841" t="s">
        <v>33</v>
      </c>
      <c r="IT94" s="841" t="s">
        <v>353</v>
      </c>
      <c r="IU94" s="841" t="s">
        <v>353</v>
      </c>
      <c r="IV94" s="841" t="s">
        <v>353</v>
      </c>
      <c r="IW94" s="841" t="s">
        <v>353</v>
      </c>
      <c r="IX94" s="841" t="s">
        <v>353</v>
      </c>
      <c r="IY94" s="841" t="s">
        <v>1622</v>
      </c>
      <c r="IZ94" s="841" t="s">
        <v>353</v>
      </c>
      <c r="JA94" s="841">
        <v>182000</v>
      </c>
      <c r="JB94" s="841" t="s">
        <v>353</v>
      </c>
      <c r="JC94" s="841" t="s">
        <v>353</v>
      </c>
      <c r="JD94" s="841" t="s">
        <v>1413</v>
      </c>
      <c r="JE94" s="841" t="s">
        <v>33</v>
      </c>
      <c r="JF94" s="841" t="s">
        <v>1514</v>
      </c>
      <c r="JG94" s="841" t="s">
        <v>1515</v>
      </c>
      <c r="JH94" s="841" t="s">
        <v>1516</v>
      </c>
      <c r="JI94" s="841" t="s">
        <v>1517</v>
      </c>
    </row>
    <row r="95" spans="1:269" x14ac:dyDescent="0.25">
      <c r="A95" s="841" t="s">
        <v>2293</v>
      </c>
      <c r="B95" s="841" t="s">
        <v>353</v>
      </c>
      <c r="C95" s="841" t="s">
        <v>353</v>
      </c>
      <c r="D95" s="841" t="s">
        <v>353</v>
      </c>
      <c r="E95" s="841" t="s">
        <v>353</v>
      </c>
      <c r="F95" s="841" t="s">
        <v>1405</v>
      </c>
      <c r="G95" s="841" t="s">
        <v>2294</v>
      </c>
      <c r="H95" s="841" t="s">
        <v>353</v>
      </c>
      <c r="I95" s="841" t="s">
        <v>353</v>
      </c>
      <c r="J95" s="841" t="s">
        <v>353</v>
      </c>
      <c r="K95" s="841" t="s">
        <v>353</v>
      </c>
      <c r="L95" s="842">
        <v>44603.539583333331</v>
      </c>
      <c r="M95" s="841" t="s">
        <v>353</v>
      </c>
      <c r="N95" s="841" t="s">
        <v>353</v>
      </c>
      <c r="O95" s="841" t="s">
        <v>353</v>
      </c>
      <c r="P95" s="841" t="s">
        <v>33</v>
      </c>
      <c r="Q95" s="841" t="s">
        <v>353</v>
      </c>
      <c r="R95" s="841" t="s">
        <v>353</v>
      </c>
      <c r="S95" s="841" t="s">
        <v>67</v>
      </c>
      <c r="T95" s="841" t="s">
        <v>1390</v>
      </c>
      <c r="U95" s="841" t="s">
        <v>353</v>
      </c>
      <c r="V95" s="841" t="s">
        <v>353</v>
      </c>
      <c r="W95" s="841" t="s">
        <v>353</v>
      </c>
      <c r="X95" s="841" t="s">
        <v>1435</v>
      </c>
      <c r="Y95" s="841" t="s">
        <v>353</v>
      </c>
      <c r="Z95" s="841" t="s">
        <v>353</v>
      </c>
      <c r="AA95" s="841" t="s">
        <v>33</v>
      </c>
      <c r="AB95" s="841" t="s">
        <v>353</v>
      </c>
      <c r="AC95" s="841">
        <v>1500000</v>
      </c>
      <c r="AD95" s="841" t="s">
        <v>353</v>
      </c>
      <c r="AE95" s="841" t="s">
        <v>33</v>
      </c>
      <c r="AF95" s="841">
        <v>11975</v>
      </c>
      <c r="AG95" s="841" t="s">
        <v>353</v>
      </c>
      <c r="AH95" s="841">
        <v>20000</v>
      </c>
      <c r="AI95" s="841" t="s">
        <v>1592</v>
      </c>
      <c r="AJ95" s="841" t="s">
        <v>353</v>
      </c>
      <c r="AK95" s="841">
        <v>43</v>
      </c>
      <c r="AL95" s="841" t="s">
        <v>353</v>
      </c>
      <c r="AM95" s="841" t="s">
        <v>353</v>
      </c>
      <c r="AN95" s="841" t="s">
        <v>353</v>
      </c>
      <c r="AO95" s="841" t="s">
        <v>353</v>
      </c>
      <c r="AP95" s="841" t="s">
        <v>353</v>
      </c>
      <c r="AQ95" s="841" t="s">
        <v>353</v>
      </c>
      <c r="AR95" s="841" t="s">
        <v>33</v>
      </c>
      <c r="AS95" s="841" t="s">
        <v>353</v>
      </c>
      <c r="AT95" s="841" t="s">
        <v>353</v>
      </c>
      <c r="AU95" s="841" t="s">
        <v>353</v>
      </c>
      <c r="AV95" s="841" t="s">
        <v>353</v>
      </c>
      <c r="AW95" s="843">
        <v>44603</v>
      </c>
      <c r="AX95" s="841" t="s">
        <v>353</v>
      </c>
      <c r="AY95" s="841" t="s">
        <v>353</v>
      </c>
      <c r="AZ95" s="841" t="s">
        <v>353</v>
      </c>
      <c r="BA95" s="841" t="s">
        <v>353</v>
      </c>
      <c r="BB95" s="841" t="s">
        <v>353</v>
      </c>
      <c r="BC95" s="841">
        <v>2887500</v>
      </c>
      <c r="BD95" s="841" t="s">
        <v>353</v>
      </c>
      <c r="BE95" s="841" t="s">
        <v>353</v>
      </c>
      <c r="BF95" s="841" t="s">
        <v>353</v>
      </c>
      <c r="BG95" s="841" t="s">
        <v>353</v>
      </c>
      <c r="BH95" s="841" t="s">
        <v>353</v>
      </c>
      <c r="BI95" s="841" t="s">
        <v>353</v>
      </c>
      <c r="BJ95" s="841" t="s">
        <v>353</v>
      </c>
      <c r="BK95" s="841">
        <v>1500000</v>
      </c>
      <c r="BL95" s="841" t="s">
        <v>2295</v>
      </c>
      <c r="BM95" s="842">
        <v>44592.599305555559</v>
      </c>
      <c r="BN95" s="841" t="s">
        <v>353</v>
      </c>
      <c r="BO95" s="841" t="s">
        <v>353</v>
      </c>
      <c r="BP95" s="841" t="s">
        <v>353</v>
      </c>
      <c r="BQ95" s="841" t="s">
        <v>353</v>
      </c>
      <c r="BR95" s="841" t="s">
        <v>353</v>
      </c>
      <c r="BS95" s="841" t="s">
        <v>353</v>
      </c>
      <c r="BT95" s="841" t="s">
        <v>353</v>
      </c>
      <c r="BU95" s="841" t="s">
        <v>353</v>
      </c>
      <c r="BV95" s="841" t="s">
        <v>2296</v>
      </c>
      <c r="BW95" s="841" t="s">
        <v>353</v>
      </c>
      <c r="BX95" s="841" t="s">
        <v>2297</v>
      </c>
      <c r="BY95" s="841" t="s">
        <v>353</v>
      </c>
      <c r="BZ95" s="841" t="s">
        <v>353</v>
      </c>
      <c r="CA95" s="841" t="s">
        <v>353</v>
      </c>
      <c r="CB95" s="841" t="s">
        <v>353</v>
      </c>
      <c r="CC95" s="841" t="s">
        <v>353</v>
      </c>
      <c r="CD95" s="841" t="s">
        <v>353</v>
      </c>
      <c r="CE95" s="841" t="s">
        <v>353</v>
      </c>
      <c r="CF95" s="841" t="s">
        <v>353</v>
      </c>
      <c r="CG95" s="841" t="s">
        <v>1424</v>
      </c>
      <c r="CH95" s="841" t="s">
        <v>353</v>
      </c>
      <c r="CI95" s="841" t="s">
        <v>33</v>
      </c>
      <c r="CJ95" s="841" t="s">
        <v>353</v>
      </c>
      <c r="CK95" s="841">
        <v>15</v>
      </c>
      <c r="CL95" s="841" t="s">
        <v>353</v>
      </c>
      <c r="CM95" s="841">
        <v>18</v>
      </c>
      <c r="CN95" s="841" t="s">
        <v>353</v>
      </c>
      <c r="CO95" s="841" t="s">
        <v>353</v>
      </c>
      <c r="CP95" s="841" t="s">
        <v>2298</v>
      </c>
      <c r="CQ95" s="841" t="s">
        <v>353</v>
      </c>
      <c r="CR95" s="841" t="s">
        <v>353</v>
      </c>
      <c r="CS95" s="841" t="s">
        <v>353</v>
      </c>
      <c r="CT95" s="841" t="s">
        <v>353</v>
      </c>
      <c r="CU95" s="841" t="s">
        <v>1391</v>
      </c>
      <c r="CV95" s="841" t="s">
        <v>353</v>
      </c>
      <c r="CW95" s="841" t="s">
        <v>353</v>
      </c>
      <c r="CX95" s="841" t="s">
        <v>353</v>
      </c>
      <c r="CY95" s="841" t="s">
        <v>353</v>
      </c>
      <c r="CZ95" s="841">
        <v>45</v>
      </c>
      <c r="DA95" s="841" t="s">
        <v>353</v>
      </c>
      <c r="DB95" s="841" t="s">
        <v>353</v>
      </c>
      <c r="DC95" s="841" t="s">
        <v>353</v>
      </c>
      <c r="DD95" s="841" t="s">
        <v>353</v>
      </c>
      <c r="DE95" s="841" t="s">
        <v>353</v>
      </c>
      <c r="DF95" s="841">
        <v>24</v>
      </c>
      <c r="DG95" s="841" t="s">
        <v>353</v>
      </c>
      <c r="DH95" s="841" t="s">
        <v>353</v>
      </c>
      <c r="DI95" s="841" t="s">
        <v>353</v>
      </c>
      <c r="DJ95" s="841" t="s">
        <v>2299</v>
      </c>
      <c r="DK95" s="841" t="s">
        <v>353</v>
      </c>
      <c r="DL95" s="842">
        <v>44586.599305555559</v>
      </c>
      <c r="DM95" s="841" t="s">
        <v>353</v>
      </c>
      <c r="DN95" s="841" t="s">
        <v>33</v>
      </c>
      <c r="DO95" s="841" t="s">
        <v>353</v>
      </c>
      <c r="DP95" s="841" t="s">
        <v>1481</v>
      </c>
      <c r="DQ95" s="841" t="s">
        <v>1392</v>
      </c>
      <c r="DR95" s="841" t="s">
        <v>353</v>
      </c>
      <c r="DS95" s="841">
        <v>24</v>
      </c>
      <c r="DT95" s="841" t="s">
        <v>353</v>
      </c>
      <c r="DU95" s="841" t="s">
        <v>353</v>
      </c>
      <c r="DV95" s="841" t="s">
        <v>353</v>
      </c>
      <c r="DW95" s="841">
        <v>3000000</v>
      </c>
      <c r="DX95" s="841" t="s">
        <v>33</v>
      </c>
      <c r="DY95" s="841" t="s">
        <v>353</v>
      </c>
      <c r="DZ95" s="841" t="s">
        <v>353</v>
      </c>
      <c r="EA95" s="841" t="s">
        <v>2300</v>
      </c>
      <c r="EB95" s="841" t="s">
        <v>353</v>
      </c>
      <c r="EC95" s="841" t="s">
        <v>353</v>
      </c>
      <c r="ED95" s="841" t="s">
        <v>353</v>
      </c>
      <c r="EE95" s="841" t="s">
        <v>353</v>
      </c>
      <c r="EF95" s="841" t="s">
        <v>353</v>
      </c>
      <c r="EG95" s="841" t="s">
        <v>353</v>
      </c>
      <c r="EH95" s="841" t="s">
        <v>353</v>
      </c>
      <c r="EI95" s="841">
        <v>0</v>
      </c>
      <c r="EJ95" s="841" t="s">
        <v>353</v>
      </c>
      <c r="EK95" s="841" t="s">
        <v>353</v>
      </c>
      <c r="EL95" s="841" t="s">
        <v>1435</v>
      </c>
      <c r="EM95" s="841" t="s">
        <v>353</v>
      </c>
      <c r="EN95" s="841" t="s">
        <v>353</v>
      </c>
      <c r="EO95" s="841" t="s">
        <v>353</v>
      </c>
      <c r="EP95" s="841" t="s">
        <v>353</v>
      </c>
      <c r="EQ95" s="841" t="s">
        <v>353</v>
      </c>
      <c r="ER95" s="841" t="s">
        <v>353</v>
      </c>
      <c r="ES95" s="841" t="s">
        <v>33</v>
      </c>
      <c r="ET95" s="841" t="s">
        <v>1496</v>
      </c>
      <c r="EU95" s="841" t="s">
        <v>353</v>
      </c>
      <c r="EV95" s="841" t="s">
        <v>353</v>
      </c>
      <c r="EW95" s="841" t="s">
        <v>353</v>
      </c>
      <c r="EX95" s="841" t="s">
        <v>33</v>
      </c>
      <c r="EY95" s="842">
        <v>44603.536805555559</v>
      </c>
      <c r="EZ95" s="841" t="s">
        <v>353</v>
      </c>
      <c r="FA95" s="841" t="s">
        <v>353</v>
      </c>
      <c r="FB95" s="841" t="s">
        <v>353</v>
      </c>
      <c r="FC95" s="841" t="s">
        <v>353</v>
      </c>
      <c r="FD95" s="841" t="s">
        <v>353</v>
      </c>
      <c r="FE95" s="842">
        <v>44602.538194444445</v>
      </c>
      <c r="FF95" s="841" t="s">
        <v>353</v>
      </c>
      <c r="FG95" s="841" t="s">
        <v>353</v>
      </c>
      <c r="FH95" s="841" t="s">
        <v>353</v>
      </c>
      <c r="FI95" s="841" t="s">
        <v>353</v>
      </c>
      <c r="FJ95" s="841" t="s">
        <v>353</v>
      </c>
      <c r="FK95" s="841" t="s">
        <v>353</v>
      </c>
      <c r="FL95" s="841" t="s">
        <v>353</v>
      </c>
      <c r="FM95" s="841" t="s">
        <v>353</v>
      </c>
      <c r="FN95" s="841" t="s">
        <v>353</v>
      </c>
      <c r="FO95" s="841" t="s">
        <v>1648</v>
      </c>
      <c r="FP95" s="841" t="s">
        <v>2301</v>
      </c>
      <c r="FQ95" s="841" t="s">
        <v>353</v>
      </c>
      <c r="FR95" s="841" t="s">
        <v>353</v>
      </c>
      <c r="FS95" s="841" t="s">
        <v>353</v>
      </c>
      <c r="FT95" s="841" t="s">
        <v>353</v>
      </c>
      <c r="FU95" s="841" t="s">
        <v>1467</v>
      </c>
      <c r="FV95" s="841" t="s">
        <v>353</v>
      </c>
      <c r="FW95" s="841" t="s">
        <v>353</v>
      </c>
      <c r="FX95" s="841" t="s">
        <v>353</v>
      </c>
      <c r="FY95" s="841" t="s">
        <v>353</v>
      </c>
      <c r="FZ95" s="841" t="s">
        <v>353</v>
      </c>
      <c r="GA95" s="841" t="s">
        <v>353</v>
      </c>
      <c r="GB95" s="841">
        <v>1</v>
      </c>
      <c r="GC95" s="841" t="s">
        <v>353</v>
      </c>
      <c r="GD95" s="841" t="s">
        <v>1395</v>
      </c>
      <c r="GE95" s="841" t="s">
        <v>353</v>
      </c>
      <c r="GF95" s="841" t="s">
        <v>353</v>
      </c>
      <c r="GG95" s="841" t="s">
        <v>353</v>
      </c>
      <c r="GH95" s="841">
        <v>1500000</v>
      </c>
      <c r="GI95" s="841" t="s">
        <v>353</v>
      </c>
      <c r="GJ95" s="841" t="s">
        <v>353</v>
      </c>
      <c r="GK95" s="841" t="s">
        <v>353</v>
      </c>
      <c r="GL95" s="841" t="s">
        <v>1497</v>
      </c>
      <c r="GM95" s="841" t="s">
        <v>353</v>
      </c>
      <c r="GN95" s="841" t="s">
        <v>353</v>
      </c>
      <c r="GO95" s="841" t="s">
        <v>353</v>
      </c>
      <c r="GP95" s="841" t="s">
        <v>353</v>
      </c>
      <c r="GQ95" s="841" t="s">
        <v>353</v>
      </c>
      <c r="GR95" s="842">
        <v>44601.706250000003</v>
      </c>
      <c r="GS95" s="841" t="s">
        <v>2296</v>
      </c>
      <c r="GT95" s="841" t="s">
        <v>353</v>
      </c>
      <c r="GU95" s="841" t="s">
        <v>353</v>
      </c>
      <c r="GV95" s="841" t="s">
        <v>1419</v>
      </c>
      <c r="GW95" s="841" t="s">
        <v>1422</v>
      </c>
      <c r="GX95" s="841" t="s">
        <v>2302</v>
      </c>
      <c r="GY95" s="841">
        <v>24</v>
      </c>
      <c r="GZ95" s="841" t="s">
        <v>1420</v>
      </c>
      <c r="HA95" s="841" t="s">
        <v>353</v>
      </c>
      <c r="HB95" s="841" t="s">
        <v>353</v>
      </c>
      <c r="HC95" s="841" t="s">
        <v>1421</v>
      </c>
      <c r="HD95" s="841" t="s">
        <v>2303</v>
      </c>
      <c r="HE95" s="841">
        <v>30000</v>
      </c>
      <c r="HF95" s="841" t="s">
        <v>353</v>
      </c>
      <c r="HG95" s="841" t="s">
        <v>353</v>
      </c>
      <c r="HH95" s="841" t="s">
        <v>353</v>
      </c>
      <c r="HI95" s="841" t="s">
        <v>1422</v>
      </c>
      <c r="HJ95" s="841" t="s">
        <v>353</v>
      </c>
      <c r="HK95" s="841">
        <v>3000000</v>
      </c>
      <c r="HL95" s="841" t="s">
        <v>353</v>
      </c>
      <c r="HM95" s="841" t="s">
        <v>1530</v>
      </c>
      <c r="HN95" s="841" t="s">
        <v>353</v>
      </c>
      <c r="HO95" s="841" t="s">
        <v>353</v>
      </c>
      <c r="HP95" s="841">
        <v>173700</v>
      </c>
      <c r="HQ95" s="841" t="s">
        <v>353</v>
      </c>
      <c r="HR95" s="841" t="s">
        <v>353</v>
      </c>
      <c r="HS95" s="841" t="s">
        <v>353</v>
      </c>
      <c r="HT95" s="841" t="s">
        <v>353</v>
      </c>
      <c r="HU95" s="841" t="s">
        <v>353</v>
      </c>
      <c r="HV95" s="841" t="s">
        <v>353</v>
      </c>
      <c r="HW95" s="841">
        <v>7000000</v>
      </c>
      <c r="HX95" s="841" t="s">
        <v>353</v>
      </c>
      <c r="HY95" s="841" t="s">
        <v>353</v>
      </c>
      <c r="HZ95" s="841" t="s">
        <v>353</v>
      </c>
      <c r="IA95" s="841" t="s">
        <v>353</v>
      </c>
      <c r="IB95" s="841" t="s">
        <v>1424</v>
      </c>
      <c r="IC95" s="841" t="s">
        <v>353</v>
      </c>
      <c r="ID95" s="841" t="s">
        <v>353</v>
      </c>
      <c r="IE95" s="841" t="s">
        <v>353</v>
      </c>
      <c r="IF95" s="841" t="s">
        <v>353</v>
      </c>
      <c r="IG95" s="841" t="s">
        <v>353</v>
      </c>
      <c r="IH95" s="841" t="s">
        <v>353</v>
      </c>
      <c r="II95" s="841" t="s">
        <v>353</v>
      </c>
      <c r="IJ95" s="841" t="s">
        <v>353</v>
      </c>
      <c r="IK95" s="841" t="s">
        <v>353</v>
      </c>
      <c r="IL95" s="841">
        <v>2940000</v>
      </c>
      <c r="IM95" s="841" t="s">
        <v>353</v>
      </c>
      <c r="IN95" s="841" t="s">
        <v>353</v>
      </c>
      <c r="IO95" s="841">
        <v>199</v>
      </c>
      <c r="IP95" s="841" t="s">
        <v>353</v>
      </c>
      <c r="IQ95" s="841" t="s">
        <v>353</v>
      </c>
      <c r="IR95" s="841">
        <v>0</v>
      </c>
      <c r="IS95" s="841" t="s">
        <v>33</v>
      </c>
      <c r="IT95" s="841" t="s">
        <v>353</v>
      </c>
      <c r="IU95" s="841" t="s">
        <v>353</v>
      </c>
      <c r="IV95" s="841" t="s">
        <v>353</v>
      </c>
      <c r="IW95" s="841" t="s">
        <v>353</v>
      </c>
      <c r="IX95" s="841" t="s">
        <v>353</v>
      </c>
      <c r="IY95" s="841" t="s">
        <v>1578</v>
      </c>
      <c r="IZ95" s="841" t="s">
        <v>353</v>
      </c>
      <c r="JA95" s="841">
        <v>3000000</v>
      </c>
      <c r="JB95" s="841" t="s">
        <v>353</v>
      </c>
      <c r="JC95" s="841" t="s">
        <v>353</v>
      </c>
      <c r="JD95" s="841" t="s">
        <v>1413</v>
      </c>
      <c r="JE95" s="841" t="s">
        <v>33</v>
      </c>
      <c r="JF95" s="841" t="s">
        <v>2219</v>
      </c>
      <c r="JG95" s="841" t="s">
        <v>2220</v>
      </c>
      <c r="JH95" s="841" t="s">
        <v>2304</v>
      </c>
      <c r="JI95" s="841" t="s">
        <v>2305</v>
      </c>
    </row>
    <row r="96" spans="1:269" x14ac:dyDescent="0.25">
      <c r="A96" s="841" t="s">
        <v>2306</v>
      </c>
      <c r="B96" s="841" t="s">
        <v>353</v>
      </c>
      <c r="C96" s="841" t="s">
        <v>353</v>
      </c>
      <c r="D96" s="841" t="s">
        <v>353</v>
      </c>
      <c r="E96" s="841" t="s">
        <v>353</v>
      </c>
      <c r="F96" s="841" t="s">
        <v>1405</v>
      </c>
      <c r="G96" s="841" t="s">
        <v>1413</v>
      </c>
      <c r="H96" s="841" t="s">
        <v>353</v>
      </c>
      <c r="I96" s="841" t="s">
        <v>353</v>
      </c>
      <c r="J96" s="841" t="s">
        <v>353</v>
      </c>
      <c r="K96" s="841" t="s">
        <v>353</v>
      </c>
      <c r="L96" s="842">
        <v>44603.543055555558</v>
      </c>
      <c r="M96" s="841" t="s">
        <v>353</v>
      </c>
      <c r="N96" s="841" t="s">
        <v>353</v>
      </c>
      <c r="O96" s="841" t="s">
        <v>353</v>
      </c>
      <c r="P96" s="841" t="s">
        <v>33</v>
      </c>
      <c r="Q96" s="841" t="s">
        <v>353</v>
      </c>
      <c r="R96" s="841" t="s">
        <v>353</v>
      </c>
      <c r="S96" s="841" t="s">
        <v>61</v>
      </c>
      <c r="T96" s="841" t="s">
        <v>1390</v>
      </c>
      <c r="U96" s="841" t="s">
        <v>353</v>
      </c>
      <c r="V96" s="841" t="s">
        <v>353</v>
      </c>
      <c r="W96" s="841" t="s">
        <v>353</v>
      </c>
      <c r="X96" s="841" t="s">
        <v>353</v>
      </c>
      <c r="Y96" s="841" t="s">
        <v>353</v>
      </c>
      <c r="Z96" s="841" t="s">
        <v>353</v>
      </c>
      <c r="AA96" s="841" t="s">
        <v>33</v>
      </c>
      <c r="AB96" s="841" t="s">
        <v>353</v>
      </c>
      <c r="AC96" s="841">
        <v>1097500</v>
      </c>
      <c r="AD96" s="841" t="s">
        <v>353</v>
      </c>
      <c r="AE96" s="841" t="s">
        <v>33</v>
      </c>
      <c r="AF96" s="841">
        <v>8761.7099999999991</v>
      </c>
      <c r="AG96" s="841" t="s">
        <v>353</v>
      </c>
      <c r="AH96" s="841">
        <v>20000</v>
      </c>
      <c r="AI96" s="841" t="s">
        <v>1592</v>
      </c>
      <c r="AJ96" s="841" t="s">
        <v>353</v>
      </c>
      <c r="AK96" s="841">
        <v>55</v>
      </c>
      <c r="AL96" s="841" t="s">
        <v>353</v>
      </c>
      <c r="AM96" s="841" t="s">
        <v>353</v>
      </c>
      <c r="AN96" s="841" t="s">
        <v>353</v>
      </c>
      <c r="AO96" s="841" t="s">
        <v>353</v>
      </c>
      <c r="AP96" s="841" t="s">
        <v>353</v>
      </c>
      <c r="AQ96" s="841" t="s">
        <v>353</v>
      </c>
      <c r="AR96" s="841" t="s">
        <v>33</v>
      </c>
      <c r="AS96" s="841" t="s">
        <v>353</v>
      </c>
      <c r="AT96" s="841" t="s">
        <v>353</v>
      </c>
      <c r="AU96" s="841" t="s">
        <v>353</v>
      </c>
      <c r="AV96" s="841" t="s">
        <v>353</v>
      </c>
      <c r="AW96" s="843">
        <v>44603</v>
      </c>
      <c r="AX96" s="841" t="s">
        <v>353</v>
      </c>
      <c r="AY96" s="841" t="s">
        <v>353</v>
      </c>
      <c r="AZ96" s="841" t="s">
        <v>353</v>
      </c>
      <c r="BA96" s="841" t="s">
        <v>353</v>
      </c>
      <c r="BB96" s="841" t="s">
        <v>353</v>
      </c>
      <c r="BC96" s="841">
        <v>2112687</v>
      </c>
      <c r="BD96" s="841" t="s">
        <v>353</v>
      </c>
      <c r="BE96" s="841" t="s">
        <v>353</v>
      </c>
      <c r="BF96" s="841" t="s">
        <v>353</v>
      </c>
      <c r="BG96" s="841" t="s">
        <v>353</v>
      </c>
      <c r="BH96" s="841" t="s">
        <v>353</v>
      </c>
      <c r="BI96" s="841" t="s">
        <v>353</v>
      </c>
      <c r="BJ96" s="841" t="s">
        <v>353</v>
      </c>
      <c r="BK96" s="841">
        <v>2000000</v>
      </c>
      <c r="BL96" s="841" t="s">
        <v>2295</v>
      </c>
      <c r="BM96" s="842">
        <v>44592.55972222222</v>
      </c>
      <c r="BN96" s="841" t="s">
        <v>353</v>
      </c>
      <c r="BO96" s="841" t="s">
        <v>353</v>
      </c>
      <c r="BP96" s="841" t="s">
        <v>353</v>
      </c>
      <c r="BQ96" s="841" t="s">
        <v>353</v>
      </c>
      <c r="BR96" s="841" t="s">
        <v>353</v>
      </c>
      <c r="BS96" s="841" t="s">
        <v>353</v>
      </c>
      <c r="BT96" s="841">
        <v>2195000</v>
      </c>
      <c r="BU96" s="841" t="s">
        <v>353</v>
      </c>
      <c r="BV96" s="841" t="s">
        <v>2307</v>
      </c>
      <c r="BW96" s="841" t="s">
        <v>353</v>
      </c>
      <c r="BX96" s="841" t="s">
        <v>2308</v>
      </c>
      <c r="BY96" s="841" t="s">
        <v>353</v>
      </c>
      <c r="BZ96" s="841" t="s">
        <v>353</v>
      </c>
      <c r="CA96" s="841" t="s">
        <v>353</v>
      </c>
      <c r="CB96" s="841" t="s">
        <v>353</v>
      </c>
      <c r="CC96" s="841" t="s">
        <v>353</v>
      </c>
      <c r="CD96" s="841" t="s">
        <v>353</v>
      </c>
      <c r="CE96" s="841" t="s">
        <v>353</v>
      </c>
      <c r="CF96" s="841" t="s">
        <v>353</v>
      </c>
      <c r="CG96" s="841" t="s">
        <v>353</v>
      </c>
      <c r="CH96" s="841" t="s">
        <v>353</v>
      </c>
      <c r="CI96" s="841" t="s">
        <v>33</v>
      </c>
      <c r="CJ96" s="841" t="s">
        <v>353</v>
      </c>
      <c r="CK96" s="841">
        <v>6</v>
      </c>
      <c r="CL96" s="841" t="s">
        <v>353</v>
      </c>
      <c r="CM96" s="841">
        <v>9</v>
      </c>
      <c r="CN96" s="841" t="s">
        <v>353</v>
      </c>
      <c r="CO96" s="841" t="s">
        <v>353</v>
      </c>
      <c r="CP96" s="841" t="s">
        <v>2309</v>
      </c>
      <c r="CQ96" s="841" t="s">
        <v>353</v>
      </c>
      <c r="CR96" s="841" t="s">
        <v>353</v>
      </c>
      <c r="CS96" s="841" t="s">
        <v>353</v>
      </c>
      <c r="CT96" s="841" t="s">
        <v>353</v>
      </c>
      <c r="CU96" s="841" t="s">
        <v>1391</v>
      </c>
      <c r="CV96" s="841" t="s">
        <v>353</v>
      </c>
      <c r="CW96" s="841" t="s">
        <v>353</v>
      </c>
      <c r="CX96" s="841" t="s">
        <v>353</v>
      </c>
      <c r="CY96" s="841" t="s">
        <v>353</v>
      </c>
      <c r="CZ96" s="841">
        <v>4</v>
      </c>
      <c r="DA96" s="841" t="s">
        <v>353</v>
      </c>
      <c r="DB96" s="841" t="s">
        <v>353</v>
      </c>
      <c r="DC96" s="841" t="s">
        <v>353</v>
      </c>
      <c r="DD96" s="841" t="s">
        <v>353</v>
      </c>
      <c r="DE96" s="841" t="s">
        <v>353</v>
      </c>
      <c r="DF96" s="841">
        <v>24</v>
      </c>
      <c r="DG96" s="841" t="s">
        <v>353</v>
      </c>
      <c r="DH96" s="841" t="s">
        <v>353</v>
      </c>
      <c r="DI96" s="841" t="s">
        <v>353</v>
      </c>
      <c r="DJ96" s="841" t="s">
        <v>2310</v>
      </c>
      <c r="DK96" s="841" t="s">
        <v>353</v>
      </c>
      <c r="DL96" s="842">
        <v>44586.55972222222</v>
      </c>
      <c r="DM96" s="841" t="s">
        <v>353</v>
      </c>
      <c r="DN96" s="841" t="s">
        <v>33</v>
      </c>
      <c r="DO96" s="841" t="s">
        <v>673</v>
      </c>
      <c r="DP96" s="841" t="s">
        <v>1481</v>
      </c>
      <c r="DQ96" s="841" t="s">
        <v>1392</v>
      </c>
      <c r="DR96" s="841" t="s">
        <v>353</v>
      </c>
      <c r="DS96" s="841">
        <v>24</v>
      </c>
      <c r="DT96" s="841" t="s">
        <v>353</v>
      </c>
      <c r="DU96" s="841" t="s">
        <v>353</v>
      </c>
      <c r="DV96" s="841" t="s">
        <v>353</v>
      </c>
      <c r="DW96" s="841">
        <v>2195000</v>
      </c>
      <c r="DX96" s="841" t="s">
        <v>33</v>
      </c>
      <c r="DY96" s="841" t="s">
        <v>353</v>
      </c>
      <c r="DZ96" s="841" t="s">
        <v>353</v>
      </c>
      <c r="EA96" s="841" t="s">
        <v>353</v>
      </c>
      <c r="EB96" s="841" t="s">
        <v>353</v>
      </c>
      <c r="EC96" s="841" t="s">
        <v>353</v>
      </c>
      <c r="ED96" s="841" t="s">
        <v>353</v>
      </c>
      <c r="EE96" s="841" t="s">
        <v>353</v>
      </c>
      <c r="EF96" s="841" t="s">
        <v>353</v>
      </c>
      <c r="EG96" s="841" t="s">
        <v>353</v>
      </c>
      <c r="EH96" s="841" t="s">
        <v>353</v>
      </c>
      <c r="EI96" s="841">
        <v>0</v>
      </c>
      <c r="EJ96" s="841" t="s">
        <v>353</v>
      </c>
      <c r="EK96" s="841" t="s">
        <v>353</v>
      </c>
      <c r="EL96" s="841" t="s">
        <v>1435</v>
      </c>
      <c r="EM96" s="841" t="s">
        <v>353</v>
      </c>
      <c r="EN96" s="841" t="s">
        <v>353</v>
      </c>
      <c r="EO96" s="841" t="s">
        <v>353</v>
      </c>
      <c r="EP96" s="841" t="s">
        <v>353</v>
      </c>
      <c r="EQ96" s="841" t="s">
        <v>353</v>
      </c>
      <c r="ER96" s="841" t="s">
        <v>353</v>
      </c>
      <c r="ES96" s="841" t="s">
        <v>33</v>
      </c>
      <c r="ET96" s="841" t="s">
        <v>1496</v>
      </c>
      <c r="EU96" s="841" t="s">
        <v>353</v>
      </c>
      <c r="EV96" s="841" t="s">
        <v>353</v>
      </c>
      <c r="EW96" s="841" t="s">
        <v>353</v>
      </c>
      <c r="EX96" s="841" t="s">
        <v>33</v>
      </c>
      <c r="EY96" s="842">
        <v>44603.541666666664</v>
      </c>
      <c r="EZ96" s="841" t="s">
        <v>353</v>
      </c>
      <c r="FA96" s="841" t="s">
        <v>353</v>
      </c>
      <c r="FB96" s="841" t="s">
        <v>353</v>
      </c>
      <c r="FC96" s="841" t="s">
        <v>353</v>
      </c>
      <c r="FD96" s="841" t="s">
        <v>353</v>
      </c>
      <c r="FE96" s="842">
        <v>44602.538888888892</v>
      </c>
      <c r="FF96" s="841" t="s">
        <v>353</v>
      </c>
      <c r="FG96" s="841" t="s">
        <v>353</v>
      </c>
      <c r="FH96" s="841" t="s">
        <v>353</v>
      </c>
      <c r="FI96" s="841" t="s">
        <v>353</v>
      </c>
      <c r="FJ96" s="841" t="s">
        <v>353</v>
      </c>
      <c r="FK96" s="841" t="s">
        <v>353</v>
      </c>
      <c r="FL96" s="841" t="s">
        <v>353</v>
      </c>
      <c r="FM96" s="841" t="s">
        <v>353</v>
      </c>
      <c r="FN96" s="841" t="s">
        <v>353</v>
      </c>
      <c r="FO96" s="841" t="s">
        <v>1729</v>
      </c>
      <c r="FP96" s="841" t="s">
        <v>353</v>
      </c>
      <c r="FQ96" s="841" t="s">
        <v>353</v>
      </c>
      <c r="FR96" s="841" t="s">
        <v>353</v>
      </c>
      <c r="FS96" s="841" t="s">
        <v>353</v>
      </c>
      <c r="FT96" s="841" t="s">
        <v>353</v>
      </c>
      <c r="FU96" s="841" t="s">
        <v>1467</v>
      </c>
      <c r="FV96" s="841" t="s">
        <v>353</v>
      </c>
      <c r="FW96" s="841" t="s">
        <v>353</v>
      </c>
      <c r="FX96" s="841" t="s">
        <v>353</v>
      </c>
      <c r="FY96" s="841" t="s">
        <v>353</v>
      </c>
      <c r="FZ96" s="841" t="s">
        <v>353</v>
      </c>
      <c r="GA96" s="841" t="s">
        <v>353</v>
      </c>
      <c r="GB96" s="841">
        <v>1</v>
      </c>
      <c r="GC96" s="841" t="s">
        <v>353</v>
      </c>
      <c r="GD96" s="841" t="s">
        <v>1395</v>
      </c>
      <c r="GE96" s="841" t="s">
        <v>353</v>
      </c>
      <c r="GF96" s="841" t="s">
        <v>353</v>
      </c>
      <c r="GG96" s="841" t="s">
        <v>353</v>
      </c>
      <c r="GH96" s="841">
        <v>1097500</v>
      </c>
      <c r="GI96" s="841" t="s">
        <v>353</v>
      </c>
      <c r="GJ96" s="841" t="s">
        <v>353</v>
      </c>
      <c r="GK96" s="841" t="s">
        <v>353</v>
      </c>
      <c r="GL96" s="841" t="s">
        <v>1497</v>
      </c>
      <c r="GM96" s="841" t="s">
        <v>353</v>
      </c>
      <c r="GN96" s="841" t="s">
        <v>353</v>
      </c>
      <c r="GO96" s="841" t="s">
        <v>353</v>
      </c>
      <c r="GP96" s="841" t="s">
        <v>353</v>
      </c>
      <c r="GQ96" s="841" t="s">
        <v>353</v>
      </c>
      <c r="GR96" s="842">
        <v>44601.706250000003</v>
      </c>
      <c r="GS96" s="841" t="s">
        <v>2307</v>
      </c>
      <c r="GT96" s="841" t="s">
        <v>353</v>
      </c>
      <c r="GU96" s="841" t="s">
        <v>353</v>
      </c>
      <c r="GV96" s="841" t="s">
        <v>1419</v>
      </c>
      <c r="GW96" s="841" t="s">
        <v>1422</v>
      </c>
      <c r="GX96" s="841" t="s">
        <v>2311</v>
      </c>
      <c r="GY96" s="841">
        <v>24</v>
      </c>
      <c r="GZ96" s="841" t="s">
        <v>1420</v>
      </c>
      <c r="HA96" s="841" t="s">
        <v>353</v>
      </c>
      <c r="HB96" s="841" t="s">
        <v>353</v>
      </c>
      <c r="HC96" s="841" t="s">
        <v>1421</v>
      </c>
      <c r="HD96" s="841" t="s">
        <v>2312</v>
      </c>
      <c r="HE96" s="841">
        <v>21950</v>
      </c>
      <c r="HF96" s="841" t="s">
        <v>353</v>
      </c>
      <c r="HG96" s="841" t="s">
        <v>353</v>
      </c>
      <c r="HH96" s="841" t="s">
        <v>353</v>
      </c>
      <c r="HI96" s="841" t="s">
        <v>1439</v>
      </c>
      <c r="HJ96" s="841" t="s">
        <v>353</v>
      </c>
      <c r="HK96" s="841">
        <v>2195000</v>
      </c>
      <c r="HL96" s="841" t="s">
        <v>353</v>
      </c>
      <c r="HM96" s="841" t="s">
        <v>1530</v>
      </c>
      <c r="HN96" s="841" t="s">
        <v>353</v>
      </c>
      <c r="HO96" s="841" t="s">
        <v>353</v>
      </c>
      <c r="HP96" s="841">
        <v>127090.5</v>
      </c>
      <c r="HQ96" s="841" t="s">
        <v>353</v>
      </c>
      <c r="HR96" s="841" t="s">
        <v>353</v>
      </c>
      <c r="HS96" s="841" t="s">
        <v>353</v>
      </c>
      <c r="HT96" s="841" t="s">
        <v>353</v>
      </c>
      <c r="HU96" s="841" t="s">
        <v>353</v>
      </c>
      <c r="HV96" s="841" t="s">
        <v>353</v>
      </c>
      <c r="HW96" s="841">
        <v>4000000</v>
      </c>
      <c r="HX96" s="841" t="s">
        <v>353</v>
      </c>
      <c r="HY96" s="841" t="s">
        <v>353</v>
      </c>
      <c r="HZ96" s="841" t="s">
        <v>353</v>
      </c>
      <c r="IA96" s="841" t="s">
        <v>353</v>
      </c>
      <c r="IB96" s="841" t="s">
        <v>1424</v>
      </c>
      <c r="IC96" s="841" t="s">
        <v>353</v>
      </c>
      <c r="ID96" s="841" t="s">
        <v>353</v>
      </c>
      <c r="IE96" s="841" t="s">
        <v>353</v>
      </c>
      <c r="IF96" s="841" t="s">
        <v>353</v>
      </c>
      <c r="IG96" s="841" t="s">
        <v>353</v>
      </c>
      <c r="IH96" s="841" t="s">
        <v>353</v>
      </c>
      <c r="II96" s="841" t="s">
        <v>353</v>
      </c>
      <c r="IJ96" s="841" t="s">
        <v>353</v>
      </c>
      <c r="IK96" s="841" t="s">
        <v>353</v>
      </c>
      <c r="IL96" s="841">
        <v>2151100</v>
      </c>
      <c r="IM96" s="841" t="s">
        <v>353</v>
      </c>
      <c r="IN96" s="841" t="s">
        <v>353</v>
      </c>
      <c r="IO96" s="841">
        <v>199</v>
      </c>
      <c r="IP96" s="841" t="s">
        <v>353</v>
      </c>
      <c r="IQ96" s="841" t="s">
        <v>353</v>
      </c>
      <c r="IR96" s="841">
        <v>0</v>
      </c>
      <c r="IS96" s="841" t="s">
        <v>33</v>
      </c>
      <c r="IT96" s="841" t="s">
        <v>353</v>
      </c>
      <c r="IU96" s="841" t="s">
        <v>353</v>
      </c>
      <c r="IV96" s="841" t="s">
        <v>353</v>
      </c>
      <c r="IW96" s="841" t="s">
        <v>353</v>
      </c>
      <c r="IX96" s="841" t="s">
        <v>353</v>
      </c>
      <c r="IY96" s="841" t="s">
        <v>353</v>
      </c>
      <c r="IZ96" s="841" t="s">
        <v>353</v>
      </c>
      <c r="JA96" s="841">
        <v>2195000</v>
      </c>
      <c r="JB96" s="841" t="s">
        <v>353</v>
      </c>
      <c r="JC96" s="841" t="s">
        <v>353</v>
      </c>
      <c r="JD96" s="841" t="s">
        <v>1413</v>
      </c>
      <c r="JE96" s="841" t="s">
        <v>33</v>
      </c>
      <c r="JF96" s="841" t="s">
        <v>2219</v>
      </c>
      <c r="JG96" s="841" t="s">
        <v>2220</v>
      </c>
      <c r="JH96" s="841" t="s">
        <v>2304</v>
      </c>
      <c r="JI96" s="841" t="s">
        <v>2305</v>
      </c>
    </row>
    <row r="97" spans="1:269" x14ac:dyDescent="0.25">
      <c r="A97" s="841" t="s">
        <v>2313</v>
      </c>
      <c r="B97" s="841" t="s">
        <v>353</v>
      </c>
      <c r="C97" s="841" t="s">
        <v>353</v>
      </c>
      <c r="D97" s="841" t="s">
        <v>353</v>
      </c>
      <c r="E97" s="841" t="s">
        <v>353</v>
      </c>
      <c r="F97" s="841" t="s">
        <v>353</v>
      </c>
      <c r="G97" s="841" t="s">
        <v>1841</v>
      </c>
      <c r="H97" s="841" t="s">
        <v>353</v>
      </c>
      <c r="I97" s="841" t="s">
        <v>353</v>
      </c>
      <c r="J97" s="841" t="s">
        <v>353</v>
      </c>
      <c r="K97" s="841" t="s">
        <v>353</v>
      </c>
      <c r="L97" s="842">
        <v>44586.470833333333</v>
      </c>
      <c r="M97" s="841" t="s">
        <v>353</v>
      </c>
      <c r="N97" s="841" t="s">
        <v>353</v>
      </c>
      <c r="O97" s="841" t="s">
        <v>353</v>
      </c>
      <c r="P97" s="841" t="s">
        <v>353</v>
      </c>
      <c r="Q97" s="841" t="s">
        <v>353</v>
      </c>
      <c r="R97" s="841" t="s">
        <v>353</v>
      </c>
      <c r="S97" s="841" t="s">
        <v>61</v>
      </c>
      <c r="T97" s="841" t="s">
        <v>1390</v>
      </c>
      <c r="U97" s="841" t="s">
        <v>353</v>
      </c>
      <c r="V97" s="841" t="s">
        <v>353</v>
      </c>
      <c r="W97" s="841" t="s">
        <v>1575</v>
      </c>
      <c r="X97" s="841" t="s">
        <v>1405</v>
      </c>
      <c r="Y97" s="841" t="s">
        <v>353</v>
      </c>
      <c r="Z97" s="841" t="s">
        <v>353</v>
      </c>
      <c r="AA97" s="841" t="s">
        <v>353</v>
      </c>
      <c r="AB97" s="841" t="s">
        <v>353</v>
      </c>
      <c r="AC97" s="841">
        <v>67400</v>
      </c>
      <c r="AD97" s="841" t="s">
        <v>353</v>
      </c>
      <c r="AE97" s="841" t="s">
        <v>353</v>
      </c>
      <c r="AF97" s="841" t="s">
        <v>353</v>
      </c>
      <c r="AG97" s="841" t="s">
        <v>353</v>
      </c>
      <c r="AH97" s="841">
        <v>2200</v>
      </c>
      <c r="AI97" s="841" t="s">
        <v>1406</v>
      </c>
      <c r="AJ97" s="841" t="s">
        <v>353</v>
      </c>
      <c r="AK97" s="841">
        <v>75</v>
      </c>
      <c r="AL97" s="841" t="s">
        <v>353</v>
      </c>
      <c r="AM97" s="841" t="s">
        <v>353</v>
      </c>
      <c r="AN97" s="841" t="s">
        <v>353</v>
      </c>
      <c r="AO97" s="841" t="s">
        <v>353</v>
      </c>
      <c r="AP97" s="841" t="s">
        <v>353</v>
      </c>
      <c r="AQ97" s="841" t="s">
        <v>353</v>
      </c>
      <c r="AR97" s="841" t="s">
        <v>353</v>
      </c>
      <c r="AS97" s="841" t="s">
        <v>353</v>
      </c>
      <c r="AT97" s="841" t="s">
        <v>353</v>
      </c>
      <c r="AU97" s="841" t="s">
        <v>353</v>
      </c>
      <c r="AV97" s="841" t="s">
        <v>353</v>
      </c>
      <c r="AW97" s="841" t="s">
        <v>353</v>
      </c>
      <c r="AX97" s="841" t="s">
        <v>353</v>
      </c>
      <c r="AY97" s="841" t="s">
        <v>353</v>
      </c>
      <c r="AZ97" s="841" t="s">
        <v>353</v>
      </c>
      <c r="BA97" s="841" t="s">
        <v>353</v>
      </c>
      <c r="BB97" s="841" t="s">
        <v>353</v>
      </c>
      <c r="BC97" s="841">
        <v>331945</v>
      </c>
      <c r="BD97" s="841" t="s">
        <v>353</v>
      </c>
      <c r="BE97" s="841" t="s">
        <v>353</v>
      </c>
      <c r="BF97" s="841" t="s">
        <v>353</v>
      </c>
      <c r="BG97" s="841" t="s">
        <v>353</v>
      </c>
      <c r="BH97" s="841" t="s">
        <v>353</v>
      </c>
      <c r="BI97" s="841" t="s">
        <v>353</v>
      </c>
      <c r="BJ97" s="841" t="s">
        <v>353</v>
      </c>
      <c r="BK97" s="841" t="s">
        <v>353</v>
      </c>
      <c r="BL97" s="841" t="s">
        <v>1536</v>
      </c>
      <c r="BM97" s="842">
        <v>44592.461805555555</v>
      </c>
      <c r="BN97" s="841" t="s">
        <v>353</v>
      </c>
      <c r="BO97" s="841" t="s">
        <v>353</v>
      </c>
      <c r="BP97" s="841" t="s">
        <v>353</v>
      </c>
      <c r="BQ97" s="841" t="s">
        <v>353</v>
      </c>
      <c r="BR97" s="841" t="s">
        <v>353</v>
      </c>
      <c r="BS97" s="841" t="s">
        <v>353</v>
      </c>
      <c r="BT97" s="841">
        <v>337000</v>
      </c>
      <c r="BU97" s="841" t="s">
        <v>353</v>
      </c>
      <c r="BV97" s="841" t="s">
        <v>2314</v>
      </c>
      <c r="BW97" s="841" t="s">
        <v>1578</v>
      </c>
      <c r="BX97" s="841" t="s">
        <v>353</v>
      </c>
      <c r="BY97" s="841" t="s">
        <v>353</v>
      </c>
      <c r="BZ97" s="841" t="s">
        <v>353</v>
      </c>
      <c r="CA97" s="841" t="s">
        <v>353</v>
      </c>
      <c r="CB97" s="841" t="s">
        <v>353</v>
      </c>
      <c r="CC97" s="841" t="s">
        <v>353</v>
      </c>
      <c r="CD97" s="841" t="s">
        <v>353</v>
      </c>
      <c r="CE97" s="841" t="s">
        <v>353</v>
      </c>
      <c r="CF97" s="841" t="s">
        <v>353</v>
      </c>
      <c r="CG97" s="841" t="s">
        <v>353</v>
      </c>
      <c r="CH97" s="841" t="s">
        <v>353</v>
      </c>
      <c r="CI97" s="841" t="s">
        <v>353</v>
      </c>
      <c r="CJ97" s="841" t="s">
        <v>353</v>
      </c>
      <c r="CK97" s="841" t="s">
        <v>353</v>
      </c>
      <c r="CL97" s="841" t="s">
        <v>353</v>
      </c>
      <c r="CM97" s="841" t="s">
        <v>353</v>
      </c>
      <c r="CN97" s="841" t="s">
        <v>353</v>
      </c>
      <c r="CO97" s="841" t="s">
        <v>353</v>
      </c>
      <c r="CP97" s="841" t="s">
        <v>2315</v>
      </c>
      <c r="CQ97" s="841" t="s">
        <v>353</v>
      </c>
      <c r="CR97" s="841" t="s">
        <v>353</v>
      </c>
      <c r="CS97" s="841" t="s">
        <v>1405</v>
      </c>
      <c r="CT97" s="841" t="s">
        <v>353</v>
      </c>
      <c r="CU97" s="841" t="s">
        <v>1391</v>
      </c>
      <c r="CV97" s="841" t="s">
        <v>353</v>
      </c>
      <c r="CW97" s="841" t="s">
        <v>353</v>
      </c>
      <c r="CX97" s="841" t="s">
        <v>353</v>
      </c>
      <c r="CY97" s="841" t="s">
        <v>353</v>
      </c>
      <c r="CZ97" s="841">
        <v>4</v>
      </c>
      <c r="DA97" s="841" t="s">
        <v>353</v>
      </c>
      <c r="DB97" s="841" t="s">
        <v>353</v>
      </c>
      <c r="DC97" s="841" t="s">
        <v>353</v>
      </c>
      <c r="DD97" s="841" t="s">
        <v>353</v>
      </c>
      <c r="DE97" s="841" t="s">
        <v>353</v>
      </c>
      <c r="DF97" s="841">
        <v>24</v>
      </c>
      <c r="DG97" s="841" t="s">
        <v>353</v>
      </c>
      <c r="DH97" s="841" t="s">
        <v>353</v>
      </c>
      <c r="DI97" s="841" t="s">
        <v>353</v>
      </c>
      <c r="DJ97" s="841" t="s">
        <v>2316</v>
      </c>
      <c r="DK97" s="841" t="s">
        <v>353</v>
      </c>
      <c r="DL97" s="842">
        <v>44586.461805555555</v>
      </c>
      <c r="DM97" s="841" t="s">
        <v>353</v>
      </c>
      <c r="DN97" s="841" t="s">
        <v>353</v>
      </c>
      <c r="DO97" s="841" t="s">
        <v>673</v>
      </c>
      <c r="DP97" s="841" t="s">
        <v>1481</v>
      </c>
      <c r="DQ97" s="841" t="s">
        <v>1392</v>
      </c>
      <c r="DR97" s="841">
        <v>450000</v>
      </c>
      <c r="DS97" s="841">
        <v>24</v>
      </c>
      <c r="DT97" s="841" t="s">
        <v>353</v>
      </c>
      <c r="DU97" s="841" t="s">
        <v>353</v>
      </c>
      <c r="DV97" s="841">
        <v>331945</v>
      </c>
      <c r="DW97" s="841">
        <v>337000</v>
      </c>
      <c r="DX97" s="841" t="s">
        <v>353</v>
      </c>
      <c r="DY97" s="841" t="s">
        <v>353</v>
      </c>
      <c r="DZ97" s="841" t="s">
        <v>353</v>
      </c>
      <c r="EA97" s="841" t="s">
        <v>353</v>
      </c>
      <c r="EB97" s="841" t="s">
        <v>353</v>
      </c>
      <c r="EC97" s="841" t="s">
        <v>353</v>
      </c>
      <c r="ED97" s="841" t="s">
        <v>353</v>
      </c>
      <c r="EE97" s="841" t="s">
        <v>353</v>
      </c>
      <c r="EF97" s="841" t="s">
        <v>353</v>
      </c>
      <c r="EG97" s="841" t="s">
        <v>353</v>
      </c>
      <c r="EH97" s="841" t="s">
        <v>353</v>
      </c>
      <c r="EI97" s="841">
        <v>0</v>
      </c>
      <c r="EJ97" s="841" t="s">
        <v>353</v>
      </c>
      <c r="EK97" s="841" t="s">
        <v>353</v>
      </c>
      <c r="EL97" s="841" t="s">
        <v>1435</v>
      </c>
      <c r="EM97" s="841">
        <v>5055</v>
      </c>
      <c r="EN97" s="841" t="s">
        <v>353</v>
      </c>
      <c r="EO97" s="841" t="s">
        <v>353</v>
      </c>
      <c r="EP97" s="841" t="s">
        <v>353</v>
      </c>
      <c r="EQ97" s="841" t="s">
        <v>353</v>
      </c>
      <c r="ER97" s="841" t="s">
        <v>353</v>
      </c>
      <c r="ES97" s="841" t="s">
        <v>353</v>
      </c>
      <c r="ET97" s="841" t="s">
        <v>1512</v>
      </c>
      <c r="EU97" s="841" t="s">
        <v>353</v>
      </c>
      <c r="EV97" s="841" t="s">
        <v>353</v>
      </c>
      <c r="EW97" s="841" t="s">
        <v>353</v>
      </c>
      <c r="EX97" s="841" t="s">
        <v>353</v>
      </c>
      <c r="EY97" s="841" t="s">
        <v>353</v>
      </c>
      <c r="EZ97" s="841" t="s">
        <v>353</v>
      </c>
      <c r="FA97" s="841" t="s">
        <v>353</v>
      </c>
      <c r="FB97" s="841" t="s">
        <v>353</v>
      </c>
      <c r="FC97" s="841" t="s">
        <v>353</v>
      </c>
      <c r="FD97" s="841" t="s">
        <v>353</v>
      </c>
      <c r="FE97" s="842">
        <v>44586.461805555555</v>
      </c>
      <c r="FF97" s="841" t="s">
        <v>353</v>
      </c>
      <c r="FG97" s="841" t="s">
        <v>353</v>
      </c>
      <c r="FH97" s="841" t="s">
        <v>353</v>
      </c>
      <c r="FI97" s="841" t="s">
        <v>353</v>
      </c>
      <c r="FJ97" s="841" t="s">
        <v>353</v>
      </c>
      <c r="FK97" s="841" t="s">
        <v>353</v>
      </c>
      <c r="FL97" s="841" t="s">
        <v>353</v>
      </c>
      <c r="FM97" s="841" t="s">
        <v>353</v>
      </c>
      <c r="FN97" s="841" t="s">
        <v>353</v>
      </c>
      <c r="FO97" s="841" t="s">
        <v>1582</v>
      </c>
      <c r="FP97" s="841" t="s">
        <v>353</v>
      </c>
      <c r="FQ97" s="841" t="s">
        <v>353</v>
      </c>
      <c r="FR97" s="841" t="s">
        <v>353</v>
      </c>
      <c r="FS97" s="841" t="s">
        <v>353</v>
      </c>
      <c r="FT97" s="841" t="s">
        <v>353</v>
      </c>
      <c r="FU97" s="841" t="s">
        <v>1416</v>
      </c>
      <c r="FV97" s="841" t="s">
        <v>353</v>
      </c>
      <c r="FW97" s="841" t="s">
        <v>353</v>
      </c>
      <c r="FX97" s="841" t="s">
        <v>353</v>
      </c>
      <c r="FY97" s="841" t="s">
        <v>353</v>
      </c>
      <c r="FZ97" s="841" t="s">
        <v>353</v>
      </c>
      <c r="GA97" s="841" t="s">
        <v>353</v>
      </c>
      <c r="GB97" s="841">
        <v>1</v>
      </c>
      <c r="GC97" s="841" t="s">
        <v>353</v>
      </c>
      <c r="GD97" s="841" t="s">
        <v>1417</v>
      </c>
      <c r="GE97" s="841" t="s">
        <v>353</v>
      </c>
      <c r="GF97" s="841" t="s">
        <v>353</v>
      </c>
      <c r="GG97" s="841" t="s">
        <v>353</v>
      </c>
      <c r="GH97" s="841">
        <v>67400</v>
      </c>
      <c r="GI97" s="841" t="s">
        <v>353</v>
      </c>
      <c r="GJ97" s="841" t="s">
        <v>353</v>
      </c>
      <c r="GK97" s="841" t="s">
        <v>353</v>
      </c>
      <c r="GL97" s="841" t="s">
        <v>1541</v>
      </c>
      <c r="GM97" s="841" t="s">
        <v>353</v>
      </c>
      <c r="GN97" s="841" t="s">
        <v>353</v>
      </c>
      <c r="GO97" s="841" t="s">
        <v>353</v>
      </c>
      <c r="GP97" s="841" t="s">
        <v>353</v>
      </c>
      <c r="GQ97" s="841" t="s">
        <v>353</v>
      </c>
      <c r="GR97" s="841" t="s">
        <v>353</v>
      </c>
      <c r="GS97" s="841" t="s">
        <v>2314</v>
      </c>
      <c r="GT97" s="841" t="s">
        <v>353</v>
      </c>
      <c r="GU97" s="841" t="s">
        <v>353</v>
      </c>
      <c r="GV97" s="841" t="s">
        <v>1419</v>
      </c>
      <c r="GW97" s="841" t="s">
        <v>353</v>
      </c>
      <c r="GX97" s="841" t="s">
        <v>353</v>
      </c>
      <c r="GY97" s="841">
        <v>24</v>
      </c>
      <c r="GZ97" s="841" t="s">
        <v>1575</v>
      </c>
      <c r="HA97" s="841" t="s">
        <v>353</v>
      </c>
      <c r="HB97" s="841" t="s">
        <v>353</v>
      </c>
      <c r="HC97" s="841" t="s">
        <v>1421</v>
      </c>
      <c r="HD97" s="841" t="s">
        <v>2317</v>
      </c>
      <c r="HE97" s="841" t="s">
        <v>353</v>
      </c>
      <c r="HF97" s="841" t="s">
        <v>353</v>
      </c>
      <c r="HG97" s="841" t="s">
        <v>353</v>
      </c>
      <c r="HH97" s="841" t="s">
        <v>353</v>
      </c>
      <c r="HI97" s="841" t="s">
        <v>1422</v>
      </c>
      <c r="HJ97" s="841" t="s">
        <v>2318</v>
      </c>
      <c r="HK97" s="841">
        <v>337000</v>
      </c>
      <c r="HL97" s="841" t="s">
        <v>353</v>
      </c>
      <c r="HM97" s="841" t="s">
        <v>1530</v>
      </c>
      <c r="HN97" s="841" t="s">
        <v>353</v>
      </c>
      <c r="HO97" s="841" t="s">
        <v>353</v>
      </c>
      <c r="HP97" s="841">
        <v>16142.3</v>
      </c>
      <c r="HQ97" s="841" t="s">
        <v>353</v>
      </c>
      <c r="HR97" s="841" t="s">
        <v>353</v>
      </c>
      <c r="HS97" s="841">
        <v>337000</v>
      </c>
      <c r="HT97" s="841" t="s">
        <v>353</v>
      </c>
      <c r="HU97" s="841" t="s">
        <v>353</v>
      </c>
      <c r="HV97" s="841" t="s">
        <v>353</v>
      </c>
      <c r="HW97" s="841">
        <v>550000</v>
      </c>
      <c r="HX97" s="841" t="s">
        <v>353</v>
      </c>
      <c r="HY97" s="841" t="s">
        <v>353</v>
      </c>
      <c r="HZ97" s="841" t="s">
        <v>353</v>
      </c>
      <c r="IA97" s="841" t="s">
        <v>353</v>
      </c>
      <c r="IB97" s="841" t="s">
        <v>1424</v>
      </c>
      <c r="IC97" s="841" t="s">
        <v>353</v>
      </c>
      <c r="ID97" s="841" t="s">
        <v>353</v>
      </c>
      <c r="IE97" s="841" t="s">
        <v>353</v>
      </c>
      <c r="IF97" s="841" t="s">
        <v>353</v>
      </c>
      <c r="IG97" s="841" t="s">
        <v>353</v>
      </c>
      <c r="IH97" s="841" t="s">
        <v>353</v>
      </c>
      <c r="II97" s="841" t="s">
        <v>353</v>
      </c>
      <c r="IJ97" s="841" t="s">
        <v>353</v>
      </c>
      <c r="IK97" s="841" t="s">
        <v>353</v>
      </c>
      <c r="IL97" s="841">
        <v>337000</v>
      </c>
      <c r="IM97" s="841" t="s">
        <v>353</v>
      </c>
      <c r="IN97" s="841" t="s">
        <v>353</v>
      </c>
      <c r="IO97" s="841">
        <v>199</v>
      </c>
      <c r="IP97" s="841" t="s">
        <v>353</v>
      </c>
      <c r="IQ97" s="841" t="s">
        <v>353</v>
      </c>
      <c r="IR97" s="841">
        <v>0</v>
      </c>
      <c r="IS97" s="841" t="s">
        <v>353</v>
      </c>
      <c r="IT97" s="841" t="s">
        <v>353</v>
      </c>
      <c r="IU97" s="841" t="s">
        <v>353</v>
      </c>
      <c r="IV97" s="841" t="s">
        <v>353</v>
      </c>
      <c r="IW97" s="841" t="s">
        <v>353</v>
      </c>
      <c r="IX97" s="841" t="s">
        <v>353</v>
      </c>
      <c r="IY97" s="841" t="s">
        <v>1622</v>
      </c>
      <c r="IZ97" s="841" t="s">
        <v>353</v>
      </c>
      <c r="JA97" s="841">
        <v>337000</v>
      </c>
      <c r="JB97" s="841" t="s">
        <v>353</v>
      </c>
      <c r="JC97" s="841" t="s">
        <v>353</v>
      </c>
      <c r="JD97" s="841" t="s">
        <v>1488</v>
      </c>
      <c r="JE97" s="841" t="s">
        <v>353</v>
      </c>
      <c r="JF97" s="841" t="s">
        <v>1398</v>
      </c>
      <c r="JG97" s="841" t="s">
        <v>1399</v>
      </c>
      <c r="JH97" s="841" t="s">
        <v>1549</v>
      </c>
      <c r="JI97" s="841" t="s">
        <v>1550</v>
      </c>
    </row>
    <row r="98" spans="1:269" x14ac:dyDescent="0.25">
      <c r="A98" s="841" t="s">
        <v>2319</v>
      </c>
      <c r="B98" s="841" t="s">
        <v>353</v>
      </c>
      <c r="C98" s="841" t="s">
        <v>353</v>
      </c>
      <c r="D98" s="841" t="s">
        <v>353</v>
      </c>
      <c r="E98" s="841" t="s">
        <v>353</v>
      </c>
      <c r="F98" s="841" t="s">
        <v>353</v>
      </c>
      <c r="G98" s="841" t="s">
        <v>2320</v>
      </c>
      <c r="H98" s="841" t="s">
        <v>353</v>
      </c>
      <c r="I98" s="841" t="s">
        <v>353</v>
      </c>
      <c r="J98" s="841" t="s">
        <v>353</v>
      </c>
      <c r="K98" s="841" t="s">
        <v>353</v>
      </c>
      <c r="L98" s="842">
        <v>44607.409722222219</v>
      </c>
      <c r="M98" s="841" t="s">
        <v>353</v>
      </c>
      <c r="N98" s="841" t="s">
        <v>353</v>
      </c>
      <c r="O98" s="841" t="s">
        <v>353</v>
      </c>
      <c r="P98" s="841" t="s">
        <v>353</v>
      </c>
      <c r="Q98" s="841" t="s">
        <v>353</v>
      </c>
      <c r="R98" s="841" t="s">
        <v>353</v>
      </c>
      <c r="S98" s="841" t="s">
        <v>64</v>
      </c>
      <c r="T98" s="841" t="s">
        <v>1390</v>
      </c>
      <c r="U98" s="841" t="s">
        <v>353</v>
      </c>
      <c r="V98" s="841" t="s">
        <v>353</v>
      </c>
      <c r="W98" s="841" t="s">
        <v>1420</v>
      </c>
      <c r="X98" s="841" t="s">
        <v>1930</v>
      </c>
      <c r="Y98" s="841" t="s">
        <v>353</v>
      </c>
      <c r="Z98" s="841" t="s">
        <v>353</v>
      </c>
      <c r="AA98" s="841" t="s">
        <v>353</v>
      </c>
      <c r="AB98" s="841" t="s">
        <v>353</v>
      </c>
      <c r="AC98" s="841">
        <v>108600</v>
      </c>
      <c r="AD98" s="841" t="s">
        <v>353</v>
      </c>
      <c r="AE98" s="841" t="s">
        <v>353</v>
      </c>
      <c r="AF98" s="841">
        <v>1941.23</v>
      </c>
      <c r="AG98" s="841" t="s">
        <v>353</v>
      </c>
      <c r="AH98" s="841">
        <v>2300</v>
      </c>
      <c r="AI98" s="841" t="s">
        <v>1521</v>
      </c>
      <c r="AJ98" s="841" t="s">
        <v>353</v>
      </c>
      <c r="AK98" s="841">
        <v>75</v>
      </c>
      <c r="AL98" s="841" t="s">
        <v>353</v>
      </c>
      <c r="AM98" s="841" t="s">
        <v>353</v>
      </c>
      <c r="AN98" s="841" t="s">
        <v>353</v>
      </c>
      <c r="AO98" s="841" t="s">
        <v>353</v>
      </c>
      <c r="AP98" s="841" t="s">
        <v>353</v>
      </c>
      <c r="AQ98" s="841" t="s">
        <v>353</v>
      </c>
      <c r="AR98" s="841" t="s">
        <v>353</v>
      </c>
      <c r="AS98" s="841" t="s">
        <v>353</v>
      </c>
      <c r="AT98" s="841" t="s">
        <v>353</v>
      </c>
      <c r="AU98" s="841" t="s">
        <v>353</v>
      </c>
      <c r="AV98" s="841" t="s">
        <v>353</v>
      </c>
      <c r="AW98" s="841" t="s">
        <v>353</v>
      </c>
      <c r="AX98" s="841" t="s">
        <v>353</v>
      </c>
      <c r="AY98" s="841" t="s">
        <v>353</v>
      </c>
      <c r="AZ98" s="841" t="s">
        <v>353</v>
      </c>
      <c r="BA98" s="841" t="s">
        <v>353</v>
      </c>
      <c r="BB98" s="841" t="s">
        <v>353</v>
      </c>
      <c r="BC98" s="841">
        <v>516814</v>
      </c>
      <c r="BD98" s="841" t="s">
        <v>353</v>
      </c>
      <c r="BE98" s="841" t="s">
        <v>353</v>
      </c>
      <c r="BF98" s="841" t="s">
        <v>353</v>
      </c>
      <c r="BG98" s="841" t="s">
        <v>353</v>
      </c>
      <c r="BH98" s="841" t="s">
        <v>353</v>
      </c>
      <c r="BI98" s="841" t="s">
        <v>353</v>
      </c>
      <c r="BJ98" s="841" t="s">
        <v>353</v>
      </c>
      <c r="BK98" s="841" t="s">
        <v>353</v>
      </c>
      <c r="BL98" s="841" t="s">
        <v>2321</v>
      </c>
      <c r="BM98" s="842">
        <v>44592.652777777781</v>
      </c>
      <c r="BN98" s="841" t="s">
        <v>353</v>
      </c>
      <c r="BO98" s="841" t="s">
        <v>353</v>
      </c>
      <c r="BP98" s="841" t="s">
        <v>353</v>
      </c>
      <c r="BQ98" s="841" t="s">
        <v>353</v>
      </c>
      <c r="BR98" s="841" t="s">
        <v>353</v>
      </c>
      <c r="BS98" s="841" t="s">
        <v>353</v>
      </c>
      <c r="BT98" s="841">
        <v>562000</v>
      </c>
      <c r="BU98" s="841" t="s">
        <v>353</v>
      </c>
      <c r="BV98" s="841" t="s">
        <v>2322</v>
      </c>
      <c r="BW98" s="841" t="s">
        <v>353</v>
      </c>
      <c r="BX98" s="841" t="s">
        <v>2323</v>
      </c>
      <c r="BY98" s="841" t="s">
        <v>353</v>
      </c>
      <c r="BZ98" s="841" t="s">
        <v>353</v>
      </c>
      <c r="CA98" s="841" t="s">
        <v>353</v>
      </c>
      <c r="CB98" s="841" t="s">
        <v>353</v>
      </c>
      <c r="CC98" s="841" t="s">
        <v>353</v>
      </c>
      <c r="CD98" s="841" t="s">
        <v>353</v>
      </c>
      <c r="CE98" s="841" t="s">
        <v>353</v>
      </c>
      <c r="CF98" s="841" t="s">
        <v>353</v>
      </c>
      <c r="CG98" s="841" t="s">
        <v>353</v>
      </c>
      <c r="CH98" s="841" t="s">
        <v>353</v>
      </c>
      <c r="CI98" s="841" t="s">
        <v>353</v>
      </c>
      <c r="CJ98" s="841" t="s">
        <v>353</v>
      </c>
      <c r="CK98" s="841">
        <v>13</v>
      </c>
      <c r="CL98" s="841" t="s">
        <v>353</v>
      </c>
      <c r="CM98" s="841">
        <v>14</v>
      </c>
      <c r="CN98" s="841" t="s">
        <v>353</v>
      </c>
      <c r="CO98" s="841" t="s">
        <v>353</v>
      </c>
      <c r="CP98" s="841" t="s">
        <v>2324</v>
      </c>
      <c r="CQ98" s="841" t="s">
        <v>353</v>
      </c>
      <c r="CR98" s="841" t="s">
        <v>353</v>
      </c>
      <c r="CS98" s="841" t="s">
        <v>353</v>
      </c>
      <c r="CT98" s="841" t="s">
        <v>353</v>
      </c>
      <c r="CU98" s="841" t="s">
        <v>1391</v>
      </c>
      <c r="CV98" s="841" t="s">
        <v>353</v>
      </c>
      <c r="CW98" s="841" t="s">
        <v>353</v>
      </c>
      <c r="CX98" s="841" t="s">
        <v>353</v>
      </c>
      <c r="CY98" s="841" t="s">
        <v>353</v>
      </c>
      <c r="CZ98" s="841" t="s">
        <v>353</v>
      </c>
      <c r="DA98" s="841" t="s">
        <v>353</v>
      </c>
      <c r="DB98" s="841" t="s">
        <v>353</v>
      </c>
      <c r="DC98" s="841" t="s">
        <v>353</v>
      </c>
      <c r="DD98" s="841" t="s">
        <v>353</v>
      </c>
      <c r="DE98" s="841" t="s">
        <v>353</v>
      </c>
      <c r="DF98" s="841">
        <v>21</v>
      </c>
      <c r="DG98" s="841" t="s">
        <v>353</v>
      </c>
      <c r="DH98" s="841" t="s">
        <v>353</v>
      </c>
      <c r="DI98" s="841" t="s">
        <v>353</v>
      </c>
      <c r="DJ98" s="841" t="s">
        <v>2325</v>
      </c>
      <c r="DK98" s="841" t="s">
        <v>353</v>
      </c>
      <c r="DL98" s="842">
        <v>44585.652777777781</v>
      </c>
      <c r="DM98" s="841" t="s">
        <v>353</v>
      </c>
      <c r="DN98" s="841" t="s">
        <v>353</v>
      </c>
      <c r="DO98" s="841" t="s">
        <v>353</v>
      </c>
      <c r="DP98" s="841" t="s">
        <v>353</v>
      </c>
      <c r="DQ98" s="841" t="s">
        <v>1392</v>
      </c>
      <c r="DR98" s="841" t="s">
        <v>353</v>
      </c>
      <c r="DS98" s="841">
        <v>21</v>
      </c>
      <c r="DT98" s="841" t="s">
        <v>353</v>
      </c>
      <c r="DU98" s="841" t="s">
        <v>353</v>
      </c>
      <c r="DV98" s="841">
        <v>447323.4</v>
      </c>
      <c r="DW98" s="841">
        <v>543000</v>
      </c>
      <c r="DX98" s="841" t="s">
        <v>353</v>
      </c>
      <c r="DY98" s="841" t="s">
        <v>353</v>
      </c>
      <c r="DZ98" s="841" t="s">
        <v>353</v>
      </c>
      <c r="EA98" s="841" t="s">
        <v>353</v>
      </c>
      <c r="EB98" s="841" t="s">
        <v>353</v>
      </c>
      <c r="EC98" s="841" t="s">
        <v>353</v>
      </c>
      <c r="ED98" s="841" t="s">
        <v>353</v>
      </c>
      <c r="EE98" s="841" t="s">
        <v>353</v>
      </c>
      <c r="EF98" s="841" t="s">
        <v>353</v>
      </c>
      <c r="EG98" s="841" t="s">
        <v>353</v>
      </c>
      <c r="EH98" s="841" t="s">
        <v>353</v>
      </c>
      <c r="EI98" s="841">
        <v>86174.1</v>
      </c>
      <c r="EJ98" s="841" t="s">
        <v>353</v>
      </c>
      <c r="EK98" s="841" t="s">
        <v>353</v>
      </c>
      <c r="EL98" s="841" t="s">
        <v>1930</v>
      </c>
      <c r="EM98" s="841">
        <v>9502.5</v>
      </c>
      <c r="EN98" s="841" t="s">
        <v>353</v>
      </c>
      <c r="EO98" s="841" t="s">
        <v>353</v>
      </c>
      <c r="EP98" s="841" t="s">
        <v>353</v>
      </c>
      <c r="EQ98" s="841" t="s">
        <v>353</v>
      </c>
      <c r="ER98" s="841" t="s">
        <v>353</v>
      </c>
      <c r="ES98" s="841" t="s">
        <v>353</v>
      </c>
      <c r="ET98" s="841" t="s">
        <v>1393</v>
      </c>
      <c r="EU98" s="841" t="s">
        <v>353</v>
      </c>
      <c r="EV98" s="841" t="s">
        <v>353</v>
      </c>
      <c r="EW98" s="841" t="s">
        <v>353</v>
      </c>
      <c r="EX98" s="841" t="s">
        <v>353</v>
      </c>
      <c r="EY98" s="842">
        <v>44607.40625</v>
      </c>
      <c r="EZ98" s="841" t="s">
        <v>353</v>
      </c>
      <c r="FA98" s="841" t="s">
        <v>353</v>
      </c>
      <c r="FB98" s="841" t="s">
        <v>353</v>
      </c>
      <c r="FC98" s="841" t="s">
        <v>353</v>
      </c>
      <c r="FD98" s="841" t="s">
        <v>353</v>
      </c>
      <c r="FE98" s="842">
        <v>44606.429166666669</v>
      </c>
      <c r="FF98" s="841" t="s">
        <v>353</v>
      </c>
      <c r="FG98" s="841" t="s">
        <v>353</v>
      </c>
      <c r="FH98" s="841" t="s">
        <v>353</v>
      </c>
      <c r="FI98" s="841" t="s">
        <v>353</v>
      </c>
      <c r="FJ98" s="841" t="s">
        <v>353</v>
      </c>
      <c r="FK98" s="841" t="s">
        <v>353</v>
      </c>
      <c r="FL98" s="841" t="s">
        <v>353</v>
      </c>
      <c r="FM98" s="841" t="s">
        <v>353</v>
      </c>
      <c r="FN98" s="841" t="s">
        <v>353</v>
      </c>
      <c r="FO98" s="841" t="s">
        <v>1528</v>
      </c>
      <c r="FP98" s="841" t="s">
        <v>353</v>
      </c>
      <c r="FQ98" s="841" t="s">
        <v>353</v>
      </c>
      <c r="FR98" s="841" t="s">
        <v>353</v>
      </c>
      <c r="FS98" s="841" t="s">
        <v>353</v>
      </c>
      <c r="FT98" s="841" t="s">
        <v>353</v>
      </c>
      <c r="FU98" s="841" t="s">
        <v>1416</v>
      </c>
      <c r="FV98" s="841" t="s">
        <v>353</v>
      </c>
      <c r="FW98" s="841" t="s">
        <v>353</v>
      </c>
      <c r="FX98" s="841" t="s">
        <v>353</v>
      </c>
      <c r="FY98" s="841" t="s">
        <v>353</v>
      </c>
      <c r="FZ98" s="841" t="s">
        <v>353</v>
      </c>
      <c r="GA98" s="841" t="s">
        <v>353</v>
      </c>
      <c r="GB98" s="841">
        <v>1</v>
      </c>
      <c r="GC98" s="841" t="s">
        <v>353</v>
      </c>
      <c r="GD98" s="841" t="s">
        <v>1395</v>
      </c>
      <c r="GE98" s="841" t="s">
        <v>353</v>
      </c>
      <c r="GF98" s="841" t="s">
        <v>353</v>
      </c>
      <c r="GG98" s="841" t="s">
        <v>353</v>
      </c>
      <c r="GH98" s="841">
        <v>108600</v>
      </c>
      <c r="GI98" s="841" t="s">
        <v>353</v>
      </c>
      <c r="GJ98" s="841" t="s">
        <v>353</v>
      </c>
      <c r="GK98" s="841" t="s">
        <v>353</v>
      </c>
      <c r="GL98" s="841" t="s">
        <v>1497</v>
      </c>
      <c r="GM98" s="841" t="s">
        <v>353</v>
      </c>
      <c r="GN98" s="841" t="s">
        <v>353</v>
      </c>
      <c r="GO98" s="841" t="s">
        <v>353</v>
      </c>
      <c r="GP98" s="841" t="s">
        <v>353</v>
      </c>
      <c r="GQ98" s="841" t="s">
        <v>353</v>
      </c>
      <c r="GR98" s="842">
        <v>44607.40625</v>
      </c>
      <c r="GS98" s="841" t="s">
        <v>2326</v>
      </c>
      <c r="GT98" s="841" t="s">
        <v>353</v>
      </c>
      <c r="GU98" s="841" t="s">
        <v>353</v>
      </c>
      <c r="GV98" s="841" t="s">
        <v>1076</v>
      </c>
      <c r="GW98" s="841" t="s">
        <v>353</v>
      </c>
      <c r="GX98" s="841" t="s">
        <v>353</v>
      </c>
      <c r="GY98" s="841">
        <v>24</v>
      </c>
      <c r="GZ98" s="841" t="s">
        <v>1420</v>
      </c>
      <c r="HA98" s="841" t="s">
        <v>353</v>
      </c>
      <c r="HB98" s="841" t="s">
        <v>353</v>
      </c>
      <c r="HC98" s="841" t="s">
        <v>1421</v>
      </c>
      <c r="HD98" s="841" t="s">
        <v>2327</v>
      </c>
      <c r="HE98" s="841" t="s">
        <v>353</v>
      </c>
      <c r="HF98" s="841" t="s">
        <v>353</v>
      </c>
      <c r="HG98" s="841" t="s">
        <v>353</v>
      </c>
      <c r="HH98" s="841" t="s">
        <v>353</v>
      </c>
      <c r="HI98" s="841" t="s">
        <v>1422</v>
      </c>
      <c r="HJ98" s="841" t="s">
        <v>353</v>
      </c>
      <c r="HK98" s="841">
        <v>543000</v>
      </c>
      <c r="HL98" s="841" t="s">
        <v>353</v>
      </c>
      <c r="HM98" s="841" t="s">
        <v>1423</v>
      </c>
      <c r="HN98" s="841" t="s">
        <v>353</v>
      </c>
      <c r="HO98" s="841" t="s">
        <v>353</v>
      </c>
      <c r="HP98" s="841">
        <v>28724.7</v>
      </c>
      <c r="HQ98" s="841" t="s">
        <v>353</v>
      </c>
      <c r="HR98" s="841" t="s">
        <v>353</v>
      </c>
      <c r="HS98" s="841">
        <v>456825.9</v>
      </c>
      <c r="HT98" s="841" t="s">
        <v>353</v>
      </c>
      <c r="HU98" s="841" t="s">
        <v>353</v>
      </c>
      <c r="HV98" s="841" t="s">
        <v>353</v>
      </c>
      <c r="HW98" s="841">
        <v>725000</v>
      </c>
      <c r="HX98" s="841" t="s">
        <v>353</v>
      </c>
      <c r="HY98" s="841" t="s">
        <v>353</v>
      </c>
      <c r="HZ98" s="841" t="s">
        <v>353</v>
      </c>
      <c r="IA98" s="841" t="s">
        <v>353</v>
      </c>
      <c r="IB98" s="841" t="s">
        <v>1424</v>
      </c>
      <c r="IC98" s="841" t="s">
        <v>353</v>
      </c>
      <c r="ID98" s="841" t="s">
        <v>353</v>
      </c>
      <c r="IE98" s="841" t="s">
        <v>353</v>
      </c>
      <c r="IF98" s="841" t="s">
        <v>353</v>
      </c>
      <c r="IG98" s="841" t="s">
        <v>353</v>
      </c>
      <c r="IH98" s="841" t="s">
        <v>353</v>
      </c>
      <c r="II98" s="841" t="s">
        <v>353</v>
      </c>
      <c r="IJ98" s="841" t="s">
        <v>353</v>
      </c>
      <c r="IK98" s="841" t="s">
        <v>353</v>
      </c>
      <c r="IL98" s="841">
        <v>526317</v>
      </c>
      <c r="IM98" s="841" t="s">
        <v>353</v>
      </c>
      <c r="IN98" s="841" t="s">
        <v>353</v>
      </c>
      <c r="IO98" s="841" t="s">
        <v>353</v>
      </c>
      <c r="IP98" s="841" t="s">
        <v>353</v>
      </c>
      <c r="IQ98" s="841" t="s">
        <v>353</v>
      </c>
      <c r="IR98" s="841">
        <v>3</v>
      </c>
      <c r="IS98" s="841" t="s">
        <v>353</v>
      </c>
      <c r="IT98" s="841" t="s">
        <v>353</v>
      </c>
      <c r="IU98" s="841" t="s">
        <v>353</v>
      </c>
      <c r="IV98" s="841" t="s">
        <v>353</v>
      </c>
      <c r="IW98" s="841" t="s">
        <v>353</v>
      </c>
      <c r="IX98" s="841" t="s">
        <v>353</v>
      </c>
      <c r="IY98" s="841" t="s">
        <v>1578</v>
      </c>
      <c r="IZ98" s="841" t="s">
        <v>353</v>
      </c>
      <c r="JA98" s="841">
        <v>543000</v>
      </c>
      <c r="JB98" s="841" t="s">
        <v>353</v>
      </c>
      <c r="JC98" s="841" t="s">
        <v>353</v>
      </c>
      <c r="JD98" s="841" t="s">
        <v>1456</v>
      </c>
      <c r="JE98" s="841" t="s">
        <v>353</v>
      </c>
      <c r="JF98" s="841" t="s">
        <v>2328</v>
      </c>
      <c r="JG98" s="841" t="s">
        <v>2329</v>
      </c>
      <c r="JH98" s="841" t="s">
        <v>2330</v>
      </c>
      <c r="JI98" s="841" t="s">
        <v>2331</v>
      </c>
    </row>
    <row r="99" spans="1:269" x14ac:dyDescent="0.25">
      <c r="A99" s="841" t="s">
        <v>2332</v>
      </c>
      <c r="B99" s="841" t="s">
        <v>353</v>
      </c>
      <c r="C99" s="841" t="s">
        <v>353</v>
      </c>
      <c r="D99" s="841" t="s">
        <v>353</v>
      </c>
      <c r="E99" s="841" t="s">
        <v>353</v>
      </c>
      <c r="F99" s="841" t="s">
        <v>2333</v>
      </c>
      <c r="G99" s="841" t="s">
        <v>1614</v>
      </c>
      <c r="H99" s="841" t="s">
        <v>353</v>
      </c>
      <c r="I99" s="841" t="s">
        <v>353</v>
      </c>
      <c r="J99" s="841" t="s">
        <v>353</v>
      </c>
      <c r="K99" s="841" t="s">
        <v>353</v>
      </c>
      <c r="L99" s="842">
        <v>44585.709027777775</v>
      </c>
      <c r="M99" s="841" t="s">
        <v>353</v>
      </c>
      <c r="N99" s="841" t="s">
        <v>353</v>
      </c>
      <c r="O99" s="841" t="s">
        <v>353</v>
      </c>
      <c r="P99" s="841" t="s">
        <v>353</v>
      </c>
      <c r="Q99" s="841" t="s">
        <v>353</v>
      </c>
      <c r="R99" s="841" t="s">
        <v>353</v>
      </c>
      <c r="S99" s="841" t="s">
        <v>67</v>
      </c>
      <c r="T99" s="841" t="s">
        <v>1390</v>
      </c>
      <c r="U99" s="841" t="s">
        <v>353</v>
      </c>
      <c r="V99" s="841" t="s">
        <v>353</v>
      </c>
      <c r="W99" s="841" t="s">
        <v>1716</v>
      </c>
      <c r="X99" s="841" t="s">
        <v>1405</v>
      </c>
      <c r="Y99" s="841" t="s">
        <v>353</v>
      </c>
      <c r="Z99" s="841" t="s">
        <v>353</v>
      </c>
      <c r="AA99" s="841" t="s">
        <v>353</v>
      </c>
      <c r="AB99" s="841" t="s">
        <v>353</v>
      </c>
      <c r="AC99" s="841">
        <v>98000</v>
      </c>
      <c r="AD99" s="841" t="s">
        <v>353</v>
      </c>
      <c r="AE99" s="841" t="s">
        <v>353</v>
      </c>
      <c r="AF99" s="841" t="s">
        <v>353</v>
      </c>
      <c r="AG99" s="841" t="s">
        <v>353</v>
      </c>
      <c r="AH99" s="841">
        <v>2166</v>
      </c>
      <c r="AI99" s="841" t="s">
        <v>1521</v>
      </c>
      <c r="AJ99" s="841" t="s">
        <v>353</v>
      </c>
      <c r="AK99" s="841">
        <v>70</v>
      </c>
      <c r="AL99" s="841" t="s">
        <v>353</v>
      </c>
      <c r="AM99" s="841" t="s">
        <v>353</v>
      </c>
      <c r="AN99" s="841" t="s">
        <v>353</v>
      </c>
      <c r="AO99" s="841" t="s">
        <v>353</v>
      </c>
      <c r="AP99" s="841" t="s">
        <v>353</v>
      </c>
      <c r="AQ99" s="841" t="s">
        <v>353</v>
      </c>
      <c r="AR99" s="841" t="s">
        <v>353</v>
      </c>
      <c r="AS99" s="841" t="s">
        <v>353</v>
      </c>
      <c r="AT99" s="841" t="s">
        <v>353</v>
      </c>
      <c r="AU99" s="841" t="s">
        <v>353</v>
      </c>
      <c r="AV99" s="841" t="s">
        <v>353</v>
      </c>
      <c r="AW99" s="841" t="s">
        <v>353</v>
      </c>
      <c r="AX99" s="841" t="s">
        <v>353</v>
      </c>
      <c r="AY99" s="841" t="s">
        <v>353</v>
      </c>
      <c r="AZ99" s="841" t="s">
        <v>353</v>
      </c>
      <c r="BA99" s="841" t="s">
        <v>353</v>
      </c>
      <c r="BB99" s="841" t="s">
        <v>353</v>
      </c>
      <c r="BC99" s="841">
        <v>467240</v>
      </c>
      <c r="BD99" s="841" t="s">
        <v>353</v>
      </c>
      <c r="BE99" s="841" t="s">
        <v>353</v>
      </c>
      <c r="BF99" s="841" t="s">
        <v>353</v>
      </c>
      <c r="BG99" s="841" t="s">
        <v>353</v>
      </c>
      <c r="BH99" s="841" t="s">
        <v>353</v>
      </c>
      <c r="BI99" s="841" t="s">
        <v>353</v>
      </c>
      <c r="BJ99" s="841" t="s">
        <v>353</v>
      </c>
      <c r="BK99" s="841" t="s">
        <v>353</v>
      </c>
      <c r="BL99" s="841" t="s">
        <v>2334</v>
      </c>
      <c r="BM99" s="842">
        <v>44592.636111111111</v>
      </c>
      <c r="BN99" s="841" t="s">
        <v>353</v>
      </c>
      <c r="BO99" s="841" t="s">
        <v>353</v>
      </c>
      <c r="BP99" s="841" t="s">
        <v>353</v>
      </c>
      <c r="BQ99" s="841" t="s">
        <v>353</v>
      </c>
      <c r="BR99" s="841" t="s">
        <v>353</v>
      </c>
      <c r="BS99" s="841" t="s">
        <v>353</v>
      </c>
      <c r="BT99" s="841">
        <v>490000</v>
      </c>
      <c r="BU99" s="841" t="s">
        <v>353</v>
      </c>
      <c r="BV99" s="841" t="s">
        <v>2335</v>
      </c>
      <c r="BW99" s="841" t="s">
        <v>1578</v>
      </c>
      <c r="BX99" s="841" t="s">
        <v>353</v>
      </c>
      <c r="BY99" s="841" t="s">
        <v>353</v>
      </c>
      <c r="BZ99" s="841" t="s">
        <v>353</v>
      </c>
      <c r="CA99" s="841" t="s">
        <v>353</v>
      </c>
      <c r="CB99" s="841" t="s">
        <v>353</v>
      </c>
      <c r="CC99" s="841" t="s">
        <v>353</v>
      </c>
      <c r="CD99" s="841" t="s">
        <v>353</v>
      </c>
      <c r="CE99" s="841" t="s">
        <v>353</v>
      </c>
      <c r="CF99" s="841" t="s">
        <v>353</v>
      </c>
      <c r="CG99" s="841" t="s">
        <v>353</v>
      </c>
      <c r="CH99" s="841" t="s">
        <v>353</v>
      </c>
      <c r="CI99" s="841" t="s">
        <v>353</v>
      </c>
      <c r="CJ99" s="841" t="s">
        <v>353</v>
      </c>
      <c r="CK99" s="841" t="s">
        <v>353</v>
      </c>
      <c r="CL99" s="841" t="s">
        <v>353</v>
      </c>
      <c r="CM99" s="841" t="s">
        <v>353</v>
      </c>
      <c r="CN99" s="841" t="s">
        <v>353</v>
      </c>
      <c r="CO99" s="841" t="s">
        <v>353</v>
      </c>
      <c r="CP99" s="841" t="s">
        <v>2336</v>
      </c>
      <c r="CQ99" s="841" t="s">
        <v>353</v>
      </c>
      <c r="CR99" s="841" t="s">
        <v>353</v>
      </c>
      <c r="CS99" s="841" t="s">
        <v>1405</v>
      </c>
      <c r="CT99" s="841" t="s">
        <v>353</v>
      </c>
      <c r="CU99" s="841" t="s">
        <v>1391</v>
      </c>
      <c r="CV99" s="841" t="s">
        <v>353</v>
      </c>
      <c r="CW99" s="841" t="s">
        <v>353</v>
      </c>
      <c r="CX99" s="841" t="s">
        <v>353</v>
      </c>
      <c r="CY99" s="841" t="s">
        <v>353</v>
      </c>
      <c r="CZ99" s="841">
        <v>1</v>
      </c>
      <c r="DA99" s="841" t="s">
        <v>353</v>
      </c>
      <c r="DB99" s="841" t="s">
        <v>353</v>
      </c>
      <c r="DC99" s="841" t="s">
        <v>353</v>
      </c>
      <c r="DD99" s="841" t="s">
        <v>353</v>
      </c>
      <c r="DE99" s="841" t="s">
        <v>353</v>
      </c>
      <c r="DF99" s="841">
        <v>18</v>
      </c>
      <c r="DG99" s="841" t="s">
        <v>353</v>
      </c>
      <c r="DH99" s="841" t="s">
        <v>353</v>
      </c>
      <c r="DI99" s="841" t="s">
        <v>353</v>
      </c>
      <c r="DJ99" s="841" t="s">
        <v>2337</v>
      </c>
      <c r="DK99" s="841" t="s">
        <v>353</v>
      </c>
      <c r="DL99" s="842">
        <v>44585.636111111111</v>
      </c>
      <c r="DM99" s="841" t="s">
        <v>353</v>
      </c>
      <c r="DN99" s="841" t="s">
        <v>353</v>
      </c>
      <c r="DO99" s="841" t="s">
        <v>673</v>
      </c>
      <c r="DP99" s="841" t="s">
        <v>1412</v>
      </c>
      <c r="DQ99" s="841" t="s">
        <v>1392</v>
      </c>
      <c r="DR99" s="841">
        <v>700000</v>
      </c>
      <c r="DS99" s="841">
        <v>18</v>
      </c>
      <c r="DT99" s="841" t="s">
        <v>353</v>
      </c>
      <c r="DU99" s="841" t="s">
        <v>353</v>
      </c>
      <c r="DV99" s="841">
        <v>309974</v>
      </c>
      <c r="DW99" s="841">
        <v>490000</v>
      </c>
      <c r="DX99" s="841" t="s">
        <v>353</v>
      </c>
      <c r="DY99" s="841" t="s">
        <v>353</v>
      </c>
      <c r="DZ99" s="841" t="s">
        <v>353</v>
      </c>
      <c r="EA99" s="841" t="s">
        <v>353</v>
      </c>
      <c r="EB99" s="841" t="s">
        <v>353</v>
      </c>
      <c r="EC99" s="841" t="s">
        <v>353</v>
      </c>
      <c r="ED99" s="841" t="s">
        <v>353</v>
      </c>
      <c r="EE99" s="841" t="s">
        <v>353</v>
      </c>
      <c r="EF99" s="841" t="s">
        <v>353</v>
      </c>
      <c r="EG99" s="841" t="s">
        <v>353</v>
      </c>
      <c r="EH99" s="841" t="s">
        <v>353</v>
      </c>
      <c r="EI99" s="841">
        <v>170226</v>
      </c>
      <c r="EJ99" s="841" t="s">
        <v>353</v>
      </c>
      <c r="EK99" s="841" t="s">
        <v>353</v>
      </c>
      <c r="EL99" s="841" t="s">
        <v>1435</v>
      </c>
      <c r="EM99" s="841">
        <v>9800</v>
      </c>
      <c r="EN99" s="841" t="s">
        <v>353</v>
      </c>
      <c r="EO99" s="841" t="s">
        <v>353</v>
      </c>
      <c r="EP99" s="841" t="s">
        <v>353</v>
      </c>
      <c r="EQ99" s="841" t="s">
        <v>353</v>
      </c>
      <c r="ER99" s="841" t="s">
        <v>353</v>
      </c>
      <c r="ES99" s="841" t="s">
        <v>353</v>
      </c>
      <c r="ET99" s="841" t="s">
        <v>1512</v>
      </c>
      <c r="EU99" s="841" t="s">
        <v>353</v>
      </c>
      <c r="EV99" s="841" t="s">
        <v>353</v>
      </c>
      <c r="EW99" s="841" t="s">
        <v>353</v>
      </c>
      <c r="EX99" s="841" t="s">
        <v>353</v>
      </c>
      <c r="EY99" s="841" t="s">
        <v>353</v>
      </c>
      <c r="EZ99" s="841" t="s">
        <v>353</v>
      </c>
      <c r="FA99" s="841" t="s">
        <v>353</v>
      </c>
      <c r="FB99" s="841" t="s">
        <v>353</v>
      </c>
      <c r="FC99" s="841" t="s">
        <v>353</v>
      </c>
      <c r="FD99" s="841" t="s">
        <v>353</v>
      </c>
      <c r="FE99" s="842">
        <v>44585.636805555558</v>
      </c>
      <c r="FF99" s="841" t="s">
        <v>353</v>
      </c>
      <c r="FG99" s="841" t="s">
        <v>353</v>
      </c>
      <c r="FH99" s="841" t="s">
        <v>353</v>
      </c>
      <c r="FI99" s="841" t="s">
        <v>353</v>
      </c>
      <c r="FJ99" s="841" t="s">
        <v>353</v>
      </c>
      <c r="FK99" s="841" t="s">
        <v>353</v>
      </c>
      <c r="FL99" s="841" t="s">
        <v>353</v>
      </c>
      <c r="FM99" s="841" t="s">
        <v>353</v>
      </c>
      <c r="FN99" s="841" t="s">
        <v>353</v>
      </c>
      <c r="FO99" s="841" t="s">
        <v>1729</v>
      </c>
      <c r="FP99" s="841" t="s">
        <v>353</v>
      </c>
      <c r="FQ99" s="841" t="s">
        <v>353</v>
      </c>
      <c r="FR99" s="841" t="s">
        <v>353</v>
      </c>
      <c r="FS99" s="841" t="s">
        <v>353</v>
      </c>
      <c r="FT99" s="841" t="s">
        <v>353</v>
      </c>
      <c r="FU99" s="841" t="s">
        <v>1416</v>
      </c>
      <c r="FV99" s="841" t="s">
        <v>353</v>
      </c>
      <c r="FW99" s="841" t="s">
        <v>353</v>
      </c>
      <c r="FX99" s="841" t="s">
        <v>353</v>
      </c>
      <c r="FY99" s="841" t="s">
        <v>353</v>
      </c>
      <c r="FZ99" s="841" t="s">
        <v>353</v>
      </c>
      <c r="GA99" s="841" t="s">
        <v>353</v>
      </c>
      <c r="GB99" s="841">
        <v>1</v>
      </c>
      <c r="GC99" s="841" t="s">
        <v>353</v>
      </c>
      <c r="GD99" s="841" t="s">
        <v>1395</v>
      </c>
      <c r="GE99" s="841" t="s">
        <v>353</v>
      </c>
      <c r="GF99" s="841" t="s">
        <v>353</v>
      </c>
      <c r="GG99" s="841" t="s">
        <v>353</v>
      </c>
      <c r="GH99" s="841">
        <v>98000</v>
      </c>
      <c r="GI99" s="841" t="s">
        <v>353</v>
      </c>
      <c r="GJ99" s="841" t="s">
        <v>353</v>
      </c>
      <c r="GK99" s="841" t="s">
        <v>353</v>
      </c>
      <c r="GL99" s="841" t="s">
        <v>2011</v>
      </c>
      <c r="GM99" s="841" t="s">
        <v>353</v>
      </c>
      <c r="GN99" s="841" t="s">
        <v>353</v>
      </c>
      <c r="GO99" s="841" t="s">
        <v>353</v>
      </c>
      <c r="GP99" s="841" t="s">
        <v>353</v>
      </c>
      <c r="GQ99" s="841" t="s">
        <v>353</v>
      </c>
      <c r="GR99" s="841" t="s">
        <v>353</v>
      </c>
      <c r="GS99" s="841" t="s">
        <v>2335</v>
      </c>
      <c r="GT99" s="841" t="s">
        <v>353</v>
      </c>
      <c r="GU99" s="841" t="s">
        <v>353</v>
      </c>
      <c r="GV99" s="841" t="s">
        <v>1419</v>
      </c>
      <c r="GW99" s="841" t="s">
        <v>353</v>
      </c>
      <c r="GX99" s="841" t="s">
        <v>353</v>
      </c>
      <c r="GY99" s="841">
        <v>24</v>
      </c>
      <c r="GZ99" s="841" t="s">
        <v>1420</v>
      </c>
      <c r="HA99" s="841" t="s">
        <v>353</v>
      </c>
      <c r="HB99" s="841" t="s">
        <v>353</v>
      </c>
      <c r="HC99" s="841" t="s">
        <v>1421</v>
      </c>
      <c r="HD99" s="841" t="s">
        <v>2338</v>
      </c>
      <c r="HE99" s="841">
        <v>18012400</v>
      </c>
      <c r="HF99" s="841" t="s">
        <v>353</v>
      </c>
      <c r="HG99" s="841" t="s">
        <v>353</v>
      </c>
      <c r="HH99" s="841" t="s">
        <v>353</v>
      </c>
      <c r="HI99" s="841" t="s">
        <v>1422</v>
      </c>
      <c r="HJ99" s="841" t="s">
        <v>2339</v>
      </c>
      <c r="HK99" s="841">
        <v>490000</v>
      </c>
      <c r="HL99" s="841" t="s">
        <v>353</v>
      </c>
      <c r="HM99" s="841" t="s">
        <v>1423</v>
      </c>
      <c r="HN99" s="841" t="s">
        <v>353</v>
      </c>
      <c r="HO99" s="841" t="s">
        <v>353</v>
      </c>
      <c r="HP99" s="841">
        <v>28371</v>
      </c>
      <c r="HQ99" s="841" t="s">
        <v>353</v>
      </c>
      <c r="HR99" s="841" t="s">
        <v>353</v>
      </c>
      <c r="HS99" s="841">
        <v>319774</v>
      </c>
      <c r="HT99" s="841" t="s">
        <v>353</v>
      </c>
      <c r="HU99" s="841" t="s">
        <v>353</v>
      </c>
      <c r="HV99" s="841" t="s">
        <v>353</v>
      </c>
      <c r="HW99" s="841">
        <v>700000</v>
      </c>
      <c r="HX99" s="841" t="s">
        <v>353</v>
      </c>
      <c r="HY99" s="841" t="s">
        <v>353</v>
      </c>
      <c r="HZ99" s="841" t="s">
        <v>353</v>
      </c>
      <c r="IA99" s="841" t="s">
        <v>353</v>
      </c>
      <c r="IB99" s="841" t="s">
        <v>1424</v>
      </c>
      <c r="IC99" s="841" t="s">
        <v>353</v>
      </c>
      <c r="ID99" s="841" t="s">
        <v>353</v>
      </c>
      <c r="IE99" s="841" t="s">
        <v>353</v>
      </c>
      <c r="IF99" s="841" t="s">
        <v>353</v>
      </c>
      <c r="IG99" s="841" t="s">
        <v>353</v>
      </c>
      <c r="IH99" s="841" t="s">
        <v>353</v>
      </c>
      <c r="II99" s="841" t="s">
        <v>353</v>
      </c>
      <c r="IJ99" s="841" t="s">
        <v>353</v>
      </c>
      <c r="IK99" s="841" t="s">
        <v>353</v>
      </c>
      <c r="IL99" s="841">
        <v>475815</v>
      </c>
      <c r="IM99" s="841" t="s">
        <v>353</v>
      </c>
      <c r="IN99" s="841" t="s">
        <v>353</v>
      </c>
      <c r="IO99" s="841" t="s">
        <v>353</v>
      </c>
      <c r="IP99" s="841" t="s">
        <v>353</v>
      </c>
      <c r="IQ99" s="841" t="s">
        <v>353</v>
      </c>
      <c r="IR99" s="841">
        <v>6</v>
      </c>
      <c r="IS99" s="841" t="s">
        <v>353</v>
      </c>
      <c r="IT99" s="841" t="s">
        <v>353</v>
      </c>
      <c r="IU99" s="841" t="s">
        <v>353</v>
      </c>
      <c r="IV99" s="841" t="s">
        <v>353</v>
      </c>
      <c r="IW99" s="841" t="s">
        <v>353</v>
      </c>
      <c r="IX99" s="841" t="s">
        <v>353</v>
      </c>
      <c r="IY99" s="841" t="s">
        <v>1622</v>
      </c>
      <c r="IZ99" s="841" t="s">
        <v>353</v>
      </c>
      <c r="JA99" s="841">
        <v>490000</v>
      </c>
      <c r="JB99" s="841" t="s">
        <v>353</v>
      </c>
      <c r="JC99" s="841" t="s">
        <v>353</v>
      </c>
      <c r="JD99" s="841" t="s">
        <v>1413</v>
      </c>
      <c r="JE99" s="841" t="s">
        <v>353</v>
      </c>
      <c r="JF99" s="841" t="s">
        <v>1836</v>
      </c>
      <c r="JG99" s="841" t="s">
        <v>1837</v>
      </c>
      <c r="JH99" s="841" t="s">
        <v>2278</v>
      </c>
      <c r="JI99" s="841" t="s">
        <v>2279</v>
      </c>
    </row>
    <row r="100" spans="1:269" x14ac:dyDescent="0.25">
      <c r="A100" s="841" t="s">
        <v>2340</v>
      </c>
      <c r="B100" s="841" t="s">
        <v>353</v>
      </c>
      <c r="C100" s="841" t="s">
        <v>353</v>
      </c>
      <c r="D100" s="841" t="s">
        <v>353</v>
      </c>
      <c r="E100" s="841" t="s">
        <v>353</v>
      </c>
      <c r="F100" s="841" t="s">
        <v>353</v>
      </c>
      <c r="G100" s="841" t="s">
        <v>2320</v>
      </c>
      <c r="H100" s="841" t="s">
        <v>353</v>
      </c>
      <c r="I100" s="841" t="s">
        <v>353</v>
      </c>
      <c r="J100" s="841" t="s">
        <v>353</v>
      </c>
      <c r="K100" s="841" t="s">
        <v>353</v>
      </c>
      <c r="L100" s="842">
        <v>44606.421527777777</v>
      </c>
      <c r="M100" s="841" t="s">
        <v>353</v>
      </c>
      <c r="N100" s="841" t="s">
        <v>353</v>
      </c>
      <c r="O100" s="841" t="s">
        <v>353</v>
      </c>
      <c r="P100" s="841" t="s">
        <v>353</v>
      </c>
      <c r="Q100" s="841" t="s">
        <v>353</v>
      </c>
      <c r="R100" s="841" t="s">
        <v>353</v>
      </c>
      <c r="S100" s="841" t="s">
        <v>64</v>
      </c>
      <c r="T100" s="841" t="s">
        <v>1390</v>
      </c>
      <c r="U100" s="841" t="s">
        <v>353</v>
      </c>
      <c r="V100" s="841" t="s">
        <v>353</v>
      </c>
      <c r="W100" s="841" t="s">
        <v>1716</v>
      </c>
      <c r="X100" s="841" t="s">
        <v>1435</v>
      </c>
      <c r="Y100" s="841" t="s">
        <v>353</v>
      </c>
      <c r="Z100" s="841" t="s">
        <v>353</v>
      </c>
      <c r="AA100" s="841" t="s">
        <v>353</v>
      </c>
      <c r="AB100" s="841" t="s">
        <v>353</v>
      </c>
      <c r="AC100" s="841">
        <v>87600</v>
      </c>
      <c r="AD100" s="841" t="s">
        <v>353</v>
      </c>
      <c r="AE100" s="841" t="s">
        <v>353</v>
      </c>
      <c r="AF100" s="841" t="s">
        <v>353</v>
      </c>
      <c r="AG100" s="841" t="s">
        <v>353</v>
      </c>
      <c r="AH100" s="841">
        <v>1700</v>
      </c>
      <c r="AI100" s="841" t="s">
        <v>1535</v>
      </c>
      <c r="AJ100" s="841" t="s">
        <v>353</v>
      </c>
      <c r="AK100" s="841">
        <v>75</v>
      </c>
      <c r="AL100" s="841" t="s">
        <v>353</v>
      </c>
      <c r="AM100" s="841" t="s">
        <v>353</v>
      </c>
      <c r="AN100" s="841" t="s">
        <v>353</v>
      </c>
      <c r="AO100" s="841" t="s">
        <v>353</v>
      </c>
      <c r="AP100" s="841" t="s">
        <v>353</v>
      </c>
      <c r="AQ100" s="841" t="s">
        <v>353</v>
      </c>
      <c r="AR100" s="841" t="s">
        <v>353</v>
      </c>
      <c r="AS100" s="841" t="s">
        <v>353</v>
      </c>
      <c r="AT100" s="841" t="s">
        <v>353</v>
      </c>
      <c r="AU100" s="841" t="s">
        <v>353</v>
      </c>
      <c r="AV100" s="841" t="s">
        <v>353</v>
      </c>
      <c r="AW100" s="841" t="s">
        <v>353</v>
      </c>
      <c r="AX100" s="841" t="s">
        <v>353</v>
      </c>
      <c r="AY100" s="841" t="s">
        <v>353</v>
      </c>
      <c r="AZ100" s="841" t="s">
        <v>353</v>
      </c>
      <c r="BA100" s="841" t="s">
        <v>353</v>
      </c>
      <c r="BB100" s="841" t="s">
        <v>353</v>
      </c>
      <c r="BC100" s="841">
        <v>416877</v>
      </c>
      <c r="BD100" s="841" t="s">
        <v>353</v>
      </c>
      <c r="BE100" s="841" t="s">
        <v>353</v>
      </c>
      <c r="BF100" s="841" t="s">
        <v>353</v>
      </c>
      <c r="BG100" s="841" t="s">
        <v>353</v>
      </c>
      <c r="BH100" s="841" t="s">
        <v>353</v>
      </c>
      <c r="BI100" s="841" t="s">
        <v>353</v>
      </c>
      <c r="BJ100" s="841" t="s">
        <v>353</v>
      </c>
      <c r="BK100" s="841" t="s">
        <v>353</v>
      </c>
      <c r="BL100" s="841" t="s">
        <v>2341</v>
      </c>
      <c r="BM100" s="842">
        <v>44592.667361111111</v>
      </c>
      <c r="BN100" s="841" t="s">
        <v>353</v>
      </c>
      <c r="BO100" s="841" t="s">
        <v>353</v>
      </c>
      <c r="BP100" s="841" t="s">
        <v>353</v>
      </c>
      <c r="BQ100" s="841" t="s">
        <v>353</v>
      </c>
      <c r="BR100" s="841" t="s">
        <v>353</v>
      </c>
      <c r="BS100" s="841" t="s">
        <v>353</v>
      </c>
      <c r="BT100" s="841">
        <v>438000</v>
      </c>
      <c r="BU100" s="841" t="s">
        <v>353</v>
      </c>
      <c r="BV100" s="841" t="s">
        <v>2342</v>
      </c>
      <c r="BW100" s="841" t="s">
        <v>353</v>
      </c>
      <c r="BX100" s="841" t="s">
        <v>353</v>
      </c>
      <c r="BY100" s="841" t="s">
        <v>353</v>
      </c>
      <c r="BZ100" s="841" t="s">
        <v>353</v>
      </c>
      <c r="CA100" s="841" t="s">
        <v>353</v>
      </c>
      <c r="CB100" s="841" t="s">
        <v>353</v>
      </c>
      <c r="CC100" s="841" t="s">
        <v>353</v>
      </c>
      <c r="CD100" s="841" t="s">
        <v>353</v>
      </c>
      <c r="CE100" s="841" t="s">
        <v>353</v>
      </c>
      <c r="CF100" s="841" t="s">
        <v>353</v>
      </c>
      <c r="CG100" s="841" t="s">
        <v>353</v>
      </c>
      <c r="CH100" s="841" t="s">
        <v>353</v>
      </c>
      <c r="CI100" s="841" t="s">
        <v>353</v>
      </c>
      <c r="CJ100" s="841" t="s">
        <v>353</v>
      </c>
      <c r="CK100" s="841" t="s">
        <v>353</v>
      </c>
      <c r="CL100" s="841" t="s">
        <v>353</v>
      </c>
      <c r="CM100" s="841" t="s">
        <v>353</v>
      </c>
      <c r="CN100" s="841" t="s">
        <v>353</v>
      </c>
      <c r="CO100" s="841" t="s">
        <v>353</v>
      </c>
      <c r="CP100" s="841" t="s">
        <v>2343</v>
      </c>
      <c r="CQ100" s="841" t="s">
        <v>353</v>
      </c>
      <c r="CR100" s="841" t="s">
        <v>353</v>
      </c>
      <c r="CS100" s="841" t="s">
        <v>1405</v>
      </c>
      <c r="CT100" s="841" t="s">
        <v>353</v>
      </c>
      <c r="CU100" s="841" t="s">
        <v>1391</v>
      </c>
      <c r="CV100" s="841" t="s">
        <v>353</v>
      </c>
      <c r="CW100" s="841" t="s">
        <v>353</v>
      </c>
      <c r="CX100" s="841" t="s">
        <v>353</v>
      </c>
      <c r="CY100" s="841" t="s">
        <v>353</v>
      </c>
      <c r="CZ100" s="841">
        <v>1</v>
      </c>
      <c r="DA100" s="841" t="s">
        <v>353</v>
      </c>
      <c r="DB100" s="841" t="s">
        <v>353</v>
      </c>
      <c r="DC100" s="841" t="s">
        <v>353</v>
      </c>
      <c r="DD100" s="841" t="s">
        <v>353</v>
      </c>
      <c r="DE100" s="841" t="s">
        <v>353</v>
      </c>
      <c r="DF100" s="841">
        <v>18</v>
      </c>
      <c r="DG100" s="841" t="s">
        <v>353</v>
      </c>
      <c r="DH100" s="841" t="s">
        <v>353</v>
      </c>
      <c r="DI100" s="841" t="s">
        <v>353</v>
      </c>
      <c r="DJ100" s="841" t="s">
        <v>353</v>
      </c>
      <c r="DK100" s="841" t="s">
        <v>353</v>
      </c>
      <c r="DL100" s="842">
        <v>44582.667361111111</v>
      </c>
      <c r="DM100" s="841" t="s">
        <v>353</v>
      </c>
      <c r="DN100" s="841" t="s">
        <v>353</v>
      </c>
      <c r="DO100" s="841" t="s">
        <v>353</v>
      </c>
      <c r="DP100" s="841" t="s">
        <v>1412</v>
      </c>
      <c r="DQ100" s="841" t="s">
        <v>1392</v>
      </c>
      <c r="DR100" s="841" t="s">
        <v>353</v>
      </c>
      <c r="DS100" s="841">
        <v>18</v>
      </c>
      <c r="DT100" s="841" t="s">
        <v>353</v>
      </c>
      <c r="DU100" s="841" t="s">
        <v>353</v>
      </c>
      <c r="DV100" s="841">
        <v>290218.8</v>
      </c>
      <c r="DW100" s="841">
        <v>438000</v>
      </c>
      <c r="DX100" s="841" t="s">
        <v>353</v>
      </c>
      <c r="DY100" s="841" t="s">
        <v>353</v>
      </c>
      <c r="DZ100" s="841" t="s">
        <v>353</v>
      </c>
      <c r="EA100" s="841" t="s">
        <v>353</v>
      </c>
      <c r="EB100" s="841" t="s">
        <v>353</v>
      </c>
      <c r="EC100" s="841" t="s">
        <v>353</v>
      </c>
      <c r="ED100" s="841" t="s">
        <v>353</v>
      </c>
      <c r="EE100" s="841" t="s">
        <v>353</v>
      </c>
      <c r="EF100" s="841" t="s">
        <v>353</v>
      </c>
      <c r="EG100" s="841" t="s">
        <v>353</v>
      </c>
      <c r="EH100" s="841" t="s">
        <v>353</v>
      </c>
      <c r="EI100" s="841">
        <v>139021.20000000001</v>
      </c>
      <c r="EJ100" s="841" t="s">
        <v>353</v>
      </c>
      <c r="EK100" s="841" t="s">
        <v>353</v>
      </c>
      <c r="EL100" s="841" t="s">
        <v>353</v>
      </c>
      <c r="EM100" s="841">
        <v>8760</v>
      </c>
      <c r="EN100" s="841" t="s">
        <v>353</v>
      </c>
      <c r="EO100" s="841" t="s">
        <v>353</v>
      </c>
      <c r="EP100" s="841" t="s">
        <v>353</v>
      </c>
      <c r="EQ100" s="841" t="s">
        <v>353</v>
      </c>
      <c r="ER100" s="841" t="s">
        <v>353</v>
      </c>
      <c r="ES100" s="841" t="s">
        <v>353</v>
      </c>
      <c r="ET100" s="841" t="s">
        <v>1393</v>
      </c>
      <c r="EU100" s="841" t="s">
        <v>353</v>
      </c>
      <c r="EV100" s="841" t="s">
        <v>353</v>
      </c>
      <c r="EW100" s="841" t="s">
        <v>353</v>
      </c>
      <c r="EX100" s="841" t="s">
        <v>353</v>
      </c>
      <c r="EY100" s="841" t="s">
        <v>353</v>
      </c>
      <c r="EZ100" s="841" t="s">
        <v>353</v>
      </c>
      <c r="FA100" s="841" t="s">
        <v>353</v>
      </c>
      <c r="FB100" s="841" t="s">
        <v>353</v>
      </c>
      <c r="FC100" s="841" t="s">
        <v>353</v>
      </c>
      <c r="FD100" s="841" t="s">
        <v>353</v>
      </c>
      <c r="FE100" s="842">
        <v>44606.421527777777</v>
      </c>
      <c r="FF100" s="841" t="s">
        <v>353</v>
      </c>
      <c r="FG100" s="841" t="s">
        <v>353</v>
      </c>
      <c r="FH100" s="841" t="s">
        <v>353</v>
      </c>
      <c r="FI100" s="841" t="s">
        <v>353</v>
      </c>
      <c r="FJ100" s="841" t="s">
        <v>353</v>
      </c>
      <c r="FK100" s="841" t="s">
        <v>353</v>
      </c>
      <c r="FL100" s="841" t="s">
        <v>353</v>
      </c>
      <c r="FM100" s="841" t="s">
        <v>353</v>
      </c>
      <c r="FN100" s="841" t="s">
        <v>353</v>
      </c>
      <c r="FO100" s="841" t="s">
        <v>1729</v>
      </c>
      <c r="FP100" s="841" t="s">
        <v>353</v>
      </c>
      <c r="FQ100" s="841" t="s">
        <v>353</v>
      </c>
      <c r="FR100" s="841" t="s">
        <v>353</v>
      </c>
      <c r="FS100" s="841" t="s">
        <v>353</v>
      </c>
      <c r="FT100" s="841" t="s">
        <v>353</v>
      </c>
      <c r="FU100" s="841" t="s">
        <v>1416</v>
      </c>
      <c r="FV100" s="841" t="s">
        <v>353</v>
      </c>
      <c r="FW100" s="841" t="s">
        <v>353</v>
      </c>
      <c r="FX100" s="841" t="s">
        <v>353</v>
      </c>
      <c r="FY100" s="841" t="s">
        <v>353</v>
      </c>
      <c r="FZ100" s="841" t="s">
        <v>353</v>
      </c>
      <c r="GA100" s="841" t="s">
        <v>353</v>
      </c>
      <c r="GB100" s="841">
        <v>1</v>
      </c>
      <c r="GC100" s="841" t="s">
        <v>353</v>
      </c>
      <c r="GD100" s="841" t="s">
        <v>1417</v>
      </c>
      <c r="GE100" s="841" t="s">
        <v>353</v>
      </c>
      <c r="GF100" s="841" t="s">
        <v>353</v>
      </c>
      <c r="GG100" s="841" t="s">
        <v>353</v>
      </c>
      <c r="GH100" s="841">
        <v>87600</v>
      </c>
      <c r="GI100" s="841" t="s">
        <v>353</v>
      </c>
      <c r="GJ100" s="841" t="s">
        <v>353</v>
      </c>
      <c r="GK100" s="841" t="s">
        <v>353</v>
      </c>
      <c r="GL100" s="841" t="s">
        <v>1541</v>
      </c>
      <c r="GM100" s="841" t="s">
        <v>353</v>
      </c>
      <c r="GN100" s="841" t="s">
        <v>353</v>
      </c>
      <c r="GO100" s="841" t="s">
        <v>353</v>
      </c>
      <c r="GP100" s="841" t="s">
        <v>353</v>
      </c>
      <c r="GQ100" s="841" t="s">
        <v>353</v>
      </c>
      <c r="GR100" s="841" t="s">
        <v>353</v>
      </c>
      <c r="GS100" s="841" t="s">
        <v>2342</v>
      </c>
      <c r="GT100" s="841" t="s">
        <v>353</v>
      </c>
      <c r="GU100" s="841" t="s">
        <v>353</v>
      </c>
      <c r="GV100" s="841" t="s">
        <v>1076</v>
      </c>
      <c r="GW100" s="841" t="s">
        <v>353</v>
      </c>
      <c r="GX100" s="841" t="s">
        <v>353</v>
      </c>
      <c r="GY100" s="841">
        <v>24</v>
      </c>
      <c r="GZ100" s="841" t="s">
        <v>1716</v>
      </c>
      <c r="HA100" s="841" t="s">
        <v>353</v>
      </c>
      <c r="HB100" s="841" t="s">
        <v>353</v>
      </c>
      <c r="HC100" s="841" t="s">
        <v>1421</v>
      </c>
      <c r="HD100" s="841" t="s">
        <v>2344</v>
      </c>
      <c r="HE100" s="841" t="s">
        <v>353</v>
      </c>
      <c r="HF100" s="841" t="s">
        <v>353</v>
      </c>
      <c r="HG100" s="841" t="s">
        <v>353</v>
      </c>
      <c r="HH100" s="841" t="s">
        <v>353</v>
      </c>
      <c r="HI100" s="841" t="s">
        <v>1422</v>
      </c>
      <c r="HJ100" s="841" t="s">
        <v>1620</v>
      </c>
      <c r="HK100" s="841">
        <v>438000</v>
      </c>
      <c r="HL100" s="841" t="s">
        <v>353</v>
      </c>
      <c r="HM100" s="841" t="s">
        <v>1423</v>
      </c>
      <c r="HN100" s="841" t="s">
        <v>353</v>
      </c>
      <c r="HO100" s="841" t="s">
        <v>353</v>
      </c>
      <c r="HP100" s="841">
        <v>23170.2</v>
      </c>
      <c r="HQ100" s="841" t="s">
        <v>353</v>
      </c>
      <c r="HR100" s="841" t="s">
        <v>353</v>
      </c>
      <c r="HS100" s="841">
        <v>298978.8</v>
      </c>
      <c r="HT100" s="841" t="s">
        <v>353</v>
      </c>
      <c r="HU100" s="841" t="s">
        <v>353</v>
      </c>
      <c r="HV100" s="841" t="s">
        <v>353</v>
      </c>
      <c r="HW100" s="841">
        <v>585000</v>
      </c>
      <c r="HX100" s="841" t="s">
        <v>353</v>
      </c>
      <c r="HY100" s="841" t="s">
        <v>353</v>
      </c>
      <c r="HZ100" s="841" t="s">
        <v>353</v>
      </c>
      <c r="IA100" s="841" t="s">
        <v>353</v>
      </c>
      <c r="IB100" s="841" t="s">
        <v>1424</v>
      </c>
      <c r="IC100" s="841" t="s">
        <v>353</v>
      </c>
      <c r="ID100" s="841" t="s">
        <v>353</v>
      </c>
      <c r="IE100" s="841" t="s">
        <v>353</v>
      </c>
      <c r="IF100" s="841" t="s">
        <v>353</v>
      </c>
      <c r="IG100" s="841" t="s">
        <v>353</v>
      </c>
      <c r="IH100" s="841" t="s">
        <v>353</v>
      </c>
      <c r="II100" s="841" t="s">
        <v>353</v>
      </c>
      <c r="IJ100" s="841" t="s">
        <v>353</v>
      </c>
      <c r="IK100" s="841" t="s">
        <v>353</v>
      </c>
      <c r="IL100" s="841">
        <v>424542</v>
      </c>
      <c r="IM100" s="841" t="s">
        <v>353</v>
      </c>
      <c r="IN100" s="841" t="s">
        <v>353</v>
      </c>
      <c r="IO100" s="841" t="s">
        <v>353</v>
      </c>
      <c r="IP100" s="841" t="s">
        <v>353</v>
      </c>
      <c r="IQ100" s="841" t="s">
        <v>353</v>
      </c>
      <c r="IR100" s="841">
        <v>6</v>
      </c>
      <c r="IS100" s="841" t="s">
        <v>353</v>
      </c>
      <c r="IT100" s="841" t="s">
        <v>353</v>
      </c>
      <c r="IU100" s="841" t="s">
        <v>353</v>
      </c>
      <c r="IV100" s="841" t="s">
        <v>353</v>
      </c>
      <c r="IW100" s="841" t="s">
        <v>353</v>
      </c>
      <c r="IX100" s="841" t="s">
        <v>353</v>
      </c>
      <c r="IY100" s="841" t="s">
        <v>1578</v>
      </c>
      <c r="IZ100" s="841" t="s">
        <v>353</v>
      </c>
      <c r="JA100" s="841">
        <v>438000</v>
      </c>
      <c r="JB100" s="841" t="s">
        <v>353</v>
      </c>
      <c r="JC100" s="841" t="s">
        <v>353</v>
      </c>
      <c r="JD100" s="841" t="s">
        <v>1456</v>
      </c>
      <c r="JE100" s="841" t="s">
        <v>353</v>
      </c>
      <c r="JF100" s="841" t="s">
        <v>2029</v>
      </c>
      <c r="JG100" s="841" t="s">
        <v>2030</v>
      </c>
      <c r="JH100" s="841" t="s">
        <v>1838</v>
      </c>
      <c r="JI100" s="841" t="s">
        <v>1839</v>
      </c>
    </row>
    <row r="101" spans="1:269" x14ac:dyDescent="0.25">
      <c r="A101" s="841" t="s">
        <v>2345</v>
      </c>
      <c r="B101" s="841" t="s">
        <v>353</v>
      </c>
      <c r="C101" s="841" t="s">
        <v>353</v>
      </c>
      <c r="D101" s="841" t="s">
        <v>353</v>
      </c>
      <c r="E101" s="841" t="s">
        <v>353</v>
      </c>
      <c r="F101" s="841" t="s">
        <v>353</v>
      </c>
      <c r="G101" s="841" t="s">
        <v>353</v>
      </c>
      <c r="H101" s="841" t="s">
        <v>353</v>
      </c>
      <c r="I101" s="841" t="s">
        <v>353</v>
      </c>
      <c r="J101" s="841" t="s">
        <v>353</v>
      </c>
      <c r="K101" s="841" t="s">
        <v>353</v>
      </c>
      <c r="L101" s="842">
        <v>44582.681250000001</v>
      </c>
      <c r="M101" s="841" t="s">
        <v>353</v>
      </c>
      <c r="N101" s="841" t="s">
        <v>353</v>
      </c>
      <c r="O101" s="841" t="s">
        <v>353</v>
      </c>
      <c r="P101" s="841" t="s">
        <v>353</v>
      </c>
      <c r="Q101" s="841" t="s">
        <v>353</v>
      </c>
      <c r="R101" s="841" t="s">
        <v>353</v>
      </c>
      <c r="S101" s="841" t="s">
        <v>353</v>
      </c>
      <c r="T101" s="841" t="s">
        <v>1390</v>
      </c>
      <c r="U101" s="841" t="s">
        <v>353</v>
      </c>
      <c r="V101" s="841" t="s">
        <v>353</v>
      </c>
      <c r="W101" s="841" t="s">
        <v>353</v>
      </c>
      <c r="X101" s="841" t="s">
        <v>353</v>
      </c>
      <c r="Y101" s="841" t="s">
        <v>353</v>
      </c>
      <c r="Z101" s="841" t="s">
        <v>353</v>
      </c>
      <c r="AA101" s="841" t="s">
        <v>353</v>
      </c>
      <c r="AB101" s="841" t="s">
        <v>353</v>
      </c>
      <c r="AC101" s="841" t="s">
        <v>353</v>
      </c>
      <c r="AD101" s="841" t="s">
        <v>353</v>
      </c>
      <c r="AE101" s="841" t="s">
        <v>353</v>
      </c>
      <c r="AF101" s="841" t="s">
        <v>353</v>
      </c>
      <c r="AG101" s="841" t="s">
        <v>353</v>
      </c>
      <c r="AH101" s="841" t="s">
        <v>353</v>
      </c>
      <c r="AI101" s="841" t="s">
        <v>353</v>
      </c>
      <c r="AJ101" s="841" t="s">
        <v>353</v>
      </c>
      <c r="AK101" s="841" t="s">
        <v>353</v>
      </c>
      <c r="AL101" s="841" t="s">
        <v>353</v>
      </c>
      <c r="AM101" s="841" t="s">
        <v>353</v>
      </c>
      <c r="AN101" s="841" t="s">
        <v>353</v>
      </c>
      <c r="AO101" s="841" t="s">
        <v>353</v>
      </c>
      <c r="AP101" s="841" t="s">
        <v>353</v>
      </c>
      <c r="AQ101" s="841" t="s">
        <v>353</v>
      </c>
      <c r="AR101" s="841" t="s">
        <v>353</v>
      </c>
      <c r="AS101" s="841" t="s">
        <v>353</v>
      </c>
      <c r="AT101" s="841" t="s">
        <v>353</v>
      </c>
      <c r="AU101" s="841" t="s">
        <v>353</v>
      </c>
      <c r="AV101" s="841" t="s">
        <v>353</v>
      </c>
      <c r="AW101" s="841" t="s">
        <v>353</v>
      </c>
      <c r="AX101" s="841" t="s">
        <v>353</v>
      </c>
      <c r="AY101" s="841" t="s">
        <v>353</v>
      </c>
      <c r="AZ101" s="841" t="s">
        <v>353</v>
      </c>
      <c r="BA101" s="841" t="s">
        <v>353</v>
      </c>
      <c r="BB101" s="841" t="s">
        <v>353</v>
      </c>
      <c r="BC101" s="841" t="s">
        <v>353</v>
      </c>
      <c r="BD101" s="841" t="s">
        <v>353</v>
      </c>
      <c r="BE101" s="841" t="s">
        <v>353</v>
      </c>
      <c r="BF101" s="841" t="s">
        <v>353</v>
      </c>
      <c r="BG101" s="841" t="s">
        <v>353</v>
      </c>
      <c r="BH101" s="841" t="s">
        <v>353</v>
      </c>
      <c r="BI101" s="841" t="s">
        <v>353</v>
      </c>
      <c r="BJ101" s="841" t="s">
        <v>353</v>
      </c>
      <c r="BK101" s="841" t="s">
        <v>353</v>
      </c>
      <c r="BL101" s="841" t="s">
        <v>353</v>
      </c>
      <c r="BM101" s="842">
        <v>44592.64166666667</v>
      </c>
      <c r="BN101" s="841" t="s">
        <v>353</v>
      </c>
      <c r="BO101" s="841" t="s">
        <v>353</v>
      </c>
      <c r="BP101" s="841" t="s">
        <v>353</v>
      </c>
      <c r="BQ101" s="841" t="s">
        <v>353</v>
      </c>
      <c r="BR101" s="841" t="s">
        <v>353</v>
      </c>
      <c r="BS101" s="841" t="s">
        <v>353</v>
      </c>
      <c r="BT101" s="841">
        <v>671000</v>
      </c>
      <c r="BU101" s="841" t="s">
        <v>353</v>
      </c>
      <c r="BV101" s="841" t="s">
        <v>353</v>
      </c>
      <c r="BW101" s="841" t="s">
        <v>353</v>
      </c>
      <c r="BX101" s="841" t="s">
        <v>353</v>
      </c>
      <c r="BY101" s="841" t="s">
        <v>353</v>
      </c>
      <c r="BZ101" s="841" t="s">
        <v>353</v>
      </c>
      <c r="CA101" s="841" t="s">
        <v>353</v>
      </c>
      <c r="CB101" s="841" t="s">
        <v>353</v>
      </c>
      <c r="CC101" s="841" t="s">
        <v>353</v>
      </c>
      <c r="CD101" s="841" t="s">
        <v>353</v>
      </c>
      <c r="CE101" s="841" t="s">
        <v>353</v>
      </c>
      <c r="CF101" s="841" t="s">
        <v>353</v>
      </c>
      <c r="CG101" s="841" t="s">
        <v>353</v>
      </c>
      <c r="CH101" s="841" t="s">
        <v>353</v>
      </c>
      <c r="CI101" s="841" t="s">
        <v>353</v>
      </c>
      <c r="CJ101" s="841" t="s">
        <v>353</v>
      </c>
      <c r="CK101" s="841" t="s">
        <v>353</v>
      </c>
      <c r="CL101" s="841" t="s">
        <v>353</v>
      </c>
      <c r="CM101" s="841" t="s">
        <v>353</v>
      </c>
      <c r="CN101" s="841" t="s">
        <v>353</v>
      </c>
      <c r="CO101" s="841" t="s">
        <v>353</v>
      </c>
      <c r="CP101" s="841" t="s">
        <v>353</v>
      </c>
      <c r="CQ101" s="841" t="s">
        <v>353</v>
      </c>
      <c r="CR101" s="841" t="s">
        <v>353</v>
      </c>
      <c r="CS101" s="841" t="s">
        <v>353</v>
      </c>
      <c r="CT101" s="841" t="s">
        <v>353</v>
      </c>
      <c r="CU101" s="841" t="s">
        <v>353</v>
      </c>
      <c r="CV101" s="841" t="s">
        <v>353</v>
      </c>
      <c r="CW101" s="841" t="s">
        <v>353</v>
      </c>
      <c r="CX101" s="841" t="s">
        <v>353</v>
      </c>
      <c r="CY101" s="841" t="s">
        <v>353</v>
      </c>
      <c r="CZ101" s="841" t="s">
        <v>353</v>
      </c>
      <c r="DA101" s="841" t="s">
        <v>353</v>
      </c>
      <c r="DB101" s="841" t="s">
        <v>353</v>
      </c>
      <c r="DC101" s="841" t="s">
        <v>353</v>
      </c>
      <c r="DD101" s="841" t="s">
        <v>353</v>
      </c>
      <c r="DE101" s="841" t="s">
        <v>353</v>
      </c>
      <c r="DF101" s="841" t="s">
        <v>353</v>
      </c>
      <c r="DG101" s="841" t="s">
        <v>353</v>
      </c>
      <c r="DH101" s="841" t="s">
        <v>353</v>
      </c>
      <c r="DI101" s="841" t="s">
        <v>353</v>
      </c>
      <c r="DJ101" s="841" t="s">
        <v>2346</v>
      </c>
      <c r="DK101" s="841" t="s">
        <v>353</v>
      </c>
      <c r="DL101" s="842">
        <v>44582.64166666667</v>
      </c>
      <c r="DM101" s="841" t="s">
        <v>353</v>
      </c>
      <c r="DN101" s="841" t="s">
        <v>353</v>
      </c>
      <c r="DO101" s="841" t="s">
        <v>353</v>
      </c>
      <c r="DP101" s="841" t="s">
        <v>353</v>
      </c>
      <c r="DQ101" s="841" t="s">
        <v>673</v>
      </c>
      <c r="DR101" s="841" t="s">
        <v>353</v>
      </c>
      <c r="DS101" s="841" t="s">
        <v>353</v>
      </c>
      <c r="DT101" s="841" t="s">
        <v>353</v>
      </c>
      <c r="DU101" s="841" t="s">
        <v>353</v>
      </c>
      <c r="DV101" s="841" t="s">
        <v>353</v>
      </c>
      <c r="DW101" s="841" t="s">
        <v>353</v>
      </c>
      <c r="DX101" s="841" t="s">
        <v>353</v>
      </c>
      <c r="DY101" s="841" t="s">
        <v>353</v>
      </c>
      <c r="DZ101" s="841" t="s">
        <v>353</v>
      </c>
      <c r="EA101" s="841" t="s">
        <v>353</v>
      </c>
      <c r="EB101" s="841" t="s">
        <v>353</v>
      </c>
      <c r="EC101" s="841" t="s">
        <v>353</v>
      </c>
      <c r="ED101" s="841" t="s">
        <v>353</v>
      </c>
      <c r="EE101" s="841" t="s">
        <v>353</v>
      </c>
      <c r="EF101" s="841" t="s">
        <v>353</v>
      </c>
      <c r="EG101" s="841" t="s">
        <v>353</v>
      </c>
      <c r="EH101" s="841" t="s">
        <v>353</v>
      </c>
      <c r="EI101" s="841" t="s">
        <v>353</v>
      </c>
      <c r="EJ101" s="841" t="s">
        <v>353</v>
      </c>
      <c r="EK101" s="841" t="s">
        <v>353</v>
      </c>
      <c r="EL101" s="841" t="s">
        <v>353</v>
      </c>
      <c r="EM101" s="841" t="s">
        <v>353</v>
      </c>
      <c r="EN101" s="841" t="s">
        <v>353</v>
      </c>
      <c r="EO101" s="841" t="s">
        <v>353</v>
      </c>
      <c r="EP101" s="841" t="s">
        <v>353</v>
      </c>
      <c r="EQ101" s="841" t="s">
        <v>353</v>
      </c>
      <c r="ER101" s="841" t="s">
        <v>353</v>
      </c>
      <c r="ES101" s="841" t="s">
        <v>353</v>
      </c>
      <c r="ET101" s="841" t="s">
        <v>1711</v>
      </c>
      <c r="EU101" s="841" t="s">
        <v>353</v>
      </c>
      <c r="EV101" s="841" t="s">
        <v>353</v>
      </c>
      <c r="EW101" s="841" t="s">
        <v>353</v>
      </c>
      <c r="EX101" s="841" t="s">
        <v>353</v>
      </c>
      <c r="EY101" s="841" t="s">
        <v>353</v>
      </c>
      <c r="EZ101" s="841" t="s">
        <v>353</v>
      </c>
      <c r="FA101" s="841" t="s">
        <v>353</v>
      </c>
      <c r="FB101" s="841" t="s">
        <v>353</v>
      </c>
      <c r="FC101" s="841" t="s">
        <v>353</v>
      </c>
      <c r="FD101" s="841" t="s">
        <v>353</v>
      </c>
      <c r="FE101" s="842">
        <v>44582.64166666667</v>
      </c>
      <c r="FF101" s="841" t="s">
        <v>353</v>
      </c>
      <c r="FG101" s="841" t="s">
        <v>353</v>
      </c>
      <c r="FH101" s="841" t="s">
        <v>353</v>
      </c>
      <c r="FI101" s="841" t="s">
        <v>353</v>
      </c>
      <c r="FJ101" s="841" t="s">
        <v>353</v>
      </c>
      <c r="FK101" s="841" t="s">
        <v>353</v>
      </c>
      <c r="FL101" s="841" t="s">
        <v>353</v>
      </c>
      <c r="FM101" s="841" t="s">
        <v>353</v>
      </c>
      <c r="FN101" s="841" t="s">
        <v>353</v>
      </c>
      <c r="FO101" s="841" t="s">
        <v>353</v>
      </c>
      <c r="FP101" s="841" t="s">
        <v>353</v>
      </c>
      <c r="FQ101" s="841" t="s">
        <v>353</v>
      </c>
      <c r="FR101" s="841" t="s">
        <v>353</v>
      </c>
      <c r="FS101" s="841" t="s">
        <v>353</v>
      </c>
      <c r="FT101" s="841" t="s">
        <v>353</v>
      </c>
      <c r="FU101" s="841" t="s">
        <v>1394</v>
      </c>
      <c r="FV101" s="841" t="s">
        <v>353</v>
      </c>
      <c r="FW101" s="841" t="s">
        <v>353</v>
      </c>
      <c r="FX101" s="841" t="s">
        <v>353</v>
      </c>
      <c r="FY101" s="841" t="s">
        <v>353</v>
      </c>
      <c r="FZ101" s="841" t="s">
        <v>353</v>
      </c>
      <c r="GA101" s="841" t="s">
        <v>353</v>
      </c>
      <c r="GB101" s="841">
        <v>0</v>
      </c>
      <c r="GC101" s="841" t="s">
        <v>353</v>
      </c>
      <c r="GD101" s="841" t="s">
        <v>353</v>
      </c>
      <c r="GE101" s="841" t="s">
        <v>353</v>
      </c>
      <c r="GF101" s="841" t="s">
        <v>353</v>
      </c>
      <c r="GG101" s="841" t="s">
        <v>353</v>
      </c>
      <c r="GH101" s="841" t="s">
        <v>353</v>
      </c>
      <c r="GI101" s="841" t="s">
        <v>353</v>
      </c>
      <c r="GJ101" s="841" t="s">
        <v>353</v>
      </c>
      <c r="GK101" s="841" t="s">
        <v>353</v>
      </c>
      <c r="GL101" s="841" t="s">
        <v>353</v>
      </c>
      <c r="GM101" s="841" t="s">
        <v>353</v>
      </c>
      <c r="GN101" s="841" t="s">
        <v>353</v>
      </c>
      <c r="GO101" s="841" t="s">
        <v>353</v>
      </c>
      <c r="GP101" s="841" t="s">
        <v>353</v>
      </c>
      <c r="GQ101" s="841" t="s">
        <v>353</v>
      </c>
      <c r="GR101" s="841" t="s">
        <v>353</v>
      </c>
      <c r="GS101" s="841" t="s">
        <v>353</v>
      </c>
      <c r="GT101" s="841" t="s">
        <v>353</v>
      </c>
      <c r="GU101" s="841" t="s">
        <v>353</v>
      </c>
      <c r="GV101" s="841" t="s">
        <v>1419</v>
      </c>
      <c r="GW101" s="841" t="s">
        <v>353</v>
      </c>
      <c r="GX101" s="841" t="s">
        <v>353</v>
      </c>
      <c r="GY101" s="841" t="s">
        <v>353</v>
      </c>
      <c r="GZ101" s="841" t="s">
        <v>353</v>
      </c>
      <c r="HA101" s="841" t="s">
        <v>353</v>
      </c>
      <c r="HB101" s="841" t="s">
        <v>353</v>
      </c>
      <c r="HC101" s="841" t="s">
        <v>353</v>
      </c>
      <c r="HD101" s="841" t="s">
        <v>2347</v>
      </c>
      <c r="HE101" s="841" t="s">
        <v>353</v>
      </c>
      <c r="HF101" s="841" t="s">
        <v>353</v>
      </c>
      <c r="HG101" s="841" t="s">
        <v>353</v>
      </c>
      <c r="HH101" s="841" t="s">
        <v>353</v>
      </c>
      <c r="HI101" s="841" t="s">
        <v>353</v>
      </c>
      <c r="HJ101" s="841" t="s">
        <v>353</v>
      </c>
      <c r="HK101" s="841" t="s">
        <v>353</v>
      </c>
      <c r="HL101" s="841" t="s">
        <v>353</v>
      </c>
      <c r="HM101" s="841" t="s">
        <v>353</v>
      </c>
      <c r="HN101" s="841" t="s">
        <v>353</v>
      </c>
      <c r="HO101" s="841" t="s">
        <v>353</v>
      </c>
      <c r="HP101" s="841" t="s">
        <v>353</v>
      </c>
      <c r="HQ101" s="841" t="s">
        <v>353</v>
      </c>
      <c r="HR101" s="841" t="s">
        <v>353</v>
      </c>
      <c r="HS101" s="841" t="s">
        <v>353</v>
      </c>
      <c r="HT101" s="841" t="s">
        <v>353</v>
      </c>
      <c r="HU101" s="841" t="s">
        <v>353</v>
      </c>
      <c r="HV101" s="841" t="s">
        <v>353</v>
      </c>
      <c r="HW101" s="841" t="s">
        <v>353</v>
      </c>
      <c r="HX101" s="841" t="s">
        <v>353</v>
      </c>
      <c r="HY101" s="841" t="s">
        <v>353</v>
      </c>
      <c r="HZ101" s="841" t="s">
        <v>353</v>
      </c>
      <c r="IA101" s="841" t="s">
        <v>353</v>
      </c>
      <c r="IB101" s="841" t="s">
        <v>353</v>
      </c>
      <c r="IC101" s="841" t="s">
        <v>353</v>
      </c>
      <c r="ID101" s="841" t="s">
        <v>353</v>
      </c>
      <c r="IE101" s="841" t="s">
        <v>353</v>
      </c>
      <c r="IF101" s="841" t="s">
        <v>353</v>
      </c>
      <c r="IG101" s="841" t="s">
        <v>353</v>
      </c>
      <c r="IH101" s="841" t="s">
        <v>353</v>
      </c>
      <c r="II101" s="841" t="s">
        <v>353</v>
      </c>
      <c r="IJ101" s="841" t="s">
        <v>353</v>
      </c>
      <c r="IK101" s="841" t="s">
        <v>353</v>
      </c>
      <c r="IL101" s="841" t="s">
        <v>353</v>
      </c>
      <c r="IM101" s="841" t="s">
        <v>353</v>
      </c>
      <c r="IN101" s="841" t="s">
        <v>353</v>
      </c>
      <c r="IO101" s="841" t="s">
        <v>353</v>
      </c>
      <c r="IP101" s="841" t="s">
        <v>353</v>
      </c>
      <c r="IQ101" s="841" t="s">
        <v>353</v>
      </c>
      <c r="IR101" s="841" t="s">
        <v>353</v>
      </c>
      <c r="IS101" s="841" t="s">
        <v>353</v>
      </c>
      <c r="IT101" s="841" t="s">
        <v>353</v>
      </c>
      <c r="IU101" s="841" t="s">
        <v>353</v>
      </c>
      <c r="IV101" s="841" t="s">
        <v>353</v>
      </c>
      <c r="IW101" s="841" t="s">
        <v>353</v>
      </c>
      <c r="IX101" s="841" t="s">
        <v>353</v>
      </c>
      <c r="IY101" s="841" t="s">
        <v>353</v>
      </c>
      <c r="IZ101" s="841" t="s">
        <v>353</v>
      </c>
      <c r="JA101" s="841" t="s">
        <v>353</v>
      </c>
      <c r="JB101" s="841" t="s">
        <v>353</v>
      </c>
      <c r="JC101" s="841" t="s">
        <v>353</v>
      </c>
      <c r="JD101" s="841" t="s">
        <v>353</v>
      </c>
      <c r="JE101" s="841" t="s">
        <v>353</v>
      </c>
      <c r="JF101" s="841" t="s">
        <v>353</v>
      </c>
      <c r="JG101" s="841" t="s">
        <v>353</v>
      </c>
      <c r="JH101" s="841" t="s">
        <v>353</v>
      </c>
      <c r="JI101" s="841" t="s">
        <v>353</v>
      </c>
    </row>
    <row r="102" spans="1:269" x14ac:dyDescent="0.25">
      <c r="A102" s="841" t="s">
        <v>2348</v>
      </c>
      <c r="B102" s="841" t="s">
        <v>353</v>
      </c>
      <c r="C102" s="841" t="s">
        <v>353</v>
      </c>
      <c r="D102" s="841" t="s">
        <v>353</v>
      </c>
      <c r="E102" s="841" t="s">
        <v>33</v>
      </c>
      <c r="F102" s="841" t="s">
        <v>1435</v>
      </c>
      <c r="G102" s="841" t="s">
        <v>1447</v>
      </c>
      <c r="H102" s="841" t="s">
        <v>353</v>
      </c>
      <c r="I102" s="841" t="s">
        <v>353</v>
      </c>
      <c r="J102" s="841" t="s">
        <v>353</v>
      </c>
      <c r="K102" s="841" t="s">
        <v>353</v>
      </c>
      <c r="L102" s="842">
        <v>44603.622916666667</v>
      </c>
      <c r="M102" s="841" t="s">
        <v>353</v>
      </c>
      <c r="N102" s="841" t="s">
        <v>353</v>
      </c>
      <c r="O102" s="841" t="s">
        <v>353</v>
      </c>
      <c r="P102" s="841" t="s">
        <v>33</v>
      </c>
      <c r="Q102" s="841" t="s">
        <v>353</v>
      </c>
      <c r="R102" s="841" t="s">
        <v>353</v>
      </c>
      <c r="S102" s="841" t="s">
        <v>64</v>
      </c>
      <c r="T102" s="841" t="s">
        <v>1390</v>
      </c>
      <c r="U102" s="841" t="s">
        <v>353</v>
      </c>
      <c r="V102" s="841" t="s">
        <v>353</v>
      </c>
      <c r="W102" s="841" t="s">
        <v>353</v>
      </c>
      <c r="X102" s="841" t="s">
        <v>353</v>
      </c>
      <c r="Y102" s="841" t="s">
        <v>353</v>
      </c>
      <c r="Z102" s="841" t="s">
        <v>353</v>
      </c>
      <c r="AA102" s="841" t="s">
        <v>673</v>
      </c>
      <c r="AB102" s="841" t="s">
        <v>353</v>
      </c>
      <c r="AC102" s="841">
        <v>325800</v>
      </c>
      <c r="AD102" s="841" t="s">
        <v>353</v>
      </c>
      <c r="AE102" s="841" t="s">
        <v>673</v>
      </c>
      <c r="AF102" s="841" t="s">
        <v>353</v>
      </c>
      <c r="AG102" s="841" t="s">
        <v>353</v>
      </c>
      <c r="AH102" s="841" t="s">
        <v>353</v>
      </c>
      <c r="AI102" s="841" t="s">
        <v>1406</v>
      </c>
      <c r="AJ102" s="841" t="s">
        <v>353</v>
      </c>
      <c r="AK102" s="841">
        <v>75</v>
      </c>
      <c r="AL102" s="841" t="s">
        <v>353</v>
      </c>
      <c r="AM102" s="841" t="s">
        <v>353</v>
      </c>
      <c r="AN102" s="841" t="s">
        <v>33</v>
      </c>
      <c r="AO102" s="841" t="s">
        <v>353</v>
      </c>
      <c r="AP102" s="841" t="s">
        <v>353</v>
      </c>
      <c r="AQ102" s="841" t="s">
        <v>353</v>
      </c>
      <c r="AR102" s="841" t="s">
        <v>673</v>
      </c>
      <c r="AS102" s="841" t="s">
        <v>353</v>
      </c>
      <c r="AT102" s="841" t="s">
        <v>353</v>
      </c>
      <c r="AU102" s="841" t="s">
        <v>353</v>
      </c>
      <c r="AV102" s="841" t="s">
        <v>353</v>
      </c>
      <c r="AW102" s="843">
        <v>44582</v>
      </c>
      <c r="AX102" s="841" t="s">
        <v>353</v>
      </c>
      <c r="AY102" s="841" t="s">
        <v>353</v>
      </c>
      <c r="AZ102" s="841" t="s">
        <v>353</v>
      </c>
      <c r="BA102" s="841" t="s">
        <v>353</v>
      </c>
      <c r="BB102" s="841" t="s">
        <v>353</v>
      </c>
      <c r="BC102" s="841">
        <v>533498</v>
      </c>
      <c r="BD102" s="841" t="s">
        <v>353</v>
      </c>
      <c r="BE102" s="841" t="s">
        <v>353</v>
      </c>
      <c r="BF102" s="841" t="s">
        <v>353</v>
      </c>
      <c r="BG102" s="841" t="s">
        <v>353</v>
      </c>
      <c r="BH102" s="841" t="s">
        <v>353</v>
      </c>
      <c r="BI102" s="841" t="s">
        <v>353</v>
      </c>
      <c r="BJ102" s="841" t="s">
        <v>353</v>
      </c>
      <c r="BK102" s="841">
        <v>543000</v>
      </c>
      <c r="BL102" s="841" t="s">
        <v>2037</v>
      </c>
      <c r="BM102" s="842">
        <v>44592.402777777781</v>
      </c>
      <c r="BN102" s="841" t="s">
        <v>353</v>
      </c>
      <c r="BO102" s="841" t="s">
        <v>353</v>
      </c>
      <c r="BP102" s="841" t="s">
        <v>673</v>
      </c>
      <c r="BQ102" s="841" t="s">
        <v>353</v>
      </c>
      <c r="BR102" s="841" t="s">
        <v>353</v>
      </c>
      <c r="BS102" s="841" t="s">
        <v>353</v>
      </c>
      <c r="BT102" s="841">
        <v>543000</v>
      </c>
      <c r="BU102" s="841" t="s">
        <v>353</v>
      </c>
      <c r="BV102" s="841" t="s">
        <v>2349</v>
      </c>
      <c r="BW102" s="841" t="s">
        <v>1578</v>
      </c>
      <c r="BX102" s="841" t="s">
        <v>2350</v>
      </c>
      <c r="BY102" s="841" t="s">
        <v>353</v>
      </c>
      <c r="BZ102" s="841" t="s">
        <v>353</v>
      </c>
      <c r="CA102" s="841" t="s">
        <v>353</v>
      </c>
      <c r="CB102" s="841" t="s">
        <v>353</v>
      </c>
      <c r="CC102" s="841" t="s">
        <v>353</v>
      </c>
      <c r="CD102" s="841" t="s">
        <v>353</v>
      </c>
      <c r="CE102" s="841" t="s">
        <v>353</v>
      </c>
      <c r="CF102" s="841" t="s">
        <v>353</v>
      </c>
      <c r="CG102" s="841" t="s">
        <v>353</v>
      </c>
      <c r="CH102" s="841" t="s">
        <v>353</v>
      </c>
      <c r="CI102" s="841" t="s">
        <v>33</v>
      </c>
      <c r="CJ102" s="841">
        <v>1080</v>
      </c>
      <c r="CK102" s="841">
        <v>1</v>
      </c>
      <c r="CL102" s="841" t="s">
        <v>353</v>
      </c>
      <c r="CM102" s="841">
        <v>3</v>
      </c>
      <c r="CN102" s="841" t="s">
        <v>353</v>
      </c>
      <c r="CO102" s="841" t="s">
        <v>353</v>
      </c>
      <c r="CP102" s="841" t="s">
        <v>2351</v>
      </c>
      <c r="CQ102" s="841" t="s">
        <v>353</v>
      </c>
      <c r="CR102" s="841" t="s">
        <v>353</v>
      </c>
      <c r="CS102" s="841" t="s">
        <v>353</v>
      </c>
      <c r="CT102" s="841" t="s">
        <v>353</v>
      </c>
      <c r="CU102" s="841" t="s">
        <v>1391</v>
      </c>
      <c r="CV102" s="841" t="s">
        <v>353</v>
      </c>
      <c r="CW102" s="841" t="s">
        <v>353</v>
      </c>
      <c r="CX102" s="841" t="s">
        <v>353</v>
      </c>
      <c r="CY102" s="841" t="s">
        <v>353</v>
      </c>
      <c r="CZ102" s="841" t="s">
        <v>353</v>
      </c>
      <c r="DA102" s="841" t="s">
        <v>353</v>
      </c>
      <c r="DB102" s="843">
        <v>44593</v>
      </c>
      <c r="DC102" s="841" t="s">
        <v>353</v>
      </c>
      <c r="DD102" s="841" t="s">
        <v>353</v>
      </c>
      <c r="DE102" s="841" t="s">
        <v>353</v>
      </c>
      <c r="DF102" s="841">
        <v>36</v>
      </c>
      <c r="DG102" s="841" t="s">
        <v>353</v>
      </c>
      <c r="DH102" s="841" t="s">
        <v>353</v>
      </c>
      <c r="DI102" s="841" t="s">
        <v>353</v>
      </c>
      <c r="DJ102" s="841" t="s">
        <v>2352</v>
      </c>
      <c r="DK102" s="841" t="s">
        <v>353</v>
      </c>
      <c r="DL102" s="842">
        <v>44582.402777777781</v>
      </c>
      <c r="DM102" s="841" t="s">
        <v>353</v>
      </c>
      <c r="DN102" s="841" t="s">
        <v>33</v>
      </c>
      <c r="DO102" s="841" t="s">
        <v>673</v>
      </c>
      <c r="DP102" s="841" t="s">
        <v>1481</v>
      </c>
      <c r="DQ102" s="841" t="s">
        <v>673</v>
      </c>
      <c r="DR102" s="841" t="s">
        <v>353</v>
      </c>
      <c r="DS102" s="841">
        <v>36</v>
      </c>
      <c r="DT102" s="841" t="s">
        <v>353</v>
      </c>
      <c r="DU102" s="841" t="s">
        <v>353</v>
      </c>
      <c r="DV102" s="841" t="s">
        <v>353</v>
      </c>
      <c r="DW102" s="841">
        <v>543000</v>
      </c>
      <c r="DX102" s="841" t="s">
        <v>673</v>
      </c>
      <c r="DY102" s="841" t="s">
        <v>353</v>
      </c>
      <c r="DZ102" s="841" t="s">
        <v>353</v>
      </c>
      <c r="EA102" s="841" t="s">
        <v>353</v>
      </c>
      <c r="EB102" s="841" t="s">
        <v>353</v>
      </c>
      <c r="EC102" s="841" t="s">
        <v>353</v>
      </c>
      <c r="ED102" s="841" t="s">
        <v>353</v>
      </c>
      <c r="EE102" s="841" t="s">
        <v>673</v>
      </c>
      <c r="EF102" s="841" t="s">
        <v>353</v>
      </c>
      <c r="EG102" s="841" t="s">
        <v>353</v>
      </c>
      <c r="EH102" s="841" t="s">
        <v>33</v>
      </c>
      <c r="EI102" s="841">
        <v>0</v>
      </c>
      <c r="EJ102" s="841" t="s">
        <v>353</v>
      </c>
      <c r="EK102" s="841" t="s">
        <v>353</v>
      </c>
      <c r="EL102" s="841" t="s">
        <v>1435</v>
      </c>
      <c r="EM102" s="841" t="s">
        <v>353</v>
      </c>
      <c r="EN102" s="841" t="s">
        <v>353</v>
      </c>
      <c r="EO102" s="841" t="s">
        <v>353</v>
      </c>
      <c r="EP102" s="841" t="s">
        <v>353</v>
      </c>
      <c r="EQ102" s="841" t="s">
        <v>353</v>
      </c>
      <c r="ER102" s="841" t="s">
        <v>353</v>
      </c>
      <c r="ES102" s="841" t="s">
        <v>33</v>
      </c>
      <c r="ET102" s="841" t="s">
        <v>1711</v>
      </c>
      <c r="EU102" s="841" t="s">
        <v>2141</v>
      </c>
      <c r="EV102" s="841" t="s">
        <v>353</v>
      </c>
      <c r="EW102" s="841" t="s">
        <v>353</v>
      </c>
      <c r="EX102" s="841" t="s">
        <v>33</v>
      </c>
      <c r="EY102" s="842">
        <v>44601.614583333336</v>
      </c>
      <c r="EZ102" s="841" t="s">
        <v>353</v>
      </c>
      <c r="FA102" s="841" t="s">
        <v>353</v>
      </c>
      <c r="FB102" s="841" t="s">
        <v>353</v>
      </c>
      <c r="FC102" s="841" t="s">
        <v>353</v>
      </c>
      <c r="FD102" s="841">
        <v>750000</v>
      </c>
      <c r="FE102" s="842">
        <v>44582.412499999999</v>
      </c>
      <c r="FF102" s="841" t="s">
        <v>353</v>
      </c>
      <c r="FG102" s="841" t="s">
        <v>2353</v>
      </c>
      <c r="FH102" s="841" t="s">
        <v>353</v>
      </c>
      <c r="FI102" s="841" t="s">
        <v>353</v>
      </c>
      <c r="FJ102" s="841" t="s">
        <v>353</v>
      </c>
      <c r="FK102" s="841" t="s">
        <v>353</v>
      </c>
      <c r="FL102" s="841" t="s">
        <v>353</v>
      </c>
      <c r="FM102" s="841" t="s">
        <v>353</v>
      </c>
      <c r="FN102" s="841" t="s">
        <v>353</v>
      </c>
      <c r="FO102" s="841" t="s">
        <v>353</v>
      </c>
      <c r="FP102" s="841" t="s">
        <v>353</v>
      </c>
      <c r="FQ102" s="841" t="s">
        <v>353</v>
      </c>
      <c r="FR102" s="841" t="s">
        <v>353</v>
      </c>
      <c r="FS102" s="841" t="s">
        <v>353</v>
      </c>
      <c r="FT102" s="841" t="s">
        <v>353</v>
      </c>
      <c r="FU102" s="841" t="s">
        <v>1714</v>
      </c>
      <c r="FV102" s="841" t="s">
        <v>353</v>
      </c>
      <c r="FW102" s="841" t="s">
        <v>353</v>
      </c>
      <c r="FX102" s="841" t="s">
        <v>353</v>
      </c>
      <c r="FY102" s="841" t="s">
        <v>353</v>
      </c>
      <c r="FZ102" s="841" t="s">
        <v>353</v>
      </c>
      <c r="GA102" s="841" t="s">
        <v>353</v>
      </c>
      <c r="GB102" s="841">
        <v>1</v>
      </c>
      <c r="GC102" s="841" t="s">
        <v>353</v>
      </c>
      <c r="GD102" s="841" t="s">
        <v>1395</v>
      </c>
      <c r="GE102" s="841" t="s">
        <v>353</v>
      </c>
      <c r="GF102" s="841" t="s">
        <v>353</v>
      </c>
      <c r="GG102" s="841" t="s">
        <v>349</v>
      </c>
      <c r="GH102" s="841">
        <v>325800</v>
      </c>
      <c r="GI102" s="841" t="s">
        <v>353</v>
      </c>
      <c r="GJ102" s="841">
        <v>750000</v>
      </c>
      <c r="GK102" s="841" t="s">
        <v>353</v>
      </c>
      <c r="GL102" s="841" t="s">
        <v>1715</v>
      </c>
      <c r="GM102" s="841" t="s">
        <v>353</v>
      </c>
      <c r="GN102" s="841" t="s">
        <v>353</v>
      </c>
      <c r="GO102" s="841" t="s">
        <v>353</v>
      </c>
      <c r="GP102" s="841" t="s">
        <v>353</v>
      </c>
      <c r="GQ102" s="841" t="s">
        <v>353</v>
      </c>
      <c r="GR102" s="842">
        <v>44601.614583333336</v>
      </c>
      <c r="GS102" s="841" t="s">
        <v>2349</v>
      </c>
      <c r="GT102" s="841" t="s">
        <v>353</v>
      </c>
      <c r="GU102" s="841" t="s">
        <v>353</v>
      </c>
      <c r="GV102" s="841" t="s">
        <v>1419</v>
      </c>
      <c r="GW102" s="841" t="s">
        <v>353</v>
      </c>
      <c r="GX102" s="841" t="s">
        <v>2354</v>
      </c>
      <c r="GY102" s="841">
        <v>36</v>
      </c>
      <c r="GZ102" s="841" t="s">
        <v>1420</v>
      </c>
      <c r="HA102" s="841" t="s">
        <v>353</v>
      </c>
      <c r="HB102" s="841" t="s">
        <v>353</v>
      </c>
      <c r="HC102" s="841" t="s">
        <v>1421</v>
      </c>
      <c r="HD102" s="841" t="s">
        <v>2351</v>
      </c>
      <c r="HE102" s="841">
        <v>10860</v>
      </c>
      <c r="HF102" s="841" t="s">
        <v>353</v>
      </c>
      <c r="HG102" s="841" t="s">
        <v>353</v>
      </c>
      <c r="HH102" s="841">
        <v>900</v>
      </c>
      <c r="HI102" s="841" t="s">
        <v>1422</v>
      </c>
      <c r="HJ102" s="841" t="s">
        <v>353</v>
      </c>
      <c r="HK102" s="841">
        <v>543000</v>
      </c>
      <c r="HL102" s="841" t="s">
        <v>49</v>
      </c>
      <c r="HM102" s="841" t="s">
        <v>353</v>
      </c>
      <c r="HN102" s="841" t="s">
        <v>27</v>
      </c>
      <c r="HO102" s="841" t="s">
        <v>353</v>
      </c>
      <c r="HP102" s="841">
        <v>28724.7</v>
      </c>
      <c r="HQ102" s="841" t="s">
        <v>353</v>
      </c>
      <c r="HR102" s="841" t="s">
        <v>353</v>
      </c>
      <c r="HS102" s="841" t="s">
        <v>353</v>
      </c>
      <c r="HT102" s="841" t="s">
        <v>353</v>
      </c>
      <c r="HU102" s="841" t="s">
        <v>353</v>
      </c>
      <c r="HV102" s="841" t="s">
        <v>353</v>
      </c>
      <c r="HW102" s="841">
        <v>750000</v>
      </c>
      <c r="HX102" s="841" t="s">
        <v>353</v>
      </c>
      <c r="HY102" s="841" t="s">
        <v>353</v>
      </c>
      <c r="HZ102" s="841" t="s">
        <v>353</v>
      </c>
      <c r="IA102" s="841" t="s">
        <v>353</v>
      </c>
      <c r="IB102" s="841" t="s">
        <v>1424</v>
      </c>
      <c r="IC102" s="841" t="s">
        <v>353</v>
      </c>
      <c r="ID102" s="841" t="s">
        <v>353</v>
      </c>
      <c r="IE102" s="841" t="s">
        <v>353</v>
      </c>
      <c r="IF102" s="841" t="s">
        <v>353</v>
      </c>
      <c r="IG102" s="841" t="s">
        <v>353</v>
      </c>
      <c r="IH102" s="841" t="s">
        <v>353</v>
      </c>
      <c r="II102" s="841" t="s">
        <v>353</v>
      </c>
      <c r="IJ102" s="841" t="s">
        <v>353</v>
      </c>
      <c r="IK102" s="841" t="s">
        <v>353</v>
      </c>
      <c r="IL102" s="841">
        <v>543000</v>
      </c>
      <c r="IM102" s="841" t="s">
        <v>353</v>
      </c>
      <c r="IN102" s="841" t="s">
        <v>353</v>
      </c>
      <c r="IO102" s="841">
        <v>0</v>
      </c>
      <c r="IP102" s="841" t="s">
        <v>353</v>
      </c>
      <c r="IQ102" s="841" t="s">
        <v>353</v>
      </c>
      <c r="IR102" s="841">
        <v>0</v>
      </c>
      <c r="IS102" s="841" t="s">
        <v>33</v>
      </c>
      <c r="IT102" s="841" t="s">
        <v>353</v>
      </c>
      <c r="IU102" s="841" t="s">
        <v>353</v>
      </c>
      <c r="IV102" s="841" t="s">
        <v>353</v>
      </c>
      <c r="IW102" s="841" t="s">
        <v>353</v>
      </c>
      <c r="IX102" s="841" t="s">
        <v>353</v>
      </c>
      <c r="IY102" s="841" t="s">
        <v>353</v>
      </c>
      <c r="IZ102" s="841" t="s">
        <v>353</v>
      </c>
      <c r="JA102" s="841">
        <v>543000</v>
      </c>
      <c r="JB102" s="841" t="s">
        <v>353</v>
      </c>
      <c r="JC102" s="841" t="s">
        <v>33</v>
      </c>
      <c r="JD102" s="841" t="s">
        <v>1456</v>
      </c>
      <c r="JE102" s="841" t="s">
        <v>33</v>
      </c>
      <c r="JF102" s="841" t="s">
        <v>1718</v>
      </c>
      <c r="JG102" s="841" t="s">
        <v>1719</v>
      </c>
      <c r="JH102" s="841" t="s">
        <v>1720</v>
      </c>
      <c r="JI102" s="841" t="s">
        <v>1721</v>
      </c>
    </row>
    <row r="103" spans="1:269" x14ac:dyDescent="0.25">
      <c r="A103" s="841" t="s">
        <v>2355</v>
      </c>
      <c r="B103" s="841" t="s">
        <v>353</v>
      </c>
      <c r="C103" s="841" t="s">
        <v>1403</v>
      </c>
      <c r="D103" s="841" t="s">
        <v>353</v>
      </c>
      <c r="E103" s="841" t="s">
        <v>353</v>
      </c>
      <c r="F103" s="841" t="s">
        <v>1405</v>
      </c>
      <c r="G103" s="841" t="s">
        <v>2356</v>
      </c>
      <c r="H103" s="841" t="s">
        <v>353</v>
      </c>
      <c r="I103" s="841" t="s">
        <v>353</v>
      </c>
      <c r="J103" s="841" t="s">
        <v>353</v>
      </c>
      <c r="K103" s="841" t="s">
        <v>353</v>
      </c>
      <c r="L103" s="842">
        <v>44608.478472222225</v>
      </c>
      <c r="M103" s="841" t="s">
        <v>353</v>
      </c>
      <c r="N103" s="841" t="s">
        <v>353</v>
      </c>
      <c r="O103" s="841" t="s">
        <v>353</v>
      </c>
      <c r="P103" s="841" t="s">
        <v>673</v>
      </c>
      <c r="Q103" s="841" t="s">
        <v>353</v>
      </c>
      <c r="R103" s="841" t="s">
        <v>353</v>
      </c>
      <c r="S103" s="841" t="s">
        <v>1520</v>
      </c>
      <c r="T103" s="841" t="s">
        <v>1390</v>
      </c>
      <c r="U103" s="841" t="s">
        <v>353</v>
      </c>
      <c r="V103" s="841" t="s">
        <v>353</v>
      </c>
      <c r="W103" s="841" t="s">
        <v>1405</v>
      </c>
      <c r="X103" s="841" t="s">
        <v>1486</v>
      </c>
      <c r="Y103" s="841" t="s">
        <v>353</v>
      </c>
      <c r="Z103" s="841" t="s">
        <v>353</v>
      </c>
      <c r="AA103" s="841" t="s">
        <v>673</v>
      </c>
      <c r="AB103" s="841" t="s">
        <v>353</v>
      </c>
      <c r="AC103" s="841">
        <v>304000</v>
      </c>
      <c r="AD103" s="841" t="s">
        <v>353</v>
      </c>
      <c r="AE103" s="841" t="s">
        <v>673</v>
      </c>
      <c r="AF103" s="841">
        <v>2274</v>
      </c>
      <c r="AG103" s="841" t="s">
        <v>353</v>
      </c>
      <c r="AH103" s="841">
        <v>1350</v>
      </c>
      <c r="AI103" s="841" t="s">
        <v>1406</v>
      </c>
      <c r="AJ103" s="841" t="s">
        <v>353</v>
      </c>
      <c r="AK103" s="841">
        <v>70</v>
      </c>
      <c r="AL103" s="841" t="s">
        <v>353</v>
      </c>
      <c r="AM103" s="841" t="s">
        <v>353</v>
      </c>
      <c r="AN103" s="841" t="s">
        <v>353</v>
      </c>
      <c r="AO103" s="841" t="s">
        <v>353</v>
      </c>
      <c r="AP103" s="841" t="s">
        <v>353</v>
      </c>
      <c r="AQ103" s="841" t="s">
        <v>353</v>
      </c>
      <c r="AR103" s="841" t="s">
        <v>33</v>
      </c>
      <c r="AS103" s="841" t="s">
        <v>353</v>
      </c>
      <c r="AT103" s="841" t="s">
        <v>353</v>
      </c>
      <c r="AU103" s="841" t="s">
        <v>1405</v>
      </c>
      <c r="AV103" s="841" t="s">
        <v>353</v>
      </c>
      <c r="AW103" s="843">
        <v>44587</v>
      </c>
      <c r="AX103" s="841" t="s">
        <v>353</v>
      </c>
      <c r="AY103" s="841" t="s">
        <v>353</v>
      </c>
      <c r="AZ103" s="841" t="s">
        <v>353</v>
      </c>
      <c r="BA103" s="841" t="s">
        <v>353</v>
      </c>
      <c r="BB103" s="841" t="s">
        <v>353</v>
      </c>
      <c r="BC103" s="841">
        <v>561656</v>
      </c>
      <c r="BD103" s="841" t="s">
        <v>353</v>
      </c>
      <c r="BE103" s="841" t="s">
        <v>353</v>
      </c>
      <c r="BF103" s="841" t="s">
        <v>353</v>
      </c>
      <c r="BG103" s="841" t="s">
        <v>353</v>
      </c>
      <c r="BH103" s="841" t="s">
        <v>353</v>
      </c>
      <c r="BI103" s="841" t="s">
        <v>353</v>
      </c>
      <c r="BJ103" s="841" t="s">
        <v>353</v>
      </c>
      <c r="BK103" s="841">
        <v>212000</v>
      </c>
      <c r="BL103" s="841" t="s">
        <v>2357</v>
      </c>
      <c r="BM103" s="842">
        <v>44592.693749999999</v>
      </c>
      <c r="BN103" s="841" t="s">
        <v>353</v>
      </c>
      <c r="BO103" s="841" t="s">
        <v>353</v>
      </c>
      <c r="BP103" s="841" t="s">
        <v>353</v>
      </c>
      <c r="BQ103" s="841" t="s">
        <v>353</v>
      </c>
      <c r="BR103" s="841" t="s">
        <v>353</v>
      </c>
      <c r="BS103" s="841" t="s">
        <v>353</v>
      </c>
      <c r="BT103" s="841">
        <v>652000</v>
      </c>
      <c r="BU103" s="841" t="s">
        <v>353</v>
      </c>
      <c r="BV103" s="841" t="s">
        <v>2358</v>
      </c>
      <c r="BW103" s="841" t="s">
        <v>1578</v>
      </c>
      <c r="BX103" s="841" t="s">
        <v>2359</v>
      </c>
      <c r="BY103" s="841" t="s">
        <v>353</v>
      </c>
      <c r="BZ103" s="841" t="s">
        <v>353</v>
      </c>
      <c r="CA103" s="841" t="s">
        <v>353</v>
      </c>
      <c r="CB103" s="841" t="s">
        <v>353</v>
      </c>
      <c r="CC103" s="841" t="s">
        <v>353</v>
      </c>
      <c r="CD103" s="841" t="s">
        <v>353</v>
      </c>
      <c r="CE103" s="841" t="s">
        <v>353</v>
      </c>
      <c r="CF103" s="841" t="s">
        <v>353</v>
      </c>
      <c r="CG103" s="841" t="s">
        <v>353</v>
      </c>
      <c r="CH103" s="841" t="s">
        <v>353</v>
      </c>
      <c r="CI103" s="841" t="s">
        <v>33</v>
      </c>
      <c r="CJ103" s="841" t="s">
        <v>353</v>
      </c>
      <c r="CK103" s="841">
        <v>2</v>
      </c>
      <c r="CL103" s="841" t="s">
        <v>353</v>
      </c>
      <c r="CM103" s="841">
        <v>11</v>
      </c>
      <c r="CN103" s="841" t="s">
        <v>353</v>
      </c>
      <c r="CO103" s="841" t="s">
        <v>353</v>
      </c>
      <c r="CP103" s="841" t="s">
        <v>2360</v>
      </c>
      <c r="CQ103" s="841" t="s">
        <v>353</v>
      </c>
      <c r="CR103" s="841" t="s">
        <v>353</v>
      </c>
      <c r="CS103" s="841" t="s">
        <v>353</v>
      </c>
      <c r="CT103" s="841" t="s">
        <v>353</v>
      </c>
      <c r="CU103" s="841" t="s">
        <v>1391</v>
      </c>
      <c r="CV103" s="841" t="s">
        <v>353</v>
      </c>
      <c r="CW103" s="841" t="s">
        <v>353</v>
      </c>
      <c r="CX103" s="841" t="s">
        <v>353</v>
      </c>
      <c r="CY103" s="841" t="s">
        <v>353</v>
      </c>
      <c r="CZ103" s="841" t="s">
        <v>353</v>
      </c>
      <c r="DA103" s="841" t="s">
        <v>353</v>
      </c>
      <c r="DB103" s="841" t="s">
        <v>353</v>
      </c>
      <c r="DC103" s="841" t="s">
        <v>353</v>
      </c>
      <c r="DD103" s="841" t="s">
        <v>353</v>
      </c>
      <c r="DE103" s="841" t="s">
        <v>353</v>
      </c>
      <c r="DF103" s="841">
        <v>33</v>
      </c>
      <c r="DG103" s="841" t="s">
        <v>353</v>
      </c>
      <c r="DH103" s="841" t="s">
        <v>353</v>
      </c>
      <c r="DI103" s="841" t="s">
        <v>353</v>
      </c>
      <c r="DJ103" s="841" t="s">
        <v>2361</v>
      </c>
      <c r="DK103" s="841" t="s">
        <v>353</v>
      </c>
      <c r="DL103" s="842">
        <v>44581.693749999999</v>
      </c>
      <c r="DM103" s="841" t="s">
        <v>353</v>
      </c>
      <c r="DN103" s="841" t="s">
        <v>33</v>
      </c>
      <c r="DO103" s="841" t="s">
        <v>673</v>
      </c>
      <c r="DP103" s="841" t="s">
        <v>1412</v>
      </c>
      <c r="DQ103" s="841" t="s">
        <v>673</v>
      </c>
      <c r="DR103" s="841" t="s">
        <v>353</v>
      </c>
      <c r="DS103" s="841">
        <v>33</v>
      </c>
      <c r="DT103" s="841" t="s">
        <v>353</v>
      </c>
      <c r="DU103" s="841" t="s">
        <v>353</v>
      </c>
      <c r="DV103" s="841">
        <v>498742.4</v>
      </c>
      <c r="DW103" s="841">
        <v>608000</v>
      </c>
      <c r="DX103" s="841" t="s">
        <v>673</v>
      </c>
      <c r="DY103" s="841" t="s">
        <v>353</v>
      </c>
      <c r="DZ103" s="841" t="s">
        <v>353</v>
      </c>
      <c r="EA103" s="841" t="s">
        <v>353</v>
      </c>
      <c r="EB103" s="841" t="s">
        <v>353</v>
      </c>
      <c r="EC103" s="841" t="s">
        <v>353</v>
      </c>
      <c r="ED103" s="841" t="s">
        <v>353</v>
      </c>
      <c r="EE103" s="841" t="s">
        <v>673</v>
      </c>
      <c r="EF103" s="841" t="s">
        <v>353</v>
      </c>
      <c r="EG103" s="841" t="s">
        <v>353</v>
      </c>
      <c r="EH103" s="841" t="s">
        <v>353</v>
      </c>
      <c r="EI103" s="841">
        <v>109257.60000000001</v>
      </c>
      <c r="EJ103" s="841" t="s">
        <v>353</v>
      </c>
      <c r="EK103" s="841" t="s">
        <v>1527</v>
      </c>
      <c r="EL103" s="841" t="s">
        <v>1930</v>
      </c>
      <c r="EM103" s="841">
        <v>0</v>
      </c>
      <c r="EN103" s="841" t="s">
        <v>353</v>
      </c>
      <c r="EO103" s="841" t="s">
        <v>353</v>
      </c>
      <c r="EP103" s="841" t="s">
        <v>353</v>
      </c>
      <c r="EQ103" s="841" t="s">
        <v>353</v>
      </c>
      <c r="ER103" s="841" t="s">
        <v>353</v>
      </c>
      <c r="ES103" s="841" t="s">
        <v>33</v>
      </c>
      <c r="ET103" s="841" t="s">
        <v>1414</v>
      </c>
      <c r="EU103" s="841" t="s">
        <v>353</v>
      </c>
      <c r="EV103" s="841" t="s">
        <v>353</v>
      </c>
      <c r="EW103" s="841" t="s">
        <v>353</v>
      </c>
      <c r="EX103" s="841" t="s">
        <v>33</v>
      </c>
      <c r="EY103" s="842">
        <v>44608.333333333336</v>
      </c>
      <c r="EZ103" s="842">
        <v>44610.333333333336</v>
      </c>
      <c r="FA103" s="841" t="s">
        <v>353</v>
      </c>
      <c r="FB103" s="841" t="s">
        <v>353</v>
      </c>
      <c r="FC103" s="841" t="s">
        <v>353</v>
      </c>
      <c r="FD103" s="841" t="s">
        <v>353</v>
      </c>
      <c r="FE103" s="842">
        <v>44581.694444444445</v>
      </c>
      <c r="FF103" s="841" t="s">
        <v>353</v>
      </c>
      <c r="FG103" s="841" t="s">
        <v>353</v>
      </c>
      <c r="FH103" s="841" t="s">
        <v>353</v>
      </c>
      <c r="FI103" s="841" t="s">
        <v>353</v>
      </c>
      <c r="FJ103" s="841" t="s">
        <v>353</v>
      </c>
      <c r="FK103" s="841" t="s">
        <v>353</v>
      </c>
      <c r="FL103" s="841" t="s">
        <v>353</v>
      </c>
      <c r="FM103" s="841" t="s">
        <v>353</v>
      </c>
      <c r="FN103" s="841" t="s">
        <v>353</v>
      </c>
      <c r="FO103" s="841" t="s">
        <v>1648</v>
      </c>
      <c r="FP103" s="841" t="s">
        <v>353</v>
      </c>
      <c r="FQ103" s="841" t="s">
        <v>353</v>
      </c>
      <c r="FR103" s="841" t="s">
        <v>353</v>
      </c>
      <c r="FS103" s="841" t="s">
        <v>353</v>
      </c>
      <c r="FT103" s="841" t="s">
        <v>353</v>
      </c>
      <c r="FU103" s="841" t="s">
        <v>1467</v>
      </c>
      <c r="FV103" s="841" t="s">
        <v>353</v>
      </c>
      <c r="FW103" s="841" t="s">
        <v>353</v>
      </c>
      <c r="FX103" s="841" t="s">
        <v>353</v>
      </c>
      <c r="FY103" s="841" t="s">
        <v>353</v>
      </c>
      <c r="FZ103" s="841" t="s">
        <v>353</v>
      </c>
      <c r="GA103" s="841" t="s">
        <v>353</v>
      </c>
      <c r="GB103" s="841">
        <v>1</v>
      </c>
      <c r="GC103" s="841" t="s">
        <v>353</v>
      </c>
      <c r="GD103" s="841" t="s">
        <v>1417</v>
      </c>
      <c r="GE103" s="841" t="s">
        <v>353</v>
      </c>
      <c r="GF103" s="841" t="s">
        <v>353</v>
      </c>
      <c r="GG103" s="841" t="s">
        <v>349</v>
      </c>
      <c r="GH103" s="841">
        <v>304000</v>
      </c>
      <c r="GI103" s="841" t="s">
        <v>353</v>
      </c>
      <c r="GJ103" s="841" t="s">
        <v>353</v>
      </c>
      <c r="GK103" s="841" t="s">
        <v>353</v>
      </c>
      <c r="GL103" s="841" t="s">
        <v>2282</v>
      </c>
      <c r="GM103" s="841" t="s">
        <v>353</v>
      </c>
      <c r="GN103" s="841" t="s">
        <v>353</v>
      </c>
      <c r="GO103" s="841" t="s">
        <v>353</v>
      </c>
      <c r="GP103" s="841" t="s">
        <v>353</v>
      </c>
      <c r="GQ103" s="841" t="s">
        <v>353</v>
      </c>
      <c r="GR103" s="842">
        <v>44586.540277777778</v>
      </c>
      <c r="GS103" s="841" t="s">
        <v>2362</v>
      </c>
      <c r="GT103" s="841" t="s">
        <v>353</v>
      </c>
      <c r="GU103" s="841" t="s">
        <v>353</v>
      </c>
      <c r="GV103" s="841" t="s">
        <v>1419</v>
      </c>
      <c r="GW103" s="841" t="s">
        <v>353</v>
      </c>
      <c r="GX103" s="841" t="s">
        <v>2363</v>
      </c>
      <c r="GY103" s="841">
        <v>36</v>
      </c>
      <c r="GZ103" s="841" t="s">
        <v>1529</v>
      </c>
      <c r="HA103" s="841" t="s">
        <v>353</v>
      </c>
      <c r="HB103" s="841" t="s">
        <v>353</v>
      </c>
      <c r="HC103" s="841" t="s">
        <v>1421</v>
      </c>
      <c r="HD103" s="841" t="s">
        <v>2364</v>
      </c>
      <c r="HE103" s="841">
        <v>6080</v>
      </c>
      <c r="HF103" s="841" t="s">
        <v>353</v>
      </c>
      <c r="HG103" s="841" t="s">
        <v>353</v>
      </c>
      <c r="HH103" s="841" t="s">
        <v>353</v>
      </c>
      <c r="HI103" s="841" t="s">
        <v>1439</v>
      </c>
      <c r="HJ103" s="841" t="s">
        <v>353</v>
      </c>
      <c r="HK103" s="841">
        <v>608000</v>
      </c>
      <c r="HL103" s="841" t="s">
        <v>353</v>
      </c>
      <c r="HM103" s="841" t="s">
        <v>1423</v>
      </c>
      <c r="HN103" s="841" t="s">
        <v>353</v>
      </c>
      <c r="HO103" s="841" t="s">
        <v>353</v>
      </c>
      <c r="HP103" s="841">
        <v>36419.199999999997</v>
      </c>
      <c r="HQ103" s="841" t="s">
        <v>353</v>
      </c>
      <c r="HR103" s="841" t="s">
        <v>353</v>
      </c>
      <c r="HS103" s="841">
        <v>498742.4</v>
      </c>
      <c r="HT103" s="841" t="s">
        <v>353</v>
      </c>
      <c r="HU103" s="841" t="s">
        <v>353</v>
      </c>
      <c r="HV103" s="841" t="s">
        <v>353</v>
      </c>
      <c r="HW103" s="841">
        <v>435000</v>
      </c>
      <c r="HX103" s="841" t="s">
        <v>353</v>
      </c>
      <c r="HY103" s="841" t="s">
        <v>353</v>
      </c>
      <c r="HZ103" s="841" t="s">
        <v>353</v>
      </c>
      <c r="IA103" s="841" t="s">
        <v>353</v>
      </c>
      <c r="IB103" s="841" t="s">
        <v>1440</v>
      </c>
      <c r="IC103" s="841" t="s">
        <v>353</v>
      </c>
      <c r="ID103" s="841" t="s">
        <v>353</v>
      </c>
      <c r="IE103" s="841" t="s">
        <v>353</v>
      </c>
      <c r="IF103" s="841" t="s">
        <v>353</v>
      </c>
      <c r="IG103" s="841" t="s">
        <v>353</v>
      </c>
      <c r="IH103" s="841" t="s">
        <v>353</v>
      </c>
      <c r="II103" s="841" t="s">
        <v>353</v>
      </c>
      <c r="IJ103" s="841" t="s">
        <v>353</v>
      </c>
      <c r="IK103" s="841" t="s">
        <v>353</v>
      </c>
      <c r="IL103" s="841">
        <v>573816</v>
      </c>
      <c r="IM103" s="841" t="s">
        <v>353</v>
      </c>
      <c r="IN103" s="841" t="s">
        <v>353</v>
      </c>
      <c r="IO103" s="841">
        <v>0</v>
      </c>
      <c r="IP103" s="841">
        <v>3040</v>
      </c>
      <c r="IQ103" s="841" t="s">
        <v>353</v>
      </c>
      <c r="IR103" s="841">
        <v>3</v>
      </c>
      <c r="IS103" s="841" t="s">
        <v>33</v>
      </c>
      <c r="IT103" s="841" t="s">
        <v>353</v>
      </c>
      <c r="IU103" s="841" t="s">
        <v>353</v>
      </c>
      <c r="IV103" s="841" t="s">
        <v>353</v>
      </c>
      <c r="IW103" s="841" t="s">
        <v>353</v>
      </c>
      <c r="IX103" s="841" t="s">
        <v>353</v>
      </c>
      <c r="IY103" s="841" t="s">
        <v>353</v>
      </c>
      <c r="IZ103" s="841" t="s">
        <v>353</v>
      </c>
      <c r="JA103" s="841">
        <v>608000</v>
      </c>
      <c r="JB103" s="841" t="s">
        <v>353</v>
      </c>
      <c r="JC103" s="841" t="s">
        <v>353</v>
      </c>
      <c r="JD103" s="841" t="s">
        <v>1527</v>
      </c>
      <c r="JE103" s="841" t="s">
        <v>33</v>
      </c>
      <c r="JF103" s="841" t="s">
        <v>353</v>
      </c>
      <c r="JG103" s="841" t="s">
        <v>353</v>
      </c>
      <c r="JH103" s="841" t="s">
        <v>2365</v>
      </c>
      <c r="JI103" s="841" t="s">
        <v>2366</v>
      </c>
    </row>
    <row r="104" spans="1:269" x14ac:dyDescent="0.25">
      <c r="A104" s="841" t="s">
        <v>2367</v>
      </c>
      <c r="B104" s="841" t="s">
        <v>353</v>
      </c>
      <c r="C104" s="841" t="s">
        <v>353</v>
      </c>
      <c r="D104" s="841" t="s">
        <v>353</v>
      </c>
      <c r="E104" s="841" t="s">
        <v>353</v>
      </c>
      <c r="F104" s="841" t="s">
        <v>2025</v>
      </c>
      <c r="G104" s="841" t="s">
        <v>2368</v>
      </c>
      <c r="H104" s="841" t="s">
        <v>353</v>
      </c>
      <c r="I104" s="841" t="s">
        <v>353</v>
      </c>
      <c r="J104" s="841" t="s">
        <v>353</v>
      </c>
      <c r="K104" s="841" t="s">
        <v>353</v>
      </c>
      <c r="L104" s="842">
        <v>44607.509722222225</v>
      </c>
      <c r="M104" s="841" t="s">
        <v>353</v>
      </c>
      <c r="N104" s="841" t="s">
        <v>353</v>
      </c>
      <c r="O104" s="841" t="s">
        <v>353</v>
      </c>
      <c r="P104" s="841" t="s">
        <v>33</v>
      </c>
      <c r="Q104" s="841" t="s">
        <v>353</v>
      </c>
      <c r="R104" s="841" t="s">
        <v>353</v>
      </c>
      <c r="S104" s="841" t="s">
        <v>67</v>
      </c>
      <c r="T104" s="841" t="s">
        <v>1390</v>
      </c>
      <c r="U104" s="841" t="s">
        <v>353</v>
      </c>
      <c r="V104" s="841" t="s">
        <v>353</v>
      </c>
      <c r="W104" s="841" t="s">
        <v>353</v>
      </c>
      <c r="X104" s="841" t="s">
        <v>1405</v>
      </c>
      <c r="Y104" s="841" t="s">
        <v>353</v>
      </c>
      <c r="Z104" s="841" t="s">
        <v>353</v>
      </c>
      <c r="AA104" s="841" t="s">
        <v>33</v>
      </c>
      <c r="AB104" s="841" t="s">
        <v>353</v>
      </c>
      <c r="AC104" s="841">
        <v>252500</v>
      </c>
      <c r="AD104" s="841" t="s">
        <v>353</v>
      </c>
      <c r="AE104" s="841" t="s">
        <v>33</v>
      </c>
      <c r="AF104" s="841">
        <v>2436.63</v>
      </c>
      <c r="AG104" s="841" t="s">
        <v>353</v>
      </c>
      <c r="AH104" s="841">
        <v>2492</v>
      </c>
      <c r="AI104" s="841" t="s">
        <v>1521</v>
      </c>
      <c r="AJ104" s="841" t="s">
        <v>353</v>
      </c>
      <c r="AK104" s="841">
        <v>63</v>
      </c>
      <c r="AL104" s="841" t="s">
        <v>353</v>
      </c>
      <c r="AM104" s="841" t="s">
        <v>353</v>
      </c>
      <c r="AN104" s="841" t="s">
        <v>353</v>
      </c>
      <c r="AO104" s="841" t="s">
        <v>353</v>
      </c>
      <c r="AP104" s="841" t="s">
        <v>353</v>
      </c>
      <c r="AQ104" s="841" t="s">
        <v>353</v>
      </c>
      <c r="AR104" s="841" t="s">
        <v>33</v>
      </c>
      <c r="AS104" s="841" t="s">
        <v>353</v>
      </c>
      <c r="AT104" s="841" t="s">
        <v>353</v>
      </c>
      <c r="AU104" s="841" t="s">
        <v>353</v>
      </c>
      <c r="AV104" s="841" t="s">
        <v>353</v>
      </c>
      <c r="AW104" s="843">
        <v>44607</v>
      </c>
      <c r="AX104" s="841" t="s">
        <v>353</v>
      </c>
      <c r="AY104" s="841" t="s">
        <v>353</v>
      </c>
      <c r="AZ104" s="841" t="s">
        <v>353</v>
      </c>
      <c r="BA104" s="841" t="s">
        <v>353</v>
      </c>
      <c r="BB104" s="841" t="s">
        <v>353</v>
      </c>
      <c r="BC104" s="841">
        <v>481542</v>
      </c>
      <c r="BD104" s="841" t="s">
        <v>353</v>
      </c>
      <c r="BE104" s="841" t="s">
        <v>353</v>
      </c>
      <c r="BF104" s="841" t="s">
        <v>353</v>
      </c>
      <c r="BG104" s="841" t="s">
        <v>353</v>
      </c>
      <c r="BH104" s="841" t="s">
        <v>353</v>
      </c>
      <c r="BI104" s="841" t="s">
        <v>353</v>
      </c>
      <c r="BJ104" s="841" t="s">
        <v>353</v>
      </c>
      <c r="BK104" s="841" t="s">
        <v>353</v>
      </c>
      <c r="BL104" s="841" t="s">
        <v>2273</v>
      </c>
      <c r="BM104" s="842">
        <v>44592.6</v>
      </c>
      <c r="BN104" s="841" t="s">
        <v>353</v>
      </c>
      <c r="BO104" s="841" t="s">
        <v>353</v>
      </c>
      <c r="BP104" s="841" t="s">
        <v>353</v>
      </c>
      <c r="BQ104" s="841" t="s">
        <v>353</v>
      </c>
      <c r="BR104" s="841" t="s">
        <v>353</v>
      </c>
      <c r="BS104" s="841" t="s">
        <v>353</v>
      </c>
      <c r="BT104" s="841">
        <v>550000</v>
      </c>
      <c r="BU104" s="841" t="s">
        <v>353</v>
      </c>
      <c r="BV104" s="841" t="s">
        <v>1955</v>
      </c>
      <c r="BW104" s="841" t="s">
        <v>1578</v>
      </c>
      <c r="BX104" s="841" t="s">
        <v>2369</v>
      </c>
      <c r="BY104" s="841" t="s">
        <v>353</v>
      </c>
      <c r="BZ104" s="841" t="s">
        <v>353</v>
      </c>
      <c r="CA104" s="841" t="s">
        <v>353</v>
      </c>
      <c r="CB104" s="841" t="s">
        <v>353</v>
      </c>
      <c r="CC104" s="841" t="s">
        <v>353</v>
      </c>
      <c r="CD104" s="841" t="s">
        <v>353</v>
      </c>
      <c r="CE104" s="841" t="s">
        <v>353</v>
      </c>
      <c r="CF104" s="841" t="s">
        <v>353</v>
      </c>
      <c r="CG104" s="841" t="s">
        <v>353</v>
      </c>
      <c r="CH104" s="841" t="s">
        <v>353</v>
      </c>
      <c r="CI104" s="841" t="s">
        <v>33</v>
      </c>
      <c r="CJ104" s="841" t="s">
        <v>353</v>
      </c>
      <c r="CK104" s="841">
        <v>3</v>
      </c>
      <c r="CL104" s="841" t="s">
        <v>353</v>
      </c>
      <c r="CM104" s="841">
        <v>4</v>
      </c>
      <c r="CN104" s="841" t="s">
        <v>353</v>
      </c>
      <c r="CO104" s="841" t="s">
        <v>353</v>
      </c>
      <c r="CP104" s="841" t="s">
        <v>2370</v>
      </c>
      <c r="CQ104" s="841" t="s">
        <v>353</v>
      </c>
      <c r="CR104" s="841" t="s">
        <v>353</v>
      </c>
      <c r="CS104" s="841" t="s">
        <v>353</v>
      </c>
      <c r="CT104" s="841" t="s">
        <v>353</v>
      </c>
      <c r="CU104" s="841" t="s">
        <v>1391</v>
      </c>
      <c r="CV104" s="841" t="s">
        <v>353</v>
      </c>
      <c r="CW104" s="841" t="s">
        <v>353</v>
      </c>
      <c r="CX104" s="841" t="s">
        <v>353</v>
      </c>
      <c r="CY104" s="841" t="s">
        <v>353</v>
      </c>
      <c r="CZ104" s="841">
        <v>1</v>
      </c>
      <c r="DA104" s="841" t="s">
        <v>353</v>
      </c>
      <c r="DB104" s="841" t="s">
        <v>353</v>
      </c>
      <c r="DC104" s="841" t="s">
        <v>353</v>
      </c>
      <c r="DD104" s="841" t="s">
        <v>353</v>
      </c>
      <c r="DE104" s="841" t="s">
        <v>353</v>
      </c>
      <c r="DF104" s="841">
        <v>30</v>
      </c>
      <c r="DG104" s="841" t="s">
        <v>353</v>
      </c>
      <c r="DH104" s="841" t="s">
        <v>353</v>
      </c>
      <c r="DI104" s="841" t="s">
        <v>353</v>
      </c>
      <c r="DJ104" s="841" t="s">
        <v>2371</v>
      </c>
      <c r="DK104" s="841" t="s">
        <v>353</v>
      </c>
      <c r="DL104" s="842">
        <v>44581.599999999999</v>
      </c>
      <c r="DM104" s="841" t="s">
        <v>353</v>
      </c>
      <c r="DN104" s="841" t="s">
        <v>33</v>
      </c>
      <c r="DO104" s="841" t="s">
        <v>673</v>
      </c>
      <c r="DP104" s="841" t="s">
        <v>1412</v>
      </c>
      <c r="DQ104" s="841" t="s">
        <v>1392</v>
      </c>
      <c r="DR104" s="841">
        <v>802750</v>
      </c>
      <c r="DS104" s="841">
        <v>30</v>
      </c>
      <c r="DT104" s="841" t="s">
        <v>353</v>
      </c>
      <c r="DU104" s="841" t="s">
        <v>353</v>
      </c>
      <c r="DV104" s="841" t="s">
        <v>353</v>
      </c>
      <c r="DW104" s="841">
        <v>505000</v>
      </c>
      <c r="DX104" s="841" t="s">
        <v>33</v>
      </c>
      <c r="DY104" s="841" t="s">
        <v>353</v>
      </c>
      <c r="DZ104" s="841" t="s">
        <v>353</v>
      </c>
      <c r="EA104" s="841" t="s">
        <v>353</v>
      </c>
      <c r="EB104" s="841" t="s">
        <v>353</v>
      </c>
      <c r="EC104" s="841" t="s">
        <v>353</v>
      </c>
      <c r="ED104" s="841" t="s">
        <v>353</v>
      </c>
      <c r="EE104" s="841" t="s">
        <v>353</v>
      </c>
      <c r="EF104" s="841" t="s">
        <v>353</v>
      </c>
      <c r="EG104" s="841" t="s">
        <v>353</v>
      </c>
      <c r="EH104" s="841" t="s">
        <v>353</v>
      </c>
      <c r="EI104" s="841">
        <v>175437</v>
      </c>
      <c r="EJ104" s="841" t="s">
        <v>353</v>
      </c>
      <c r="EK104" s="841" t="s">
        <v>353</v>
      </c>
      <c r="EL104" s="841" t="s">
        <v>1930</v>
      </c>
      <c r="EM104" s="841" t="s">
        <v>353</v>
      </c>
      <c r="EN104" s="841" t="s">
        <v>353</v>
      </c>
      <c r="EO104" s="841" t="s">
        <v>353</v>
      </c>
      <c r="EP104" s="841" t="s">
        <v>353</v>
      </c>
      <c r="EQ104" s="841" t="s">
        <v>353</v>
      </c>
      <c r="ER104" s="841" t="s">
        <v>353</v>
      </c>
      <c r="ES104" s="841" t="s">
        <v>33</v>
      </c>
      <c r="ET104" s="841" t="s">
        <v>1496</v>
      </c>
      <c r="EU104" s="841" t="s">
        <v>353</v>
      </c>
      <c r="EV104" s="841" t="s">
        <v>353</v>
      </c>
      <c r="EW104" s="841" t="s">
        <v>353</v>
      </c>
      <c r="EX104" s="841" t="s">
        <v>33</v>
      </c>
      <c r="EY104" s="842">
        <v>44607.509722222225</v>
      </c>
      <c r="EZ104" s="841" t="s">
        <v>353</v>
      </c>
      <c r="FA104" s="841" t="s">
        <v>353</v>
      </c>
      <c r="FB104" s="841" t="s">
        <v>353</v>
      </c>
      <c r="FC104" s="841" t="s">
        <v>353</v>
      </c>
      <c r="FD104" s="841" t="s">
        <v>353</v>
      </c>
      <c r="FE104" s="842">
        <v>44607.435416666667</v>
      </c>
      <c r="FF104" s="841" t="s">
        <v>353</v>
      </c>
      <c r="FG104" s="841" t="s">
        <v>353</v>
      </c>
      <c r="FH104" s="841" t="s">
        <v>353</v>
      </c>
      <c r="FI104" s="841" t="s">
        <v>353</v>
      </c>
      <c r="FJ104" s="841" t="s">
        <v>353</v>
      </c>
      <c r="FK104" s="841" t="s">
        <v>353</v>
      </c>
      <c r="FL104" s="841" t="s">
        <v>353</v>
      </c>
      <c r="FM104" s="841" t="s">
        <v>353</v>
      </c>
      <c r="FN104" s="841" t="s">
        <v>353</v>
      </c>
      <c r="FO104" s="841" t="s">
        <v>1648</v>
      </c>
      <c r="FP104" s="841" t="s">
        <v>353</v>
      </c>
      <c r="FQ104" s="841" t="s">
        <v>353</v>
      </c>
      <c r="FR104" s="841" t="s">
        <v>353</v>
      </c>
      <c r="FS104" s="841" t="s">
        <v>353</v>
      </c>
      <c r="FT104" s="841" t="s">
        <v>353</v>
      </c>
      <c r="FU104" s="841" t="s">
        <v>1467</v>
      </c>
      <c r="FV104" s="841" t="s">
        <v>353</v>
      </c>
      <c r="FW104" s="841" t="s">
        <v>353</v>
      </c>
      <c r="FX104" s="841" t="s">
        <v>353</v>
      </c>
      <c r="FY104" s="841" t="s">
        <v>353</v>
      </c>
      <c r="FZ104" s="841" t="s">
        <v>353</v>
      </c>
      <c r="GA104" s="841" t="s">
        <v>353</v>
      </c>
      <c r="GB104" s="841">
        <v>1</v>
      </c>
      <c r="GC104" s="841" t="s">
        <v>353</v>
      </c>
      <c r="GD104" s="841" t="s">
        <v>1395</v>
      </c>
      <c r="GE104" s="841" t="s">
        <v>353</v>
      </c>
      <c r="GF104" s="841" t="s">
        <v>353</v>
      </c>
      <c r="GG104" s="841" t="s">
        <v>353</v>
      </c>
      <c r="GH104" s="841">
        <v>252500</v>
      </c>
      <c r="GI104" s="841" t="s">
        <v>353</v>
      </c>
      <c r="GJ104" s="841" t="s">
        <v>353</v>
      </c>
      <c r="GK104" s="841" t="s">
        <v>353</v>
      </c>
      <c r="GL104" s="841" t="s">
        <v>2011</v>
      </c>
      <c r="GM104" s="841" t="s">
        <v>353</v>
      </c>
      <c r="GN104" s="841" t="s">
        <v>353</v>
      </c>
      <c r="GO104" s="841" t="s">
        <v>353</v>
      </c>
      <c r="GP104" s="841" t="s">
        <v>353</v>
      </c>
      <c r="GQ104" s="841" t="s">
        <v>353</v>
      </c>
      <c r="GR104" s="842">
        <v>44607.39166666667</v>
      </c>
      <c r="GS104" s="841" t="s">
        <v>1955</v>
      </c>
      <c r="GT104" s="841" t="s">
        <v>353</v>
      </c>
      <c r="GU104" s="841" t="s">
        <v>353</v>
      </c>
      <c r="GV104" s="841" t="s">
        <v>1419</v>
      </c>
      <c r="GW104" s="841" t="s">
        <v>353</v>
      </c>
      <c r="GX104" s="841" t="s">
        <v>353</v>
      </c>
      <c r="GY104" s="841">
        <v>36</v>
      </c>
      <c r="GZ104" s="841" t="s">
        <v>1420</v>
      </c>
      <c r="HA104" s="841" t="s">
        <v>353</v>
      </c>
      <c r="HB104" s="841" t="s">
        <v>353</v>
      </c>
      <c r="HC104" s="841" t="s">
        <v>1421</v>
      </c>
      <c r="HD104" s="841" t="s">
        <v>2372</v>
      </c>
      <c r="HE104" s="841">
        <v>6312.5</v>
      </c>
      <c r="HF104" s="841" t="s">
        <v>353</v>
      </c>
      <c r="HG104" s="841" t="s">
        <v>353</v>
      </c>
      <c r="HH104" s="841" t="s">
        <v>353</v>
      </c>
      <c r="HI104" s="841" t="s">
        <v>1422</v>
      </c>
      <c r="HJ104" s="841" t="s">
        <v>353</v>
      </c>
      <c r="HK104" s="841">
        <v>505000</v>
      </c>
      <c r="HL104" s="841" t="s">
        <v>353</v>
      </c>
      <c r="HM104" s="841" t="s">
        <v>1423</v>
      </c>
      <c r="HN104" s="841" t="s">
        <v>353</v>
      </c>
      <c r="HO104" s="841" t="s">
        <v>353</v>
      </c>
      <c r="HP104" s="841">
        <v>29239.5</v>
      </c>
      <c r="HQ104" s="841" t="s">
        <v>353</v>
      </c>
      <c r="HR104" s="841" t="s">
        <v>353</v>
      </c>
      <c r="HS104" s="841" t="s">
        <v>353</v>
      </c>
      <c r="HT104" s="841" t="s">
        <v>353</v>
      </c>
      <c r="HU104" s="841" t="s">
        <v>353</v>
      </c>
      <c r="HV104" s="841" t="s">
        <v>353</v>
      </c>
      <c r="HW104" s="841">
        <v>802750</v>
      </c>
      <c r="HX104" s="841" t="s">
        <v>353</v>
      </c>
      <c r="HY104" s="841" t="s">
        <v>353</v>
      </c>
      <c r="HZ104" s="841" t="s">
        <v>353</v>
      </c>
      <c r="IA104" s="841" t="s">
        <v>353</v>
      </c>
      <c r="IB104" s="841" t="s">
        <v>1424</v>
      </c>
      <c r="IC104" s="841" t="s">
        <v>353</v>
      </c>
      <c r="ID104" s="841" t="s">
        <v>353</v>
      </c>
      <c r="IE104" s="841" t="s">
        <v>353</v>
      </c>
      <c r="IF104" s="841" t="s">
        <v>353</v>
      </c>
      <c r="IG104" s="841" t="s">
        <v>353</v>
      </c>
      <c r="IH104" s="841" t="s">
        <v>353</v>
      </c>
      <c r="II104" s="841" t="s">
        <v>353</v>
      </c>
      <c r="IJ104" s="841" t="s">
        <v>353</v>
      </c>
      <c r="IK104" s="841" t="s">
        <v>353</v>
      </c>
      <c r="IL104" s="841">
        <v>490380</v>
      </c>
      <c r="IM104" s="841" t="s">
        <v>353</v>
      </c>
      <c r="IN104" s="841" t="s">
        <v>353</v>
      </c>
      <c r="IO104" s="841" t="s">
        <v>353</v>
      </c>
      <c r="IP104" s="841" t="s">
        <v>353</v>
      </c>
      <c r="IQ104" s="841" t="s">
        <v>353</v>
      </c>
      <c r="IR104" s="841">
        <v>6</v>
      </c>
      <c r="IS104" s="841" t="s">
        <v>33</v>
      </c>
      <c r="IT104" s="841" t="s">
        <v>353</v>
      </c>
      <c r="IU104" s="841" t="s">
        <v>353</v>
      </c>
      <c r="IV104" s="841" t="s">
        <v>353</v>
      </c>
      <c r="IW104" s="841" t="s">
        <v>353</v>
      </c>
      <c r="IX104" s="841" t="s">
        <v>353</v>
      </c>
      <c r="IY104" s="841" t="s">
        <v>1622</v>
      </c>
      <c r="IZ104" s="841" t="s">
        <v>353</v>
      </c>
      <c r="JA104" s="841">
        <v>505000</v>
      </c>
      <c r="JB104" s="841" t="s">
        <v>353</v>
      </c>
      <c r="JC104" s="841" t="s">
        <v>353</v>
      </c>
      <c r="JD104" s="841" t="s">
        <v>1413</v>
      </c>
      <c r="JE104" s="841" t="s">
        <v>33</v>
      </c>
      <c r="JF104" s="841" t="s">
        <v>1836</v>
      </c>
      <c r="JG104" s="841" t="s">
        <v>1837</v>
      </c>
      <c r="JH104" s="841" t="s">
        <v>2278</v>
      </c>
      <c r="JI104" s="841" t="s">
        <v>2279</v>
      </c>
    </row>
    <row r="105" spans="1:269" x14ac:dyDescent="0.25">
      <c r="A105" s="841" t="s">
        <v>2373</v>
      </c>
      <c r="B105" s="841" t="s">
        <v>353</v>
      </c>
      <c r="C105" s="841" t="s">
        <v>353</v>
      </c>
      <c r="D105" s="841" t="s">
        <v>353</v>
      </c>
      <c r="E105" s="841" t="s">
        <v>353</v>
      </c>
      <c r="F105" s="841" t="s">
        <v>353</v>
      </c>
      <c r="G105" s="841" t="s">
        <v>353</v>
      </c>
      <c r="H105" s="841" t="s">
        <v>353</v>
      </c>
      <c r="I105" s="841" t="s">
        <v>353</v>
      </c>
      <c r="J105" s="841" t="s">
        <v>353</v>
      </c>
      <c r="K105" s="841" t="s">
        <v>353</v>
      </c>
      <c r="L105" s="842">
        <v>44600.530555555553</v>
      </c>
      <c r="M105" s="841" t="s">
        <v>353</v>
      </c>
      <c r="N105" s="841" t="s">
        <v>353</v>
      </c>
      <c r="O105" s="841" t="s">
        <v>353</v>
      </c>
      <c r="P105" s="841" t="s">
        <v>353</v>
      </c>
      <c r="Q105" s="841" t="s">
        <v>353</v>
      </c>
      <c r="R105" s="841" t="s">
        <v>353</v>
      </c>
      <c r="S105" s="841" t="s">
        <v>64</v>
      </c>
      <c r="T105" s="841" t="s">
        <v>1390</v>
      </c>
      <c r="U105" s="841" t="s">
        <v>353</v>
      </c>
      <c r="V105" s="841" t="s">
        <v>353</v>
      </c>
      <c r="W105" s="841" t="s">
        <v>1420</v>
      </c>
      <c r="X105" s="841" t="s">
        <v>1405</v>
      </c>
      <c r="Y105" s="841" t="s">
        <v>353</v>
      </c>
      <c r="Z105" s="841" t="s">
        <v>353</v>
      </c>
      <c r="AA105" s="841" t="s">
        <v>353</v>
      </c>
      <c r="AB105" s="841" t="s">
        <v>353</v>
      </c>
      <c r="AC105" s="841">
        <v>18700</v>
      </c>
      <c r="AD105" s="841" t="s">
        <v>353</v>
      </c>
      <c r="AE105" s="841" t="s">
        <v>353</v>
      </c>
      <c r="AF105" s="841" t="s">
        <v>353</v>
      </c>
      <c r="AG105" s="841" t="s">
        <v>353</v>
      </c>
      <c r="AH105" s="841">
        <v>2000</v>
      </c>
      <c r="AI105" s="841" t="s">
        <v>1521</v>
      </c>
      <c r="AJ105" s="841" t="s">
        <v>353</v>
      </c>
      <c r="AK105" s="841">
        <v>75</v>
      </c>
      <c r="AL105" s="841" t="s">
        <v>353</v>
      </c>
      <c r="AM105" s="841" t="s">
        <v>353</v>
      </c>
      <c r="AN105" s="841" t="s">
        <v>353</v>
      </c>
      <c r="AO105" s="841" t="s">
        <v>353</v>
      </c>
      <c r="AP105" s="841" t="s">
        <v>353</v>
      </c>
      <c r="AQ105" s="841" t="s">
        <v>353</v>
      </c>
      <c r="AR105" s="841" t="s">
        <v>353</v>
      </c>
      <c r="AS105" s="841" t="s">
        <v>353</v>
      </c>
      <c r="AT105" s="841" t="s">
        <v>353</v>
      </c>
      <c r="AU105" s="841" t="s">
        <v>353</v>
      </c>
      <c r="AV105" s="841" t="s">
        <v>353</v>
      </c>
      <c r="AW105" s="841" t="s">
        <v>353</v>
      </c>
      <c r="AX105" s="841" t="s">
        <v>353</v>
      </c>
      <c r="AY105" s="841" t="s">
        <v>353</v>
      </c>
      <c r="AZ105" s="841" t="s">
        <v>353</v>
      </c>
      <c r="BA105" s="841" t="s">
        <v>353</v>
      </c>
      <c r="BB105" s="841" t="s">
        <v>353</v>
      </c>
      <c r="BC105" s="841">
        <v>183000</v>
      </c>
      <c r="BD105" s="841" t="s">
        <v>353</v>
      </c>
      <c r="BE105" s="841" t="s">
        <v>353</v>
      </c>
      <c r="BF105" s="841" t="s">
        <v>353</v>
      </c>
      <c r="BG105" s="841" t="s">
        <v>353</v>
      </c>
      <c r="BH105" s="841" t="s">
        <v>353</v>
      </c>
      <c r="BI105" s="841" t="s">
        <v>353</v>
      </c>
      <c r="BJ105" s="841" t="s">
        <v>353</v>
      </c>
      <c r="BK105" s="841" t="s">
        <v>353</v>
      </c>
      <c r="BL105" s="841" t="s">
        <v>2374</v>
      </c>
      <c r="BM105" s="842">
        <v>44592.499305555553</v>
      </c>
      <c r="BN105" s="841" t="s">
        <v>353</v>
      </c>
      <c r="BO105" s="841" t="s">
        <v>353</v>
      </c>
      <c r="BP105" s="841" t="s">
        <v>353</v>
      </c>
      <c r="BQ105" s="841" t="s">
        <v>353</v>
      </c>
      <c r="BR105" s="841" t="s">
        <v>353</v>
      </c>
      <c r="BS105" s="841" t="s">
        <v>353</v>
      </c>
      <c r="BT105" s="841">
        <v>187000</v>
      </c>
      <c r="BU105" s="841" t="s">
        <v>353</v>
      </c>
      <c r="BV105" s="841" t="s">
        <v>353</v>
      </c>
      <c r="BW105" s="841" t="s">
        <v>1578</v>
      </c>
      <c r="BX105" s="841" t="s">
        <v>353</v>
      </c>
      <c r="BY105" s="841" t="s">
        <v>353</v>
      </c>
      <c r="BZ105" s="841" t="s">
        <v>353</v>
      </c>
      <c r="CA105" s="841" t="s">
        <v>353</v>
      </c>
      <c r="CB105" s="841" t="s">
        <v>353</v>
      </c>
      <c r="CC105" s="841" t="s">
        <v>353</v>
      </c>
      <c r="CD105" s="841" t="s">
        <v>353</v>
      </c>
      <c r="CE105" s="841" t="s">
        <v>353</v>
      </c>
      <c r="CF105" s="841" t="s">
        <v>353</v>
      </c>
      <c r="CG105" s="841" t="s">
        <v>353</v>
      </c>
      <c r="CH105" s="841" t="s">
        <v>353</v>
      </c>
      <c r="CI105" s="841" t="s">
        <v>353</v>
      </c>
      <c r="CJ105" s="841" t="s">
        <v>353</v>
      </c>
      <c r="CK105" s="841" t="s">
        <v>353</v>
      </c>
      <c r="CL105" s="841" t="s">
        <v>353</v>
      </c>
      <c r="CM105" s="841" t="s">
        <v>353</v>
      </c>
      <c r="CN105" s="841" t="s">
        <v>353</v>
      </c>
      <c r="CO105" s="841" t="s">
        <v>353</v>
      </c>
      <c r="CP105" s="841" t="s">
        <v>2375</v>
      </c>
      <c r="CQ105" s="841" t="s">
        <v>353</v>
      </c>
      <c r="CR105" s="841" t="s">
        <v>353</v>
      </c>
      <c r="CS105" s="841" t="s">
        <v>1405</v>
      </c>
      <c r="CT105" s="841" t="s">
        <v>353</v>
      </c>
      <c r="CU105" s="841" t="s">
        <v>1391</v>
      </c>
      <c r="CV105" s="841" t="s">
        <v>353</v>
      </c>
      <c r="CW105" s="841" t="s">
        <v>353</v>
      </c>
      <c r="CX105" s="841" t="s">
        <v>353</v>
      </c>
      <c r="CY105" s="841" t="s">
        <v>353</v>
      </c>
      <c r="CZ105" s="841">
        <v>1</v>
      </c>
      <c r="DA105" s="841" t="s">
        <v>353</v>
      </c>
      <c r="DB105" s="841" t="s">
        <v>353</v>
      </c>
      <c r="DC105" s="841" t="s">
        <v>353</v>
      </c>
      <c r="DD105" s="841" t="s">
        <v>353</v>
      </c>
      <c r="DE105" s="841" t="s">
        <v>353</v>
      </c>
      <c r="DF105" s="841">
        <v>21</v>
      </c>
      <c r="DG105" s="841" t="s">
        <v>353</v>
      </c>
      <c r="DH105" s="841" t="s">
        <v>353</v>
      </c>
      <c r="DI105" s="841" t="s">
        <v>353</v>
      </c>
      <c r="DJ105" s="841" t="s">
        <v>353</v>
      </c>
      <c r="DK105" s="841" t="s">
        <v>353</v>
      </c>
      <c r="DL105" s="842">
        <v>44581.499305555553</v>
      </c>
      <c r="DM105" s="841" t="s">
        <v>353</v>
      </c>
      <c r="DN105" s="841" t="s">
        <v>353</v>
      </c>
      <c r="DO105" s="841" t="s">
        <v>673</v>
      </c>
      <c r="DP105" s="841" t="s">
        <v>1412</v>
      </c>
      <c r="DQ105" s="841" t="s">
        <v>1451</v>
      </c>
      <c r="DR105" s="841">
        <v>250000</v>
      </c>
      <c r="DS105" s="841">
        <v>21</v>
      </c>
      <c r="DT105" s="841" t="s">
        <v>353</v>
      </c>
      <c r="DU105" s="841" t="s">
        <v>353</v>
      </c>
      <c r="DV105" s="841">
        <v>154050.6</v>
      </c>
      <c r="DW105" s="841">
        <v>187000</v>
      </c>
      <c r="DX105" s="841" t="s">
        <v>353</v>
      </c>
      <c r="DY105" s="841" t="s">
        <v>353</v>
      </c>
      <c r="DZ105" s="841" t="s">
        <v>353</v>
      </c>
      <c r="EA105" s="841" t="s">
        <v>353</v>
      </c>
      <c r="EB105" s="841" t="s">
        <v>353</v>
      </c>
      <c r="EC105" s="841" t="s">
        <v>353</v>
      </c>
      <c r="ED105" s="841" t="s">
        <v>353</v>
      </c>
      <c r="EE105" s="841" t="s">
        <v>353</v>
      </c>
      <c r="EF105" s="841" t="s">
        <v>353</v>
      </c>
      <c r="EG105" s="841" t="s">
        <v>353</v>
      </c>
      <c r="EH105" s="841" t="s">
        <v>353</v>
      </c>
      <c r="EI105" s="841">
        <v>29676.9</v>
      </c>
      <c r="EJ105" s="841" t="s">
        <v>353</v>
      </c>
      <c r="EK105" s="841" t="s">
        <v>353</v>
      </c>
      <c r="EL105" s="841" t="s">
        <v>1435</v>
      </c>
      <c r="EM105" s="841">
        <v>3272.5</v>
      </c>
      <c r="EN105" s="841" t="s">
        <v>353</v>
      </c>
      <c r="EO105" s="841" t="s">
        <v>353</v>
      </c>
      <c r="EP105" s="841" t="s">
        <v>353</v>
      </c>
      <c r="EQ105" s="841" t="s">
        <v>353</v>
      </c>
      <c r="ER105" s="841" t="s">
        <v>353</v>
      </c>
      <c r="ES105" s="841" t="s">
        <v>353</v>
      </c>
      <c r="ET105" s="841" t="s">
        <v>1452</v>
      </c>
      <c r="EU105" s="841" t="s">
        <v>353</v>
      </c>
      <c r="EV105" s="841" t="s">
        <v>353</v>
      </c>
      <c r="EW105" s="841" t="s">
        <v>353</v>
      </c>
      <c r="EX105" s="841" t="s">
        <v>353</v>
      </c>
      <c r="EY105" s="841" t="s">
        <v>353</v>
      </c>
      <c r="EZ105" s="841" t="s">
        <v>353</v>
      </c>
      <c r="FA105" s="841" t="s">
        <v>353</v>
      </c>
      <c r="FB105" s="841" t="s">
        <v>353</v>
      </c>
      <c r="FC105" s="841" t="s">
        <v>353</v>
      </c>
      <c r="FD105" s="841" t="s">
        <v>353</v>
      </c>
      <c r="FE105" s="842">
        <v>44600.530555555553</v>
      </c>
      <c r="FF105" s="841" t="s">
        <v>353</v>
      </c>
      <c r="FG105" s="841" t="s">
        <v>353</v>
      </c>
      <c r="FH105" s="841" t="s">
        <v>353</v>
      </c>
      <c r="FI105" s="841" t="s">
        <v>353</v>
      </c>
      <c r="FJ105" s="841" t="s">
        <v>353</v>
      </c>
      <c r="FK105" s="841" t="s">
        <v>353</v>
      </c>
      <c r="FL105" s="841" t="s">
        <v>353</v>
      </c>
      <c r="FM105" s="841" t="s">
        <v>353</v>
      </c>
      <c r="FN105" s="841" t="s">
        <v>353</v>
      </c>
      <c r="FO105" s="841" t="s">
        <v>1582</v>
      </c>
      <c r="FP105" s="841" t="s">
        <v>353</v>
      </c>
      <c r="FQ105" s="841" t="s">
        <v>353</v>
      </c>
      <c r="FR105" s="841" t="s">
        <v>353</v>
      </c>
      <c r="FS105" s="841" t="s">
        <v>353</v>
      </c>
      <c r="FT105" s="841" t="s">
        <v>353</v>
      </c>
      <c r="FU105" s="841" t="s">
        <v>1394</v>
      </c>
      <c r="FV105" s="841" t="s">
        <v>353</v>
      </c>
      <c r="FW105" s="841" t="s">
        <v>353</v>
      </c>
      <c r="FX105" s="841" t="s">
        <v>353</v>
      </c>
      <c r="FY105" s="841" t="s">
        <v>353</v>
      </c>
      <c r="FZ105" s="841" t="s">
        <v>353</v>
      </c>
      <c r="GA105" s="841" t="s">
        <v>353</v>
      </c>
      <c r="GB105" s="841">
        <v>1</v>
      </c>
      <c r="GC105" s="841" t="s">
        <v>353</v>
      </c>
      <c r="GD105" s="841" t="s">
        <v>1395</v>
      </c>
      <c r="GE105" s="841" t="s">
        <v>353</v>
      </c>
      <c r="GF105" s="841" t="s">
        <v>353</v>
      </c>
      <c r="GG105" s="841" t="s">
        <v>353</v>
      </c>
      <c r="GH105" s="841">
        <v>18700</v>
      </c>
      <c r="GI105" s="841" t="s">
        <v>353</v>
      </c>
      <c r="GJ105" s="841" t="s">
        <v>353</v>
      </c>
      <c r="GK105" s="841" t="s">
        <v>353</v>
      </c>
      <c r="GL105" s="841" t="s">
        <v>1497</v>
      </c>
      <c r="GM105" s="841" t="s">
        <v>353</v>
      </c>
      <c r="GN105" s="841" t="s">
        <v>353</v>
      </c>
      <c r="GO105" s="841" t="s">
        <v>353</v>
      </c>
      <c r="GP105" s="841" t="s">
        <v>353</v>
      </c>
      <c r="GQ105" s="841" t="s">
        <v>353</v>
      </c>
      <c r="GR105" s="841" t="s">
        <v>353</v>
      </c>
      <c r="GS105" s="841" t="s">
        <v>353</v>
      </c>
      <c r="GT105" s="841" t="s">
        <v>353</v>
      </c>
      <c r="GU105" s="841" t="s">
        <v>353</v>
      </c>
      <c r="GV105" s="841" t="s">
        <v>1076</v>
      </c>
      <c r="GW105" s="841" t="s">
        <v>353</v>
      </c>
      <c r="GX105" s="841" t="s">
        <v>353</v>
      </c>
      <c r="GY105" s="841">
        <v>24</v>
      </c>
      <c r="GZ105" s="841" t="s">
        <v>353</v>
      </c>
      <c r="HA105" s="841" t="s">
        <v>353</v>
      </c>
      <c r="HB105" s="841" t="s">
        <v>353</v>
      </c>
      <c r="HC105" s="841" t="s">
        <v>353</v>
      </c>
      <c r="HD105" s="841" t="s">
        <v>2376</v>
      </c>
      <c r="HE105" s="841" t="s">
        <v>353</v>
      </c>
      <c r="HF105" s="841" t="s">
        <v>353</v>
      </c>
      <c r="HG105" s="841" t="s">
        <v>353</v>
      </c>
      <c r="HH105" s="841" t="s">
        <v>353</v>
      </c>
      <c r="HI105" s="841" t="s">
        <v>1422</v>
      </c>
      <c r="HJ105" s="841" t="s">
        <v>2230</v>
      </c>
      <c r="HK105" s="841">
        <v>187000</v>
      </c>
      <c r="HL105" s="841" t="s">
        <v>353</v>
      </c>
      <c r="HM105" s="841" t="s">
        <v>1423</v>
      </c>
      <c r="HN105" s="841" t="s">
        <v>353</v>
      </c>
      <c r="HO105" s="841" t="s">
        <v>353</v>
      </c>
      <c r="HP105" s="841">
        <v>9892.2999999999993</v>
      </c>
      <c r="HQ105" s="841" t="s">
        <v>353</v>
      </c>
      <c r="HR105" s="841" t="s">
        <v>353</v>
      </c>
      <c r="HS105" s="841">
        <v>157323.1</v>
      </c>
      <c r="HT105" s="841" t="s">
        <v>353</v>
      </c>
      <c r="HU105" s="841" t="s">
        <v>353</v>
      </c>
      <c r="HV105" s="841" t="s">
        <v>353</v>
      </c>
      <c r="HW105" s="841">
        <v>250000</v>
      </c>
      <c r="HX105" s="841" t="s">
        <v>353</v>
      </c>
      <c r="HY105" s="841" t="s">
        <v>353</v>
      </c>
      <c r="HZ105" s="841" t="s">
        <v>353</v>
      </c>
      <c r="IA105" s="841" t="s">
        <v>353</v>
      </c>
      <c r="IB105" s="841" t="s">
        <v>1424</v>
      </c>
      <c r="IC105" s="841" t="s">
        <v>353</v>
      </c>
      <c r="ID105" s="841" t="s">
        <v>353</v>
      </c>
      <c r="IE105" s="841" t="s">
        <v>353</v>
      </c>
      <c r="IF105" s="841" t="s">
        <v>353</v>
      </c>
      <c r="IG105" s="841" t="s">
        <v>353</v>
      </c>
      <c r="IH105" s="841" t="s">
        <v>353</v>
      </c>
      <c r="II105" s="841" t="s">
        <v>353</v>
      </c>
      <c r="IJ105" s="841" t="s">
        <v>353</v>
      </c>
      <c r="IK105" s="841" t="s">
        <v>353</v>
      </c>
      <c r="IL105" s="841">
        <v>185000</v>
      </c>
      <c r="IM105" s="841" t="s">
        <v>353</v>
      </c>
      <c r="IN105" s="841" t="s">
        <v>353</v>
      </c>
      <c r="IO105" s="841" t="s">
        <v>353</v>
      </c>
      <c r="IP105" s="841" t="s">
        <v>353</v>
      </c>
      <c r="IQ105" s="841" t="s">
        <v>353</v>
      </c>
      <c r="IR105" s="841">
        <v>3</v>
      </c>
      <c r="IS105" s="841" t="s">
        <v>353</v>
      </c>
      <c r="IT105" s="841" t="s">
        <v>353</v>
      </c>
      <c r="IU105" s="841" t="s">
        <v>353</v>
      </c>
      <c r="IV105" s="841" t="s">
        <v>353</v>
      </c>
      <c r="IW105" s="841" t="s">
        <v>353</v>
      </c>
      <c r="IX105" s="841" t="s">
        <v>353</v>
      </c>
      <c r="IY105" s="841" t="s">
        <v>1622</v>
      </c>
      <c r="IZ105" s="841" t="s">
        <v>353</v>
      </c>
      <c r="JA105" s="841">
        <v>187000</v>
      </c>
      <c r="JB105" s="841" t="s">
        <v>353</v>
      </c>
      <c r="JC105" s="841" t="s">
        <v>353</v>
      </c>
      <c r="JD105" s="841" t="s">
        <v>1456</v>
      </c>
      <c r="JE105" s="841" t="s">
        <v>353</v>
      </c>
      <c r="JF105" s="841" t="s">
        <v>2377</v>
      </c>
      <c r="JG105" s="841" t="s">
        <v>2378</v>
      </c>
      <c r="JH105" s="841" t="s">
        <v>2379</v>
      </c>
      <c r="JI105" s="841" t="s">
        <v>2380</v>
      </c>
    </row>
    <row r="106" spans="1:269" x14ac:dyDescent="0.25">
      <c r="A106" s="841" t="s">
        <v>2381</v>
      </c>
      <c r="B106" s="841" t="s">
        <v>353</v>
      </c>
      <c r="C106" s="841" t="s">
        <v>353</v>
      </c>
      <c r="D106" s="841" t="s">
        <v>353</v>
      </c>
      <c r="E106" s="841" t="s">
        <v>353</v>
      </c>
      <c r="F106" s="841" t="s">
        <v>353</v>
      </c>
      <c r="G106" s="841" t="s">
        <v>2382</v>
      </c>
      <c r="H106" s="841" t="s">
        <v>353</v>
      </c>
      <c r="I106" s="841" t="s">
        <v>353</v>
      </c>
      <c r="J106" s="841" t="s">
        <v>353</v>
      </c>
      <c r="K106" s="841" t="s">
        <v>353</v>
      </c>
      <c r="L106" s="842">
        <v>44601.740972222222</v>
      </c>
      <c r="M106" s="841" t="s">
        <v>353</v>
      </c>
      <c r="N106" s="841" t="s">
        <v>353</v>
      </c>
      <c r="O106" s="841" t="s">
        <v>353</v>
      </c>
      <c r="P106" s="841" t="s">
        <v>353</v>
      </c>
      <c r="Q106" s="841" t="s">
        <v>353</v>
      </c>
      <c r="R106" s="841" t="s">
        <v>353</v>
      </c>
      <c r="S106" s="841" t="s">
        <v>64</v>
      </c>
      <c r="T106" s="841" t="s">
        <v>1390</v>
      </c>
      <c r="U106" s="841" t="s">
        <v>353</v>
      </c>
      <c r="V106" s="841" t="s">
        <v>353</v>
      </c>
      <c r="W106" s="841" t="s">
        <v>1716</v>
      </c>
      <c r="X106" s="841" t="s">
        <v>1405</v>
      </c>
      <c r="Y106" s="841" t="s">
        <v>353</v>
      </c>
      <c r="Z106" s="841" t="s">
        <v>353</v>
      </c>
      <c r="AA106" s="841" t="s">
        <v>353</v>
      </c>
      <c r="AB106" s="841" t="s">
        <v>353</v>
      </c>
      <c r="AC106" s="841">
        <v>60000</v>
      </c>
      <c r="AD106" s="841" t="s">
        <v>353</v>
      </c>
      <c r="AE106" s="841" t="s">
        <v>353</v>
      </c>
      <c r="AF106" s="841" t="s">
        <v>353</v>
      </c>
      <c r="AG106" s="841" t="s">
        <v>353</v>
      </c>
      <c r="AH106" s="841">
        <v>1500</v>
      </c>
      <c r="AI106" s="841" t="s">
        <v>1406</v>
      </c>
      <c r="AJ106" s="841" t="s">
        <v>353</v>
      </c>
      <c r="AK106" s="841">
        <v>60</v>
      </c>
      <c r="AL106" s="841" t="s">
        <v>353</v>
      </c>
      <c r="AM106" s="841" t="s">
        <v>353</v>
      </c>
      <c r="AN106" s="841" t="s">
        <v>353</v>
      </c>
      <c r="AO106" s="841" t="s">
        <v>353</v>
      </c>
      <c r="AP106" s="841" t="s">
        <v>353</v>
      </c>
      <c r="AQ106" s="841" t="s">
        <v>353</v>
      </c>
      <c r="AR106" s="841" t="s">
        <v>353</v>
      </c>
      <c r="AS106" s="841" t="s">
        <v>353</v>
      </c>
      <c r="AT106" s="841" t="s">
        <v>353</v>
      </c>
      <c r="AU106" s="841" t="s">
        <v>353</v>
      </c>
      <c r="AV106" s="841" t="s">
        <v>353</v>
      </c>
      <c r="AW106" s="841" t="s">
        <v>353</v>
      </c>
      <c r="AX106" s="841" t="s">
        <v>353</v>
      </c>
      <c r="AY106" s="841" t="s">
        <v>353</v>
      </c>
      <c r="AZ106" s="841" t="s">
        <v>353</v>
      </c>
      <c r="BA106" s="841" t="s">
        <v>353</v>
      </c>
      <c r="BB106" s="841" t="s">
        <v>353</v>
      </c>
      <c r="BC106" s="841">
        <v>290783</v>
      </c>
      <c r="BD106" s="841" t="s">
        <v>353</v>
      </c>
      <c r="BE106" s="841" t="s">
        <v>353</v>
      </c>
      <c r="BF106" s="841" t="s">
        <v>353</v>
      </c>
      <c r="BG106" s="841" t="s">
        <v>353</v>
      </c>
      <c r="BH106" s="841" t="s">
        <v>353</v>
      </c>
      <c r="BI106" s="841" t="s">
        <v>353</v>
      </c>
      <c r="BJ106" s="841" t="s">
        <v>353</v>
      </c>
      <c r="BK106" s="841" t="s">
        <v>353</v>
      </c>
      <c r="BL106" s="841" t="s">
        <v>1832</v>
      </c>
      <c r="BM106" s="842">
        <v>44592.351388888892</v>
      </c>
      <c r="BN106" s="841" t="s">
        <v>353</v>
      </c>
      <c r="BO106" s="841" t="s">
        <v>353</v>
      </c>
      <c r="BP106" s="841" t="s">
        <v>353</v>
      </c>
      <c r="BQ106" s="841" t="s">
        <v>353</v>
      </c>
      <c r="BR106" s="841" t="s">
        <v>353</v>
      </c>
      <c r="BS106" s="841" t="s">
        <v>353</v>
      </c>
      <c r="BT106" s="841">
        <v>300000</v>
      </c>
      <c r="BU106" s="841" t="s">
        <v>353</v>
      </c>
      <c r="BV106" s="841" t="s">
        <v>2383</v>
      </c>
      <c r="BW106" s="841" t="s">
        <v>1578</v>
      </c>
      <c r="BX106" s="841" t="s">
        <v>353</v>
      </c>
      <c r="BY106" s="841" t="s">
        <v>353</v>
      </c>
      <c r="BZ106" s="841" t="s">
        <v>353</v>
      </c>
      <c r="CA106" s="841" t="s">
        <v>353</v>
      </c>
      <c r="CB106" s="841" t="s">
        <v>353</v>
      </c>
      <c r="CC106" s="841" t="s">
        <v>353</v>
      </c>
      <c r="CD106" s="841" t="s">
        <v>353</v>
      </c>
      <c r="CE106" s="841" t="s">
        <v>353</v>
      </c>
      <c r="CF106" s="841" t="s">
        <v>353</v>
      </c>
      <c r="CG106" s="841" t="s">
        <v>353</v>
      </c>
      <c r="CH106" s="841" t="s">
        <v>353</v>
      </c>
      <c r="CI106" s="841" t="s">
        <v>353</v>
      </c>
      <c r="CJ106" s="841" t="s">
        <v>353</v>
      </c>
      <c r="CK106" s="841" t="s">
        <v>353</v>
      </c>
      <c r="CL106" s="841" t="s">
        <v>353</v>
      </c>
      <c r="CM106" s="841" t="s">
        <v>353</v>
      </c>
      <c r="CN106" s="841" t="s">
        <v>353</v>
      </c>
      <c r="CO106" s="841" t="s">
        <v>353</v>
      </c>
      <c r="CP106" s="841" t="s">
        <v>2384</v>
      </c>
      <c r="CQ106" s="841" t="s">
        <v>353</v>
      </c>
      <c r="CR106" s="841" t="s">
        <v>353</v>
      </c>
      <c r="CS106" s="841" t="s">
        <v>1405</v>
      </c>
      <c r="CT106" s="841" t="s">
        <v>353</v>
      </c>
      <c r="CU106" s="841" t="s">
        <v>1391</v>
      </c>
      <c r="CV106" s="841" t="s">
        <v>353</v>
      </c>
      <c r="CW106" s="841" t="s">
        <v>353</v>
      </c>
      <c r="CX106" s="841" t="s">
        <v>353</v>
      </c>
      <c r="CY106" s="841" t="s">
        <v>353</v>
      </c>
      <c r="CZ106" s="841">
        <v>2</v>
      </c>
      <c r="DA106" s="841" t="s">
        <v>353</v>
      </c>
      <c r="DB106" s="841" t="s">
        <v>353</v>
      </c>
      <c r="DC106" s="841" t="s">
        <v>353</v>
      </c>
      <c r="DD106" s="841" t="s">
        <v>353</v>
      </c>
      <c r="DE106" s="841" t="s">
        <v>353</v>
      </c>
      <c r="DF106" s="841">
        <v>21</v>
      </c>
      <c r="DG106" s="841" t="s">
        <v>353</v>
      </c>
      <c r="DH106" s="841" t="s">
        <v>353</v>
      </c>
      <c r="DI106" s="841" t="s">
        <v>353</v>
      </c>
      <c r="DJ106" s="841" t="s">
        <v>2385</v>
      </c>
      <c r="DK106" s="841" t="s">
        <v>353</v>
      </c>
      <c r="DL106" s="842">
        <v>44581.351388888892</v>
      </c>
      <c r="DM106" s="841" t="s">
        <v>353</v>
      </c>
      <c r="DN106" s="841" t="s">
        <v>353</v>
      </c>
      <c r="DO106" s="841" t="s">
        <v>673</v>
      </c>
      <c r="DP106" s="841" t="s">
        <v>1412</v>
      </c>
      <c r="DQ106" s="841" t="s">
        <v>1392</v>
      </c>
      <c r="DR106" s="841">
        <v>500000</v>
      </c>
      <c r="DS106" s="841">
        <v>21</v>
      </c>
      <c r="DT106" s="841" t="s">
        <v>353</v>
      </c>
      <c r="DU106" s="841" t="s">
        <v>353</v>
      </c>
      <c r="DV106" s="841">
        <v>246390</v>
      </c>
      <c r="DW106" s="841">
        <v>300000</v>
      </c>
      <c r="DX106" s="841" t="s">
        <v>353</v>
      </c>
      <c r="DY106" s="841" t="s">
        <v>353</v>
      </c>
      <c r="DZ106" s="841" t="s">
        <v>353</v>
      </c>
      <c r="EA106" s="841" t="s">
        <v>353</v>
      </c>
      <c r="EB106" s="841" t="s">
        <v>353</v>
      </c>
      <c r="EC106" s="841" t="s">
        <v>353</v>
      </c>
      <c r="ED106" s="841" t="s">
        <v>353</v>
      </c>
      <c r="EE106" s="841" t="s">
        <v>353</v>
      </c>
      <c r="EF106" s="841" t="s">
        <v>353</v>
      </c>
      <c r="EG106" s="841" t="s">
        <v>353</v>
      </c>
      <c r="EH106" s="841" t="s">
        <v>353</v>
      </c>
      <c r="EI106" s="841">
        <v>47610</v>
      </c>
      <c r="EJ106" s="841" t="s">
        <v>353</v>
      </c>
      <c r="EK106" s="841" t="s">
        <v>353</v>
      </c>
      <c r="EL106" s="841" t="s">
        <v>1435</v>
      </c>
      <c r="EM106" s="841">
        <v>6000</v>
      </c>
      <c r="EN106" s="841" t="s">
        <v>353</v>
      </c>
      <c r="EO106" s="841" t="s">
        <v>353</v>
      </c>
      <c r="EP106" s="841" t="s">
        <v>353</v>
      </c>
      <c r="EQ106" s="841" t="s">
        <v>353</v>
      </c>
      <c r="ER106" s="841" t="s">
        <v>353</v>
      </c>
      <c r="ES106" s="841" t="s">
        <v>353</v>
      </c>
      <c r="ET106" s="841" t="s">
        <v>1393</v>
      </c>
      <c r="EU106" s="841" t="s">
        <v>353</v>
      </c>
      <c r="EV106" s="841" t="s">
        <v>353</v>
      </c>
      <c r="EW106" s="841" t="s">
        <v>353</v>
      </c>
      <c r="EX106" s="841" t="s">
        <v>353</v>
      </c>
      <c r="EY106" s="841" t="s">
        <v>353</v>
      </c>
      <c r="EZ106" s="841" t="s">
        <v>353</v>
      </c>
      <c r="FA106" s="841" t="s">
        <v>353</v>
      </c>
      <c r="FB106" s="841" t="s">
        <v>353</v>
      </c>
      <c r="FC106" s="841" t="s">
        <v>353</v>
      </c>
      <c r="FD106" s="841" t="s">
        <v>353</v>
      </c>
      <c r="FE106" s="842">
        <v>44601.740972222222</v>
      </c>
      <c r="FF106" s="841" t="s">
        <v>353</v>
      </c>
      <c r="FG106" s="841" t="s">
        <v>353</v>
      </c>
      <c r="FH106" s="841" t="s">
        <v>353</v>
      </c>
      <c r="FI106" s="841" t="s">
        <v>353</v>
      </c>
      <c r="FJ106" s="841" t="s">
        <v>353</v>
      </c>
      <c r="FK106" s="841" t="s">
        <v>353</v>
      </c>
      <c r="FL106" s="841" t="s">
        <v>353</v>
      </c>
      <c r="FM106" s="841" t="s">
        <v>353</v>
      </c>
      <c r="FN106" s="841" t="s">
        <v>353</v>
      </c>
      <c r="FO106" s="841" t="s">
        <v>1582</v>
      </c>
      <c r="FP106" s="841" t="s">
        <v>353</v>
      </c>
      <c r="FQ106" s="841" t="s">
        <v>353</v>
      </c>
      <c r="FR106" s="841" t="s">
        <v>353</v>
      </c>
      <c r="FS106" s="841" t="s">
        <v>353</v>
      </c>
      <c r="FT106" s="841" t="s">
        <v>353</v>
      </c>
      <c r="FU106" s="841" t="s">
        <v>1416</v>
      </c>
      <c r="FV106" s="841" t="s">
        <v>353</v>
      </c>
      <c r="FW106" s="841" t="s">
        <v>353</v>
      </c>
      <c r="FX106" s="841" t="s">
        <v>353</v>
      </c>
      <c r="FY106" s="841" t="s">
        <v>353</v>
      </c>
      <c r="FZ106" s="841" t="s">
        <v>353</v>
      </c>
      <c r="GA106" s="841" t="s">
        <v>353</v>
      </c>
      <c r="GB106" s="841">
        <v>1</v>
      </c>
      <c r="GC106" s="841" t="s">
        <v>353</v>
      </c>
      <c r="GD106" s="841" t="s">
        <v>1417</v>
      </c>
      <c r="GE106" s="841" t="s">
        <v>353</v>
      </c>
      <c r="GF106" s="841" t="s">
        <v>353</v>
      </c>
      <c r="GG106" s="841" t="s">
        <v>353</v>
      </c>
      <c r="GH106" s="841">
        <v>60000</v>
      </c>
      <c r="GI106" s="841" t="s">
        <v>353</v>
      </c>
      <c r="GJ106" s="841" t="s">
        <v>353</v>
      </c>
      <c r="GK106" s="841" t="s">
        <v>353</v>
      </c>
      <c r="GL106" s="841" t="s">
        <v>1541</v>
      </c>
      <c r="GM106" s="841" t="s">
        <v>353</v>
      </c>
      <c r="GN106" s="841" t="s">
        <v>353</v>
      </c>
      <c r="GO106" s="841" t="s">
        <v>353</v>
      </c>
      <c r="GP106" s="841" t="s">
        <v>353</v>
      </c>
      <c r="GQ106" s="841" t="s">
        <v>353</v>
      </c>
      <c r="GR106" s="841" t="s">
        <v>353</v>
      </c>
      <c r="GS106" s="841" t="s">
        <v>2386</v>
      </c>
      <c r="GT106" s="841" t="s">
        <v>353</v>
      </c>
      <c r="GU106" s="841" t="s">
        <v>353</v>
      </c>
      <c r="GV106" s="841" t="s">
        <v>1076</v>
      </c>
      <c r="GW106" s="841" t="s">
        <v>353</v>
      </c>
      <c r="GX106" s="841" t="s">
        <v>353</v>
      </c>
      <c r="GY106" s="841">
        <v>24</v>
      </c>
      <c r="GZ106" s="841" t="s">
        <v>1716</v>
      </c>
      <c r="HA106" s="841" t="s">
        <v>353</v>
      </c>
      <c r="HB106" s="841" t="s">
        <v>353</v>
      </c>
      <c r="HC106" s="841" t="s">
        <v>1421</v>
      </c>
      <c r="HD106" s="841" t="s">
        <v>2387</v>
      </c>
      <c r="HE106" s="841" t="s">
        <v>353</v>
      </c>
      <c r="HF106" s="841" t="s">
        <v>353</v>
      </c>
      <c r="HG106" s="841" t="s">
        <v>353</v>
      </c>
      <c r="HH106" s="841" t="s">
        <v>353</v>
      </c>
      <c r="HI106" s="841" t="s">
        <v>1422</v>
      </c>
      <c r="HJ106" s="841" t="s">
        <v>2388</v>
      </c>
      <c r="HK106" s="841">
        <v>300000</v>
      </c>
      <c r="HL106" s="841" t="s">
        <v>353</v>
      </c>
      <c r="HM106" s="841" t="s">
        <v>1423</v>
      </c>
      <c r="HN106" s="841" t="s">
        <v>353</v>
      </c>
      <c r="HO106" s="841" t="s">
        <v>353</v>
      </c>
      <c r="HP106" s="841">
        <v>15870</v>
      </c>
      <c r="HQ106" s="841" t="s">
        <v>353</v>
      </c>
      <c r="HR106" s="841" t="s">
        <v>353</v>
      </c>
      <c r="HS106" s="841">
        <v>252390</v>
      </c>
      <c r="HT106" s="841" t="s">
        <v>353</v>
      </c>
      <c r="HU106" s="841" t="s">
        <v>353</v>
      </c>
      <c r="HV106" s="841" t="s">
        <v>353</v>
      </c>
      <c r="HW106" s="841">
        <v>500000</v>
      </c>
      <c r="HX106" s="841" t="s">
        <v>353</v>
      </c>
      <c r="HY106" s="841" t="s">
        <v>353</v>
      </c>
      <c r="HZ106" s="841" t="s">
        <v>353</v>
      </c>
      <c r="IA106" s="841" t="s">
        <v>353</v>
      </c>
      <c r="IB106" s="841" t="s">
        <v>1424</v>
      </c>
      <c r="IC106" s="841" t="s">
        <v>353</v>
      </c>
      <c r="ID106" s="841" t="s">
        <v>353</v>
      </c>
      <c r="IE106" s="841" t="s">
        <v>353</v>
      </c>
      <c r="IF106" s="841" t="s">
        <v>353</v>
      </c>
      <c r="IG106" s="841" t="s">
        <v>353</v>
      </c>
      <c r="IH106" s="841" t="s">
        <v>353</v>
      </c>
      <c r="II106" s="841" t="s">
        <v>353</v>
      </c>
      <c r="IJ106" s="841" t="s">
        <v>353</v>
      </c>
      <c r="IK106" s="841" t="s">
        <v>353</v>
      </c>
      <c r="IL106" s="841">
        <v>296033</v>
      </c>
      <c r="IM106" s="841" t="s">
        <v>353</v>
      </c>
      <c r="IN106" s="841" t="s">
        <v>353</v>
      </c>
      <c r="IO106" s="841" t="s">
        <v>353</v>
      </c>
      <c r="IP106" s="841" t="s">
        <v>353</v>
      </c>
      <c r="IQ106" s="841" t="s">
        <v>353</v>
      </c>
      <c r="IR106" s="841">
        <v>3</v>
      </c>
      <c r="IS106" s="841" t="s">
        <v>353</v>
      </c>
      <c r="IT106" s="841" t="s">
        <v>353</v>
      </c>
      <c r="IU106" s="841" t="s">
        <v>353</v>
      </c>
      <c r="IV106" s="841" t="s">
        <v>353</v>
      </c>
      <c r="IW106" s="841" t="s">
        <v>353</v>
      </c>
      <c r="IX106" s="841" t="s">
        <v>353</v>
      </c>
      <c r="IY106" s="841" t="s">
        <v>1622</v>
      </c>
      <c r="IZ106" s="841" t="s">
        <v>353</v>
      </c>
      <c r="JA106" s="841">
        <v>300000</v>
      </c>
      <c r="JB106" s="841" t="s">
        <v>353</v>
      </c>
      <c r="JC106" s="841" t="s">
        <v>353</v>
      </c>
      <c r="JD106" s="841" t="s">
        <v>1456</v>
      </c>
      <c r="JE106" s="841" t="s">
        <v>353</v>
      </c>
      <c r="JF106" s="841" t="s">
        <v>2029</v>
      </c>
      <c r="JG106" s="841" t="s">
        <v>2030</v>
      </c>
      <c r="JH106" s="841" t="s">
        <v>1838</v>
      </c>
      <c r="JI106" s="841" t="s">
        <v>1839</v>
      </c>
    </row>
    <row r="107" spans="1:269" x14ac:dyDescent="0.25">
      <c r="A107" s="841" t="s">
        <v>2389</v>
      </c>
      <c r="B107" s="841" t="s">
        <v>353</v>
      </c>
      <c r="C107" s="841" t="s">
        <v>353</v>
      </c>
      <c r="D107" s="841" t="s">
        <v>353</v>
      </c>
      <c r="E107" s="841" t="s">
        <v>33</v>
      </c>
      <c r="F107" s="841" t="s">
        <v>1930</v>
      </c>
      <c r="G107" s="841" t="s">
        <v>2086</v>
      </c>
      <c r="H107" s="841" t="s">
        <v>353</v>
      </c>
      <c r="I107" s="841" t="s">
        <v>33</v>
      </c>
      <c r="J107" s="841" t="s">
        <v>353</v>
      </c>
      <c r="K107" s="841" t="s">
        <v>2167</v>
      </c>
      <c r="L107" s="842">
        <v>44606.744444444441</v>
      </c>
      <c r="M107" s="841" t="s">
        <v>353</v>
      </c>
      <c r="N107" s="841" t="s">
        <v>33</v>
      </c>
      <c r="O107" s="841" t="s">
        <v>353</v>
      </c>
      <c r="P107" s="841" t="s">
        <v>33</v>
      </c>
      <c r="Q107" s="841" t="s">
        <v>353</v>
      </c>
      <c r="R107" s="841" t="s">
        <v>353</v>
      </c>
      <c r="S107" s="841" t="s">
        <v>64</v>
      </c>
      <c r="T107" s="841" t="s">
        <v>1390</v>
      </c>
      <c r="U107" s="841" t="s">
        <v>353</v>
      </c>
      <c r="V107" s="841" t="s">
        <v>353</v>
      </c>
      <c r="W107" s="841" t="s">
        <v>1420</v>
      </c>
      <c r="X107" s="841" t="s">
        <v>1405</v>
      </c>
      <c r="Y107" s="841" t="s">
        <v>353</v>
      </c>
      <c r="Z107" s="841" t="s">
        <v>353</v>
      </c>
      <c r="AA107" s="841" t="s">
        <v>33</v>
      </c>
      <c r="AB107" s="843">
        <v>44585</v>
      </c>
      <c r="AC107" s="841">
        <v>249000</v>
      </c>
      <c r="AD107" s="841" t="s">
        <v>353</v>
      </c>
      <c r="AE107" s="841" t="s">
        <v>33</v>
      </c>
      <c r="AF107" s="841">
        <v>1097.68</v>
      </c>
      <c r="AG107" s="841" t="s">
        <v>353</v>
      </c>
      <c r="AH107" s="841">
        <v>1533</v>
      </c>
      <c r="AI107" s="841" t="s">
        <v>1406</v>
      </c>
      <c r="AJ107" s="841" t="s">
        <v>2168</v>
      </c>
      <c r="AK107" s="841">
        <v>75</v>
      </c>
      <c r="AL107" s="841" t="s">
        <v>353</v>
      </c>
      <c r="AM107" s="841" t="s">
        <v>353</v>
      </c>
      <c r="AN107" s="841" t="s">
        <v>33</v>
      </c>
      <c r="AO107" s="841" t="s">
        <v>353</v>
      </c>
      <c r="AP107" s="841" t="s">
        <v>353</v>
      </c>
      <c r="AQ107" s="841" t="s">
        <v>353</v>
      </c>
      <c r="AR107" s="841" t="s">
        <v>33</v>
      </c>
      <c r="AS107" s="841" t="s">
        <v>353</v>
      </c>
      <c r="AT107" s="841" t="s">
        <v>353</v>
      </c>
      <c r="AU107" s="841" t="s">
        <v>353</v>
      </c>
      <c r="AV107" s="841" t="s">
        <v>353</v>
      </c>
      <c r="AW107" s="843">
        <v>44580</v>
      </c>
      <c r="AX107" s="841" t="s">
        <v>353</v>
      </c>
      <c r="AY107" s="841" t="s">
        <v>353</v>
      </c>
      <c r="AZ107" s="841" t="s">
        <v>353</v>
      </c>
      <c r="BA107" s="841" t="s">
        <v>353</v>
      </c>
      <c r="BB107" s="841" t="s">
        <v>353</v>
      </c>
      <c r="BC107" s="841">
        <v>244642</v>
      </c>
      <c r="BD107" s="841" t="s">
        <v>353</v>
      </c>
      <c r="BE107" s="841" t="s">
        <v>353</v>
      </c>
      <c r="BF107" s="841" t="s">
        <v>353</v>
      </c>
      <c r="BG107" s="841" t="s">
        <v>353</v>
      </c>
      <c r="BH107" s="841" t="s">
        <v>353</v>
      </c>
      <c r="BI107" s="841" t="s">
        <v>353</v>
      </c>
      <c r="BJ107" s="841" t="s">
        <v>353</v>
      </c>
      <c r="BK107" s="841" t="s">
        <v>353</v>
      </c>
      <c r="BL107" s="841" t="s">
        <v>2287</v>
      </c>
      <c r="BM107" s="842">
        <v>44600.746527777781</v>
      </c>
      <c r="BN107" s="841" t="s">
        <v>353</v>
      </c>
      <c r="BO107" s="841" t="s">
        <v>353</v>
      </c>
      <c r="BP107" s="841" t="s">
        <v>673</v>
      </c>
      <c r="BQ107" s="841" t="s">
        <v>353</v>
      </c>
      <c r="BR107" s="841" t="s">
        <v>353</v>
      </c>
      <c r="BS107" s="841" t="s">
        <v>353</v>
      </c>
      <c r="BT107" s="841">
        <v>275000</v>
      </c>
      <c r="BU107" s="841" t="s">
        <v>353</v>
      </c>
      <c r="BV107" s="841" t="s">
        <v>2390</v>
      </c>
      <c r="BW107" s="841" t="s">
        <v>1578</v>
      </c>
      <c r="BX107" s="841" t="s">
        <v>2391</v>
      </c>
      <c r="BY107" s="841" t="s">
        <v>353</v>
      </c>
      <c r="BZ107" s="841" t="s">
        <v>353</v>
      </c>
      <c r="CA107" s="841" t="s">
        <v>353</v>
      </c>
      <c r="CB107" s="841" t="s">
        <v>353</v>
      </c>
      <c r="CC107" s="841" t="s">
        <v>353</v>
      </c>
      <c r="CD107" s="841" t="s">
        <v>353</v>
      </c>
      <c r="CE107" s="841" t="s">
        <v>353</v>
      </c>
      <c r="CF107" s="841" t="s">
        <v>353</v>
      </c>
      <c r="CG107" s="841" t="s">
        <v>353</v>
      </c>
      <c r="CH107" s="841" t="s">
        <v>353</v>
      </c>
      <c r="CI107" s="841" t="s">
        <v>33</v>
      </c>
      <c r="CJ107" s="841">
        <v>684</v>
      </c>
      <c r="CK107" s="841">
        <v>48</v>
      </c>
      <c r="CL107" s="841" t="s">
        <v>353</v>
      </c>
      <c r="CM107" s="841">
        <v>48</v>
      </c>
      <c r="CN107" s="841" t="s">
        <v>353</v>
      </c>
      <c r="CO107" s="841" t="s">
        <v>353</v>
      </c>
      <c r="CP107" s="841" t="s">
        <v>2392</v>
      </c>
      <c r="CQ107" s="841" t="s">
        <v>353</v>
      </c>
      <c r="CR107" s="841" t="s">
        <v>353</v>
      </c>
      <c r="CS107" s="841" t="s">
        <v>353</v>
      </c>
      <c r="CT107" s="841" t="s">
        <v>353</v>
      </c>
      <c r="CU107" s="841" t="s">
        <v>1391</v>
      </c>
      <c r="CV107" s="841" t="s">
        <v>353</v>
      </c>
      <c r="CW107" s="841" t="s">
        <v>353</v>
      </c>
      <c r="CX107" s="841" t="s">
        <v>353</v>
      </c>
      <c r="CY107" s="841" t="s">
        <v>353</v>
      </c>
      <c r="CZ107" s="841">
        <v>2</v>
      </c>
      <c r="DA107" s="841" t="s">
        <v>353</v>
      </c>
      <c r="DB107" s="843">
        <v>44587</v>
      </c>
      <c r="DC107" s="841" t="s">
        <v>353</v>
      </c>
      <c r="DD107" s="841" t="s">
        <v>353</v>
      </c>
      <c r="DE107" s="841" t="s">
        <v>353</v>
      </c>
      <c r="DF107" s="841">
        <v>24</v>
      </c>
      <c r="DG107" s="841" t="s">
        <v>353</v>
      </c>
      <c r="DH107" s="841" t="s">
        <v>353</v>
      </c>
      <c r="DI107" s="841" t="s">
        <v>353</v>
      </c>
      <c r="DJ107" s="841" t="s">
        <v>2393</v>
      </c>
      <c r="DK107" s="841" t="s">
        <v>353</v>
      </c>
      <c r="DL107" s="842">
        <v>44580.524305555555</v>
      </c>
      <c r="DM107" s="841" t="s">
        <v>353</v>
      </c>
      <c r="DN107" s="841" t="s">
        <v>33</v>
      </c>
      <c r="DO107" s="841" t="s">
        <v>353</v>
      </c>
      <c r="DP107" s="841" t="s">
        <v>353</v>
      </c>
      <c r="DQ107" s="841" t="s">
        <v>1434</v>
      </c>
      <c r="DR107" s="841">
        <v>367774</v>
      </c>
      <c r="DS107" s="841">
        <v>24</v>
      </c>
      <c r="DT107" s="841" t="s">
        <v>353</v>
      </c>
      <c r="DU107" s="841" t="s">
        <v>353</v>
      </c>
      <c r="DV107" s="841">
        <v>244642.5</v>
      </c>
      <c r="DW107" s="841">
        <v>249000</v>
      </c>
      <c r="DX107" s="841" t="s">
        <v>33</v>
      </c>
      <c r="DY107" s="841" t="s">
        <v>353</v>
      </c>
      <c r="DZ107" s="841">
        <v>2040</v>
      </c>
      <c r="EA107" s="841" t="s">
        <v>353</v>
      </c>
      <c r="EB107" s="841" t="s">
        <v>353</v>
      </c>
      <c r="EC107" s="841" t="s">
        <v>353</v>
      </c>
      <c r="ED107" s="841" t="s">
        <v>353</v>
      </c>
      <c r="EE107" s="841" t="s">
        <v>33</v>
      </c>
      <c r="EF107" s="841" t="s">
        <v>353</v>
      </c>
      <c r="EG107" s="841" t="s">
        <v>353</v>
      </c>
      <c r="EH107" s="841" t="s">
        <v>33</v>
      </c>
      <c r="EI107" s="841">
        <v>0</v>
      </c>
      <c r="EJ107" s="841" t="s">
        <v>353</v>
      </c>
      <c r="EK107" s="841" t="s">
        <v>353</v>
      </c>
      <c r="EL107" s="841" t="s">
        <v>1930</v>
      </c>
      <c r="EM107" s="841">
        <v>4357.5</v>
      </c>
      <c r="EN107" s="841" t="s">
        <v>353</v>
      </c>
      <c r="EO107" s="841" t="s">
        <v>353</v>
      </c>
      <c r="EP107" s="841" t="s">
        <v>353</v>
      </c>
      <c r="EQ107" s="841" t="s">
        <v>353</v>
      </c>
      <c r="ER107" s="841" t="s">
        <v>33</v>
      </c>
      <c r="ES107" s="841" t="s">
        <v>33</v>
      </c>
      <c r="ET107" s="841" t="s">
        <v>1496</v>
      </c>
      <c r="EU107" s="841" t="s">
        <v>1712</v>
      </c>
      <c r="EV107" s="841" t="s">
        <v>353</v>
      </c>
      <c r="EW107" s="841" t="s">
        <v>353</v>
      </c>
      <c r="EX107" s="841" t="s">
        <v>33</v>
      </c>
      <c r="EY107" s="842">
        <v>44580.490972222222</v>
      </c>
      <c r="EZ107" s="841" t="s">
        <v>353</v>
      </c>
      <c r="FA107" s="841" t="s">
        <v>353</v>
      </c>
      <c r="FB107" s="841" t="s">
        <v>353</v>
      </c>
      <c r="FC107" s="841" t="s">
        <v>353</v>
      </c>
      <c r="FD107" s="841">
        <v>332500</v>
      </c>
      <c r="FE107" s="842">
        <v>44580.525000000001</v>
      </c>
      <c r="FF107" s="841" t="s">
        <v>353</v>
      </c>
      <c r="FG107" s="841" t="s">
        <v>353</v>
      </c>
      <c r="FH107" s="841" t="s">
        <v>353</v>
      </c>
      <c r="FI107" s="841" t="s">
        <v>353</v>
      </c>
      <c r="FJ107" s="841" t="s">
        <v>353</v>
      </c>
      <c r="FK107" s="841" t="s">
        <v>353</v>
      </c>
      <c r="FL107" s="841" t="s">
        <v>353</v>
      </c>
      <c r="FM107" s="841" t="s">
        <v>353</v>
      </c>
      <c r="FN107" s="841" t="s">
        <v>353</v>
      </c>
      <c r="FO107" s="841" t="s">
        <v>1648</v>
      </c>
      <c r="FP107" s="841" t="s">
        <v>2175</v>
      </c>
      <c r="FQ107" s="841" t="s">
        <v>353</v>
      </c>
      <c r="FR107" s="841" t="s">
        <v>353</v>
      </c>
      <c r="FS107" s="841" t="s">
        <v>353</v>
      </c>
      <c r="FT107" s="841" t="s">
        <v>353</v>
      </c>
      <c r="FU107" s="841" t="s">
        <v>2176</v>
      </c>
      <c r="FV107" s="841" t="s">
        <v>353</v>
      </c>
      <c r="FW107" s="841" t="s">
        <v>353</v>
      </c>
      <c r="FX107" s="841" t="s">
        <v>353</v>
      </c>
      <c r="FY107" s="841" t="s">
        <v>353</v>
      </c>
      <c r="FZ107" s="841" t="s">
        <v>353</v>
      </c>
      <c r="GA107" s="841" t="s">
        <v>353</v>
      </c>
      <c r="GB107" s="841">
        <v>1</v>
      </c>
      <c r="GC107" s="841" t="s">
        <v>353</v>
      </c>
      <c r="GD107" s="841" t="s">
        <v>1417</v>
      </c>
      <c r="GE107" s="841" t="s">
        <v>353</v>
      </c>
      <c r="GF107" s="841">
        <v>2040</v>
      </c>
      <c r="GG107" s="841" t="s">
        <v>353</v>
      </c>
      <c r="GH107" s="841">
        <v>249000</v>
      </c>
      <c r="GI107" s="841" t="s">
        <v>353</v>
      </c>
      <c r="GJ107" s="841">
        <v>350000</v>
      </c>
      <c r="GK107" s="841" t="s">
        <v>353</v>
      </c>
      <c r="GL107" s="841" t="s">
        <v>1437</v>
      </c>
      <c r="GM107" s="841" t="s">
        <v>353</v>
      </c>
      <c r="GN107" s="841" t="s">
        <v>353</v>
      </c>
      <c r="GO107" s="841" t="s">
        <v>353</v>
      </c>
      <c r="GP107" s="841" t="s">
        <v>353</v>
      </c>
      <c r="GQ107" s="841" t="s">
        <v>353</v>
      </c>
      <c r="GR107" s="842">
        <v>44580.490972222222</v>
      </c>
      <c r="GS107" s="841" t="s">
        <v>2390</v>
      </c>
      <c r="GT107" s="841" t="s">
        <v>353</v>
      </c>
      <c r="GU107" s="841" t="s">
        <v>353</v>
      </c>
      <c r="GV107" s="841" t="s">
        <v>1419</v>
      </c>
      <c r="GW107" s="841" t="s">
        <v>353</v>
      </c>
      <c r="GX107" s="841" t="s">
        <v>353</v>
      </c>
      <c r="GY107" s="841">
        <v>24</v>
      </c>
      <c r="GZ107" s="841" t="s">
        <v>1420</v>
      </c>
      <c r="HA107" s="841" t="s">
        <v>353</v>
      </c>
      <c r="HB107" s="841" t="s">
        <v>353</v>
      </c>
      <c r="HC107" s="841" t="s">
        <v>1421</v>
      </c>
      <c r="HD107" s="841" t="s">
        <v>2394</v>
      </c>
      <c r="HE107" s="841">
        <v>4980</v>
      </c>
      <c r="HF107" s="841" t="s">
        <v>353</v>
      </c>
      <c r="HG107" s="841" t="s">
        <v>353</v>
      </c>
      <c r="HH107" s="841">
        <v>645</v>
      </c>
      <c r="HI107" s="841" t="s">
        <v>1422</v>
      </c>
      <c r="HJ107" s="841" t="s">
        <v>353</v>
      </c>
      <c r="HK107" s="841">
        <v>249000</v>
      </c>
      <c r="HL107" s="841" t="s">
        <v>49</v>
      </c>
      <c r="HM107" s="841" t="s">
        <v>1423</v>
      </c>
      <c r="HN107" s="841" t="s">
        <v>353</v>
      </c>
      <c r="HO107" s="841" t="s">
        <v>353</v>
      </c>
      <c r="HP107" s="841">
        <v>13172.1</v>
      </c>
      <c r="HQ107" s="841" t="s">
        <v>353</v>
      </c>
      <c r="HR107" s="841" t="s">
        <v>353</v>
      </c>
      <c r="HS107" s="841">
        <v>249000</v>
      </c>
      <c r="HT107" s="841" t="s">
        <v>353</v>
      </c>
      <c r="HU107" s="841" t="s">
        <v>353</v>
      </c>
      <c r="HV107" s="841" t="s">
        <v>353</v>
      </c>
      <c r="HW107" s="841">
        <v>367774</v>
      </c>
      <c r="HX107" s="841" t="s">
        <v>353</v>
      </c>
      <c r="HY107" s="841" t="s">
        <v>353</v>
      </c>
      <c r="HZ107" s="841" t="s">
        <v>353</v>
      </c>
      <c r="IA107" s="841" t="s">
        <v>353</v>
      </c>
      <c r="IB107" s="841" t="s">
        <v>1424</v>
      </c>
      <c r="IC107" s="841" t="s">
        <v>353</v>
      </c>
      <c r="ID107" s="841" t="s">
        <v>353</v>
      </c>
      <c r="IE107" s="841" t="s">
        <v>353</v>
      </c>
      <c r="IF107" s="841" t="s">
        <v>353</v>
      </c>
      <c r="IG107" s="841" t="s">
        <v>353</v>
      </c>
      <c r="IH107" s="841" t="s">
        <v>353</v>
      </c>
      <c r="II107" s="841" t="s">
        <v>353</v>
      </c>
      <c r="IJ107" s="841" t="s">
        <v>353</v>
      </c>
      <c r="IK107" s="841" t="s">
        <v>353</v>
      </c>
      <c r="IL107" s="841">
        <v>249000</v>
      </c>
      <c r="IM107" s="841" t="s">
        <v>353</v>
      </c>
      <c r="IN107" s="841" t="s">
        <v>353</v>
      </c>
      <c r="IO107" s="841">
        <v>199</v>
      </c>
      <c r="IP107" s="841" t="s">
        <v>353</v>
      </c>
      <c r="IQ107" s="841" t="s">
        <v>353</v>
      </c>
      <c r="IR107" s="841">
        <v>0</v>
      </c>
      <c r="IS107" s="841" t="s">
        <v>33</v>
      </c>
      <c r="IT107" s="841" t="s">
        <v>353</v>
      </c>
      <c r="IU107" s="841" t="s">
        <v>33</v>
      </c>
      <c r="IV107" s="841" t="s">
        <v>353</v>
      </c>
      <c r="IW107" s="841" t="s">
        <v>353</v>
      </c>
      <c r="IX107" s="841" t="s">
        <v>353</v>
      </c>
      <c r="IY107" s="841" t="s">
        <v>1622</v>
      </c>
      <c r="IZ107" s="841" t="s">
        <v>353</v>
      </c>
      <c r="JA107" s="841">
        <v>249000</v>
      </c>
      <c r="JB107" s="841" t="s">
        <v>353</v>
      </c>
      <c r="JC107" s="841" t="s">
        <v>353</v>
      </c>
      <c r="JD107" s="841" t="s">
        <v>1456</v>
      </c>
      <c r="JE107" s="841" t="s">
        <v>33</v>
      </c>
      <c r="JF107" s="841" t="s">
        <v>1514</v>
      </c>
      <c r="JG107" s="841" t="s">
        <v>1515</v>
      </c>
      <c r="JH107" s="841" t="s">
        <v>1516</v>
      </c>
      <c r="JI107" s="841" t="s">
        <v>1517</v>
      </c>
    </row>
    <row r="108" spans="1:269" x14ac:dyDescent="0.25">
      <c r="A108" s="841" t="s">
        <v>2395</v>
      </c>
      <c r="B108" s="841" t="s">
        <v>353</v>
      </c>
      <c r="C108" s="841" t="s">
        <v>353</v>
      </c>
      <c r="D108" s="841" t="s">
        <v>353</v>
      </c>
      <c r="E108" s="841" t="s">
        <v>353</v>
      </c>
      <c r="F108" s="841" t="s">
        <v>353</v>
      </c>
      <c r="G108" s="841" t="s">
        <v>1614</v>
      </c>
      <c r="H108" s="841" t="s">
        <v>353</v>
      </c>
      <c r="I108" s="841" t="s">
        <v>353</v>
      </c>
      <c r="J108" s="841" t="s">
        <v>353</v>
      </c>
      <c r="K108" s="841" t="s">
        <v>353</v>
      </c>
      <c r="L108" s="842">
        <v>44607.536111111112</v>
      </c>
      <c r="M108" s="841" t="s">
        <v>353</v>
      </c>
      <c r="N108" s="841" t="s">
        <v>353</v>
      </c>
      <c r="O108" s="841" t="s">
        <v>353</v>
      </c>
      <c r="P108" s="841" t="s">
        <v>353</v>
      </c>
      <c r="Q108" s="841" t="s">
        <v>353</v>
      </c>
      <c r="R108" s="841" t="s">
        <v>353</v>
      </c>
      <c r="S108" s="841" t="s">
        <v>67</v>
      </c>
      <c r="T108" s="841" t="s">
        <v>1390</v>
      </c>
      <c r="U108" s="841" t="s">
        <v>353</v>
      </c>
      <c r="V108" s="841" t="s">
        <v>353</v>
      </c>
      <c r="W108" s="841" t="s">
        <v>1716</v>
      </c>
      <c r="X108" s="841" t="s">
        <v>1405</v>
      </c>
      <c r="Y108" s="841" t="s">
        <v>353</v>
      </c>
      <c r="Z108" s="841" t="s">
        <v>353</v>
      </c>
      <c r="AA108" s="841" t="s">
        <v>353</v>
      </c>
      <c r="AB108" s="841" t="s">
        <v>353</v>
      </c>
      <c r="AC108" s="841">
        <v>69000</v>
      </c>
      <c r="AD108" s="841" t="s">
        <v>353</v>
      </c>
      <c r="AE108" s="841" t="s">
        <v>353</v>
      </c>
      <c r="AF108" s="841" t="s">
        <v>353</v>
      </c>
      <c r="AG108" s="841" t="s">
        <v>353</v>
      </c>
      <c r="AH108" s="841" t="s">
        <v>353</v>
      </c>
      <c r="AI108" s="841" t="s">
        <v>1535</v>
      </c>
      <c r="AJ108" s="841" t="s">
        <v>353</v>
      </c>
      <c r="AK108" s="841">
        <v>75</v>
      </c>
      <c r="AL108" s="841" t="s">
        <v>353</v>
      </c>
      <c r="AM108" s="841" t="s">
        <v>353</v>
      </c>
      <c r="AN108" s="841" t="s">
        <v>353</v>
      </c>
      <c r="AO108" s="841" t="s">
        <v>353</v>
      </c>
      <c r="AP108" s="841" t="s">
        <v>353</v>
      </c>
      <c r="AQ108" s="841" t="s">
        <v>353</v>
      </c>
      <c r="AR108" s="841" t="s">
        <v>353</v>
      </c>
      <c r="AS108" s="841" t="s">
        <v>353</v>
      </c>
      <c r="AT108" s="841" t="s">
        <v>353</v>
      </c>
      <c r="AU108" s="841" t="s">
        <v>353</v>
      </c>
      <c r="AV108" s="841" t="s">
        <v>353</v>
      </c>
      <c r="AW108" s="841" t="s">
        <v>353</v>
      </c>
      <c r="AX108" s="841" t="s">
        <v>353</v>
      </c>
      <c r="AY108" s="841" t="s">
        <v>353</v>
      </c>
      <c r="AZ108" s="841" t="s">
        <v>353</v>
      </c>
      <c r="BA108" s="841" t="s">
        <v>353</v>
      </c>
      <c r="BB108" s="841" t="s">
        <v>353</v>
      </c>
      <c r="BC108" s="841">
        <v>328975</v>
      </c>
      <c r="BD108" s="841" t="s">
        <v>353</v>
      </c>
      <c r="BE108" s="841" t="s">
        <v>353</v>
      </c>
      <c r="BF108" s="841" t="s">
        <v>353</v>
      </c>
      <c r="BG108" s="841" t="s">
        <v>353</v>
      </c>
      <c r="BH108" s="841" t="s">
        <v>353</v>
      </c>
      <c r="BI108" s="841" t="s">
        <v>353</v>
      </c>
      <c r="BJ108" s="841" t="s">
        <v>353</v>
      </c>
      <c r="BK108" s="841" t="s">
        <v>353</v>
      </c>
      <c r="BL108" s="841" t="s">
        <v>2273</v>
      </c>
      <c r="BM108" s="842">
        <v>44592.475694444445</v>
      </c>
      <c r="BN108" s="841" t="s">
        <v>353</v>
      </c>
      <c r="BO108" s="841" t="s">
        <v>353</v>
      </c>
      <c r="BP108" s="841" t="s">
        <v>353</v>
      </c>
      <c r="BQ108" s="841" t="s">
        <v>353</v>
      </c>
      <c r="BR108" s="841" t="s">
        <v>353</v>
      </c>
      <c r="BS108" s="841" t="s">
        <v>353</v>
      </c>
      <c r="BT108" s="841">
        <v>346000</v>
      </c>
      <c r="BU108" s="841" t="s">
        <v>353</v>
      </c>
      <c r="BV108" s="841" t="s">
        <v>2396</v>
      </c>
      <c r="BW108" s="841" t="s">
        <v>353</v>
      </c>
      <c r="BX108" s="841" t="s">
        <v>2397</v>
      </c>
      <c r="BY108" s="841" t="s">
        <v>353</v>
      </c>
      <c r="BZ108" s="841" t="s">
        <v>353</v>
      </c>
      <c r="CA108" s="841" t="s">
        <v>353</v>
      </c>
      <c r="CB108" s="841" t="s">
        <v>353</v>
      </c>
      <c r="CC108" s="841" t="s">
        <v>353</v>
      </c>
      <c r="CD108" s="841" t="s">
        <v>353</v>
      </c>
      <c r="CE108" s="841" t="s">
        <v>353</v>
      </c>
      <c r="CF108" s="841" t="s">
        <v>353</v>
      </c>
      <c r="CG108" s="841" t="s">
        <v>353</v>
      </c>
      <c r="CH108" s="841" t="s">
        <v>353</v>
      </c>
      <c r="CI108" s="841" t="s">
        <v>353</v>
      </c>
      <c r="CJ108" s="841" t="s">
        <v>353</v>
      </c>
      <c r="CK108" s="841">
        <v>3</v>
      </c>
      <c r="CL108" s="841" t="s">
        <v>353</v>
      </c>
      <c r="CM108" s="841">
        <v>3</v>
      </c>
      <c r="CN108" s="841" t="s">
        <v>353</v>
      </c>
      <c r="CO108" s="841" t="s">
        <v>353</v>
      </c>
      <c r="CP108" s="841" t="s">
        <v>2398</v>
      </c>
      <c r="CQ108" s="841" t="s">
        <v>353</v>
      </c>
      <c r="CR108" s="841" t="s">
        <v>353</v>
      </c>
      <c r="CS108" s="841" t="s">
        <v>1405</v>
      </c>
      <c r="CT108" s="841" t="s">
        <v>353</v>
      </c>
      <c r="CU108" s="841" t="s">
        <v>1391</v>
      </c>
      <c r="CV108" s="841" t="s">
        <v>353</v>
      </c>
      <c r="CW108" s="841" t="s">
        <v>353</v>
      </c>
      <c r="CX108" s="841" t="s">
        <v>353</v>
      </c>
      <c r="CY108" s="841" t="s">
        <v>353</v>
      </c>
      <c r="CZ108" s="841">
        <v>2</v>
      </c>
      <c r="DA108" s="841" t="s">
        <v>353</v>
      </c>
      <c r="DB108" s="841" t="s">
        <v>353</v>
      </c>
      <c r="DC108" s="841" t="s">
        <v>353</v>
      </c>
      <c r="DD108" s="841" t="s">
        <v>353</v>
      </c>
      <c r="DE108" s="841" t="s">
        <v>353</v>
      </c>
      <c r="DF108" s="841">
        <v>18</v>
      </c>
      <c r="DG108" s="841" t="s">
        <v>353</v>
      </c>
      <c r="DH108" s="841" t="s">
        <v>353</v>
      </c>
      <c r="DI108" s="841" t="s">
        <v>353</v>
      </c>
      <c r="DJ108" s="841" t="s">
        <v>2399</v>
      </c>
      <c r="DK108" s="841" t="s">
        <v>353</v>
      </c>
      <c r="DL108" s="842">
        <v>44580.475694444445</v>
      </c>
      <c r="DM108" s="841" t="s">
        <v>353</v>
      </c>
      <c r="DN108" s="841" t="s">
        <v>353</v>
      </c>
      <c r="DO108" s="841" t="s">
        <v>673</v>
      </c>
      <c r="DP108" s="841" t="s">
        <v>1412</v>
      </c>
      <c r="DQ108" s="841" t="s">
        <v>1392</v>
      </c>
      <c r="DR108" s="841">
        <v>461825</v>
      </c>
      <c r="DS108" s="841">
        <v>18</v>
      </c>
      <c r="DT108" s="841" t="s">
        <v>353</v>
      </c>
      <c r="DU108" s="841" t="s">
        <v>353</v>
      </c>
      <c r="DV108" s="841">
        <v>218247</v>
      </c>
      <c r="DW108" s="841">
        <v>345000</v>
      </c>
      <c r="DX108" s="841" t="s">
        <v>353</v>
      </c>
      <c r="DY108" s="841" t="s">
        <v>353</v>
      </c>
      <c r="DZ108" s="841" t="s">
        <v>353</v>
      </c>
      <c r="EA108" s="841" t="s">
        <v>353</v>
      </c>
      <c r="EB108" s="841" t="s">
        <v>353</v>
      </c>
      <c r="EC108" s="841" t="s">
        <v>353</v>
      </c>
      <c r="ED108" s="841" t="s">
        <v>353</v>
      </c>
      <c r="EE108" s="841" t="s">
        <v>353</v>
      </c>
      <c r="EF108" s="841" t="s">
        <v>353</v>
      </c>
      <c r="EG108" s="841" t="s">
        <v>353</v>
      </c>
      <c r="EH108" s="841" t="s">
        <v>353</v>
      </c>
      <c r="EI108" s="841">
        <v>119853</v>
      </c>
      <c r="EJ108" s="841" t="s">
        <v>353</v>
      </c>
      <c r="EK108" s="841" t="s">
        <v>353</v>
      </c>
      <c r="EL108" s="841" t="s">
        <v>1435</v>
      </c>
      <c r="EM108" s="841">
        <v>6900</v>
      </c>
      <c r="EN108" s="841" t="s">
        <v>353</v>
      </c>
      <c r="EO108" s="841" t="s">
        <v>353</v>
      </c>
      <c r="EP108" s="841" t="s">
        <v>353</v>
      </c>
      <c r="EQ108" s="841" t="s">
        <v>353</v>
      </c>
      <c r="ER108" s="841" t="s">
        <v>353</v>
      </c>
      <c r="ES108" s="841" t="s">
        <v>353</v>
      </c>
      <c r="ET108" s="841" t="s">
        <v>1393</v>
      </c>
      <c r="EU108" s="841" t="s">
        <v>353</v>
      </c>
      <c r="EV108" s="841" t="s">
        <v>353</v>
      </c>
      <c r="EW108" s="841" t="s">
        <v>353</v>
      </c>
      <c r="EX108" s="841" t="s">
        <v>353</v>
      </c>
      <c r="EY108" s="842">
        <v>44607.535416666666</v>
      </c>
      <c r="EZ108" s="841" t="s">
        <v>353</v>
      </c>
      <c r="FA108" s="841" t="s">
        <v>353</v>
      </c>
      <c r="FB108" s="841" t="s">
        <v>353</v>
      </c>
      <c r="FC108" s="841" t="s">
        <v>353</v>
      </c>
      <c r="FD108" s="841" t="s">
        <v>353</v>
      </c>
      <c r="FE108" s="842">
        <v>44606.433333333334</v>
      </c>
      <c r="FF108" s="841" t="s">
        <v>353</v>
      </c>
      <c r="FG108" s="841" t="s">
        <v>353</v>
      </c>
      <c r="FH108" s="841" t="s">
        <v>353</v>
      </c>
      <c r="FI108" s="841" t="s">
        <v>353</v>
      </c>
      <c r="FJ108" s="841" t="s">
        <v>353</v>
      </c>
      <c r="FK108" s="841" t="s">
        <v>353</v>
      </c>
      <c r="FL108" s="841" t="s">
        <v>353</v>
      </c>
      <c r="FM108" s="841" t="s">
        <v>353</v>
      </c>
      <c r="FN108" s="841" t="s">
        <v>353</v>
      </c>
      <c r="FO108" s="841" t="s">
        <v>1582</v>
      </c>
      <c r="FP108" s="841" t="s">
        <v>353</v>
      </c>
      <c r="FQ108" s="841" t="s">
        <v>353</v>
      </c>
      <c r="FR108" s="841" t="s">
        <v>353</v>
      </c>
      <c r="FS108" s="841" t="s">
        <v>353</v>
      </c>
      <c r="FT108" s="841" t="s">
        <v>353</v>
      </c>
      <c r="FU108" s="841" t="s">
        <v>1416</v>
      </c>
      <c r="FV108" s="841" t="s">
        <v>353</v>
      </c>
      <c r="FW108" s="841" t="s">
        <v>353</v>
      </c>
      <c r="FX108" s="841" t="s">
        <v>353</v>
      </c>
      <c r="FY108" s="841" t="s">
        <v>353</v>
      </c>
      <c r="FZ108" s="841" t="s">
        <v>353</v>
      </c>
      <c r="GA108" s="841" t="s">
        <v>353</v>
      </c>
      <c r="GB108" s="841">
        <v>1</v>
      </c>
      <c r="GC108" s="841" t="s">
        <v>353</v>
      </c>
      <c r="GD108" s="841" t="s">
        <v>1395</v>
      </c>
      <c r="GE108" s="841" t="s">
        <v>353</v>
      </c>
      <c r="GF108" s="841" t="s">
        <v>353</v>
      </c>
      <c r="GG108" s="841" t="s">
        <v>353</v>
      </c>
      <c r="GH108" s="841">
        <v>69000</v>
      </c>
      <c r="GI108" s="841" t="s">
        <v>353</v>
      </c>
      <c r="GJ108" s="841" t="s">
        <v>353</v>
      </c>
      <c r="GK108" s="841" t="s">
        <v>353</v>
      </c>
      <c r="GL108" s="841" t="s">
        <v>2011</v>
      </c>
      <c r="GM108" s="841" t="s">
        <v>353</v>
      </c>
      <c r="GN108" s="841" t="s">
        <v>353</v>
      </c>
      <c r="GO108" s="841" t="s">
        <v>353</v>
      </c>
      <c r="GP108" s="841" t="s">
        <v>353</v>
      </c>
      <c r="GQ108" s="841" t="s">
        <v>353</v>
      </c>
      <c r="GR108" s="842">
        <v>44607.535416666666</v>
      </c>
      <c r="GS108" s="841" t="s">
        <v>2400</v>
      </c>
      <c r="GT108" s="841" t="s">
        <v>353</v>
      </c>
      <c r="GU108" s="841" t="s">
        <v>353</v>
      </c>
      <c r="GV108" s="841" t="s">
        <v>1076</v>
      </c>
      <c r="GW108" s="841" t="s">
        <v>353</v>
      </c>
      <c r="GX108" s="841" t="s">
        <v>353</v>
      </c>
      <c r="GY108" s="841">
        <v>24</v>
      </c>
      <c r="GZ108" s="841" t="s">
        <v>1716</v>
      </c>
      <c r="HA108" s="841" t="s">
        <v>353</v>
      </c>
      <c r="HB108" s="841" t="s">
        <v>353</v>
      </c>
      <c r="HC108" s="841" t="s">
        <v>1421</v>
      </c>
      <c r="HD108" s="841" t="s">
        <v>2401</v>
      </c>
      <c r="HE108" s="841" t="s">
        <v>353</v>
      </c>
      <c r="HF108" s="841" t="s">
        <v>353</v>
      </c>
      <c r="HG108" s="841" t="s">
        <v>353</v>
      </c>
      <c r="HH108" s="841" t="s">
        <v>353</v>
      </c>
      <c r="HI108" s="841" t="s">
        <v>1422</v>
      </c>
      <c r="HJ108" s="841" t="s">
        <v>2402</v>
      </c>
      <c r="HK108" s="841">
        <v>345000</v>
      </c>
      <c r="HL108" s="841" t="s">
        <v>353</v>
      </c>
      <c r="HM108" s="841" t="s">
        <v>1423</v>
      </c>
      <c r="HN108" s="841" t="s">
        <v>353</v>
      </c>
      <c r="HO108" s="841" t="s">
        <v>353</v>
      </c>
      <c r="HP108" s="841">
        <v>19975.5</v>
      </c>
      <c r="HQ108" s="841" t="s">
        <v>353</v>
      </c>
      <c r="HR108" s="841" t="s">
        <v>353</v>
      </c>
      <c r="HS108" s="841">
        <v>225147</v>
      </c>
      <c r="HT108" s="841" t="s">
        <v>353</v>
      </c>
      <c r="HU108" s="841" t="s">
        <v>353</v>
      </c>
      <c r="HV108" s="841" t="s">
        <v>353</v>
      </c>
      <c r="HW108" s="841">
        <v>461825</v>
      </c>
      <c r="HX108" s="841" t="s">
        <v>353</v>
      </c>
      <c r="HY108" s="841" t="s">
        <v>353</v>
      </c>
      <c r="HZ108" s="841" t="s">
        <v>353</v>
      </c>
      <c r="IA108" s="841" t="s">
        <v>353</v>
      </c>
      <c r="IB108" s="841" t="s">
        <v>1424</v>
      </c>
      <c r="IC108" s="841" t="s">
        <v>353</v>
      </c>
      <c r="ID108" s="841" t="s">
        <v>353</v>
      </c>
      <c r="IE108" s="841" t="s">
        <v>353</v>
      </c>
      <c r="IF108" s="841" t="s">
        <v>353</v>
      </c>
      <c r="IG108" s="841" t="s">
        <v>353</v>
      </c>
      <c r="IH108" s="841" t="s">
        <v>353</v>
      </c>
      <c r="II108" s="841" t="s">
        <v>353</v>
      </c>
      <c r="IJ108" s="841" t="s">
        <v>353</v>
      </c>
      <c r="IK108" s="841" t="s">
        <v>353</v>
      </c>
      <c r="IL108" s="841">
        <v>335012</v>
      </c>
      <c r="IM108" s="841" t="s">
        <v>353</v>
      </c>
      <c r="IN108" s="841" t="s">
        <v>353</v>
      </c>
      <c r="IO108" s="841" t="s">
        <v>353</v>
      </c>
      <c r="IP108" s="841" t="s">
        <v>353</v>
      </c>
      <c r="IQ108" s="841" t="s">
        <v>353</v>
      </c>
      <c r="IR108" s="841">
        <v>6</v>
      </c>
      <c r="IS108" s="841" t="s">
        <v>353</v>
      </c>
      <c r="IT108" s="841" t="s">
        <v>353</v>
      </c>
      <c r="IU108" s="841" t="s">
        <v>353</v>
      </c>
      <c r="IV108" s="841" t="s">
        <v>353</v>
      </c>
      <c r="IW108" s="841" t="s">
        <v>353</v>
      </c>
      <c r="IX108" s="841" t="s">
        <v>353</v>
      </c>
      <c r="IY108" s="841" t="s">
        <v>1622</v>
      </c>
      <c r="IZ108" s="841" t="s">
        <v>353</v>
      </c>
      <c r="JA108" s="841">
        <v>345000</v>
      </c>
      <c r="JB108" s="841" t="s">
        <v>353</v>
      </c>
      <c r="JC108" s="841" t="s">
        <v>353</v>
      </c>
      <c r="JD108" s="841" t="s">
        <v>1413</v>
      </c>
      <c r="JE108" s="841" t="s">
        <v>353</v>
      </c>
      <c r="JF108" s="841" t="s">
        <v>1836</v>
      </c>
      <c r="JG108" s="841" t="s">
        <v>1837</v>
      </c>
      <c r="JH108" s="841" t="s">
        <v>2278</v>
      </c>
      <c r="JI108" s="841" t="s">
        <v>2279</v>
      </c>
    </row>
    <row r="109" spans="1:269" x14ac:dyDescent="0.25">
      <c r="A109" s="841" t="s">
        <v>2403</v>
      </c>
      <c r="B109" s="841" t="s">
        <v>353</v>
      </c>
      <c r="C109" s="841" t="s">
        <v>1403</v>
      </c>
      <c r="D109" s="841" t="s">
        <v>353</v>
      </c>
      <c r="E109" s="841" t="s">
        <v>33</v>
      </c>
      <c r="F109" s="841" t="s">
        <v>1435</v>
      </c>
      <c r="G109" s="841" t="s">
        <v>2236</v>
      </c>
      <c r="H109" s="841" t="s">
        <v>353</v>
      </c>
      <c r="I109" s="841" t="s">
        <v>353</v>
      </c>
      <c r="J109" s="841" t="s">
        <v>353</v>
      </c>
      <c r="K109" s="841" t="s">
        <v>353</v>
      </c>
      <c r="L109" s="842">
        <v>44603.623611111114</v>
      </c>
      <c r="M109" s="841" t="s">
        <v>353</v>
      </c>
      <c r="N109" s="841" t="s">
        <v>353</v>
      </c>
      <c r="O109" s="841" t="s">
        <v>353</v>
      </c>
      <c r="P109" s="841" t="s">
        <v>33</v>
      </c>
      <c r="Q109" s="841" t="s">
        <v>353</v>
      </c>
      <c r="R109" s="841" t="s">
        <v>353</v>
      </c>
      <c r="S109" s="841" t="s">
        <v>61</v>
      </c>
      <c r="T109" s="841" t="s">
        <v>1390</v>
      </c>
      <c r="U109" s="841" t="s">
        <v>353</v>
      </c>
      <c r="V109" s="841" t="s">
        <v>353</v>
      </c>
      <c r="W109" s="841" t="s">
        <v>1575</v>
      </c>
      <c r="X109" s="841" t="s">
        <v>1435</v>
      </c>
      <c r="Y109" s="841" t="s">
        <v>353</v>
      </c>
      <c r="Z109" s="841" t="s">
        <v>353</v>
      </c>
      <c r="AA109" s="841" t="s">
        <v>673</v>
      </c>
      <c r="AB109" s="841" t="s">
        <v>353</v>
      </c>
      <c r="AC109" s="841">
        <v>337200</v>
      </c>
      <c r="AD109" s="841" t="s">
        <v>353</v>
      </c>
      <c r="AE109" s="841" t="s">
        <v>673</v>
      </c>
      <c r="AF109" s="841">
        <v>1774.98</v>
      </c>
      <c r="AG109" s="841" t="s">
        <v>353</v>
      </c>
      <c r="AH109" s="841">
        <v>2600</v>
      </c>
      <c r="AI109" s="841" t="s">
        <v>1406</v>
      </c>
      <c r="AJ109" s="841" t="s">
        <v>353</v>
      </c>
      <c r="AK109" s="841">
        <v>75</v>
      </c>
      <c r="AL109" s="841" t="s">
        <v>353</v>
      </c>
      <c r="AM109" s="841" t="s">
        <v>353</v>
      </c>
      <c r="AN109" s="841" t="s">
        <v>33</v>
      </c>
      <c r="AO109" s="841" t="s">
        <v>353</v>
      </c>
      <c r="AP109" s="841" t="s">
        <v>353</v>
      </c>
      <c r="AQ109" s="841" t="s">
        <v>353</v>
      </c>
      <c r="AR109" s="841" t="s">
        <v>673</v>
      </c>
      <c r="AS109" s="841" t="s">
        <v>353</v>
      </c>
      <c r="AT109" s="841" t="s">
        <v>353</v>
      </c>
      <c r="AU109" s="841" t="s">
        <v>1405</v>
      </c>
      <c r="AV109" s="841" t="s">
        <v>353</v>
      </c>
      <c r="AW109" s="843">
        <v>44579</v>
      </c>
      <c r="AX109" s="841" t="s">
        <v>353</v>
      </c>
      <c r="AY109" s="841" t="s">
        <v>353</v>
      </c>
      <c r="AZ109" s="841" t="s">
        <v>353</v>
      </c>
      <c r="BA109" s="841" t="s">
        <v>353</v>
      </c>
      <c r="BB109" s="841" t="s">
        <v>353</v>
      </c>
      <c r="BC109" s="841">
        <v>537005</v>
      </c>
      <c r="BD109" s="841" t="s">
        <v>353</v>
      </c>
      <c r="BE109" s="841" t="s">
        <v>353</v>
      </c>
      <c r="BF109" s="841" t="s">
        <v>353</v>
      </c>
      <c r="BG109" s="841" t="s">
        <v>353</v>
      </c>
      <c r="BH109" s="841" t="s">
        <v>353</v>
      </c>
      <c r="BI109" s="841" t="s">
        <v>353</v>
      </c>
      <c r="BJ109" s="841" t="s">
        <v>353</v>
      </c>
      <c r="BK109" s="841" t="s">
        <v>353</v>
      </c>
      <c r="BL109" s="841" t="s">
        <v>2404</v>
      </c>
      <c r="BM109" s="842">
        <v>44592.519444444442</v>
      </c>
      <c r="BN109" s="841" t="s">
        <v>353</v>
      </c>
      <c r="BO109" s="841" t="s">
        <v>353</v>
      </c>
      <c r="BP109" s="841" t="s">
        <v>353</v>
      </c>
      <c r="BQ109" s="841" t="s">
        <v>353</v>
      </c>
      <c r="BR109" s="841" t="s">
        <v>353</v>
      </c>
      <c r="BS109" s="841" t="s">
        <v>353</v>
      </c>
      <c r="BT109" s="841">
        <v>562000</v>
      </c>
      <c r="BU109" s="841" t="s">
        <v>353</v>
      </c>
      <c r="BV109" s="841" t="s">
        <v>2405</v>
      </c>
      <c r="BW109" s="841" t="s">
        <v>1578</v>
      </c>
      <c r="BX109" s="841" t="s">
        <v>2406</v>
      </c>
      <c r="BY109" s="841" t="s">
        <v>353</v>
      </c>
      <c r="BZ109" s="841" t="s">
        <v>353</v>
      </c>
      <c r="CA109" s="841" t="s">
        <v>353</v>
      </c>
      <c r="CB109" s="841" t="s">
        <v>353</v>
      </c>
      <c r="CC109" s="841" t="s">
        <v>353</v>
      </c>
      <c r="CD109" s="841" t="s">
        <v>353</v>
      </c>
      <c r="CE109" s="841" t="s">
        <v>353</v>
      </c>
      <c r="CF109" s="841" t="s">
        <v>353</v>
      </c>
      <c r="CG109" s="841" t="s">
        <v>353</v>
      </c>
      <c r="CH109" s="841" t="s">
        <v>353</v>
      </c>
      <c r="CI109" s="841" t="s">
        <v>33</v>
      </c>
      <c r="CJ109" s="841">
        <v>6300</v>
      </c>
      <c r="CK109" s="841">
        <v>5</v>
      </c>
      <c r="CL109" s="841" t="s">
        <v>353</v>
      </c>
      <c r="CM109" s="841">
        <v>5</v>
      </c>
      <c r="CN109" s="841" t="s">
        <v>353</v>
      </c>
      <c r="CO109" s="841" t="s">
        <v>353</v>
      </c>
      <c r="CP109" s="841" t="s">
        <v>2407</v>
      </c>
      <c r="CQ109" s="841" t="s">
        <v>353</v>
      </c>
      <c r="CR109" s="841" t="s">
        <v>353</v>
      </c>
      <c r="CS109" s="841" t="s">
        <v>1405</v>
      </c>
      <c r="CT109" s="841" t="s">
        <v>353</v>
      </c>
      <c r="CU109" s="841" t="s">
        <v>1391</v>
      </c>
      <c r="CV109" s="841" t="s">
        <v>353</v>
      </c>
      <c r="CW109" s="841" t="s">
        <v>353</v>
      </c>
      <c r="CX109" s="841" t="s">
        <v>353</v>
      </c>
      <c r="CY109" s="841" t="s">
        <v>353</v>
      </c>
      <c r="CZ109" s="841" t="s">
        <v>353</v>
      </c>
      <c r="DA109" s="841" t="s">
        <v>353</v>
      </c>
      <c r="DB109" s="843">
        <v>44585</v>
      </c>
      <c r="DC109" s="841" t="s">
        <v>353</v>
      </c>
      <c r="DD109" s="841" t="s">
        <v>353</v>
      </c>
      <c r="DE109" s="841" t="s">
        <v>353</v>
      </c>
      <c r="DF109" s="841">
        <v>21</v>
      </c>
      <c r="DG109" s="841" t="s">
        <v>353</v>
      </c>
      <c r="DH109" s="841" t="s">
        <v>353</v>
      </c>
      <c r="DI109" s="841" t="s">
        <v>353</v>
      </c>
      <c r="DJ109" s="841" t="s">
        <v>2408</v>
      </c>
      <c r="DK109" s="841" t="s">
        <v>353</v>
      </c>
      <c r="DL109" s="842">
        <v>44579.519444444442</v>
      </c>
      <c r="DM109" s="841" t="s">
        <v>353</v>
      </c>
      <c r="DN109" s="841" t="s">
        <v>33</v>
      </c>
      <c r="DO109" s="841" t="s">
        <v>673</v>
      </c>
      <c r="DP109" s="841" t="s">
        <v>1412</v>
      </c>
      <c r="DQ109" s="841" t="s">
        <v>673</v>
      </c>
      <c r="DR109" s="841" t="s">
        <v>353</v>
      </c>
      <c r="DS109" s="841">
        <v>21</v>
      </c>
      <c r="DT109" s="841" t="s">
        <v>353</v>
      </c>
      <c r="DU109" s="841" t="s">
        <v>353</v>
      </c>
      <c r="DV109" s="841">
        <v>472810.6</v>
      </c>
      <c r="DW109" s="841">
        <v>562000</v>
      </c>
      <c r="DX109" s="841" t="s">
        <v>27</v>
      </c>
      <c r="DY109" s="841" t="s">
        <v>353</v>
      </c>
      <c r="DZ109" s="841" t="s">
        <v>353</v>
      </c>
      <c r="EA109" s="841" t="s">
        <v>353</v>
      </c>
      <c r="EB109" s="841" t="s">
        <v>353</v>
      </c>
      <c r="EC109" s="841" t="s">
        <v>353</v>
      </c>
      <c r="ED109" s="841" t="s">
        <v>353</v>
      </c>
      <c r="EE109" s="841" t="s">
        <v>673</v>
      </c>
      <c r="EF109" s="841" t="s">
        <v>353</v>
      </c>
      <c r="EG109" s="841" t="s">
        <v>353</v>
      </c>
      <c r="EH109" s="841" t="s">
        <v>33</v>
      </c>
      <c r="EI109" s="841">
        <v>80759.399999999994</v>
      </c>
      <c r="EJ109" s="841" t="s">
        <v>353</v>
      </c>
      <c r="EK109" s="841" t="s">
        <v>1488</v>
      </c>
      <c r="EL109" s="841" t="s">
        <v>1435</v>
      </c>
      <c r="EM109" s="841">
        <v>8430</v>
      </c>
      <c r="EN109" s="841" t="s">
        <v>353</v>
      </c>
      <c r="EO109" s="841" t="s">
        <v>353</v>
      </c>
      <c r="EP109" s="841" t="s">
        <v>353</v>
      </c>
      <c r="EQ109" s="841" t="s">
        <v>353</v>
      </c>
      <c r="ER109" s="841" t="s">
        <v>353</v>
      </c>
      <c r="ES109" s="841" t="s">
        <v>33</v>
      </c>
      <c r="ET109" s="841" t="s">
        <v>1711</v>
      </c>
      <c r="EU109" s="841" t="s">
        <v>2173</v>
      </c>
      <c r="EV109" s="841" t="s">
        <v>353</v>
      </c>
      <c r="EW109" s="841" t="s">
        <v>353</v>
      </c>
      <c r="EX109" s="841" t="s">
        <v>27</v>
      </c>
      <c r="EY109" s="842">
        <v>44603.619444444441</v>
      </c>
      <c r="EZ109" s="841" t="s">
        <v>353</v>
      </c>
      <c r="FA109" s="841" t="s">
        <v>353</v>
      </c>
      <c r="FB109" s="841" t="s">
        <v>353</v>
      </c>
      <c r="FC109" s="841" t="s">
        <v>353</v>
      </c>
      <c r="FD109" s="841">
        <v>670000</v>
      </c>
      <c r="FE109" s="842">
        <v>44579.523611111108</v>
      </c>
      <c r="FF109" s="841" t="s">
        <v>353</v>
      </c>
      <c r="FG109" s="841" t="s">
        <v>2409</v>
      </c>
      <c r="FH109" s="841" t="s">
        <v>353</v>
      </c>
      <c r="FI109" s="841" t="s">
        <v>353</v>
      </c>
      <c r="FJ109" s="841" t="s">
        <v>353</v>
      </c>
      <c r="FK109" s="841" t="s">
        <v>353</v>
      </c>
      <c r="FL109" s="841" t="s">
        <v>353</v>
      </c>
      <c r="FM109" s="841" t="s">
        <v>353</v>
      </c>
      <c r="FN109" s="841" t="s">
        <v>353</v>
      </c>
      <c r="FO109" s="841" t="s">
        <v>1528</v>
      </c>
      <c r="FP109" s="841" t="s">
        <v>353</v>
      </c>
      <c r="FQ109" s="841" t="s">
        <v>353</v>
      </c>
      <c r="FR109" s="841" t="s">
        <v>353</v>
      </c>
      <c r="FS109" s="841" t="s">
        <v>353</v>
      </c>
      <c r="FT109" s="841" t="s">
        <v>353</v>
      </c>
      <c r="FU109" s="841" t="s">
        <v>1714</v>
      </c>
      <c r="FV109" s="841" t="s">
        <v>353</v>
      </c>
      <c r="FW109" s="841" t="s">
        <v>353</v>
      </c>
      <c r="FX109" s="841" t="s">
        <v>353</v>
      </c>
      <c r="FY109" s="841" t="s">
        <v>353</v>
      </c>
      <c r="FZ109" s="841" t="s">
        <v>353</v>
      </c>
      <c r="GA109" s="841" t="s">
        <v>353</v>
      </c>
      <c r="GB109" s="841">
        <v>1</v>
      </c>
      <c r="GC109" s="841" t="s">
        <v>353</v>
      </c>
      <c r="GD109" s="841" t="s">
        <v>1395</v>
      </c>
      <c r="GE109" s="841" t="s">
        <v>353</v>
      </c>
      <c r="GF109" s="841" t="s">
        <v>353</v>
      </c>
      <c r="GG109" s="841" t="s">
        <v>349</v>
      </c>
      <c r="GH109" s="841">
        <v>337200</v>
      </c>
      <c r="GI109" s="841" t="s">
        <v>353</v>
      </c>
      <c r="GJ109" s="841">
        <v>725000</v>
      </c>
      <c r="GK109" s="841" t="s">
        <v>353</v>
      </c>
      <c r="GL109" s="841" t="s">
        <v>2410</v>
      </c>
      <c r="GM109" s="841" t="s">
        <v>353</v>
      </c>
      <c r="GN109" s="841" t="s">
        <v>353</v>
      </c>
      <c r="GO109" s="841" t="s">
        <v>353</v>
      </c>
      <c r="GP109" s="841" t="s">
        <v>353</v>
      </c>
      <c r="GQ109" s="841" t="s">
        <v>353</v>
      </c>
      <c r="GR109" s="842">
        <v>44603.619444444441</v>
      </c>
      <c r="GS109" s="841" t="s">
        <v>2411</v>
      </c>
      <c r="GT109" s="841" t="s">
        <v>353</v>
      </c>
      <c r="GU109" s="841" t="s">
        <v>353</v>
      </c>
      <c r="GV109" s="841" t="s">
        <v>1419</v>
      </c>
      <c r="GW109" s="841" t="s">
        <v>353</v>
      </c>
      <c r="GX109" s="841" t="s">
        <v>2412</v>
      </c>
      <c r="GY109" s="841">
        <v>24</v>
      </c>
      <c r="GZ109" s="841" t="s">
        <v>1575</v>
      </c>
      <c r="HA109" s="841" t="s">
        <v>353</v>
      </c>
      <c r="HB109" s="841" t="s">
        <v>353</v>
      </c>
      <c r="HC109" s="841" t="s">
        <v>1421</v>
      </c>
      <c r="HD109" s="841" t="s">
        <v>2407</v>
      </c>
      <c r="HE109" s="841">
        <v>11240</v>
      </c>
      <c r="HF109" s="841" t="s">
        <v>353</v>
      </c>
      <c r="HG109" s="841" t="s">
        <v>353</v>
      </c>
      <c r="HH109" s="841">
        <v>6300</v>
      </c>
      <c r="HI109" s="841" t="s">
        <v>1422</v>
      </c>
      <c r="HJ109" s="841" t="s">
        <v>2413</v>
      </c>
      <c r="HK109" s="841">
        <v>562000</v>
      </c>
      <c r="HL109" s="841" t="s">
        <v>49</v>
      </c>
      <c r="HM109" s="841" t="s">
        <v>1423</v>
      </c>
      <c r="HN109" s="841" t="s">
        <v>33</v>
      </c>
      <c r="HO109" s="841" t="s">
        <v>353</v>
      </c>
      <c r="HP109" s="841">
        <v>26919.8</v>
      </c>
      <c r="HQ109" s="841" t="s">
        <v>353</v>
      </c>
      <c r="HR109" s="841" t="s">
        <v>353</v>
      </c>
      <c r="HS109" s="841">
        <v>481240.6</v>
      </c>
      <c r="HT109" s="841" t="s">
        <v>353</v>
      </c>
      <c r="HU109" s="841" t="s">
        <v>353</v>
      </c>
      <c r="HV109" s="841" t="s">
        <v>353</v>
      </c>
      <c r="HW109" s="841">
        <v>750000</v>
      </c>
      <c r="HX109" s="841" t="s">
        <v>353</v>
      </c>
      <c r="HY109" s="841" t="s">
        <v>353</v>
      </c>
      <c r="HZ109" s="841" t="s">
        <v>353</v>
      </c>
      <c r="IA109" s="841" t="s">
        <v>353</v>
      </c>
      <c r="IB109" s="841" t="s">
        <v>1424</v>
      </c>
      <c r="IC109" s="841" t="s">
        <v>353</v>
      </c>
      <c r="ID109" s="841" t="s">
        <v>353</v>
      </c>
      <c r="IE109" s="841" t="s">
        <v>353</v>
      </c>
      <c r="IF109" s="841" t="s">
        <v>353</v>
      </c>
      <c r="IG109" s="841" t="s">
        <v>353</v>
      </c>
      <c r="IH109" s="841" t="s">
        <v>353</v>
      </c>
      <c r="II109" s="841" t="s">
        <v>353</v>
      </c>
      <c r="IJ109" s="841">
        <v>981</v>
      </c>
      <c r="IK109" s="841" t="s">
        <v>353</v>
      </c>
      <c r="IL109" s="841">
        <v>545435</v>
      </c>
      <c r="IM109" s="841" t="s">
        <v>353</v>
      </c>
      <c r="IN109" s="841" t="s">
        <v>353</v>
      </c>
      <c r="IO109" s="841">
        <v>0</v>
      </c>
      <c r="IP109" s="841" t="s">
        <v>353</v>
      </c>
      <c r="IQ109" s="841" t="s">
        <v>353</v>
      </c>
      <c r="IR109" s="841">
        <v>3</v>
      </c>
      <c r="IS109" s="841" t="s">
        <v>33</v>
      </c>
      <c r="IT109" s="841" t="s">
        <v>353</v>
      </c>
      <c r="IU109" s="841" t="s">
        <v>353</v>
      </c>
      <c r="IV109" s="841" t="s">
        <v>353</v>
      </c>
      <c r="IW109" s="841" t="s">
        <v>353</v>
      </c>
      <c r="IX109" s="841" t="s">
        <v>353</v>
      </c>
      <c r="IY109" s="841" t="s">
        <v>353</v>
      </c>
      <c r="IZ109" s="841" t="s">
        <v>353</v>
      </c>
      <c r="JA109" s="841">
        <v>562000</v>
      </c>
      <c r="JB109" s="841" t="s">
        <v>353</v>
      </c>
      <c r="JC109" s="841" t="s">
        <v>33</v>
      </c>
      <c r="JD109" s="841" t="s">
        <v>1488</v>
      </c>
      <c r="JE109" s="841" t="s">
        <v>33</v>
      </c>
      <c r="JF109" s="841" t="s">
        <v>2414</v>
      </c>
      <c r="JG109" s="841" t="s">
        <v>2415</v>
      </c>
      <c r="JH109" s="841" t="s">
        <v>2416</v>
      </c>
      <c r="JI109" s="841" t="s">
        <v>2417</v>
      </c>
    </row>
    <row r="110" spans="1:269" x14ac:dyDescent="0.25">
      <c r="A110" s="841" t="s">
        <v>2418</v>
      </c>
      <c r="B110" s="841" t="s">
        <v>353</v>
      </c>
      <c r="C110" s="841" t="s">
        <v>1403</v>
      </c>
      <c r="D110" s="841" t="s">
        <v>353</v>
      </c>
      <c r="E110" s="841" t="s">
        <v>33</v>
      </c>
      <c r="F110" s="841" t="s">
        <v>1435</v>
      </c>
      <c r="G110" s="841" t="s">
        <v>2236</v>
      </c>
      <c r="H110" s="841" t="s">
        <v>353</v>
      </c>
      <c r="I110" s="841" t="s">
        <v>33</v>
      </c>
      <c r="J110" s="841" t="s">
        <v>353</v>
      </c>
      <c r="K110" s="841" t="s">
        <v>2167</v>
      </c>
      <c r="L110" s="842">
        <v>44606.722222222219</v>
      </c>
      <c r="M110" s="841" t="s">
        <v>353</v>
      </c>
      <c r="N110" s="841" t="s">
        <v>33</v>
      </c>
      <c r="O110" s="841" t="s">
        <v>353</v>
      </c>
      <c r="P110" s="841" t="s">
        <v>673</v>
      </c>
      <c r="Q110" s="841" t="s">
        <v>353</v>
      </c>
      <c r="R110" s="841" t="s">
        <v>353</v>
      </c>
      <c r="S110" s="841" t="s">
        <v>61</v>
      </c>
      <c r="T110" s="841" t="s">
        <v>1390</v>
      </c>
      <c r="U110" s="841" t="s">
        <v>353</v>
      </c>
      <c r="V110" s="841" t="s">
        <v>353</v>
      </c>
      <c r="W110" s="841" t="s">
        <v>1716</v>
      </c>
      <c r="X110" s="841" t="s">
        <v>1435</v>
      </c>
      <c r="Y110" s="841" t="s">
        <v>353</v>
      </c>
      <c r="Z110" s="841" t="s">
        <v>353</v>
      </c>
      <c r="AA110" s="841" t="s">
        <v>673</v>
      </c>
      <c r="AB110" s="843">
        <v>44593</v>
      </c>
      <c r="AC110" s="841">
        <v>332000</v>
      </c>
      <c r="AD110" s="841" t="s">
        <v>353</v>
      </c>
      <c r="AE110" s="841" t="s">
        <v>673</v>
      </c>
      <c r="AF110" s="841">
        <v>1242.23</v>
      </c>
      <c r="AG110" s="841" t="s">
        <v>353</v>
      </c>
      <c r="AH110" s="841">
        <v>1400</v>
      </c>
      <c r="AI110" s="841" t="s">
        <v>1406</v>
      </c>
      <c r="AJ110" s="841" t="s">
        <v>2168</v>
      </c>
      <c r="AK110" s="841">
        <v>75</v>
      </c>
      <c r="AL110" s="841" t="s">
        <v>353</v>
      </c>
      <c r="AM110" s="841" t="s">
        <v>353</v>
      </c>
      <c r="AN110" s="841" t="s">
        <v>33</v>
      </c>
      <c r="AO110" s="841" t="s">
        <v>353</v>
      </c>
      <c r="AP110" s="841" t="s">
        <v>353</v>
      </c>
      <c r="AQ110" s="841" t="s">
        <v>353</v>
      </c>
      <c r="AR110" s="841" t="s">
        <v>673</v>
      </c>
      <c r="AS110" s="841" t="s">
        <v>353</v>
      </c>
      <c r="AT110" s="841" t="s">
        <v>353</v>
      </c>
      <c r="AU110" s="841" t="s">
        <v>1405</v>
      </c>
      <c r="AV110" s="841" t="s">
        <v>353</v>
      </c>
      <c r="AW110" s="843">
        <v>44579</v>
      </c>
      <c r="AX110" s="841" t="s">
        <v>353</v>
      </c>
      <c r="AY110" s="841" t="s">
        <v>353</v>
      </c>
      <c r="AZ110" s="841" t="s">
        <v>353</v>
      </c>
      <c r="BA110" s="841" t="s">
        <v>353</v>
      </c>
      <c r="BB110" s="841" t="s">
        <v>353</v>
      </c>
      <c r="BC110" s="841">
        <v>311673</v>
      </c>
      <c r="BD110" s="841" t="s">
        <v>353</v>
      </c>
      <c r="BE110" s="841" t="s">
        <v>353</v>
      </c>
      <c r="BF110" s="841" t="s">
        <v>353</v>
      </c>
      <c r="BG110" s="841" t="s">
        <v>353</v>
      </c>
      <c r="BH110" s="841" t="s">
        <v>353</v>
      </c>
      <c r="BI110" s="841" t="s">
        <v>353</v>
      </c>
      <c r="BJ110" s="841" t="s">
        <v>353</v>
      </c>
      <c r="BK110" s="841" t="s">
        <v>353</v>
      </c>
      <c r="BL110" s="841" t="s">
        <v>2419</v>
      </c>
      <c r="BM110" s="842">
        <v>44606.722222222219</v>
      </c>
      <c r="BN110" s="841" t="s">
        <v>353</v>
      </c>
      <c r="BO110" s="841" t="s">
        <v>353</v>
      </c>
      <c r="BP110" s="841" t="s">
        <v>33</v>
      </c>
      <c r="BQ110" s="841" t="s">
        <v>353</v>
      </c>
      <c r="BR110" s="841" t="s">
        <v>353</v>
      </c>
      <c r="BS110" s="841" t="s">
        <v>353</v>
      </c>
      <c r="BT110" s="841">
        <v>412000</v>
      </c>
      <c r="BU110" s="841" t="s">
        <v>353</v>
      </c>
      <c r="BV110" s="841" t="s">
        <v>1955</v>
      </c>
      <c r="BW110" s="841" t="s">
        <v>1578</v>
      </c>
      <c r="BX110" s="841" t="s">
        <v>2420</v>
      </c>
      <c r="BY110" s="841" t="s">
        <v>353</v>
      </c>
      <c r="BZ110" s="841" t="s">
        <v>353</v>
      </c>
      <c r="CA110" s="841" t="s">
        <v>353</v>
      </c>
      <c r="CB110" s="841" t="s">
        <v>353</v>
      </c>
      <c r="CC110" s="841" t="s">
        <v>353</v>
      </c>
      <c r="CD110" s="841" t="s">
        <v>353</v>
      </c>
      <c r="CE110" s="841" t="s">
        <v>353</v>
      </c>
      <c r="CF110" s="841" t="s">
        <v>353</v>
      </c>
      <c r="CG110" s="841" t="s">
        <v>353</v>
      </c>
      <c r="CH110" s="841" t="s">
        <v>353</v>
      </c>
      <c r="CI110" s="841" t="s">
        <v>33</v>
      </c>
      <c r="CJ110" s="841">
        <v>6300</v>
      </c>
      <c r="CK110" s="841">
        <v>7</v>
      </c>
      <c r="CL110" s="841" t="s">
        <v>353</v>
      </c>
      <c r="CM110" s="841">
        <v>7</v>
      </c>
      <c r="CN110" s="841" t="s">
        <v>353</v>
      </c>
      <c r="CO110" s="841" t="s">
        <v>353</v>
      </c>
      <c r="CP110" s="841" t="s">
        <v>2421</v>
      </c>
      <c r="CQ110" s="841" t="s">
        <v>353</v>
      </c>
      <c r="CR110" s="841" t="s">
        <v>353</v>
      </c>
      <c r="CS110" s="841" t="s">
        <v>1405</v>
      </c>
      <c r="CT110" s="841" t="s">
        <v>353</v>
      </c>
      <c r="CU110" s="841" t="s">
        <v>1391</v>
      </c>
      <c r="CV110" s="841" t="s">
        <v>353</v>
      </c>
      <c r="CW110" s="841" t="s">
        <v>353</v>
      </c>
      <c r="CX110" s="841" t="s">
        <v>353</v>
      </c>
      <c r="CY110" s="841" t="s">
        <v>353</v>
      </c>
      <c r="CZ110" s="841" t="s">
        <v>353</v>
      </c>
      <c r="DA110" s="841" t="s">
        <v>353</v>
      </c>
      <c r="DB110" s="843">
        <v>44585</v>
      </c>
      <c r="DC110" s="841" t="s">
        <v>353</v>
      </c>
      <c r="DD110" s="841" t="s">
        <v>353</v>
      </c>
      <c r="DE110" s="841" t="s">
        <v>353</v>
      </c>
      <c r="DF110" s="841">
        <v>21</v>
      </c>
      <c r="DG110" s="841" t="s">
        <v>353</v>
      </c>
      <c r="DH110" s="841" t="s">
        <v>353</v>
      </c>
      <c r="DI110" s="841" t="s">
        <v>353</v>
      </c>
      <c r="DJ110" s="841" t="s">
        <v>2422</v>
      </c>
      <c r="DK110" s="841" t="s">
        <v>353</v>
      </c>
      <c r="DL110" s="842">
        <v>44579.513194444444</v>
      </c>
      <c r="DM110" s="841" t="s">
        <v>353</v>
      </c>
      <c r="DN110" s="841" t="s">
        <v>33</v>
      </c>
      <c r="DO110" s="841" t="s">
        <v>673</v>
      </c>
      <c r="DP110" s="841" t="s">
        <v>1412</v>
      </c>
      <c r="DQ110" s="841" t="s">
        <v>673</v>
      </c>
      <c r="DR110" s="841" t="s">
        <v>353</v>
      </c>
      <c r="DS110" s="841">
        <v>21</v>
      </c>
      <c r="DT110" s="841" t="s">
        <v>353</v>
      </c>
      <c r="DU110" s="841" t="s">
        <v>353</v>
      </c>
      <c r="DV110" s="841">
        <v>265699.59999999998</v>
      </c>
      <c r="DW110" s="841">
        <v>332000</v>
      </c>
      <c r="DX110" s="841" t="s">
        <v>673</v>
      </c>
      <c r="DY110" s="841" t="s">
        <v>353</v>
      </c>
      <c r="DZ110" s="841">
        <v>0</v>
      </c>
      <c r="EA110" s="841" t="s">
        <v>353</v>
      </c>
      <c r="EB110" s="841" t="s">
        <v>353</v>
      </c>
      <c r="EC110" s="841" t="s">
        <v>353</v>
      </c>
      <c r="ED110" s="841" t="s">
        <v>353</v>
      </c>
      <c r="EE110" s="841" t="s">
        <v>673</v>
      </c>
      <c r="EF110" s="841" t="s">
        <v>353</v>
      </c>
      <c r="EG110" s="841" t="s">
        <v>353</v>
      </c>
      <c r="EH110" s="841" t="s">
        <v>33</v>
      </c>
      <c r="EI110" s="841">
        <v>59660.4</v>
      </c>
      <c r="EJ110" s="841" t="s">
        <v>353</v>
      </c>
      <c r="EK110" s="841" t="s">
        <v>1488</v>
      </c>
      <c r="EL110" s="841" t="s">
        <v>1435</v>
      </c>
      <c r="EM110" s="841">
        <v>6640</v>
      </c>
      <c r="EN110" s="841" t="s">
        <v>353</v>
      </c>
      <c r="EO110" s="841" t="s">
        <v>353</v>
      </c>
      <c r="EP110" s="841" t="s">
        <v>353</v>
      </c>
      <c r="EQ110" s="841" t="s">
        <v>353</v>
      </c>
      <c r="ER110" s="841" t="s">
        <v>33</v>
      </c>
      <c r="ES110" s="841" t="s">
        <v>33</v>
      </c>
      <c r="ET110" s="841" t="s">
        <v>1711</v>
      </c>
      <c r="EU110" s="841" t="s">
        <v>2173</v>
      </c>
      <c r="EV110" s="841" t="s">
        <v>353</v>
      </c>
      <c r="EW110" s="841" t="s">
        <v>353</v>
      </c>
      <c r="EX110" s="841" t="s">
        <v>27</v>
      </c>
      <c r="EY110" s="842">
        <v>44606.583333333336</v>
      </c>
      <c r="EZ110" s="841" t="s">
        <v>353</v>
      </c>
      <c r="FA110" s="841" t="s">
        <v>353</v>
      </c>
      <c r="FB110" s="841" t="s">
        <v>353</v>
      </c>
      <c r="FC110" s="841" t="s">
        <v>353</v>
      </c>
      <c r="FD110" s="841">
        <v>475000</v>
      </c>
      <c r="FE110" s="842">
        <v>44579.513194444444</v>
      </c>
      <c r="FF110" s="841" t="s">
        <v>353</v>
      </c>
      <c r="FG110" s="841" t="s">
        <v>2423</v>
      </c>
      <c r="FH110" s="841" t="s">
        <v>353</v>
      </c>
      <c r="FI110" s="841" t="s">
        <v>353</v>
      </c>
      <c r="FJ110" s="841" t="s">
        <v>353</v>
      </c>
      <c r="FK110" s="841" t="s">
        <v>353</v>
      </c>
      <c r="FL110" s="841" t="s">
        <v>353</v>
      </c>
      <c r="FM110" s="841" t="s">
        <v>353</v>
      </c>
      <c r="FN110" s="841" t="s">
        <v>353</v>
      </c>
      <c r="FO110" s="841" t="s">
        <v>1528</v>
      </c>
      <c r="FP110" s="841" t="s">
        <v>353</v>
      </c>
      <c r="FQ110" s="841" t="s">
        <v>353</v>
      </c>
      <c r="FR110" s="841" t="s">
        <v>353</v>
      </c>
      <c r="FS110" s="841" t="s">
        <v>353</v>
      </c>
      <c r="FT110" s="841" t="s">
        <v>353</v>
      </c>
      <c r="FU110" s="841" t="s">
        <v>2176</v>
      </c>
      <c r="FV110" s="841" t="s">
        <v>353</v>
      </c>
      <c r="FW110" s="841" t="s">
        <v>353</v>
      </c>
      <c r="FX110" s="841" t="s">
        <v>353</v>
      </c>
      <c r="FY110" s="841" t="s">
        <v>353</v>
      </c>
      <c r="FZ110" s="841" t="s">
        <v>353</v>
      </c>
      <c r="GA110" s="841" t="s">
        <v>353</v>
      </c>
      <c r="GB110" s="841">
        <v>1</v>
      </c>
      <c r="GC110" s="841" t="s">
        <v>353</v>
      </c>
      <c r="GD110" s="841" t="s">
        <v>1395</v>
      </c>
      <c r="GE110" s="841" t="s">
        <v>353</v>
      </c>
      <c r="GF110" s="841">
        <v>0</v>
      </c>
      <c r="GG110" s="841" t="s">
        <v>349</v>
      </c>
      <c r="GH110" s="841">
        <v>332000</v>
      </c>
      <c r="GI110" s="841" t="s">
        <v>353</v>
      </c>
      <c r="GJ110" s="841">
        <v>515000</v>
      </c>
      <c r="GK110" s="841" t="s">
        <v>353</v>
      </c>
      <c r="GL110" s="841" t="s">
        <v>2410</v>
      </c>
      <c r="GM110" s="841" t="s">
        <v>353</v>
      </c>
      <c r="GN110" s="841" t="s">
        <v>353</v>
      </c>
      <c r="GO110" s="841" t="s">
        <v>353</v>
      </c>
      <c r="GP110" s="841" t="s">
        <v>353</v>
      </c>
      <c r="GQ110" s="841" t="s">
        <v>353</v>
      </c>
      <c r="GR110" s="842">
        <v>44606.583333333336</v>
      </c>
      <c r="GS110" s="841" t="s">
        <v>2424</v>
      </c>
      <c r="GT110" s="841" t="s">
        <v>353</v>
      </c>
      <c r="GU110" s="841" t="s">
        <v>353</v>
      </c>
      <c r="GV110" s="841" t="s">
        <v>1419</v>
      </c>
      <c r="GW110" s="841" t="s">
        <v>353</v>
      </c>
      <c r="GX110" s="841" t="s">
        <v>353</v>
      </c>
      <c r="GY110" s="841">
        <v>24</v>
      </c>
      <c r="GZ110" s="841" t="s">
        <v>1575</v>
      </c>
      <c r="HA110" s="841" t="s">
        <v>353</v>
      </c>
      <c r="HB110" s="841" t="s">
        <v>353</v>
      </c>
      <c r="HC110" s="841" t="s">
        <v>1421</v>
      </c>
      <c r="HD110" s="841" t="s">
        <v>2425</v>
      </c>
      <c r="HE110" s="841">
        <v>6640</v>
      </c>
      <c r="HF110" s="841" t="s">
        <v>353</v>
      </c>
      <c r="HG110" s="841" t="s">
        <v>353</v>
      </c>
      <c r="HH110" s="841">
        <v>6300</v>
      </c>
      <c r="HI110" s="841" t="s">
        <v>1422</v>
      </c>
      <c r="HJ110" s="841" t="s">
        <v>2426</v>
      </c>
      <c r="HK110" s="841">
        <v>332000</v>
      </c>
      <c r="HL110" s="841" t="s">
        <v>49</v>
      </c>
      <c r="HM110" s="841" t="s">
        <v>1423</v>
      </c>
      <c r="HN110" s="841" t="s">
        <v>33</v>
      </c>
      <c r="HO110" s="841" t="s">
        <v>353</v>
      </c>
      <c r="HP110" s="841">
        <v>19886.8</v>
      </c>
      <c r="HQ110" s="841" t="s">
        <v>353</v>
      </c>
      <c r="HR110" s="841" t="s">
        <v>353</v>
      </c>
      <c r="HS110" s="841">
        <v>272339.59999999998</v>
      </c>
      <c r="HT110" s="841" t="s">
        <v>353</v>
      </c>
      <c r="HU110" s="841" t="s">
        <v>353</v>
      </c>
      <c r="HV110" s="841" t="s">
        <v>353</v>
      </c>
      <c r="HW110" s="841">
        <v>550000</v>
      </c>
      <c r="HX110" s="841" t="s">
        <v>353</v>
      </c>
      <c r="HY110" s="841" t="s">
        <v>353</v>
      </c>
      <c r="HZ110" s="841" t="s">
        <v>353</v>
      </c>
      <c r="IA110" s="841" t="s">
        <v>353</v>
      </c>
      <c r="IB110" s="841" t="s">
        <v>1424</v>
      </c>
      <c r="IC110" s="841" t="s">
        <v>353</v>
      </c>
      <c r="ID110" s="841" t="s">
        <v>353</v>
      </c>
      <c r="IE110" s="841" t="s">
        <v>353</v>
      </c>
      <c r="IF110" s="841" t="s">
        <v>353</v>
      </c>
      <c r="IG110" s="841" t="s">
        <v>353</v>
      </c>
      <c r="IH110" s="841" t="s">
        <v>353</v>
      </c>
      <c r="II110" s="841" t="s">
        <v>353</v>
      </c>
      <c r="IJ110" s="841">
        <v>82</v>
      </c>
      <c r="IK110" s="841" t="s">
        <v>353</v>
      </c>
      <c r="IL110" s="841">
        <v>318313</v>
      </c>
      <c r="IM110" s="841" t="s">
        <v>353</v>
      </c>
      <c r="IN110" s="841" t="s">
        <v>353</v>
      </c>
      <c r="IO110" s="841">
        <v>0</v>
      </c>
      <c r="IP110" s="841" t="s">
        <v>353</v>
      </c>
      <c r="IQ110" s="841" t="s">
        <v>353</v>
      </c>
      <c r="IR110" s="841">
        <v>3</v>
      </c>
      <c r="IS110" s="841" t="s">
        <v>33</v>
      </c>
      <c r="IT110" s="841" t="s">
        <v>353</v>
      </c>
      <c r="IU110" s="841" t="s">
        <v>33</v>
      </c>
      <c r="IV110" s="841" t="s">
        <v>353</v>
      </c>
      <c r="IW110" s="841" t="s">
        <v>353</v>
      </c>
      <c r="IX110" s="841" t="s">
        <v>353</v>
      </c>
      <c r="IY110" s="841" t="s">
        <v>353</v>
      </c>
      <c r="IZ110" s="841" t="s">
        <v>353</v>
      </c>
      <c r="JA110" s="841">
        <v>332000</v>
      </c>
      <c r="JB110" s="841" t="s">
        <v>353</v>
      </c>
      <c r="JC110" s="841" t="s">
        <v>33</v>
      </c>
      <c r="JD110" s="841" t="s">
        <v>1527</v>
      </c>
      <c r="JE110" s="841" t="s">
        <v>33</v>
      </c>
      <c r="JF110" s="841" t="s">
        <v>2414</v>
      </c>
      <c r="JG110" s="841" t="s">
        <v>2415</v>
      </c>
      <c r="JH110" s="841" t="s">
        <v>2416</v>
      </c>
      <c r="JI110" s="841" t="s">
        <v>2417</v>
      </c>
    </row>
    <row r="111" spans="1:269" x14ac:dyDescent="0.25">
      <c r="A111" s="841" t="s">
        <v>2427</v>
      </c>
      <c r="B111" s="841" t="s">
        <v>353</v>
      </c>
      <c r="C111" s="841" t="s">
        <v>1403</v>
      </c>
      <c r="D111" s="841" t="s">
        <v>353</v>
      </c>
      <c r="E111" s="841" t="s">
        <v>33</v>
      </c>
      <c r="F111" s="841" t="s">
        <v>1435</v>
      </c>
      <c r="G111" s="841" t="s">
        <v>2236</v>
      </c>
      <c r="H111" s="841" t="s">
        <v>353</v>
      </c>
      <c r="I111" s="841" t="s">
        <v>33</v>
      </c>
      <c r="J111" s="841" t="s">
        <v>353</v>
      </c>
      <c r="K111" s="841" t="s">
        <v>2167</v>
      </c>
      <c r="L111" s="842">
        <v>44606.722916666666</v>
      </c>
      <c r="M111" s="841" t="s">
        <v>353</v>
      </c>
      <c r="N111" s="841" t="s">
        <v>33</v>
      </c>
      <c r="O111" s="841" t="s">
        <v>353</v>
      </c>
      <c r="P111" s="841" t="s">
        <v>33</v>
      </c>
      <c r="Q111" s="841" t="s">
        <v>353</v>
      </c>
      <c r="R111" s="841" t="s">
        <v>353</v>
      </c>
      <c r="S111" s="841" t="s">
        <v>61</v>
      </c>
      <c r="T111" s="841" t="s">
        <v>1390</v>
      </c>
      <c r="U111" s="841" t="s">
        <v>353</v>
      </c>
      <c r="V111" s="841" t="s">
        <v>353</v>
      </c>
      <c r="W111" s="841" t="s">
        <v>1716</v>
      </c>
      <c r="X111" s="841" t="s">
        <v>1435</v>
      </c>
      <c r="Y111" s="841" t="s">
        <v>353</v>
      </c>
      <c r="Z111" s="841" t="s">
        <v>353</v>
      </c>
      <c r="AA111" s="841" t="s">
        <v>673</v>
      </c>
      <c r="AB111" s="843">
        <v>44593</v>
      </c>
      <c r="AC111" s="841">
        <v>1323576</v>
      </c>
      <c r="AD111" s="841" t="s">
        <v>353</v>
      </c>
      <c r="AE111" s="841" t="s">
        <v>673</v>
      </c>
      <c r="AF111" s="841">
        <v>4952.38</v>
      </c>
      <c r="AG111" s="841" t="s">
        <v>353</v>
      </c>
      <c r="AH111" s="841">
        <v>5961</v>
      </c>
      <c r="AI111" s="841" t="s">
        <v>1406</v>
      </c>
      <c r="AJ111" s="841" t="s">
        <v>2168</v>
      </c>
      <c r="AK111" s="841">
        <v>75</v>
      </c>
      <c r="AL111" s="841" t="s">
        <v>353</v>
      </c>
      <c r="AM111" s="841" t="s">
        <v>353</v>
      </c>
      <c r="AN111" s="841" t="s">
        <v>33</v>
      </c>
      <c r="AO111" s="841" t="s">
        <v>353</v>
      </c>
      <c r="AP111" s="841" t="s">
        <v>353</v>
      </c>
      <c r="AQ111" s="841" t="s">
        <v>353</v>
      </c>
      <c r="AR111" s="841" t="s">
        <v>673</v>
      </c>
      <c r="AS111" s="841" t="s">
        <v>353</v>
      </c>
      <c r="AT111" s="841" t="s">
        <v>353</v>
      </c>
      <c r="AU111" s="841" t="s">
        <v>1405</v>
      </c>
      <c r="AV111" s="841" t="s">
        <v>353</v>
      </c>
      <c r="AW111" s="843">
        <v>44579</v>
      </c>
      <c r="AX111" s="841" t="s">
        <v>353</v>
      </c>
      <c r="AY111" s="841" t="s">
        <v>353</v>
      </c>
      <c r="AZ111" s="841" t="s">
        <v>353</v>
      </c>
      <c r="BA111" s="841" t="s">
        <v>353</v>
      </c>
      <c r="BB111" s="841" t="s">
        <v>353</v>
      </c>
      <c r="BC111" s="841">
        <v>1242540</v>
      </c>
      <c r="BD111" s="841" t="s">
        <v>353</v>
      </c>
      <c r="BE111" s="841" t="s">
        <v>353</v>
      </c>
      <c r="BF111" s="841" t="s">
        <v>353</v>
      </c>
      <c r="BG111" s="841" t="s">
        <v>353</v>
      </c>
      <c r="BH111" s="841" t="s">
        <v>353</v>
      </c>
      <c r="BI111" s="841" t="s">
        <v>353</v>
      </c>
      <c r="BJ111" s="841" t="s">
        <v>353</v>
      </c>
      <c r="BK111" s="841" t="s">
        <v>353</v>
      </c>
      <c r="BL111" s="841" t="s">
        <v>2404</v>
      </c>
      <c r="BM111" s="842">
        <v>44606.722916666666</v>
      </c>
      <c r="BN111" s="841" t="s">
        <v>353</v>
      </c>
      <c r="BO111" s="841" t="s">
        <v>353</v>
      </c>
      <c r="BP111" s="841" t="s">
        <v>33</v>
      </c>
      <c r="BQ111" s="841" t="s">
        <v>353</v>
      </c>
      <c r="BR111" s="841" t="s">
        <v>353</v>
      </c>
      <c r="BS111" s="841" t="s">
        <v>353</v>
      </c>
      <c r="BT111" s="841">
        <v>1725000</v>
      </c>
      <c r="BU111" s="841" t="s">
        <v>353</v>
      </c>
      <c r="BV111" s="841" t="s">
        <v>2236</v>
      </c>
      <c r="BW111" s="841" t="s">
        <v>1578</v>
      </c>
      <c r="BX111" s="841" t="s">
        <v>2420</v>
      </c>
      <c r="BY111" s="841" t="s">
        <v>353</v>
      </c>
      <c r="BZ111" s="841" t="s">
        <v>353</v>
      </c>
      <c r="CA111" s="841" t="s">
        <v>353</v>
      </c>
      <c r="CB111" s="841" t="s">
        <v>353</v>
      </c>
      <c r="CC111" s="841" t="s">
        <v>353</v>
      </c>
      <c r="CD111" s="841" t="s">
        <v>353</v>
      </c>
      <c r="CE111" s="841" t="s">
        <v>353</v>
      </c>
      <c r="CF111" s="841" t="s">
        <v>353</v>
      </c>
      <c r="CG111" s="841" t="s">
        <v>353</v>
      </c>
      <c r="CH111" s="841" t="s">
        <v>353</v>
      </c>
      <c r="CI111" s="841" t="s">
        <v>33</v>
      </c>
      <c r="CJ111" s="841">
        <v>6300</v>
      </c>
      <c r="CK111" s="841">
        <v>7</v>
      </c>
      <c r="CL111" s="841" t="s">
        <v>353</v>
      </c>
      <c r="CM111" s="841">
        <v>7</v>
      </c>
      <c r="CN111" s="841" t="s">
        <v>353</v>
      </c>
      <c r="CO111" s="841" t="s">
        <v>353</v>
      </c>
      <c r="CP111" s="841" t="s">
        <v>2428</v>
      </c>
      <c r="CQ111" s="841" t="s">
        <v>353</v>
      </c>
      <c r="CR111" s="841" t="s">
        <v>353</v>
      </c>
      <c r="CS111" s="841" t="s">
        <v>1405</v>
      </c>
      <c r="CT111" s="841" t="s">
        <v>353</v>
      </c>
      <c r="CU111" s="841" t="s">
        <v>1391</v>
      </c>
      <c r="CV111" s="841" t="s">
        <v>353</v>
      </c>
      <c r="CW111" s="841" t="s">
        <v>353</v>
      </c>
      <c r="CX111" s="841" t="s">
        <v>353</v>
      </c>
      <c r="CY111" s="841" t="s">
        <v>353</v>
      </c>
      <c r="CZ111" s="841" t="s">
        <v>353</v>
      </c>
      <c r="DA111" s="841" t="s">
        <v>353</v>
      </c>
      <c r="DB111" s="843">
        <v>44585</v>
      </c>
      <c r="DC111" s="841" t="s">
        <v>353</v>
      </c>
      <c r="DD111" s="841" t="s">
        <v>353</v>
      </c>
      <c r="DE111" s="841" t="s">
        <v>353</v>
      </c>
      <c r="DF111" s="841">
        <v>21</v>
      </c>
      <c r="DG111" s="841" t="s">
        <v>353</v>
      </c>
      <c r="DH111" s="841" t="s">
        <v>353</v>
      </c>
      <c r="DI111" s="841" t="s">
        <v>353</v>
      </c>
      <c r="DJ111" s="841" t="s">
        <v>2422</v>
      </c>
      <c r="DK111" s="841" t="s">
        <v>353</v>
      </c>
      <c r="DL111" s="842">
        <v>44579.503472222219</v>
      </c>
      <c r="DM111" s="841" t="s">
        <v>353</v>
      </c>
      <c r="DN111" s="841" t="s">
        <v>33</v>
      </c>
      <c r="DO111" s="841" t="s">
        <v>673</v>
      </c>
      <c r="DP111" s="841" t="s">
        <v>1412</v>
      </c>
      <c r="DQ111" s="841" t="s">
        <v>673</v>
      </c>
      <c r="DR111" s="841" t="s">
        <v>353</v>
      </c>
      <c r="DS111" s="841">
        <v>21</v>
      </c>
      <c r="DT111" s="841" t="s">
        <v>353</v>
      </c>
      <c r="DU111" s="841" t="s">
        <v>353</v>
      </c>
      <c r="DV111" s="841">
        <v>1059257.8728</v>
      </c>
      <c r="DW111" s="841">
        <v>1323576</v>
      </c>
      <c r="DX111" s="841" t="s">
        <v>673</v>
      </c>
      <c r="DY111" s="841" t="s">
        <v>353</v>
      </c>
      <c r="DZ111" s="841">
        <v>0</v>
      </c>
      <c r="EA111" s="841" t="s">
        <v>353</v>
      </c>
      <c r="EB111" s="841" t="s">
        <v>353</v>
      </c>
      <c r="EC111" s="841" t="s">
        <v>353</v>
      </c>
      <c r="ED111" s="841" t="s">
        <v>353</v>
      </c>
      <c r="EE111" s="841" t="s">
        <v>673</v>
      </c>
      <c r="EF111" s="841" t="s">
        <v>353</v>
      </c>
      <c r="EG111" s="841" t="s">
        <v>353</v>
      </c>
      <c r="EH111" s="841" t="s">
        <v>33</v>
      </c>
      <c r="EI111" s="841">
        <v>237846.6072</v>
      </c>
      <c r="EJ111" s="841" t="s">
        <v>353</v>
      </c>
      <c r="EK111" s="841" t="s">
        <v>1488</v>
      </c>
      <c r="EL111" s="841" t="s">
        <v>1435</v>
      </c>
      <c r="EM111" s="841">
        <v>26471.52</v>
      </c>
      <c r="EN111" s="841" t="s">
        <v>353</v>
      </c>
      <c r="EO111" s="841" t="s">
        <v>353</v>
      </c>
      <c r="EP111" s="841" t="s">
        <v>353</v>
      </c>
      <c r="EQ111" s="841" t="s">
        <v>353</v>
      </c>
      <c r="ER111" s="841" t="s">
        <v>33</v>
      </c>
      <c r="ES111" s="841" t="s">
        <v>33</v>
      </c>
      <c r="ET111" s="841" t="s">
        <v>1711</v>
      </c>
      <c r="EU111" s="841" t="s">
        <v>2173</v>
      </c>
      <c r="EV111" s="841" t="s">
        <v>353</v>
      </c>
      <c r="EW111" s="841" t="s">
        <v>353</v>
      </c>
      <c r="EX111" s="841" t="s">
        <v>27</v>
      </c>
      <c r="EY111" s="842">
        <v>44606.583333333336</v>
      </c>
      <c r="EZ111" s="841" t="s">
        <v>353</v>
      </c>
      <c r="FA111" s="841" t="s">
        <v>353</v>
      </c>
      <c r="FB111" s="841" t="s">
        <v>353</v>
      </c>
      <c r="FC111" s="841" t="s">
        <v>353</v>
      </c>
      <c r="FD111" s="841">
        <v>1895000</v>
      </c>
      <c r="FE111" s="842">
        <v>44579.504861111112</v>
      </c>
      <c r="FF111" s="841" t="s">
        <v>353</v>
      </c>
      <c r="FG111" s="841" t="s">
        <v>2429</v>
      </c>
      <c r="FH111" s="841" t="s">
        <v>353</v>
      </c>
      <c r="FI111" s="841" t="s">
        <v>353</v>
      </c>
      <c r="FJ111" s="841" t="s">
        <v>353</v>
      </c>
      <c r="FK111" s="841" t="s">
        <v>353</v>
      </c>
      <c r="FL111" s="841" t="s">
        <v>353</v>
      </c>
      <c r="FM111" s="841" t="s">
        <v>353</v>
      </c>
      <c r="FN111" s="841" t="s">
        <v>353</v>
      </c>
      <c r="FO111" s="841" t="s">
        <v>1528</v>
      </c>
      <c r="FP111" s="841" t="s">
        <v>353</v>
      </c>
      <c r="FQ111" s="841" t="s">
        <v>353</v>
      </c>
      <c r="FR111" s="841" t="s">
        <v>353</v>
      </c>
      <c r="FS111" s="841" t="s">
        <v>353</v>
      </c>
      <c r="FT111" s="841" t="s">
        <v>353</v>
      </c>
      <c r="FU111" s="841" t="s">
        <v>2176</v>
      </c>
      <c r="FV111" s="841" t="s">
        <v>353</v>
      </c>
      <c r="FW111" s="841" t="s">
        <v>353</v>
      </c>
      <c r="FX111" s="841" t="s">
        <v>353</v>
      </c>
      <c r="FY111" s="841" t="s">
        <v>353</v>
      </c>
      <c r="FZ111" s="841" t="s">
        <v>353</v>
      </c>
      <c r="GA111" s="841" t="s">
        <v>353</v>
      </c>
      <c r="GB111" s="841">
        <v>1</v>
      </c>
      <c r="GC111" s="841" t="s">
        <v>353</v>
      </c>
      <c r="GD111" s="841" t="s">
        <v>1395</v>
      </c>
      <c r="GE111" s="841" t="s">
        <v>353</v>
      </c>
      <c r="GF111" s="841">
        <v>0</v>
      </c>
      <c r="GG111" s="841" t="s">
        <v>349</v>
      </c>
      <c r="GH111" s="841">
        <v>1323576</v>
      </c>
      <c r="GI111" s="841" t="s">
        <v>353</v>
      </c>
      <c r="GJ111" s="841">
        <v>2050000</v>
      </c>
      <c r="GK111" s="841" t="s">
        <v>353</v>
      </c>
      <c r="GL111" s="841" t="s">
        <v>2410</v>
      </c>
      <c r="GM111" s="841" t="s">
        <v>353</v>
      </c>
      <c r="GN111" s="841" t="s">
        <v>353</v>
      </c>
      <c r="GO111" s="841" t="s">
        <v>353</v>
      </c>
      <c r="GP111" s="841" t="s">
        <v>353</v>
      </c>
      <c r="GQ111" s="841" t="s">
        <v>353</v>
      </c>
      <c r="GR111" s="842">
        <v>44606.583333333336</v>
      </c>
      <c r="GS111" s="841" t="s">
        <v>2430</v>
      </c>
      <c r="GT111" s="841" t="s">
        <v>353</v>
      </c>
      <c r="GU111" s="841" t="s">
        <v>353</v>
      </c>
      <c r="GV111" s="841" t="s">
        <v>1419</v>
      </c>
      <c r="GW111" s="841" t="s">
        <v>353</v>
      </c>
      <c r="GX111" s="841" t="s">
        <v>2412</v>
      </c>
      <c r="GY111" s="841">
        <v>24</v>
      </c>
      <c r="GZ111" s="841" t="s">
        <v>1575</v>
      </c>
      <c r="HA111" s="841" t="s">
        <v>353</v>
      </c>
      <c r="HB111" s="841" t="s">
        <v>353</v>
      </c>
      <c r="HC111" s="841" t="s">
        <v>1421</v>
      </c>
      <c r="HD111" s="841" t="s">
        <v>2428</v>
      </c>
      <c r="HE111" s="841">
        <v>26471.52</v>
      </c>
      <c r="HF111" s="841" t="s">
        <v>353</v>
      </c>
      <c r="HG111" s="841" t="s">
        <v>353</v>
      </c>
      <c r="HH111" s="841">
        <v>6300</v>
      </c>
      <c r="HI111" s="841" t="s">
        <v>1422</v>
      </c>
      <c r="HJ111" s="841" t="s">
        <v>2431</v>
      </c>
      <c r="HK111" s="841">
        <v>1323576</v>
      </c>
      <c r="HL111" s="841" t="s">
        <v>49</v>
      </c>
      <c r="HM111" s="841" t="s">
        <v>1423</v>
      </c>
      <c r="HN111" s="841" t="s">
        <v>33</v>
      </c>
      <c r="HO111" s="841" t="s">
        <v>353</v>
      </c>
      <c r="HP111" s="841">
        <v>79282.202399999995</v>
      </c>
      <c r="HQ111" s="841" t="s">
        <v>353</v>
      </c>
      <c r="HR111" s="841" t="s">
        <v>353</v>
      </c>
      <c r="HS111" s="841">
        <v>1085729.3928</v>
      </c>
      <c r="HT111" s="841" t="s">
        <v>353</v>
      </c>
      <c r="HU111" s="841" t="s">
        <v>353</v>
      </c>
      <c r="HV111" s="841" t="s">
        <v>353</v>
      </c>
      <c r="HW111" s="841">
        <v>2300000</v>
      </c>
      <c r="HX111" s="841" t="s">
        <v>353</v>
      </c>
      <c r="HY111" s="841" t="s">
        <v>353</v>
      </c>
      <c r="HZ111" s="841" t="s">
        <v>353</v>
      </c>
      <c r="IA111" s="841" t="s">
        <v>353</v>
      </c>
      <c r="IB111" s="841" t="s">
        <v>1424</v>
      </c>
      <c r="IC111" s="841" t="s">
        <v>353</v>
      </c>
      <c r="ID111" s="841" t="s">
        <v>353</v>
      </c>
      <c r="IE111" s="841" t="s">
        <v>353</v>
      </c>
      <c r="IF111" s="841" t="s">
        <v>353</v>
      </c>
      <c r="IG111" s="841" t="s">
        <v>353</v>
      </c>
      <c r="IH111" s="841" t="s">
        <v>353</v>
      </c>
      <c r="II111" s="841" t="s">
        <v>353</v>
      </c>
      <c r="IJ111" s="841">
        <v>978</v>
      </c>
      <c r="IK111" s="841" t="s">
        <v>353</v>
      </c>
      <c r="IL111" s="841">
        <v>1269012</v>
      </c>
      <c r="IM111" s="841" t="s">
        <v>353</v>
      </c>
      <c r="IN111" s="841" t="s">
        <v>353</v>
      </c>
      <c r="IO111" s="841">
        <v>0</v>
      </c>
      <c r="IP111" s="841" t="s">
        <v>353</v>
      </c>
      <c r="IQ111" s="841" t="s">
        <v>353</v>
      </c>
      <c r="IR111" s="841">
        <v>3</v>
      </c>
      <c r="IS111" s="841" t="s">
        <v>33</v>
      </c>
      <c r="IT111" s="841" t="s">
        <v>353</v>
      </c>
      <c r="IU111" s="841" t="s">
        <v>33</v>
      </c>
      <c r="IV111" s="841" t="s">
        <v>353</v>
      </c>
      <c r="IW111" s="841" t="s">
        <v>353</v>
      </c>
      <c r="IX111" s="841" t="s">
        <v>353</v>
      </c>
      <c r="IY111" s="841" t="s">
        <v>353</v>
      </c>
      <c r="IZ111" s="841" t="s">
        <v>353</v>
      </c>
      <c r="JA111" s="841">
        <v>1323576</v>
      </c>
      <c r="JB111" s="841" t="s">
        <v>353</v>
      </c>
      <c r="JC111" s="841" t="s">
        <v>33</v>
      </c>
      <c r="JD111" s="841" t="s">
        <v>1527</v>
      </c>
      <c r="JE111" s="841" t="s">
        <v>33</v>
      </c>
      <c r="JF111" s="841" t="s">
        <v>2414</v>
      </c>
      <c r="JG111" s="841" t="s">
        <v>2415</v>
      </c>
      <c r="JH111" s="841" t="s">
        <v>2416</v>
      </c>
      <c r="JI111" s="841" t="s">
        <v>2417</v>
      </c>
    </row>
    <row r="112" spans="1:269" x14ac:dyDescent="0.25">
      <c r="A112" s="841" t="s">
        <v>2432</v>
      </c>
      <c r="B112" s="841" t="s">
        <v>353</v>
      </c>
      <c r="C112" s="841" t="s">
        <v>353</v>
      </c>
      <c r="D112" s="841" t="s">
        <v>353</v>
      </c>
      <c r="E112" s="841" t="s">
        <v>353</v>
      </c>
      <c r="F112" s="841" t="s">
        <v>353</v>
      </c>
      <c r="G112" s="841" t="s">
        <v>353</v>
      </c>
      <c r="H112" s="841" t="s">
        <v>353</v>
      </c>
      <c r="I112" s="841" t="s">
        <v>353</v>
      </c>
      <c r="J112" s="841" t="s">
        <v>353</v>
      </c>
      <c r="K112" s="841" t="s">
        <v>353</v>
      </c>
      <c r="L112" s="842">
        <v>44606.671527777777</v>
      </c>
      <c r="M112" s="841" t="s">
        <v>353</v>
      </c>
      <c r="N112" s="841" t="s">
        <v>353</v>
      </c>
      <c r="O112" s="841" t="s">
        <v>353</v>
      </c>
      <c r="P112" s="841" t="s">
        <v>353</v>
      </c>
      <c r="Q112" s="841" t="s">
        <v>353</v>
      </c>
      <c r="R112" s="841" t="s">
        <v>353</v>
      </c>
      <c r="S112" s="841" t="s">
        <v>61</v>
      </c>
      <c r="T112" s="841" t="s">
        <v>1390</v>
      </c>
      <c r="U112" s="841" t="s">
        <v>353</v>
      </c>
      <c r="V112" s="841" t="s">
        <v>353</v>
      </c>
      <c r="W112" s="841" t="s">
        <v>353</v>
      </c>
      <c r="X112" s="841" t="s">
        <v>1405</v>
      </c>
      <c r="Y112" s="841" t="s">
        <v>353</v>
      </c>
      <c r="Z112" s="841" t="s">
        <v>353</v>
      </c>
      <c r="AA112" s="841" t="s">
        <v>353</v>
      </c>
      <c r="AB112" s="841" t="s">
        <v>353</v>
      </c>
      <c r="AC112" s="841">
        <v>200000</v>
      </c>
      <c r="AD112" s="841" t="s">
        <v>353</v>
      </c>
      <c r="AE112" s="841" t="s">
        <v>353</v>
      </c>
      <c r="AF112" s="841" t="s">
        <v>353</v>
      </c>
      <c r="AG112" s="841" t="s">
        <v>353</v>
      </c>
      <c r="AH112" s="841">
        <v>9150</v>
      </c>
      <c r="AI112" s="841" t="s">
        <v>1406</v>
      </c>
      <c r="AJ112" s="841" t="s">
        <v>353</v>
      </c>
      <c r="AK112" s="841">
        <v>74</v>
      </c>
      <c r="AL112" s="841" t="s">
        <v>353</v>
      </c>
      <c r="AM112" s="841" t="s">
        <v>353</v>
      </c>
      <c r="AN112" s="841" t="s">
        <v>353</v>
      </c>
      <c r="AO112" s="841" t="s">
        <v>353</v>
      </c>
      <c r="AP112" s="841" t="s">
        <v>353</v>
      </c>
      <c r="AQ112" s="841" t="s">
        <v>353</v>
      </c>
      <c r="AR112" s="841" t="s">
        <v>353</v>
      </c>
      <c r="AS112" s="841" t="s">
        <v>353</v>
      </c>
      <c r="AT112" s="841" t="s">
        <v>353</v>
      </c>
      <c r="AU112" s="841" t="s">
        <v>353</v>
      </c>
      <c r="AV112" s="841" t="s">
        <v>353</v>
      </c>
      <c r="AW112" s="841" t="s">
        <v>353</v>
      </c>
      <c r="AX112" s="841" t="s">
        <v>353</v>
      </c>
      <c r="AY112" s="841" t="s">
        <v>353</v>
      </c>
      <c r="AZ112" s="841" t="s">
        <v>353</v>
      </c>
      <c r="BA112" s="841" t="s">
        <v>353</v>
      </c>
      <c r="BB112" s="841" t="s">
        <v>353</v>
      </c>
      <c r="BC112" s="841">
        <v>1915100</v>
      </c>
      <c r="BD112" s="841" t="s">
        <v>353</v>
      </c>
      <c r="BE112" s="841" t="s">
        <v>353</v>
      </c>
      <c r="BF112" s="841" t="s">
        <v>353</v>
      </c>
      <c r="BG112" s="841" t="s">
        <v>353</v>
      </c>
      <c r="BH112" s="841" t="s">
        <v>353</v>
      </c>
      <c r="BI112" s="841" t="s">
        <v>353</v>
      </c>
      <c r="BJ112" s="841" t="s">
        <v>353</v>
      </c>
      <c r="BK112" s="841">
        <v>1943222</v>
      </c>
      <c r="BL112" s="841" t="s">
        <v>2433</v>
      </c>
      <c r="BM112" s="842">
        <v>44592.467361111114</v>
      </c>
      <c r="BN112" s="841" t="s">
        <v>353</v>
      </c>
      <c r="BO112" s="841" t="s">
        <v>353</v>
      </c>
      <c r="BP112" s="841" t="s">
        <v>353</v>
      </c>
      <c r="BQ112" s="841" t="s">
        <v>353</v>
      </c>
      <c r="BR112" s="841" t="s">
        <v>353</v>
      </c>
      <c r="BS112" s="841" t="s">
        <v>353</v>
      </c>
      <c r="BT112" s="841">
        <v>1943000</v>
      </c>
      <c r="BU112" s="841" t="s">
        <v>353</v>
      </c>
      <c r="BV112" s="841" t="s">
        <v>2434</v>
      </c>
      <c r="BW112" s="841" t="s">
        <v>353</v>
      </c>
      <c r="BX112" s="841" t="s">
        <v>2435</v>
      </c>
      <c r="BY112" s="841" t="s">
        <v>353</v>
      </c>
      <c r="BZ112" s="841" t="s">
        <v>353</v>
      </c>
      <c r="CA112" s="841" t="s">
        <v>353</v>
      </c>
      <c r="CB112" s="841" t="s">
        <v>353</v>
      </c>
      <c r="CC112" s="841" t="s">
        <v>353</v>
      </c>
      <c r="CD112" s="841" t="s">
        <v>353</v>
      </c>
      <c r="CE112" s="841" t="s">
        <v>353</v>
      </c>
      <c r="CF112" s="841" t="s">
        <v>353</v>
      </c>
      <c r="CG112" s="841" t="s">
        <v>353</v>
      </c>
      <c r="CH112" s="841" t="s">
        <v>353</v>
      </c>
      <c r="CI112" s="841" t="s">
        <v>353</v>
      </c>
      <c r="CJ112" s="841" t="s">
        <v>353</v>
      </c>
      <c r="CK112" s="841">
        <v>1</v>
      </c>
      <c r="CL112" s="841" t="s">
        <v>353</v>
      </c>
      <c r="CM112" s="841">
        <v>2</v>
      </c>
      <c r="CN112" s="841" t="s">
        <v>353</v>
      </c>
      <c r="CO112" s="841" t="s">
        <v>353</v>
      </c>
      <c r="CP112" s="841" t="s">
        <v>2436</v>
      </c>
      <c r="CQ112" s="841" t="s">
        <v>353</v>
      </c>
      <c r="CR112" s="841" t="s">
        <v>353</v>
      </c>
      <c r="CS112" s="841" t="s">
        <v>353</v>
      </c>
      <c r="CT112" s="841" t="s">
        <v>353</v>
      </c>
      <c r="CU112" s="841" t="s">
        <v>1391</v>
      </c>
      <c r="CV112" s="841" t="s">
        <v>353</v>
      </c>
      <c r="CW112" s="841" t="s">
        <v>353</v>
      </c>
      <c r="CX112" s="841" t="s">
        <v>353</v>
      </c>
      <c r="CY112" s="841" t="s">
        <v>353</v>
      </c>
      <c r="CZ112" s="841" t="s">
        <v>353</v>
      </c>
      <c r="DA112" s="841" t="s">
        <v>353</v>
      </c>
      <c r="DB112" s="841" t="s">
        <v>353</v>
      </c>
      <c r="DC112" s="841" t="s">
        <v>353</v>
      </c>
      <c r="DD112" s="841" t="s">
        <v>353</v>
      </c>
      <c r="DE112" s="841" t="s">
        <v>353</v>
      </c>
      <c r="DF112" s="841">
        <v>30</v>
      </c>
      <c r="DG112" s="841" t="s">
        <v>353</v>
      </c>
      <c r="DH112" s="841" t="s">
        <v>353</v>
      </c>
      <c r="DI112" s="841" t="s">
        <v>353</v>
      </c>
      <c r="DJ112" s="841" t="s">
        <v>2437</v>
      </c>
      <c r="DK112" s="841" t="s">
        <v>353</v>
      </c>
      <c r="DL112" s="842">
        <v>44579.467361111114</v>
      </c>
      <c r="DM112" s="841" t="s">
        <v>353</v>
      </c>
      <c r="DN112" s="841" t="s">
        <v>353</v>
      </c>
      <c r="DO112" s="841" t="s">
        <v>673</v>
      </c>
      <c r="DP112" s="841" t="s">
        <v>1412</v>
      </c>
      <c r="DQ112" s="841" t="s">
        <v>1451</v>
      </c>
      <c r="DR112" s="841" t="s">
        <v>353</v>
      </c>
      <c r="DS112" s="841">
        <v>30</v>
      </c>
      <c r="DT112" s="841" t="s">
        <v>353</v>
      </c>
      <c r="DU112" s="841" t="s">
        <v>353</v>
      </c>
      <c r="DV112" s="841" t="s">
        <v>353</v>
      </c>
      <c r="DW112" s="841">
        <v>2000000</v>
      </c>
      <c r="DX112" s="841" t="s">
        <v>353</v>
      </c>
      <c r="DY112" s="841" t="s">
        <v>353</v>
      </c>
      <c r="DZ112" s="841" t="s">
        <v>353</v>
      </c>
      <c r="EA112" s="841" t="s">
        <v>353</v>
      </c>
      <c r="EB112" s="841" t="s">
        <v>353</v>
      </c>
      <c r="EC112" s="841" t="s">
        <v>353</v>
      </c>
      <c r="ED112" s="841" t="s">
        <v>353</v>
      </c>
      <c r="EE112" s="841" t="s">
        <v>353</v>
      </c>
      <c r="EF112" s="841" t="s">
        <v>353</v>
      </c>
      <c r="EG112" s="841" t="s">
        <v>353</v>
      </c>
      <c r="EH112" s="841" t="s">
        <v>353</v>
      </c>
      <c r="EI112" s="841">
        <v>598800</v>
      </c>
      <c r="EJ112" s="841" t="s">
        <v>353</v>
      </c>
      <c r="EK112" s="841" t="s">
        <v>353</v>
      </c>
      <c r="EL112" s="841" t="s">
        <v>353</v>
      </c>
      <c r="EM112" s="841" t="s">
        <v>353</v>
      </c>
      <c r="EN112" s="841" t="s">
        <v>353</v>
      </c>
      <c r="EO112" s="841" t="s">
        <v>353</v>
      </c>
      <c r="EP112" s="841" t="s">
        <v>353</v>
      </c>
      <c r="EQ112" s="841" t="s">
        <v>353</v>
      </c>
      <c r="ER112" s="841" t="s">
        <v>353</v>
      </c>
      <c r="ES112" s="841" t="s">
        <v>353</v>
      </c>
      <c r="ET112" s="841" t="s">
        <v>1452</v>
      </c>
      <c r="EU112" s="841" t="s">
        <v>353</v>
      </c>
      <c r="EV112" s="841" t="s">
        <v>353</v>
      </c>
      <c r="EW112" s="841" t="s">
        <v>353</v>
      </c>
      <c r="EX112" s="841" t="s">
        <v>353</v>
      </c>
      <c r="EY112" s="842">
        <v>44606.670138888891</v>
      </c>
      <c r="EZ112" s="841" t="s">
        <v>353</v>
      </c>
      <c r="FA112" s="841" t="s">
        <v>353</v>
      </c>
      <c r="FB112" s="841" t="s">
        <v>353</v>
      </c>
      <c r="FC112" s="841" t="s">
        <v>353</v>
      </c>
      <c r="FD112" s="841" t="s">
        <v>353</v>
      </c>
      <c r="FE112" s="842">
        <v>44600.538888888892</v>
      </c>
      <c r="FF112" s="841" t="s">
        <v>353</v>
      </c>
      <c r="FG112" s="841" t="s">
        <v>2438</v>
      </c>
      <c r="FH112" s="841" t="s">
        <v>353</v>
      </c>
      <c r="FI112" s="841" t="s">
        <v>353</v>
      </c>
      <c r="FJ112" s="841" t="s">
        <v>353</v>
      </c>
      <c r="FK112" s="841" t="s">
        <v>353</v>
      </c>
      <c r="FL112" s="841" t="s">
        <v>353</v>
      </c>
      <c r="FM112" s="841" t="s">
        <v>353</v>
      </c>
      <c r="FN112" s="841" t="s">
        <v>353</v>
      </c>
      <c r="FO112" s="841" t="s">
        <v>1528</v>
      </c>
      <c r="FP112" s="841" t="s">
        <v>353</v>
      </c>
      <c r="FQ112" s="841" t="s">
        <v>353</v>
      </c>
      <c r="FR112" s="841" t="s">
        <v>353</v>
      </c>
      <c r="FS112" s="841" t="s">
        <v>353</v>
      </c>
      <c r="FT112" s="841" t="s">
        <v>353</v>
      </c>
      <c r="FU112" s="841" t="s">
        <v>1394</v>
      </c>
      <c r="FV112" s="841" t="s">
        <v>353</v>
      </c>
      <c r="FW112" s="841" t="s">
        <v>353</v>
      </c>
      <c r="FX112" s="841" t="s">
        <v>353</v>
      </c>
      <c r="FY112" s="841" t="s">
        <v>353</v>
      </c>
      <c r="FZ112" s="841" t="s">
        <v>353</v>
      </c>
      <c r="GA112" s="841" t="s">
        <v>353</v>
      </c>
      <c r="GB112" s="841">
        <v>1</v>
      </c>
      <c r="GC112" s="841" t="s">
        <v>353</v>
      </c>
      <c r="GD112" s="841" t="s">
        <v>1417</v>
      </c>
      <c r="GE112" s="841" t="s">
        <v>353</v>
      </c>
      <c r="GF112" s="841" t="s">
        <v>353</v>
      </c>
      <c r="GG112" s="841" t="s">
        <v>353</v>
      </c>
      <c r="GH112" s="841">
        <v>200000</v>
      </c>
      <c r="GI112" s="841" t="s">
        <v>353</v>
      </c>
      <c r="GJ112" s="841" t="s">
        <v>353</v>
      </c>
      <c r="GK112" s="841" t="s">
        <v>353</v>
      </c>
      <c r="GL112" s="841" t="s">
        <v>1418</v>
      </c>
      <c r="GM112" s="841" t="s">
        <v>353</v>
      </c>
      <c r="GN112" s="841" t="s">
        <v>353</v>
      </c>
      <c r="GO112" s="841" t="s">
        <v>353</v>
      </c>
      <c r="GP112" s="841" t="s">
        <v>353</v>
      </c>
      <c r="GQ112" s="841" t="s">
        <v>353</v>
      </c>
      <c r="GR112" s="842">
        <v>44606.670138888891</v>
      </c>
      <c r="GS112" s="841" t="s">
        <v>353</v>
      </c>
      <c r="GT112" s="841" t="s">
        <v>353</v>
      </c>
      <c r="GU112" s="841" t="s">
        <v>353</v>
      </c>
      <c r="GV112" s="841" t="s">
        <v>1076</v>
      </c>
      <c r="GW112" s="841" t="s">
        <v>353</v>
      </c>
      <c r="GX112" s="841" t="s">
        <v>2439</v>
      </c>
      <c r="GY112" s="841">
        <v>36</v>
      </c>
      <c r="GZ112" s="841" t="s">
        <v>353</v>
      </c>
      <c r="HA112" s="841" t="s">
        <v>353</v>
      </c>
      <c r="HB112" s="841" t="s">
        <v>353</v>
      </c>
      <c r="HC112" s="841" t="s">
        <v>353</v>
      </c>
      <c r="HD112" s="841" t="s">
        <v>2440</v>
      </c>
      <c r="HE112" s="841" t="s">
        <v>353</v>
      </c>
      <c r="HF112" s="841" t="s">
        <v>353</v>
      </c>
      <c r="HG112" s="841" t="s">
        <v>353</v>
      </c>
      <c r="HH112" s="841" t="s">
        <v>353</v>
      </c>
      <c r="HI112" s="841" t="s">
        <v>1603</v>
      </c>
      <c r="HJ112" s="841" t="s">
        <v>353</v>
      </c>
      <c r="HK112" s="841">
        <v>2000000</v>
      </c>
      <c r="HL112" s="841" t="s">
        <v>353</v>
      </c>
      <c r="HM112" s="841" t="s">
        <v>1423</v>
      </c>
      <c r="HN112" s="841" t="s">
        <v>353</v>
      </c>
      <c r="HO112" s="841" t="s">
        <v>2439</v>
      </c>
      <c r="HP112" s="841">
        <v>99800</v>
      </c>
      <c r="HQ112" s="841" t="s">
        <v>353</v>
      </c>
      <c r="HR112" s="841" t="s">
        <v>353</v>
      </c>
      <c r="HS112" s="841" t="s">
        <v>353</v>
      </c>
      <c r="HT112" s="841" t="s">
        <v>353</v>
      </c>
      <c r="HU112" s="841" t="s">
        <v>2439</v>
      </c>
      <c r="HV112" s="841" t="s">
        <v>353</v>
      </c>
      <c r="HW112" s="841">
        <v>825000</v>
      </c>
      <c r="HX112" s="841" t="s">
        <v>353</v>
      </c>
      <c r="HY112" s="841" t="s">
        <v>353</v>
      </c>
      <c r="HZ112" s="841">
        <v>975000</v>
      </c>
      <c r="IA112" s="841" t="s">
        <v>353</v>
      </c>
      <c r="IB112" s="841" t="s">
        <v>1424</v>
      </c>
      <c r="IC112" s="841" t="s">
        <v>353</v>
      </c>
      <c r="ID112" s="841" t="s">
        <v>353</v>
      </c>
      <c r="IE112" s="841" t="s">
        <v>353</v>
      </c>
      <c r="IF112" s="841" t="s">
        <v>353</v>
      </c>
      <c r="IG112" s="841">
        <v>900000</v>
      </c>
      <c r="IH112" s="841" t="s">
        <v>353</v>
      </c>
      <c r="II112" s="841" t="s">
        <v>353</v>
      </c>
      <c r="IJ112" s="841">
        <v>239</v>
      </c>
      <c r="IK112" s="841" t="s">
        <v>353</v>
      </c>
      <c r="IL112" s="841" t="s">
        <v>353</v>
      </c>
      <c r="IM112" s="841" t="s">
        <v>353</v>
      </c>
      <c r="IN112" s="841" t="s">
        <v>353</v>
      </c>
      <c r="IO112" s="841" t="s">
        <v>353</v>
      </c>
      <c r="IP112" s="841" t="s">
        <v>353</v>
      </c>
      <c r="IQ112" s="841" t="s">
        <v>353</v>
      </c>
      <c r="IR112" s="841">
        <v>6</v>
      </c>
      <c r="IS112" s="841" t="s">
        <v>353</v>
      </c>
      <c r="IT112" s="841" t="s">
        <v>353</v>
      </c>
      <c r="IU112" s="841" t="s">
        <v>353</v>
      </c>
      <c r="IV112" s="841" t="s">
        <v>353</v>
      </c>
      <c r="IW112" s="841" t="s">
        <v>2441</v>
      </c>
      <c r="IX112" s="841" t="s">
        <v>353</v>
      </c>
      <c r="IY112" s="841" t="s">
        <v>1578</v>
      </c>
      <c r="IZ112" s="841" t="s">
        <v>2442</v>
      </c>
      <c r="JA112" s="841">
        <v>2000000</v>
      </c>
      <c r="JB112" s="841" t="s">
        <v>353</v>
      </c>
      <c r="JC112" s="841" t="s">
        <v>353</v>
      </c>
      <c r="JD112" s="841" t="s">
        <v>1847</v>
      </c>
      <c r="JE112" s="841" t="s">
        <v>353</v>
      </c>
      <c r="JF112" s="841" t="s">
        <v>1980</v>
      </c>
      <c r="JG112" s="841" t="s">
        <v>1981</v>
      </c>
      <c r="JH112" s="841" t="s">
        <v>1982</v>
      </c>
      <c r="JI112" s="841" t="s">
        <v>1983</v>
      </c>
    </row>
    <row r="113" spans="1:269" x14ac:dyDescent="0.25">
      <c r="A113" s="841" t="s">
        <v>2443</v>
      </c>
      <c r="B113" s="841" t="s">
        <v>353</v>
      </c>
      <c r="C113" s="841" t="s">
        <v>353</v>
      </c>
      <c r="D113" s="841" t="s">
        <v>353</v>
      </c>
      <c r="E113" s="841" t="s">
        <v>353</v>
      </c>
      <c r="F113" s="841" t="s">
        <v>353</v>
      </c>
      <c r="G113" s="841" t="s">
        <v>353</v>
      </c>
      <c r="H113" s="841" t="s">
        <v>353</v>
      </c>
      <c r="I113" s="841" t="s">
        <v>353</v>
      </c>
      <c r="J113" s="841" t="s">
        <v>353</v>
      </c>
      <c r="K113" s="841" t="s">
        <v>353</v>
      </c>
      <c r="L113" s="842">
        <v>44580.685416666667</v>
      </c>
      <c r="M113" s="841" t="s">
        <v>353</v>
      </c>
      <c r="N113" s="841" t="s">
        <v>353</v>
      </c>
      <c r="O113" s="841" t="s">
        <v>353</v>
      </c>
      <c r="P113" s="841" t="s">
        <v>353</v>
      </c>
      <c r="Q113" s="841" t="s">
        <v>353</v>
      </c>
      <c r="R113" s="841" t="s">
        <v>353</v>
      </c>
      <c r="S113" s="841" t="s">
        <v>353</v>
      </c>
      <c r="T113" s="841" t="s">
        <v>1390</v>
      </c>
      <c r="U113" s="841" t="s">
        <v>353</v>
      </c>
      <c r="V113" s="841" t="s">
        <v>353</v>
      </c>
      <c r="W113" s="841" t="s">
        <v>353</v>
      </c>
      <c r="X113" s="841" t="s">
        <v>353</v>
      </c>
      <c r="Y113" s="841" t="s">
        <v>353</v>
      </c>
      <c r="Z113" s="841" t="s">
        <v>353</v>
      </c>
      <c r="AA113" s="841" t="s">
        <v>353</v>
      </c>
      <c r="AB113" s="841" t="s">
        <v>353</v>
      </c>
      <c r="AC113" s="841" t="s">
        <v>353</v>
      </c>
      <c r="AD113" s="841" t="s">
        <v>353</v>
      </c>
      <c r="AE113" s="841" t="s">
        <v>353</v>
      </c>
      <c r="AF113" s="841" t="s">
        <v>353</v>
      </c>
      <c r="AG113" s="841" t="s">
        <v>353</v>
      </c>
      <c r="AH113" s="841" t="s">
        <v>353</v>
      </c>
      <c r="AI113" s="841" t="s">
        <v>353</v>
      </c>
      <c r="AJ113" s="841" t="s">
        <v>353</v>
      </c>
      <c r="AK113" s="841" t="s">
        <v>353</v>
      </c>
      <c r="AL113" s="841" t="s">
        <v>353</v>
      </c>
      <c r="AM113" s="841" t="s">
        <v>353</v>
      </c>
      <c r="AN113" s="841" t="s">
        <v>353</v>
      </c>
      <c r="AO113" s="841" t="s">
        <v>353</v>
      </c>
      <c r="AP113" s="841" t="s">
        <v>353</v>
      </c>
      <c r="AQ113" s="841" t="s">
        <v>353</v>
      </c>
      <c r="AR113" s="841" t="s">
        <v>353</v>
      </c>
      <c r="AS113" s="841" t="s">
        <v>353</v>
      </c>
      <c r="AT113" s="841" t="s">
        <v>353</v>
      </c>
      <c r="AU113" s="841" t="s">
        <v>353</v>
      </c>
      <c r="AV113" s="841" t="s">
        <v>353</v>
      </c>
      <c r="AW113" s="841" t="s">
        <v>353</v>
      </c>
      <c r="AX113" s="841" t="s">
        <v>353</v>
      </c>
      <c r="AY113" s="841" t="s">
        <v>353</v>
      </c>
      <c r="AZ113" s="841" t="s">
        <v>353</v>
      </c>
      <c r="BA113" s="841" t="s">
        <v>353</v>
      </c>
      <c r="BB113" s="841" t="s">
        <v>353</v>
      </c>
      <c r="BC113" s="841" t="s">
        <v>353</v>
      </c>
      <c r="BD113" s="841" t="s">
        <v>353</v>
      </c>
      <c r="BE113" s="841" t="s">
        <v>353</v>
      </c>
      <c r="BF113" s="841" t="s">
        <v>353</v>
      </c>
      <c r="BG113" s="841" t="s">
        <v>353</v>
      </c>
      <c r="BH113" s="841" t="s">
        <v>353</v>
      </c>
      <c r="BI113" s="841" t="s">
        <v>353</v>
      </c>
      <c r="BJ113" s="841" t="s">
        <v>353</v>
      </c>
      <c r="BK113" s="841" t="s">
        <v>353</v>
      </c>
      <c r="BL113" s="841" t="s">
        <v>353</v>
      </c>
      <c r="BM113" s="842">
        <v>44592.385416666664</v>
      </c>
      <c r="BN113" s="841" t="s">
        <v>353</v>
      </c>
      <c r="BO113" s="841" t="s">
        <v>353</v>
      </c>
      <c r="BP113" s="841" t="s">
        <v>353</v>
      </c>
      <c r="BQ113" s="841" t="s">
        <v>353</v>
      </c>
      <c r="BR113" s="841" t="s">
        <v>353</v>
      </c>
      <c r="BS113" s="841" t="s">
        <v>353</v>
      </c>
      <c r="BT113" s="841">
        <v>700000</v>
      </c>
      <c r="BU113" s="841" t="s">
        <v>353</v>
      </c>
      <c r="BV113" s="841" t="s">
        <v>353</v>
      </c>
      <c r="BW113" s="841" t="s">
        <v>353</v>
      </c>
      <c r="BX113" s="841" t="s">
        <v>353</v>
      </c>
      <c r="BY113" s="841" t="s">
        <v>353</v>
      </c>
      <c r="BZ113" s="841" t="s">
        <v>353</v>
      </c>
      <c r="CA113" s="841" t="s">
        <v>353</v>
      </c>
      <c r="CB113" s="841" t="s">
        <v>353</v>
      </c>
      <c r="CC113" s="841" t="s">
        <v>353</v>
      </c>
      <c r="CD113" s="841" t="s">
        <v>353</v>
      </c>
      <c r="CE113" s="841" t="s">
        <v>353</v>
      </c>
      <c r="CF113" s="841" t="s">
        <v>353</v>
      </c>
      <c r="CG113" s="841" t="s">
        <v>353</v>
      </c>
      <c r="CH113" s="841" t="s">
        <v>353</v>
      </c>
      <c r="CI113" s="841" t="s">
        <v>353</v>
      </c>
      <c r="CJ113" s="841" t="s">
        <v>353</v>
      </c>
      <c r="CK113" s="841">
        <v>1</v>
      </c>
      <c r="CL113" s="841" t="s">
        <v>353</v>
      </c>
      <c r="CM113" s="841">
        <v>1</v>
      </c>
      <c r="CN113" s="841" t="s">
        <v>353</v>
      </c>
      <c r="CO113" s="841" t="s">
        <v>353</v>
      </c>
      <c r="CP113" s="841" t="s">
        <v>353</v>
      </c>
      <c r="CQ113" s="841" t="s">
        <v>353</v>
      </c>
      <c r="CR113" s="841" t="s">
        <v>353</v>
      </c>
      <c r="CS113" s="841" t="s">
        <v>353</v>
      </c>
      <c r="CT113" s="841" t="s">
        <v>353</v>
      </c>
      <c r="CU113" s="841" t="s">
        <v>1391</v>
      </c>
      <c r="CV113" s="841" t="s">
        <v>353</v>
      </c>
      <c r="CW113" s="841" t="s">
        <v>353</v>
      </c>
      <c r="CX113" s="841" t="s">
        <v>353</v>
      </c>
      <c r="CY113" s="841" t="s">
        <v>353</v>
      </c>
      <c r="CZ113" s="841" t="s">
        <v>353</v>
      </c>
      <c r="DA113" s="841" t="s">
        <v>353</v>
      </c>
      <c r="DB113" s="841" t="s">
        <v>353</v>
      </c>
      <c r="DC113" s="841" t="s">
        <v>353</v>
      </c>
      <c r="DD113" s="841" t="s">
        <v>353</v>
      </c>
      <c r="DE113" s="841" t="s">
        <v>353</v>
      </c>
      <c r="DF113" s="841" t="s">
        <v>353</v>
      </c>
      <c r="DG113" s="841" t="s">
        <v>353</v>
      </c>
      <c r="DH113" s="841" t="s">
        <v>353</v>
      </c>
      <c r="DI113" s="841" t="s">
        <v>353</v>
      </c>
      <c r="DJ113" s="841" t="s">
        <v>2444</v>
      </c>
      <c r="DK113" s="841" t="s">
        <v>353</v>
      </c>
      <c r="DL113" s="842">
        <v>44579.385416666664</v>
      </c>
      <c r="DM113" s="841" t="s">
        <v>353</v>
      </c>
      <c r="DN113" s="841" t="s">
        <v>353</v>
      </c>
      <c r="DO113" s="841" t="s">
        <v>353</v>
      </c>
      <c r="DP113" s="841" t="s">
        <v>353</v>
      </c>
      <c r="DQ113" s="841" t="s">
        <v>673</v>
      </c>
      <c r="DR113" s="841" t="s">
        <v>353</v>
      </c>
      <c r="DS113" s="841" t="s">
        <v>353</v>
      </c>
      <c r="DT113" s="841" t="s">
        <v>353</v>
      </c>
      <c r="DU113" s="841" t="s">
        <v>353</v>
      </c>
      <c r="DV113" s="841" t="s">
        <v>353</v>
      </c>
      <c r="DW113" s="841" t="s">
        <v>353</v>
      </c>
      <c r="DX113" s="841" t="s">
        <v>353</v>
      </c>
      <c r="DY113" s="841" t="s">
        <v>353</v>
      </c>
      <c r="DZ113" s="841" t="s">
        <v>353</v>
      </c>
      <c r="EA113" s="841" t="s">
        <v>353</v>
      </c>
      <c r="EB113" s="841" t="s">
        <v>353</v>
      </c>
      <c r="EC113" s="841" t="s">
        <v>353</v>
      </c>
      <c r="ED113" s="841" t="s">
        <v>353</v>
      </c>
      <c r="EE113" s="841" t="s">
        <v>353</v>
      </c>
      <c r="EF113" s="841" t="s">
        <v>353</v>
      </c>
      <c r="EG113" s="841" t="s">
        <v>353</v>
      </c>
      <c r="EH113" s="841" t="s">
        <v>353</v>
      </c>
      <c r="EI113" s="841" t="s">
        <v>353</v>
      </c>
      <c r="EJ113" s="841" t="s">
        <v>353</v>
      </c>
      <c r="EK113" s="841" t="s">
        <v>353</v>
      </c>
      <c r="EL113" s="841" t="s">
        <v>353</v>
      </c>
      <c r="EM113" s="841" t="s">
        <v>353</v>
      </c>
      <c r="EN113" s="841" t="s">
        <v>353</v>
      </c>
      <c r="EO113" s="841" t="s">
        <v>353</v>
      </c>
      <c r="EP113" s="841" t="s">
        <v>353</v>
      </c>
      <c r="EQ113" s="841" t="s">
        <v>353</v>
      </c>
      <c r="ER113" s="841" t="s">
        <v>353</v>
      </c>
      <c r="ES113" s="841" t="s">
        <v>353</v>
      </c>
      <c r="ET113" s="841" t="s">
        <v>1711</v>
      </c>
      <c r="EU113" s="841" t="s">
        <v>353</v>
      </c>
      <c r="EV113" s="841" t="s">
        <v>353</v>
      </c>
      <c r="EW113" s="841" t="s">
        <v>353</v>
      </c>
      <c r="EX113" s="841" t="s">
        <v>353</v>
      </c>
      <c r="EY113" s="842">
        <v>44580.59375</v>
      </c>
      <c r="EZ113" s="841" t="s">
        <v>353</v>
      </c>
      <c r="FA113" s="841" t="s">
        <v>353</v>
      </c>
      <c r="FB113" s="841" t="s">
        <v>353</v>
      </c>
      <c r="FC113" s="841" t="s">
        <v>353</v>
      </c>
      <c r="FD113" s="841" t="s">
        <v>353</v>
      </c>
      <c r="FE113" s="842">
        <v>44579.386111111111</v>
      </c>
      <c r="FF113" s="841" t="s">
        <v>353</v>
      </c>
      <c r="FG113" s="841" t="s">
        <v>353</v>
      </c>
      <c r="FH113" s="841" t="s">
        <v>353</v>
      </c>
      <c r="FI113" s="841" t="s">
        <v>353</v>
      </c>
      <c r="FJ113" s="841" t="s">
        <v>353</v>
      </c>
      <c r="FK113" s="841" t="s">
        <v>353</v>
      </c>
      <c r="FL113" s="841" t="s">
        <v>353</v>
      </c>
      <c r="FM113" s="841" t="s">
        <v>353</v>
      </c>
      <c r="FN113" s="841" t="s">
        <v>353</v>
      </c>
      <c r="FO113" s="841" t="s">
        <v>353</v>
      </c>
      <c r="FP113" s="841" t="s">
        <v>353</v>
      </c>
      <c r="FQ113" s="841" t="s">
        <v>353</v>
      </c>
      <c r="FR113" s="841" t="s">
        <v>353</v>
      </c>
      <c r="FS113" s="841" t="s">
        <v>353</v>
      </c>
      <c r="FT113" s="841" t="s">
        <v>353</v>
      </c>
      <c r="FU113" s="841" t="s">
        <v>1394</v>
      </c>
      <c r="FV113" s="841" t="s">
        <v>353</v>
      </c>
      <c r="FW113" s="841" t="s">
        <v>353</v>
      </c>
      <c r="FX113" s="841" t="s">
        <v>353</v>
      </c>
      <c r="FY113" s="841" t="s">
        <v>353</v>
      </c>
      <c r="FZ113" s="841" t="s">
        <v>353</v>
      </c>
      <c r="GA113" s="841" t="s">
        <v>353</v>
      </c>
      <c r="GB113" s="841">
        <v>1</v>
      </c>
      <c r="GC113" s="841" t="s">
        <v>353</v>
      </c>
      <c r="GD113" s="841" t="s">
        <v>1395</v>
      </c>
      <c r="GE113" s="841" t="s">
        <v>353</v>
      </c>
      <c r="GF113" s="841" t="s">
        <v>353</v>
      </c>
      <c r="GG113" s="841" t="s">
        <v>353</v>
      </c>
      <c r="GH113" s="841" t="s">
        <v>353</v>
      </c>
      <c r="GI113" s="841" t="s">
        <v>353</v>
      </c>
      <c r="GJ113" s="841" t="s">
        <v>353</v>
      </c>
      <c r="GK113" s="841" t="s">
        <v>353</v>
      </c>
      <c r="GL113" s="841" t="s">
        <v>1715</v>
      </c>
      <c r="GM113" s="841" t="s">
        <v>353</v>
      </c>
      <c r="GN113" s="841" t="s">
        <v>353</v>
      </c>
      <c r="GO113" s="841" t="s">
        <v>353</v>
      </c>
      <c r="GP113" s="841" t="s">
        <v>353</v>
      </c>
      <c r="GQ113" s="841" t="s">
        <v>353</v>
      </c>
      <c r="GR113" s="842">
        <v>44580.59375</v>
      </c>
      <c r="GS113" s="841" t="s">
        <v>353</v>
      </c>
      <c r="GT113" s="841" t="s">
        <v>353</v>
      </c>
      <c r="GU113" s="841" t="s">
        <v>353</v>
      </c>
      <c r="GV113" s="841" t="s">
        <v>1419</v>
      </c>
      <c r="GW113" s="841" t="s">
        <v>353</v>
      </c>
      <c r="GX113" s="841" t="s">
        <v>353</v>
      </c>
      <c r="GY113" s="841" t="s">
        <v>353</v>
      </c>
      <c r="GZ113" s="841" t="s">
        <v>353</v>
      </c>
      <c r="HA113" s="841" t="s">
        <v>353</v>
      </c>
      <c r="HB113" s="841" t="s">
        <v>353</v>
      </c>
      <c r="HC113" s="841" t="s">
        <v>353</v>
      </c>
      <c r="HD113" s="841" t="s">
        <v>2445</v>
      </c>
      <c r="HE113" s="841" t="s">
        <v>353</v>
      </c>
      <c r="HF113" s="841" t="s">
        <v>353</v>
      </c>
      <c r="HG113" s="841" t="s">
        <v>353</v>
      </c>
      <c r="HH113" s="841" t="s">
        <v>353</v>
      </c>
      <c r="HI113" s="841" t="s">
        <v>353</v>
      </c>
      <c r="HJ113" s="841" t="s">
        <v>353</v>
      </c>
      <c r="HK113" s="841" t="s">
        <v>353</v>
      </c>
      <c r="HL113" s="841" t="s">
        <v>353</v>
      </c>
      <c r="HM113" s="841" t="s">
        <v>353</v>
      </c>
      <c r="HN113" s="841" t="s">
        <v>353</v>
      </c>
      <c r="HO113" s="841" t="s">
        <v>353</v>
      </c>
      <c r="HP113" s="841" t="s">
        <v>353</v>
      </c>
      <c r="HQ113" s="841" t="s">
        <v>353</v>
      </c>
      <c r="HR113" s="841" t="s">
        <v>353</v>
      </c>
      <c r="HS113" s="841" t="s">
        <v>353</v>
      </c>
      <c r="HT113" s="841" t="s">
        <v>353</v>
      </c>
      <c r="HU113" s="841" t="s">
        <v>353</v>
      </c>
      <c r="HV113" s="841" t="s">
        <v>353</v>
      </c>
      <c r="HW113" s="841" t="s">
        <v>353</v>
      </c>
      <c r="HX113" s="841" t="s">
        <v>353</v>
      </c>
      <c r="HY113" s="841" t="s">
        <v>353</v>
      </c>
      <c r="HZ113" s="841" t="s">
        <v>353</v>
      </c>
      <c r="IA113" s="841" t="s">
        <v>353</v>
      </c>
      <c r="IB113" s="841" t="s">
        <v>353</v>
      </c>
      <c r="IC113" s="841" t="s">
        <v>353</v>
      </c>
      <c r="ID113" s="841" t="s">
        <v>353</v>
      </c>
      <c r="IE113" s="841" t="s">
        <v>353</v>
      </c>
      <c r="IF113" s="841" t="s">
        <v>353</v>
      </c>
      <c r="IG113" s="841" t="s">
        <v>353</v>
      </c>
      <c r="IH113" s="841" t="s">
        <v>353</v>
      </c>
      <c r="II113" s="841" t="s">
        <v>353</v>
      </c>
      <c r="IJ113" s="841" t="s">
        <v>353</v>
      </c>
      <c r="IK113" s="841" t="s">
        <v>353</v>
      </c>
      <c r="IL113" s="841" t="s">
        <v>353</v>
      </c>
      <c r="IM113" s="841" t="s">
        <v>353</v>
      </c>
      <c r="IN113" s="841" t="s">
        <v>353</v>
      </c>
      <c r="IO113" s="841" t="s">
        <v>353</v>
      </c>
      <c r="IP113" s="841" t="s">
        <v>353</v>
      </c>
      <c r="IQ113" s="841" t="s">
        <v>353</v>
      </c>
      <c r="IR113" s="841" t="s">
        <v>353</v>
      </c>
      <c r="IS113" s="841" t="s">
        <v>353</v>
      </c>
      <c r="IT113" s="841" t="s">
        <v>353</v>
      </c>
      <c r="IU113" s="841" t="s">
        <v>353</v>
      </c>
      <c r="IV113" s="841" t="s">
        <v>353</v>
      </c>
      <c r="IW113" s="841" t="s">
        <v>353</v>
      </c>
      <c r="IX113" s="841" t="s">
        <v>353</v>
      </c>
      <c r="IY113" s="841" t="s">
        <v>353</v>
      </c>
      <c r="IZ113" s="841" t="s">
        <v>353</v>
      </c>
      <c r="JA113" s="841" t="s">
        <v>353</v>
      </c>
      <c r="JB113" s="841" t="s">
        <v>353</v>
      </c>
      <c r="JC113" s="841" t="s">
        <v>353</v>
      </c>
      <c r="JD113" s="841" t="s">
        <v>353</v>
      </c>
      <c r="JE113" s="841" t="s">
        <v>353</v>
      </c>
      <c r="JF113" s="841" t="s">
        <v>1718</v>
      </c>
      <c r="JG113" s="841" t="s">
        <v>1719</v>
      </c>
      <c r="JH113" s="841" t="s">
        <v>1720</v>
      </c>
      <c r="JI113" s="841" t="s">
        <v>1721</v>
      </c>
    </row>
    <row r="114" spans="1:269" x14ac:dyDescent="0.25">
      <c r="A114" s="841" t="s">
        <v>2446</v>
      </c>
      <c r="B114" s="841" t="s">
        <v>353</v>
      </c>
      <c r="C114" s="841" t="s">
        <v>353</v>
      </c>
      <c r="D114" s="841" t="s">
        <v>353</v>
      </c>
      <c r="E114" s="841" t="s">
        <v>353</v>
      </c>
      <c r="F114" s="841" t="s">
        <v>353</v>
      </c>
      <c r="G114" s="841" t="s">
        <v>353</v>
      </c>
      <c r="H114" s="841" t="s">
        <v>353</v>
      </c>
      <c r="I114" s="841" t="s">
        <v>353</v>
      </c>
      <c r="J114" s="841" t="s">
        <v>353</v>
      </c>
      <c r="K114" s="841" t="s">
        <v>353</v>
      </c>
      <c r="L114" s="842">
        <v>44578.672222222223</v>
      </c>
      <c r="M114" s="841" t="s">
        <v>353</v>
      </c>
      <c r="N114" s="841" t="s">
        <v>353</v>
      </c>
      <c r="O114" s="841" t="s">
        <v>353</v>
      </c>
      <c r="P114" s="841" t="s">
        <v>353</v>
      </c>
      <c r="Q114" s="841" t="s">
        <v>353</v>
      </c>
      <c r="R114" s="841" t="s">
        <v>353</v>
      </c>
      <c r="S114" s="841" t="s">
        <v>353</v>
      </c>
      <c r="T114" s="841" t="s">
        <v>1390</v>
      </c>
      <c r="U114" s="841" t="s">
        <v>353</v>
      </c>
      <c r="V114" s="841" t="s">
        <v>353</v>
      </c>
      <c r="W114" s="841" t="s">
        <v>353</v>
      </c>
      <c r="X114" s="841" t="s">
        <v>353</v>
      </c>
      <c r="Y114" s="841" t="s">
        <v>353</v>
      </c>
      <c r="Z114" s="841" t="s">
        <v>353</v>
      </c>
      <c r="AA114" s="841" t="s">
        <v>353</v>
      </c>
      <c r="AB114" s="841" t="s">
        <v>353</v>
      </c>
      <c r="AC114" s="841" t="s">
        <v>353</v>
      </c>
      <c r="AD114" s="841" t="s">
        <v>353</v>
      </c>
      <c r="AE114" s="841" t="s">
        <v>353</v>
      </c>
      <c r="AF114" s="841" t="s">
        <v>353</v>
      </c>
      <c r="AG114" s="841" t="s">
        <v>353</v>
      </c>
      <c r="AH114" s="841" t="s">
        <v>353</v>
      </c>
      <c r="AI114" s="841" t="s">
        <v>353</v>
      </c>
      <c r="AJ114" s="841" t="s">
        <v>353</v>
      </c>
      <c r="AK114" s="841" t="s">
        <v>353</v>
      </c>
      <c r="AL114" s="841" t="s">
        <v>353</v>
      </c>
      <c r="AM114" s="841" t="s">
        <v>353</v>
      </c>
      <c r="AN114" s="841" t="s">
        <v>353</v>
      </c>
      <c r="AO114" s="841" t="s">
        <v>353</v>
      </c>
      <c r="AP114" s="841" t="s">
        <v>353</v>
      </c>
      <c r="AQ114" s="841" t="s">
        <v>353</v>
      </c>
      <c r="AR114" s="841" t="s">
        <v>353</v>
      </c>
      <c r="AS114" s="841" t="s">
        <v>353</v>
      </c>
      <c r="AT114" s="841" t="s">
        <v>353</v>
      </c>
      <c r="AU114" s="841" t="s">
        <v>353</v>
      </c>
      <c r="AV114" s="841" t="s">
        <v>353</v>
      </c>
      <c r="AW114" s="841" t="s">
        <v>353</v>
      </c>
      <c r="AX114" s="841" t="s">
        <v>353</v>
      </c>
      <c r="AY114" s="841" t="s">
        <v>353</v>
      </c>
      <c r="AZ114" s="841" t="s">
        <v>353</v>
      </c>
      <c r="BA114" s="841" t="s">
        <v>353</v>
      </c>
      <c r="BB114" s="841" t="s">
        <v>353</v>
      </c>
      <c r="BC114" s="841" t="s">
        <v>353</v>
      </c>
      <c r="BD114" s="841" t="s">
        <v>353</v>
      </c>
      <c r="BE114" s="841" t="s">
        <v>353</v>
      </c>
      <c r="BF114" s="841" t="s">
        <v>353</v>
      </c>
      <c r="BG114" s="841" t="s">
        <v>353</v>
      </c>
      <c r="BH114" s="841" t="s">
        <v>353</v>
      </c>
      <c r="BI114" s="841" t="s">
        <v>353</v>
      </c>
      <c r="BJ114" s="841" t="s">
        <v>353</v>
      </c>
      <c r="BK114" s="841" t="s">
        <v>353</v>
      </c>
      <c r="BL114" s="841" t="s">
        <v>353</v>
      </c>
      <c r="BM114" s="842">
        <v>44592.645138888889</v>
      </c>
      <c r="BN114" s="841" t="s">
        <v>353</v>
      </c>
      <c r="BO114" s="841" t="s">
        <v>353</v>
      </c>
      <c r="BP114" s="841" t="s">
        <v>353</v>
      </c>
      <c r="BQ114" s="841" t="s">
        <v>353</v>
      </c>
      <c r="BR114" s="841" t="s">
        <v>353</v>
      </c>
      <c r="BS114" s="841" t="s">
        <v>353</v>
      </c>
      <c r="BT114" s="841">
        <v>710000</v>
      </c>
      <c r="BU114" s="841" t="s">
        <v>353</v>
      </c>
      <c r="BV114" s="841" t="s">
        <v>353</v>
      </c>
      <c r="BW114" s="841" t="s">
        <v>353</v>
      </c>
      <c r="BX114" s="841" t="s">
        <v>353</v>
      </c>
      <c r="BY114" s="841" t="s">
        <v>353</v>
      </c>
      <c r="BZ114" s="841" t="s">
        <v>353</v>
      </c>
      <c r="CA114" s="841" t="s">
        <v>353</v>
      </c>
      <c r="CB114" s="841" t="s">
        <v>353</v>
      </c>
      <c r="CC114" s="841" t="s">
        <v>353</v>
      </c>
      <c r="CD114" s="841" t="s">
        <v>353</v>
      </c>
      <c r="CE114" s="841" t="s">
        <v>353</v>
      </c>
      <c r="CF114" s="841" t="s">
        <v>353</v>
      </c>
      <c r="CG114" s="841" t="s">
        <v>353</v>
      </c>
      <c r="CH114" s="841" t="s">
        <v>353</v>
      </c>
      <c r="CI114" s="841" t="s">
        <v>353</v>
      </c>
      <c r="CJ114" s="841" t="s">
        <v>353</v>
      </c>
      <c r="CK114" s="841">
        <v>2</v>
      </c>
      <c r="CL114" s="841" t="s">
        <v>353</v>
      </c>
      <c r="CM114" s="841">
        <v>2</v>
      </c>
      <c r="CN114" s="841" t="s">
        <v>353</v>
      </c>
      <c r="CO114" s="841" t="s">
        <v>353</v>
      </c>
      <c r="CP114" s="841" t="s">
        <v>353</v>
      </c>
      <c r="CQ114" s="841" t="s">
        <v>353</v>
      </c>
      <c r="CR114" s="841" t="s">
        <v>353</v>
      </c>
      <c r="CS114" s="841" t="s">
        <v>353</v>
      </c>
      <c r="CT114" s="841" t="s">
        <v>353</v>
      </c>
      <c r="CU114" s="841" t="s">
        <v>1391</v>
      </c>
      <c r="CV114" s="841" t="s">
        <v>353</v>
      </c>
      <c r="CW114" s="841" t="s">
        <v>353</v>
      </c>
      <c r="CX114" s="841" t="s">
        <v>353</v>
      </c>
      <c r="CY114" s="841" t="s">
        <v>353</v>
      </c>
      <c r="CZ114" s="841" t="s">
        <v>353</v>
      </c>
      <c r="DA114" s="841" t="s">
        <v>353</v>
      </c>
      <c r="DB114" s="841" t="s">
        <v>353</v>
      </c>
      <c r="DC114" s="841" t="s">
        <v>353</v>
      </c>
      <c r="DD114" s="841" t="s">
        <v>353</v>
      </c>
      <c r="DE114" s="841" t="s">
        <v>353</v>
      </c>
      <c r="DF114" s="841" t="s">
        <v>353</v>
      </c>
      <c r="DG114" s="841" t="s">
        <v>353</v>
      </c>
      <c r="DH114" s="841" t="s">
        <v>353</v>
      </c>
      <c r="DI114" s="841" t="s">
        <v>353</v>
      </c>
      <c r="DJ114" s="841" t="s">
        <v>2447</v>
      </c>
      <c r="DK114" s="841" t="s">
        <v>353</v>
      </c>
      <c r="DL114" s="842">
        <v>44578.645138888889</v>
      </c>
      <c r="DM114" s="841" t="s">
        <v>353</v>
      </c>
      <c r="DN114" s="841" t="s">
        <v>353</v>
      </c>
      <c r="DO114" s="841" t="s">
        <v>353</v>
      </c>
      <c r="DP114" s="841" t="s">
        <v>353</v>
      </c>
      <c r="DQ114" s="841" t="s">
        <v>673</v>
      </c>
      <c r="DR114" s="841" t="s">
        <v>353</v>
      </c>
      <c r="DS114" s="841" t="s">
        <v>353</v>
      </c>
      <c r="DT114" s="841" t="s">
        <v>353</v>
      </c>
      <c r="DU114" s="841" t="s">
        <v>353</v>
      </c>
      <c r="DV114" s="841" t="s">
        <v>353</v>
      </c>
      <c r="DW114" s="841" t="s">
        <v>353</v>
      </c>
      <c r="DX114" s="841" t="s">
        <v>353</v>
      </c>
      <c r="DY114" s="841" t="s">
        <v>353</v>
      </c>
      <c r="DZ114" s="841" t="s">
        <v>353</v>
      </c>
      <c r="EA114" s="841" t="s">
        <v>353</v>
      </c>
      <c r="EB114" s="841" t="s">
        <v>353</v>
      </c>
      <c r="EC114" s="841" t="s">
        <v>353</v>
      </c>
      <c r="ED114" s="841" t="s">
        <v>353</v>
      </c>
      <c r="EE114" s="841" t="s">
        <v>353</v>
      </c>
      <c r="EF114" s="841" t="s">
        <v>353</v>
      </c>
      <c r="EG114" s="841" t="s">
        <v>353</v>
      </c>
      <c r="EH114" s="841" t="s">
        <v>353</v>
      </c>
      <c r="EI114" s="841" t="s">
        <v>353</v>
      </c>
      <c r="EJ114" s="841" t="s">
        <v>353</v>
      </c>
      <c r="EK114" s="841" t="s">
        <v>353</v>
      </c>
      <c r="EL114" s="841" t="s">
        <v>353</v>
      </c>
      <c r="EM114" s="841" t="s">
        <v>353</v>
      </c>
      <c r="EN114" s="841" t="s">
        <v>353</v>
      </c>
      <c r="EO114" s="841" t="s">
        <v>353</v>
      </c>
      <c r="EP114" s="841" t="s">
        <v>353</v>
      </c>
      <c r="EQ114" s="841" t="s">
        <v>353</v>
      </c>
      <c r="ER114" s="841" t="s">
        <v>353</v>
      </c>
      <c r="ES114" s="841" t="s">
        <v>353</v>
      </c>
      <c r="ET114" s="841" t="s">
        <v>1711</v>
      </c>
      <c r="EU114" s="841" t="s">
        <v>353</v>
      </c>
      <c r="EV114" s="841" t="s">
        <v>353</v>
      </c>
      <c r="EW114" s="841" t="s">
        <v>353</v>
      </c>
      <c r="EX114" s="841" t="s">
        <v>353</v>
      </c>
      <c r="EY114" s="842">
        <v>44578.671527777777</v>
      </c>
      <c r="EZ114" s="841" t="s">
        <v>353</v>
      </c>
      <c r="FA114" s="841" t="s">
        <v>353</v>
      </c>
      <c r="FB114" s="841" t="s">
        <v>353</v>
      </c>
      <c r="FC114" s="841" t="s">
        <v>353</v>
      </c>
      <c r="FD114" s="841" t="s">
        <v>353</v>
      </c>
      <c r="FE114" s="842">
        <v>44578.646527777775</v>
      </c>
      <c r="FF114" s="841" t="s">
        <v>353</v>
      </c>
      <c r="FG114" s="841" t="s">
        <v>353</v>
      </c>
      <c r="FH114" s="841" t="s">
        <v>353</v>
      </c>
      <c r="FI114" s="841" t="s">
        <v>353</v>
      </c>
      <c r="FJ114" s="841" t="s">
        <v>353</v>
      </c>
      <c r="FK114" s="841" t="s">
        <v>353</v>
      </c>
      <c r="FL114" s="841" t="s">
        <v>353</v>
      </c>
      <c r="FM114" s="841" t="s">
        <v>353</v>
      </c>
      <c r="FN114" s="841" t="s">
        <v>353</v>
      </c>
      <c r="FO114" s="841" t="s">
        <v>353</v>
      </c>
      <c r="FP114" s="841" t="s">
        <v>353</v>
      </c>
      <c r="FQ114" s="841" t="s">
        <v>353</v>
      </c>
      <c r="FR114" s="841" t="s">
        <v>353</v>
      </c>
      <c r="FS114" s="841" t="s">
        <v>353</v>
      </c>
      <c r="FT114" s="841" t="s">
        <v>353</v>
      </c>
      <c r="FU114" s="841" t="s">
        <v>1394</v>
      </c>
      <c r="FV114" s="841" t="s">
        <v>353</v>
      </c>
      <c r="FW114" s="841" t="s">
        <v>353</v>
      </c>
      <c r="FX114" s="841" t="s">
        <v>353</v>
      </c>
      <c r="FY114" s="841" t="s">
        <v>353</v>
      </c>
      <c r="FZ114" s="841" t="s">
        <v>353</v>
      </c>
      <c r="GA114" s="841" t="s">
        <v>353</v>
      </c>
      <c r="GB114" s="841">
        <v>1</v>
      </c>
      <c r="GC114" s="841" t="s">
        <v>353</v>
      </c>
      <c r="GD114" s="841" t="s">
        <v>1395</v>
      </c>
      <c r="GE114" s="841" t="s">
        <v>353</v>
      </c>
      <c r="GF114" s="841" t="s">
        <v>353</v>
      </c>
      <c r="GG114" s="841" t="s">
        <v>353</v>
      </c>
      <c r="GH114" s="841" t="s">
        <v>353</v>
      </c>
      <c r="GI114" s="841" t="s">
        <v>353</v>
      </c>
      <c r="GJ114" s="841" t="s">
        <v>353</v>
      </c>
      <c r="GK114" s="841" t="s">
        <v>353</v>
      </c>
      <c r="GL114" s="841" t="s">
        <v>1715</v>
      </c>
      <c r="GM114" s="841" t="s">
        <v>353</v>
      </c>
      <c r="GN114" s="841" t="s">
        <v>353</v>
      </c>
      <c r="GO114" s="841" t="s">
        <v>353</v>
      </c>
      <c r="GP114" s="841" t="s">
        <v>353</v>
      </c>
      <c r="GQ114" s="841" t="s">
        <v>353</v>
      </c>
      <c r="GR114" s="842">
        <v>44578.671527777777</v>
      </c>
      <c r="GS114" s="841" t="s">
        <v>353</v>
      </c>
      <c r="GT114" s="841" t="s">
        <v>353</v>
      </c>
      <c r="GU114" s="841" t="s">
        <v>353</v>
      </c>
      <c r="GV114" s="841" t="s">
        <v>1419</v>
      </c>
      <c r="GW114" s="841" t="s">
        <v>353</v>
      </c>
      <c r="GX114" s="841" t="s">
        <v>353</v>
      </c>
      <c r="GY114" s="841" t="s">
        <v>353</v>
      </c>
      <c r="GZ114" s="841" t="s">
        <v>353</v>
      </c>
      <c r="HA114" s="841" t="s">
        <v>353</v>
      </c>
      <c r="HB114" s="841" t="s">
        <v>353</v>
      </c>
      <c r="HC114" s="841" t="s">
        <v>353</v>
      </c>
      <c r="HD114" s="841" t="s">
        <v>2448</v>
      </c>
      <c r="HE114" s="841" t="s">
        <v>353</v>
      </c>
      <c r="HF114" s="841" t="s">
        <v>353</v>
      </c>
      <c r="HG114" s="841" t="s">
        <v>353</v>
      </c>
      <c r="HH114" s="841" t="s">
        <v>353</v>
      </c>
      <c r="HI114" s="841" t="s">
        <v>353</v>
      </c>
      <c r="HJ114" s="841" t="s">
        <v>353</v>
      </c>
      <c r="HK114" s="841" t="s">
        <v>353</v>
      </c>
      <c r="HL114" s="841" t="s">
        <v>353</v>
      </c>
      <c r="HM114" s="841" t="s">
        <v>353</v>
      </c>
      <c r="HN114" s="841" t="s">
        <v>353</v>
      </c>
      <c r="HO114" s="841" t="s">
        <v>353</v>
      </c>
      <c r="HP114" s="841" t="s">
        <v>353</v>
      </c>
      <c r="HQ114" s="841" t="s">
        <v>353</v>
      </c>
      <c r="HR114" s="841" t="s">
        <v>353</v>
      </c>
      <c r="HS114" s="841" t="s">
        <v>353</v>
      </c>
      <c r="HT114" s="841" t="s">
        <v>353</v>
      </c>
      <c r="HU114" s="841" t="s">
        <v>353</v>
      </c>
      <c r="HV114" s="841" t="s">
        <v>353</v>
      </c>
      <c r="HW114" s="841" t="s">
        <v>353</v>
      </c>
      <c r="HX114" s="841" t="s">
        <v>353</v>
      </c>
      <c r="HY114" s="841" t="s">
        <v>353</v>
      </c>
      <c r="HZ114" s="841" t="s">
        <v>353</v>
      </c>
      <c r="IA114" s="841" t="s">
        <v>353</v>
      </c>
      <c r="IB114" s="841" t="s">
        <v>353</v>
      </c>
      <c r="IC114" s="841" t="s">
        <v>353</v>
      </c>
      <c r="ID114" s="841" t="s">
        <v>353</v>
      </c>
      <c r="IE114" s="841" t="s">
        <v>353</v>
      </c>
      <c r="IF114" s="841" t="s">
        <v>353</v>
      </c>
      <c r="IG114" s="841" t="s">
        <v>353</v>
      </c>
      <c r="IH114" s="841" t="s">
        <v>353</v>
      </c>
      <c r="II114" s="841" t="s">
        <v>353</v>
      </c>
      <c r="IJ114" s="841" t="s">
        <v>353</v>
      </c>
      <c r="IK114" s="841" t="s">
        <v>353</v>
      </c>
      <c r="IL114" s="841" t="s">
        <v>353</v>
      </c>
      <c r="IM114" s="841" t="s">
        <v>353</v>
      </c>
      <c r="IN114" s="841" t="s">
        <v>353</v>
      </c>
      <c r="IO114" s="841" t="s">
        <v>353</v>
      </c>
      <c r="IP114" s="841" t="s">
        <v>353</v>
      </c>
      <c r="IQ114" s="841" t="s">
        <v>353</v>
      </c>
      <c r="IR114" s="841" t="s">
        <v>353</v>
      </c>
      <c r="IS114" s="841" t="s">
        <v>353</v>
      </c>
      <c r="IT114" s="841" t="s">
        <v>353</v>
      </c>
      <c r="IU114" s="841" t="s">
        <v>353</v>
      </c>
      <c r="IV114" s="841" t="s">
        <v>353</v>
      </c>
      <c r="IW114" s="841" t="s">
        <v>353</v>
      </c>
      <c r="IX114" s="841" t="s">
        <v>353</v>
      </c>
      <c r="IY114" s="841" t="s">
        <v>353</v>
      </c>
      <c r="IZ114" s="841" t="s">
        <v>353</v>
      </c>
      <c r="JA114" s="841" t="s">
        <v>353</v>
      </c>
      <c r="JB114" s="841" t="s">
        <v>353</v>
      </c>
      <c r="JC114" s="841" t="s">
        <v>353</v>
      </c>
      <c r="JD114" s="841" t="s">
        <v>353</v>
      </c>
      <c r="JE114" s="841" t="s">
        <v>353</v>
      </c>
      <c r="JF114" s="841" t="s">
        <v>1718</v>
      </c>
      <c r="JG114" s="841" t="s">
        <v>1719</v>
      </c>
      <c r="JH114" s="841" t="s">
        <v>1720</v>
      </c>
      <c r="JI114" s="841" t="s">
        <v>1721</v>
      </c>
    </row>
    <row r="115" spans="1:269" x14ac:dyDescent="0.25">
      <c r="A115" s="841" t="s">
        <v>2449</v>
      </c>
      <c r="B115" s="841" t="s">
        <v>353</v>
      </c>
      <c r="C115" s="841" t="s">
        <v>353</v>
      </c>
      <c r="D115" s="841" t="s">
        <v>353</v>
      </c>
      <c r="E115" s="841" t="s">
        <v>353</v>
      </c>
      <c r="F115" s="841" t="s">
        <v>353</v>
      </c>
      <c r="G115" s="841" t="s">
        <v>2450</v>
      </c>
      <c r="H115" s="841" t="s">
        <v>353</v>
      </c>
      <c r="I115" s="841" t="s">
        <v>353</v>
      </c>
      <c r="J115" s="841" t="s">
        <v>353</v>
      </c>
      <c r="K115" s="841" t="s">
        <v>353</v>
      </c>
      <c r="L115" s="842">
        <v>44606.433333333334</v>
      </c>
      <c r="M115" s="841" t="s">
        <v>353</v>
      </c>
      <c r="N115" s="841" t="s">
        <v>353</v>
      </c>
      <c r="O115" s="841" t="s">
        <v>353</v>
      </c>
      <c r="P115" s="841" t="s">
        <v>33</v>
      </c>
      <c r="Q115" s="841" t="s">
        <v>353</v>
      </c>
      <c r="R115" s="841" t="s">
        <v>353</v>
      </c>
      <c r="S115" s="841" t="s">
        <v>61</v>
      </c>
      <c r="T115" s="841" t="s">
        <v>1390</v>
      </c>
      <c r="U115" s="841" t="s">
        <v>353</v>
      </c>
      <c r="V115" s="841" t="s">
        <v>353</v>
      </c>
      <c r="W115" s="841" t="s">
        <v>1420</v>
      </c>
      <c r="X115" s="841" t="s">
        <v>1405</v>
      </c>
      <c r="Y115" s="841" t="s">
        <v>353</v>
      </c>
      <c r="Z115" s="841" t="s">
        <v>353</v>
      </c>
      <c r="AA115" s="841" t="s">
        <v>353</v>
      </c>
      <c r="AB115" s="841" t="s">
        <v>353</v>
      </c>
      <c r="AC115" s="841">
        <v>75000</v>
      </c>
      <c r="AD115" s="841" t="s">
        <v>353</v>
      </c>
      <c r="AE115" s="841" t="s">
        <v>33</v>
      </c>
      <c r="AF115" s="841" t="s">
        <v>353</v>
      </c>
      <c r="AG115" s="841" t="s">
        <v>353</v>
      </c>
      <c r="AH115" s="841">
        <v>2500</v>
      </c>
      <c r="AI115" s="841" t="s">
        <v>1521</v>
      </c>
      <c r="AJ115" s="841" t="s">
        <v>353</v>
      </c>
      <c r="AK115" s="841">
        <v>75</v>
      </c>
      <c r="AL115" s="841" t="s">
        <v>353</v>
      </c>
      <c r="AM115" s="841" t="s">
        <v>353</v>
      </c>
      <c r="AN115" s="841" t="s">
        <v>353</v>
      </c>
      <c r="AO115" s="841" t="s">
        <v>353</v>
      </c>
      <c r="AP115" s="841" t="s">
        <v>353</v>
      </c>
      <c r="AQ115" s="841" t="s">
        <v>353</v>
      </c>
      <c r="AR115" s="841" t="s">
        <v>353</v>
      </c>
      <c r="AS115" s="841" t="s">
        <v>353</v>
      </c>
      <c r="AT115" s="841" t="s">
        <v>353</v>
      </c>
      <c r="AU115" s="841" t="s">
        <v>353</v>
      </c>
      <c r="AV115" s="841" t="s">
        <v>353</v>
      </c>
      <c r="AW115" s="841" t="s">
        <v>353</v>
      </c>
      <c r="AX115" s="841" t="s">
        <v>353</v>
      </c>
      <c r="AY115" s="841" t="s">
        <v>353</v>
      </c>
      <c r="AZ115" s="841" t="s">
        <v>353</v>
      </c>
      <c r="BA115" s="841" t="s">
        <v>353</v>
      </c>
      <c r="BB115" s="841" t="s">
        <v>353</v>
      </c>
      <c r="BC115" s="841">
        <v>368437</v>
      </c>
      <c r="BD115" s="841" t="s">
        <v>353</v>
      </c>
      <c r="BE115" s="841" t="s">
        <v>353</v>
      </c>
      <c r="BF115" s="841" t="s">
        <v>353</v>
      </c>
      <c r="BG115" s="841" t="s">
        <v>353</v>
      </c>
      <c r="BH115" s="841" t="s">
        <v>353</v>
      </c>
      <c r="BI115" s="841" t="s">
        <v>353</v>
      </c>
      <c r="BJ115" s="841" t="s">
        <v>353</v>
      </c>
      <c r="BK115" s="841" t="s">
        <v>353</v>
      </c>
      <c r="BL115" s="841" t="s">
        <v>2451</v>
      </c>
      <c r="BM115" s="842">
        <v>44592.597916666666</v>
      </c>
      <c r="BN115" s="841" t="s">
        <v>353</v>
      </c>
      <c r="BO115" s="841" t="s">
        <v>353</v>
      </c>
      <c r="BP115" s="841" t="s">
        <v>353</v>
      </c>
      <c r="BQ115" s="841" t="s">
        <v>353</v>
      </c>
      <c r="BR115" s="841" t="s">
        <v>353</v>
      </c>
      <c r="BS115" s="841" t="s">
        <v>353</v>
      </c>
      <c r="BT115" s="841">
        <v>375000</v>
      </c>
      <c r="BU115" s="841" t="s">
        <v>353</v>
      </c>
      <c r="BV115" s="841" t="s">
        <v>2452</v>
      </c>
      <c r="BW115" s="841" t="s">
        <v>1578</v>
      </c>
      <c r="BX115" s="841" t="s">
        <v>353</v>
      </c>
      <c r="BY115" s="841" t="s">
        <v>353</v>
      </c>
      <c r="BZ115" s="841" t="s">
        <v>353</v>
      </c>
      <c r="CA115" s="841" t="s">
        <v>353</v>
      </c>
      <c r="CB115" s="841" t="s">
        <v>353</v>
      </c>
      <c r="CC115" s="841" t="s">
        <v>353</v>
      </c>
      <c r="CD115" s="841" t="s">
        <v>353</v>
      </c>
      <c r="CE115" s="841" t="s">
        <v>353</v>
      </c>
      <c r="CF115" s="841" t="s">
        <v>353</v>
      </c>
      <c r="CG115" s="841" t="s">
        <v>353</v>
      </c>
      <c r="CH115" s="841" t="s">
        <v>353</v>
      </c>
      <c r="CI115" s="841" t="s">
        <v>353</v>
      </c>
      <c r="CJ115" s="841" t="s">
        <v>353</v>
      </c>
      <c r="CK115" s="841" t="s">
        <v>353</v>
      </c>
      <c r="CL115" s="841" t="s">
        <v>353</v>
      </c>
      <c r="CM115" s="841" t="s">
        <v>353</v>
      </c>
      <c r="CN115" s="841" t="s">
        <v>353</v>
      </c>
      <c r="CO115" s="841" t="s">
        <v>353</v>
      </c>
      <c r="CP115" s="841" t="s">
        <v>2453</v>
      </c>
      <c r="CQ115" s="841" t="s">
        <v>353</v>
      </c>
      <c r="CR115" s="841" t="s">
        <v>353</v>
      </c>
      <c r="CS115" s="841" t="s">
        <v>1405</v>
      </c>
      <c r="CT115" s="841" t="s">
        <v>353</v>
      </c>
      <c r="CU115" s="841" t="s">
        <v>1391</v>
      </c>
      <c r="CV115" s="841" t="s">
        <v>353</v>
      </c>
      <c r="CW115" s="841" t="s">
        <v>353</v>
      </c>
      <c r="CX115" s="841" t="s">
        <v>353</v>
      </c>
      <c r="CY115" s="841" t="s">
        <v>353</v>
      </c>
      <c r="CZ115" s="841">
        <v>4</v>
      </c>
      <c r="DA115" s="841" t="s">
        <v>353</v>
      </c>
      <c r="DB115" s="841" t="s">
        <v>353</v>
      </c>
      <c r="DC115" s="841" t="s">
        <v>353</v>
      </c>
      <c r="DD115" s="841" t="s">
        <v>353</v>
      </c>
      <c r="DE115" s="841" t="s">
        <v>353</v>
      </c>
      <c r="DF115" s="841">
        <v>24</v>
      </c>
      <c r="DG115" s="841" t="s">
        <v>353</v>
      </c>
      <c r="DH115" s="841" t="s">
        <v>353</v>
      </c>
      <c r="DI115" s="841" t="s">
        <v>353</v>
      </c>
      <c r="DJ115" s="841" t="s">
        <v>353</v>
      </c>
      <c r="DK115" s="841" t="s">
        <v>353</v>
      </c>
      <c r="DL115" s="842">
        <v>44578.597916666666</v>
      </c>
      <c r="DM115" s="841" t="s">
        <v>353</v>
      </c>
      <c r="DN115" s="841" t="s">
        <v>353</v>
      </c>
      <c r="DO115" s="841" t="s">
        <v>673</v>
      </c>
      <c r="DP115" s="841" t="s">
        <v>1481</v>
      </c>
      <c r="DQ115" s="841" t="s">
        <v>1451</v>
      </c>
      <c r="DR115" s="841" t="s">
        <v>353</v>
      </c>
      <c r="DS115" s="841">
        <v>24</v>
      </c>
      <c r="DT115" s="841" t="s">
        <v>353</v>
      </c>
      <c r="DU115" s="841" t="s">
        <v>353</v>
      </c>
      <c r="DV115" s="841">
        <v>368437.5</v>
      </c>
      <c r="DW115" s="841">
        <v>375000</v>
      </c>
      <c r="DX115" s="841" t="s">
        <v>353</v>
      </c>
      <c r="DY115" s="841" t="s">
        <v>353</v>
      </c>
      <c r="DZ115" s="841" t="s">
        <v>353</v>
      </c>
      <c r="EA115" s="841" t="s">
        <v>353</v>
      </c>
      <c r="EB115" s="841" t="s">
        <v>353</v>
      </c>
      <c r="EC115" s="841" t="s">
        <v>353</v>
      </c>
      <c r="ED115" s="841" t="s">
        <v>353</v>
      </c>
      <c r="EE115" s="841" t="s">
        <v>353</v>
      </c>
      <c r="EF115" s="841" t="s">
        <v>353</v>
      </c>
      <c r="EG115" s="841" t="s">
        <v>353</v>
      </c>
      <c r="EH115" s="841" t="s">
        <v>353</v>
      </c>
      <c r="EI115" s="841">
        <v>0</v>
      </c>
      <c r="EJ115" s="841" t="s">
        <v>353</v>
      </c>
      <c r="EK115" s="841" t="s">
        <v>353</v>
      </c>
      <c r="EL115" s="841" t="s">
        <v>1435</v>
      </c>
      <c r="EM115" s="841">
        <v>6562.5</v>
      </c>
      <c r="EN115" s="841" t="s">
        <v>353</v>
      </c>
      <c r="EO115" s="841" t="s">
        <v>353</v>
      </c>
      <c r="EP115" s="841" t="s">
        <v>353</v>
      </c>
      <c r="EQ115" s="841" t="s">
        <v>353</v>
      </c>
      <c r="ER115" s="841" t="s">
        <v>353</v>
      </c>
      <c r="ES115" s="841" t="s">
        <v>353</v>
      </c>
      <c r="ET115" s="841" t="s">
        <v>1452</v>
      </c>
      <c r="EU115" s="841" t="s">
        <v>353</v>
      </c>
      <c r="EV115" s="841" t="s">
        <v>353</v>
      </c>
      <c r="EW115" s="841" t="s">
        <v>353</v>
      </c>
      <c r="EX115" s="841" t="s">
        <v>353</v>
      </c>
      <c r="EY115" s="841" t="s">
        <v>353</v>
      </c>
      <c r="EZ115" s="841" t="s">
        <v>353</v>
      </c>
      <c r="FA115" s="841" t="s">
        <v>353</v>
      </c>
      <c r="FB115" s="841" t="s">
        <v>353</v>
      </c>
      <c r="FC115" s="841" t="s">
        <v>353</v>
      </c>
      <c r="FD115" s="841" t="s">
        <v>353</v>
      </c>
      <c r="FE115" s="842">
        <v>44606.433333333334</v>
      </c>
      <c r="FF115" s="841" t="s">
        <v>353</v>
      </c>
      <c r="FG115" s="841" t="s">
        <v>353</v>
      </c>
      <c r="FH115" s="841" t="s">
        <v>353</v>
      </c>
      <c r="FI115" s="841" t="s">
        <v>353</v>
      </c>
      <c r="FJ115" s="841" t="s">
        <v>353</v>
      </c>
      <c r="FK115" s="841" t="s">
        <v>353</v>
      </c>
      <c r="FL115" s="841" t="s">
        <v>353</v>
      </c>
      <c r="FM115" s="841" t="s">
        <v>353</v>
      </c>
      <c r="FN115" s="841" t="s">
        <v>353</v>
      </c>
      <c r="FO115" s="841" t="s">
        <v>1729</v>
      </c>
      <c r="FP115" s="841" t="s">
        <v>353</v>
      </c>
      <c r="FQ115" s="841" t="s">
        <v>353</v>
      </c>
      <c r="FR115" s="841" t="s">
        <v>353</v>
      </c>
      <c r="FS115" s="841" t="s">
        <v>353</v>
      </c>
      <c r="FT115" s="841" t="s">
        <v>353</v>
      </c>
      <c r="FU115" s="841" t="s">
        <v>1416</v>
      </c>
      <c r="FV115" s="841" t="s">
        <v>353</v>
      </c>
      <c r="FW115" s="841" t="s">
        <v>353</v>
      </c>
      <c r="FX115" s="841" t="s">
        <v>353</v>
      </c>
      <c r="FY115" s="841" t="s">
        <v>353</v>
      </c>
      <c r="FZ115" s="841" t="s">
        <v>353</v>
      </c>
      <c r="GA115" s="841" t="s">
        <v>353</v>
      </c>
      <c r="GB115" s="841">
        <v>1</v>
      </c>
      <c r="GC115" s="841" t="s">
        <v>353</v>
      </c>
      <c r="GD115" s="841" t="s">
        <v>1395</v>
      </c>
      <c r="GE115" s="841" t="s">
        <v>353</v>
      </c>
      <c r="GF115" s="841" t="s">
        <v>353</v>
      </c>
      <c r="GG115" s="841" t="s">
        <v>353</v>
      </c>
      <c r="GH115" s="841">
        <v>75000</v>
      </c>
      <c r="GI115" s="841" t="s">
        <v>353</v>
      </c>
      <c r="GJ115" s="841" t="s">
        <v>353</v>
      </c>
      <c r="GK115" s="841" t="s">
        <v>353</v>
      </c>
      <c r="GL115" s="841" t="s">
        <v>2454</v>
      </c>
      <c r="GM115" s="841" t="s">
        <v>353</v>
      </c>
      <c r="GN115" s="841" t="s">
        <v>353</v>
      </c>
      <c r="GO115" s="841" t="s">
        <v>353</v>
      </c>
      <c r="GP115" s="841" t="s">
        <v>353</v>
      </c>
      <c r="GQ115" s="841" t="s">
        <v>353</v>
      </c>
      <c r="GR115" s="841" t="s">
        <v>353</v>
      </c>
      <c r="GS115" s="841" t="s">
        <v>2452</v>
      </c>
      <c r="GT115" s="841" t="s">
        <v>353</v>
      </c>
      <c r="GU115" s="841" t="s">
        <v>353</v>
      </c>
      <c r="GV115" s="841" t="s">
        <v>1076</v>
      </c>
      <c r="GW115" s="841" t="s">
        <v>353</v>
      </c>
      <c r="GX115" s="841" t="s">
        <v>353</v>
      </c>
      <c r="GY115" s="841">
        <v>24</v>
      </c>
      <c r="GZ115" s="841" t="s">
        <v>1420</v>
      </c>
      <c r="HA115" s="841" t="s">
        <v>353</v>
      </c>
      <c r="HB115" s="841" t="s">
        <v>353</v>
      </c>
      <c r="HC115" s="841" t="s">
        <v>1421</v>
      </c>
      <c r="HD115" s="841" t="s">
        <v>2455</v>
      </c>
      <c r="HE115" s="841" t="s">
        <v>353</v>
      </c>
      <c r="HF115" s="841" t="s">
        <v>353</v>
      </c>
      <c r="HG115" s="841" t="s">
        <v>353</v>
      </c>
      <c r="HH115" s="841" t="s">
        <v>353</v>
      </c>
      <c r="HI115" s="841" t="s">
        <v>1422</v>
      </c>
      <c r="HJ115" s="841" t="s">
        <v>2456</v>
      </c>
      <c r="HK115" s="841">
        <v>375000</v>
      </c>
      <c r="HL115" s="841" t="s">
        <v>353</v>
      </c>
      <c r="HM115" s="841" t="s">
        <v>1530</v>
      </c>
      <c r="HN115" s="841" t="s">
        <v>353</v>
      </c>
      <c r="HO115" s="841" t="s">
        <v>353</v>
      </c>
      <c r="HP115" s="841">
        <v>18712.5</v>
      </c>
      <c r="HQ115" s="841" t="s">
        <v>353</v>
      </c>
      <c r="HR115" s="841" t="s">
        <v>353</v>
      </c>
      <c r="HS115" s="841">
        <v>375000</v>
      </c>
      <c r="HT115" s="841" t="s">
        <v>353</v>
      </c>
      <c r="HU115" s="841" t="s">
        <v>353</v>
      </c>
      <c r="HV115" s="841" t="s">
        <v>353</v>
      </c>
      <c r="HW115" s="841">
        <v>500000</v>
      </c>
      <c r="HX115" s="841" t="s">
        <v>353</v>
      </c>
      <c r="HY115" s="841" t="s">
        <v>353</v>
      </c>
      <c r="HZ115" s="841" t="s">
        <v>353</v>
      </c>
      <c r="IA115" s="841" t="s">
        <v>353</v>
      </c>
      <c r="IB115" s="841" t="s">
        <v>1424</v>
      </c>
      <c r="IC115" s="843">
        <v>44578</v>
      </c>
      <c r="ID115" s="841" t="s">
        <v>353</v>
      </c>
      <c r="IE115" s="841" t="s">
        <v>353</v>
      </c>
      <c r="IF115" s="841" t="s">
        <v>353</v>
      </c>
      <c r="IG115" s="841" t="s">
        <v>353</v>
      </c>
      <c r="IH115" s="841" t="s">
        <v>353</v>
      </c>
      <c r="II115" s="841" t="s">
        <v>353</v>
      </c>
      <c r="IJ115" s="841" t="s">
        <v>353</v>
      </c>
      <c r="IK115" s="841" t="s">
        <v>353</v>
      </c>
      <c r="IL115" s="841">
        <v>375000</v>
      </c>
      <c r="IM115" s="841" t="s">
        <v>353</v>
      </c>
      <c r="IN115" s="841" t="s">
        <v>353</v>
      </c>
      <c r="IO115" s="841">
        <v>199</v>
      </c>
      <c r="IP115" s="841" t="s">
        <v>353</v>
      </c>
      <c r="IQ115" s="841" t="s">
        <v>353</v>
      </c>
      <c r="IR115" s="841">
        <v>0</v>
      </c>
      <c r="IS115" s="841" t="s">
        <v>353</v>
      </c>
      <c r="IT115" s="841" t="s">
        <v>353</v>
      </c>
      <c r="IU115" s="841" t="s">
        <v>353</v>
      </c>
      <c r="IV115" s="841" t="s">
        <v>353</v>
      </c>
      <c r="IW115" s="841" t="s">
        <v>353</v>
      </c>
      <c r="IX115" s="841" t="s">
        <v>353</v>
      </c>
      <c r="IY115" s="841" t="s">
        <v>1578</v>
      </c>
      <c r="IZ115" s="841" t="s">
        <v>353</v>
      </c>
      <c r="JA115" s="841">
        <v>375000</v>
      </c>
      <c r="JB115" s="841" t="s">
        <v>353</v>
      </c>
      <c r="JC115" s="841" t="s">
        <v>353</v>
      </c>
      <c r="JD115" s="841" t="s">
        <v>1847</v>
      </c>
      <c r="JE115" s="841" t="s">
        <v>353</v>
      </c>
      <c r="JF115" s="841" t="s">
        <v>2457</v>
      </c>
      <c r="JG115" s="841" t="s">
        <v>2458</v>
      </c>
      <c r="JH115" s="841" t="s">
        <v>2459</v>
      </c>
      <c r="JI115" s="841" t="s">
        <v>2460</v>
      </c>
    </row>
    <row r="116" spans="1:269" x14ac:dyDescent="0.25">
      <c r="A116" s="841" t="s">
        <v>2461</v>
      </c>
      <c r="B116" s="841" t="s">
        <v>353</v>
      </c>
      <c r="C116" s="841" t="s">
        <v>353</v>
      </c>
      <c r="D116" s="841" t="s">
        <v>353</v>
      </c>
      <c r="E116" s="841" t="s">
        <v>353</v>
      </c>
      <c r="F116" s="841" t="s">
        <v>353</v>
      </c>
      <c r="G116" s="841" t="s">
        <v>353</v>
      </c>
      <c r="H116" s="841" t="s">
        <v>353</v>
      </c>
      <c r="I116" s="841" t="s">
        <v>353</v>
      </c>
      <c r="J116" s="841" t="s">
        <v>353</v>
      </c>
      <c r="K116" s="841" t="s">
        <v>353</v>
      </c>
      <c r="L116" s="842">
        <v>44600.746527777781</v>
      </c>
      <c r="M116" s="841" t="s">
        <v>353</v>
      </c>
      <c r="N116" s="841" t="s">
        <v>353</v>
      </c>
      <c r="O116" s="841" t="s">
        <v>353</v>
      </c>
      <c r="P116" s="841" t="s">
        <v>353</v>
      </c>
      <c r="Q116" s="841" t="s">
        <v>353</v>
      </c>
      <c r="R116" s="841" t="s">
        <v>353</v>
      </c>
      <c r="S116" s="841" t="s">
        <v>353</v>
      </c>
      <c r="T116" s="841" t="s">
        <v>1390</v>
      </c>
      <c r="U116" s="841" t="s">
        <v>353</v>
      </c>
      <c r="V116" s="841" t="s">
        <v>353</v>
      </c>
      <c r="W116" s="841" t="s">
        <v>353</v>
      </c>
      <c r="X116" s="841" t="s">
        <v>353</v>
      </c>
      <c r="Y116" s="841" t="s">
        <v>353</v>
      </c>
      <c r="Z116" s="841" t="s">
        <v>353</v>
      </c>
      <c r="AA116" s="841" t="s">
        <v>353</v>
      </c>
      <c r="AB116" s="841" t="s">
        <v>353</v>
      </c>
      <c r="AC116" s="841" t="s">
        <v>353</v>
      </c>
      <c r="AD116" s="841" t="s">
        <v>353</v>
      </c>
      <c r="AE116" s="841" t="s">
        <v>353</v>
      </c>
      <c r="AF116" s="841" t="s">
        <v>353</v>
      </c>
      <c r="AG116" s="841" t="s">
        <v>353</v>
      </c>
      <c r="AH116" s="841" t="s">
        <v>353</v>
      </c>
      <c r="AI116" s="841" t="s">
        <v>353</v>
      </c>
      <c r="AJ116" s="841" t="s">
        <v>353</v>
      </c>
      <c r="AK116" s="841" t="s">
        <v>353</v>
      </c>
      <c r="AL116" s="841" t="s">
        <v>353</v>
      </c>
      <c r="AM116" s="841" t="s">
        <v>353</v>
      </c>
      <c r="AN116" s="841" t="s">
        <v>353</v>
      </c>
      <c r="AO116" s="841" t="s">
        <v>353</v>
      </c>
      <c r="AP116" s="841" t="s">
        <v>353</v>
      </c>
      <c r="AQ116" s="841" t="s">
        <v>353</v>
      </c>
      <c r="AR116" s="841" t="s">
        <v>353</v>
      </c>
      <c r="AS116" s="841" t="s">
        <v>353</v>
      </c>
      <c r="AT116" s="841" t="s">
        <v>353</v>
      </c>
      <c r="AU116" s="841" t="s">
        <v>353</v>
      </c>
      <c r="AV116" s="841" t="s">
        <v>353</v>
      </c>
      <c r="AW116" s="841" t="s">
        <v>353</v>
      </c>
      <c r="AX116" s="841" t="s">
        <v>353</v>
      </c>
      <c r="AY116" s="841" t="s">
        <v>353</v>
      </c>
      <c r="AZ116" s="841" t="s">
        <v>353</v>
      </c>
      <c r="BA116" s="841" t="s">
        <v>353</v>
      </c>
      <c r="BB116" s="841" t="s">
        <v>353</v>
      </c>
      <c r="BC116" s="841" t="s">
        <v>353</v>
      </c>
      <c r="BD116" s="841" t="s">
        <v>353</v>
      </c>
      <c r="BE116" s="841" t="s">
        <v>353</v>
      </c>
      <c r="BF116" s="841" t="s">
        <v>353</v>
      </c>
      <c r="BG116" s="841" t="s">
        <v>353</v>
      </c>
      <c r="BH116" s="841" t="s">
        <v>353</v>
      </c>
      <c r="BI116" s="841" t="s">
        <v>353</v>
      </c>
      <c r="BJ116" s="841" t="s">
        <v>353</v>
      </c>
      <c r="BK116" s="841" t="s">
        <v>353</v>
      </c>
      <c r="BL116" s="841" t="s">
        <v>353</v>
      </c>
      <c r="BM116" s="842">
        <v>44592.478472222225</v>
      </c>
      <c r="BN116" s="841" t="s">
        <v>353</v>
      </c>
      <c r="BO116" s="841" t="s">
        <v>353</v>
      </c>
      <c r="BP116" s="841" t="s">
        <v>353</v>
      </c>
      <c r="BQ116" s="841" t="s">
        <v>353</v>
      </c>
      <c r="BR116" s="841" t="s">
        <v>353</v>
      </c>
      <c r="BS116" s="841" t="s">
        <v>353</v>
      </c>
      <c r="BT116" s="841">
        <v>360000</v>
      </c>
      <c r="BU116" s="841" t="s">
        <v>353</v>
      </c>
      <c r="BV116" s="841" t="s">
        <v>353</v>
      </c>
      <c r="BW116" s="841" t="s">
        <v>353</v>
      </c>
      <c r="BX116" s="841" t="s">
        <v>353</v>
      </c>
      <c r="BY116" s="841" t="s">
        <v>353</v>
      </c>
      <c r="BZ116" s="841" t="s">
        <v>353</v>
      </c>
      <c r="CA116" s="841" t="s">
        <v>353</v>
      </c>
      <c r="CB116" s="841" t="s">
        <v>353</v>
      </c>
      <c r="CC116" s="841" t="s">
        <v>353</v>
      </c>
      <c r="CD116" s="841" t="s">
        <v>353</v>
      </c>
      <c r="CE116" s="841" t="s">
        <v>353</v>
      </c>
      <c r="CF116" s="841" t="s">
        <v>353</v>
      </c>
      <c r="CG116" s="841" t="s">
        <v>353</v>
      </c>
      <c r="CH116" s="841" t="s">
        <v>353</v>
      </c>
      <c r="CI116" s="841" t="s">
        <v>353</v>
      </c>
      <c r="CJ116" s="841" t="s">
        <v>353</v>
      </c>
      <c r="CK116" s="841">
        <v>4</v>
      </c>
      <c r="CL116" s="841" t="s">
        <v>353</v>
      </c>
      <c r="CM116" s="841">
        <v>4</v>
      </c>
      <c r="CN116" s="841" t="s">
        <v>353</v>
      </c>
      <c r="CO116" s="841" t="s">
        <v>353</v>
      </c>
      <c r="CP116" s="841" t="s">
        <v>353</v>
      </c>
      <c r="CQ116" s="841" t="s">
        <v>353</v>
      </c>
      <c r="CR116" s="841" t="s">
        <v>353</v>
      </c>
      <c r="CS116" s="841" t="s">
        <v>353</v>
      </c>
      <c r="CT116" s="841" t="s">
        <v>353</v>
      </c>
      <c r="CU116" s="841" t="s">
        <v>1391</v>
      </c>
      <c r="CV116" s="841" t="s">
        <v>353</v>
      </c>
      <c r="CW116" s="841" t="s">
        <v>353</v>
      </c>
      <c r="CX116" s="841" t="s">
        <v>353</v>
      </c>
      <c r="CY116" s="841" t="s">
        <v>353</v>
      </c>
      <c r="CZ116" s="841" t="s">
        <v>353</v>
      </c>
      <c r="DA116" s="841" t="s">
        <v>353</v>
      </c>
      <c r="DB116" s="841" t="s">
        <v>353</v>
      </c>
      <c r="DC116" s="841" t="s">
        <v>353</v>
      </c>
      <c r="DD116" s="841" t="s">
        <v>353</v>
      </c>
      <c r="DE116" s="841" t="s">
        <v>353</v>
      </c>
      <c r="DF116" s="841" t="s">
        <v>353</v>
      </c>
      <c r="DG116" s="841" t="s">
        <v>353</v>
      </c>
      <c r="DH116" s="841" t="s">
        <v>353</v>
      </c>
      <c r="DI116" s="841" t="s">
        <v>353</v>
      </c>
      <c r="DJ116" s="841" t="s">
        <v>2462</v>
      </c>
      <c r="DK116" s="841" t="s">
        <v>353</v>
      </c>
      <c r="DL116" s="842">
        <v>44578.478472222225</v>
      </c>
      <c r="DM116" s="841" t="s">
        <v>353</v>
      </c>
      <c r="DN116" s="841" t="s">
        <v>353</v>
      </c>
      <c r="DO116" s="841" t="s">
        <v>353</v>
      </c>
      <c r="DP116" s="841" t="s">
        <v>353</v>
      </c>
      <c r="DQ116" s="841" t="s">
        <v>673</v>
      </c>
      <c r="DR116" s="841" t="s">
        <v>353</v>
      </c>
      <c r="DS116" s="841" t="s">
        <v>353</v>
      </c>
      <c r="DT116" s="841" t="s">
        <v>353</v>
      </c>
      <c r="DU116" s="841" t="s">
        <v>353</v>
      </c>
      <c r="DV116" s="841" t="s">
        <v>353</v>
      </c>
      <c r="DW116" s="841" t="s">
        <v>353</v>
      </c>
      <c r="DX116" s="841" t="s">
        <v>353</v>
      </c>
      <c r="DY116" s="841" t="s">
        <v>353</v>
      </c>
      <c r="DZ116" s="841" t="s">
        <v>353</v>
      </c>
      <c r="EA116" s="841" t="s">
        <v>353</v>
      </c>
      <c r="EB116" s="841" t="s">
        <v>353</v>
      </c>
      <c r="EC116" s="841" t="s">
        <v>353</v>
      </c>
      <c r="ED116" s="841" t="s">
        <v>353</v>
      </c>
      <c r="EE116" s="841" t="s">
        <v>353</v>
      </c>
      <c r="EF116" s="841" t="s">
        <v>353</v>
      </c>
      <c r="EG116" s="841" t="s">
        <v>353</v>
      </c>
      <c r="EH116" s="841" t="s">
        <v>353</v>
      </c>
      <c r="EI116" s="841" t="s">
        <v>353</v>
      </c>
      <c r="EJ116" s="841" t="s">
        <v>353</v>
      </c>
      <c r="EK116" s="841" t="s">
        <v>353</v>
      </c>
      <c r="EL116" s="841" t="s">
        <v>353</v>
      </c>
      <c r="EM116" s="841" t="s">
        <v>353</v>
      </c>
      <c r="EN116" s="841" t="s">
        <v>353</v>
      </c>
      <c r="EO116" s="841" t="s">
        <v>353</v>
      </c>
      <c r="EP116" s="841" t="s">
        <v>353</v>
      </c>
      <c r="EQ116" s="841" t="s">
        <v>353</v>
      </c>
      <c r="ER116" s="841" t="s">
        <v>353</v>
      </c>
      <c r="ES116" s="841" t="s">
        <v>353</v>
      </c>
      <c r="ET116" s="841" t="s">
        <v>1711</v>
      </c>
      <c r="EU116" s="841" t="s">
        <v>353</v>
      </c>
      <c r="EV116" s="841" t="s">
        <v>353</v>
      </c>
      <c r="EW116" s="841" t="s">
        <v>353</v>
      </c>
      <c r="EX116" s="841" t="s">
        <v>353</v>
      </c>
      <c r="EY116" s="842">
        <v>44600.746527777781</v>
      </c>
      <c r="EZ116" s="841" t="s">
        <v>353</v>
      </c>
      <c r="FA116" s="841" t="s">
        <v>353</v>
      </c>
      <c r="FB116" s="841" t="s">
        <v>353</v>
      </c>
      <c r="FC116" s="841" t="s">
        <v>353</v>
      </c>
      <c r="FD116" s="841" t="s">
        <v>353</v>
      </c>
      <c r="FE116" s="842">
        <v>44578.479861111111</v>
      </c>
      <c r="FF116" s="841" t="s">
        <v>353</v>
      </c>
      <c r="FG116" s="841" t="s">
        <v>353</v>
      </c>
      <c r="FH116" s="841" t="s">
        <v>353</v>
      </c>
      <c r="FI116" s="841" t="s">
        <v>353</v>
      </c>
      <c r="FJ116" s="841" t="s">
        <v>353</v>
      </c>
      <c r="FK116" s="841" t="s">
        <v>353</v>
      </c>
      <c r="FL116" s="841" t="s">
        <v>353</v>
      </c>
      <c r="FM116" s="841" t="s">
        <v>353</v>
      </c>
      <c r="FN116" s="841" t="s">
        <v>353</v>
      </c>
      <c r="FO116" s="841" t="s">
        <v>353</v>
      </c>
      <c r="FP116" s="841" t="s">
        <v>353</v>
      </c>
      <c r="FQ116" s="841" t="s">
        <v>353</v>
      </c>
      <c r="FR116" s="841" t="s">
        <v>353</v>
      </c>
      <c r="FS116" s="841" t="s">
        <v>353</v>
      </c>
      <c r="FT116" s="841" t="s">
        <v>353</v>
      </c>
      <c r="FU116" s="841" t="s">
        <v>1394</v>
      </c>
      <c r="FV116" s="841" t="s">
        <v>353</v>
      </c>
      <c r="FW116" s="841" t="s">
        <v>353</v>
      </c>
      <c r="FX116" s="841" t="s">
        <v>353</v>
      </c>
      <c r="FY116" s="841" t="s">
        <v>353</v>
      </c>
      <c r="FZ116" s="841" t="s">
        <v>353</v>
      </c>
      <c r="GA116" s="841" t="s">
        <v>353</v>
      </c>
      <c r="GB116" s="841">
        <v>1</v>
      </c>
      <c r="GC116" s="841" t="s">
        <v>353</v>
      </c>
      <c r="GD116" s="841" t="s">
        <v>1417</v>
      </c>
      <c r="GE116" s="841" t="s">
        <v>353</v>
      </c>
      <c r="GF116" s="841" t="s">
        <v>353</v>
      </c>
      <c r="GG116" s="841" t="s">
        <v>353</v>
      </c>
      <c r="GH116" s="841" t="s">
        <v>353</v>
      </c>
      <c r="GI116" s="841" t="s">
        <v>353</v>
      </c>
      <c r="GJ116" s="841" t="s">
        <v>353</v>
      </c>
      <c r="GK116" s="841" t="s">
        <v>353</v>
      </c>
      <c r="GL116" s="841" t="s">
        <v>1418</v>
      </c>
      <c r="GM116" s="841" t="s">
        <v>353</v>
      </c>
      <c r="GN116" s="841" t="s">
        <v>353</v>
      </c>
      <c r="GO116" s="841" t="s">
        <v>353</v>
      </c>
      <c r="GP116" s="841" t="s">
        <v>353</v>
      </c>
      <c r="GQ116" s="841" t="s">
        <v>353</v>
      </c>
      <c r="GR116" s="842">
        <v>44600.746527777781</v>
      </c>
      <c r="GS116" s="841" t="s">
        <v>353</v>
      </c>
      <c r="GT116" s="841" t="s">
        <v>353</v>
      </c>
      <c r="GU116" s="841" t="s">
        <v>353</v>
      </c>
      <c r="GV116" s="841" t="s">
        <v>1419</v>
      </c>
      <c r="GW116" s="841" t="s">
        <v>353</v>
      </c>
      <c r="GX116" s="841" t="s">
        <v>353</v>
      </c>
      <c r="GY116" s="841" t="s">
        <v>353</v>
      </c>
      <c r="GZ116" s="841" t="s">
        <v>353</v>
      </c>
      <c r="HA116" s="841" t="s">
        <v>353</v>
      </c>
      <c r="HB116" s="841" t="s">
        <v>353</v>
      </c>
      <c r="HC116" s="841" t="s">
        <v>353</v>
      </c>
      <c r="HD116" s="841" t="s">
        <v>2463</v>
      </c>
      <c r="HE116" s="841" t="s">
        <v>353</v>
      </c>
      <c r="HF116" s="841" t="s">
        <v>353</v>
      </c>
      <c r="HG116" s="841" t="s">
        <v>353</v>
      </c>
      <c r="HH116" s="841" t="s">
        <v>353</v>
      </c>
      <c r="HI116" s="841" t="s">
        <v>353</v>
      </c>
      <c r="HJ116" s="841" t="s">
        <v>353</v>
      </c>
      <c r="HK116" s="841" t="s">
        <v>353</v>
      </c>
      <c r="HL116" s="841" t="s">
        <v>353</v>
      </c>
      <c r="HM116" s="841" t="s">
        <v>353</v>
      </c>
      <c r="HN116" s="841" t="s">
        <v>353</v>
      </c>
      <c r="HO116" s="841" t="s">
        <v>353</v>
      </c>
      <c r="HP116" s="841" t="s">
        <v>353</v>
      </c>
      <c r="HQ116" s="841" t="s">
        <v>353</v>
      </c>
      <c r="HR116" s="841" t="s">
        <v>353</v>
      </c>
      <c r="HS116" s="841" t="s">
        <v>353</v>
      </c>
      <c r="HT116" s="841" t="s">
        <v>353</v>
      </c>
      <c r="HU116" s="841" t="s">
        <v>353</v>
      </c>
      <c r="HV116" s="841" t="s">
        <v>353</v>
      </c>
      <c r="HW116" s="841" t="s">
        <v>353</v>
      </c>
      <c r="HX116" s="841" t="s">
        <v>353</v>
      </c>
      <c r="HY116" s="841" t="s">
        <v>353</v>
      </c>
      <c r="HZ116" s="841" t="s">
        <v>353</v>
      </c>
      <c r="IA116" s="841" t="s">
        <v>353</v>
      </c>
      <c r="IB116" s="841" t="s">
        <v>353</v>
      </c>
      <c r="IC116" s="841" t="s">
        <v>353</v>
      </c>
      <c r="ID116" s="841" t="s">
        <v>353</v>
      </c>
      <c r="IE116" s="841" t="s">
        <v>353</v>
      </c>
      <c r="IF116" s="841" t="s">
        <v>353</v>
      </c>
      <c r="IG116" s="841" t="s">
        <v>353</v>
      </c>
      <c r="IH116" s="841" t="s">
        <v>353</v>
      </c>
      <c r="II116" s="841" t="s">
        <v>353</v>
      </c>
      <c r="IJ116" s="841" t="s">
        <v>353</v>
      </c>
      <c r="IK116" s="841" t="s">
        <v>353</v>
      </c>
      <c r="IL116" s="841" t="s">
        <v>353</v>
      </c>
      <c r="IM116" s="841" t="s">
        <v>353</v>
      </c>
      <c r="IN116" s="841" t="s">
        <v>353</v>
      </c>
      <c r="IO116" s="841" t="s">
        <v>353</v>
      </c>
      <c r="IP116" s="841" t="s">
        <v>353</v>
      </c>
      <c r="IQ116" s="841" t="s">
        <v>353</v>
      </c>
      <c r="IR116" s="841" t="s">
        <v>353</v>
      </c>
      <c r="IS116" s="841" t="s">
        <v>353</v>
      </c>
      <c r="IT116" s="841" t="s">
        <v>353</v>
      </c>
      <c r="IU116" s="841" t="s">
        <v>353</v>
      </c>
      <c r="IV116" s="841" t="s">
        <v>353</v>
      </c>
      <c r="IW116" s="841" t="s">
        <v>353</v>
      </c>
      <c r="IX116" s="841" t="s">
        <v>353</v>
      </c>
      <c r="IY116" s="841" t="s">
        <v>353</v>
      </c>
      <c r="IZ116" s="841" t="s">
        <v>353</v>
      </c>
      <c r="JA116" s="841" t="s">
        <v>353</v>
      </c>
      <c r="JB116" s="841" t="s">
        <v>353</v>
      </c>
      <c r="JC116" s="841" t="s">
        <v>353</v>
      </c>
      <c r="JD116" s="841" t="s">
        <v>353</v>
      </c>
      <c r="JE116" s="841" t="s">
        <v>353</v>
      </c>
      <c r="JF116" s="841" t="s">
        <v>1850</v>
      </c>
      <c r="JG116" s="841" t="s">
        <v>1851</v>
      </c>
      <c r="JH116" s="841" t="s">
        <v>1852</v>
      </c>
      <c r="JI116" s="841" t="s">
        <v>1853</v>
      </c>
    </row>
    <row r="117" spans="1:269" x14ac:dyDescent="0.25">
      <c r="A117" s="841" t="s">
        <v>2464</v>
      </c>
      <c r="B117" s="841" t="s">
        <v>353</v>
      </c>
      <c r="C117" s="841" t="s">
        <v>1403</v>
      </c>
      <c r="D117" s="841" t="s">
        <v>353</v>
      </c>
      <c r="E117" s="841" t="s">
        <v>33</v>
      </c>
      <c r="F117" s="841" t="s">
        <v>1435</v>
      </c>
      <c r="G117" s="841" t="s">
        <v>2271</v>
      </c>
      <c r="H117" s="841" t="s">
        <v>353</v>
      </c>
      <c r="I117" s="841" t="s">
        <v>353</v>
      </c>
      <c r="J117" s="841" t="s">
        <v>353</v>
      </c>
      <c r="K117" s="841" t="s">
        <v>353</v>
      </c>
      <c r="L117" s="842">
        <v>44606.743750000001</v>
      </c>
      <c r="M117" s="841" t="s">
        <v>353</v>
      </c>
      <c r="N117" s="841" t="s">
        <v>353</v>
      </c>
      <c r="O117" s="841" t="s">
        <v>353</v>
      </c>
      <c r="P117" s="841" t="s">
        <v>33</v>
      </c>
      <c r="Q117" s="841" t="s">
        <v>353</v>
      </c>
      <c r="R117" s="841" t="s">
        <v>353</v>
      </c>
      <c r="S117" s="841" t="s">
        <v>67</v>
      </c>
      <c r="T117" s="841" t="s">
        <v>1390</v>
      </c>
      <c r="U117" s="841" t="s">
        <v>353</v>
      </c>
      <c r="V117" s="841" t="s">
        <v>353</v>
      </c>
      <c r="W117" s="841" t="s">
        <v>1420</v>
      </c>
      <c r="X117" s="841" t="s">
        <v>1435</v>
      </c>
      <c r="Y117" s="841" t="s">
        <v>353</v>
      </c>
      <c r="Z117" s="841" t="s">
        <v>353</v>
      </c>
      <c r="AA117" s="841" t="s">
        <v>673</v>
      </c>
      <c r="AB117" s="841" t="s">
        <v>353</v>
      </c>
      <c r="AC117" s="841">
        <v>588000</v>
      </c>
      <c r="AD117" s="841" t="s">
        <v>353</v>
      </c>
      <c r="AE117" s="841" t="s">
        <v>673</v>
      </c>
      <c r="AF117" s="841">
        <v>3911.83</v>
      </c>
      <c r="AG117" s="841" t="s">
        <v>353</v>
      </c>
      <c r="AH117" s="841">
        <v>4225</v>
      </c>
      <c r="AI117" s="841" t="s">
        <v>1535</v>
      </c>
      <c r="AJ117" s="841" t="s">
        <v>353</v>
      </c>
      <c r="AK117" s="841">
        <v>70</v>
      </c>
      <c r="AL117" s="841" t="s">
        <v>353</v>
      </c>
      <c r="AM117" s="841" t="s">
        <v>353</v>
      </c>
      <c r="AN117" s="841" t="s">
        <v>353</v>
      </c>
      <c r="AO117" s="841" t="s">
        <v>353</v>
      </c>
      <c r="AP117" s="841" t="s">
        <v>353</v>
      </c>
      <c r="AQ117" s="841" t="s">
        <v>353</v>
      </c>
      <c r="AR117" s="841" t="s">
        <v>673</v>
      </c>
      <c r="AS117" s="841" t="s">
        <v>353</v>
      </c>
      <c r="AT117" s="841" t="s">
        <v>353</v>
      </c>
      <c r="AU117" s="841" t="s">
        <v>1405</v>
      </c>
      <c r="AV117" s="841" t="s">
        <v>353</v>
      </c>
      <c r="AW117" s="843">
        <v>44595</v>
      </c>
      <c r="AX117" s="841" t="s">
        <v>353</v>
      </c>
      <c r="AY117" s="841" t="s">
        <v>353</v>
      </c>
      <c r="AZ117" s="841" t="s">
        <v>353</v>
      </c>
      <c r="BA117" s="841" t="s">
        <v>353</v>
      </c>
      <c r="BB117" s="841" t="s">
        <v>353</v>
      </c>
      <c r="BC117" s="841">
        <v>931515</v>
      </c>
      <c r="BD117" s="841" t="s">
        <v>353</v>
      </c>
      <c r="BE117" s="841" t="s">
        <v>353</v>
      </c>
      <c r="BF117" s="841" t="s">
        <v>353</v>
      </c>
      <c r="BG117" s="841" t="s">
        <v>353</v>
      </c>
      <c r="BH117" s="841" t="s">
        <v>353</v>
      </c>
      <c r="BI117" s="841" t="s">
        <v>353</v>
      </c>
      <c r="BJ117" s="841" t="s">
        <v>353</v>
      </c>
      <c r="BK117" s="841">
        <v>200000</v>
      </c>
      <c r="BL117" s="841" t="s">
        <v>2404</v>
      </c>
      <c r="BM117" s="842">
        <v>44592.677777777775</v>
      </c>
      <c r="BN117" s="841" t="s">
        <v>353</v>
      </c>
      <c r="BO117" s="841" t="s">
        <v>353</v>
      </c>
      <c r="BP117" s="841" t="s">
        <v>353</v>
      </c>
      <c r="BQ117" s="841" t="s">
        <v>353</v>
      </c>
      <c r="BR117" s="841" t="s">
        <v>353</v>
      </c>
      <c r="BS117" s="841" t="s">
        <v>353</v>
      </c>
      <c r="BT117" s="841">
        <v>980000</v>
      </c>
      <c r="BU117" s="841" t="s">
        <v>353</v>
      </c>
      <c r="BV117" s="841" t="s">
        <v>1955</v>
      </c>
      <c r="BW117" s="841" t="s">
        <v>1578</v>
      </c>
      <c r="BX117" s="841" t="s">
        <v>2465</v>
      </c>
      <c r="BY117" s="841" t="s">
        <v>353</v>
      </c>
      <c r="BZ117" s="841" t="s">
        <v>353</v>
      </c>
      <c r="CA117" s="841" t="s">
        <v>353</v>
      </c>
      <c r="CB117" s="841" t="s">
        <v>353</v>
      </c>
      <c r="CC117" s="841" t="s">
        <v>353</v>
      </c>
      <c r="CD117" s="841" t="s">
        <v>353</v>
      </c>
      <c r="CE117" s="841" t="s">
        <v>353</v>
      </c>
      <c r="CF117" s="841" t="s">
        <v>353</v>
      </c>
      <c r="CG117" s="841" t="s">
        <v>353</v>
      </c>
      <c r="CH117" s="841" t="s">
        <v>353</v>
      </c>
      <c r="CI117" s="841" t="s">
        <v>33</v>
      </c>
      <c r="CJ117" s="841">
        <v>3300</v>
      </c>
      <c r="CK117" s="841">
        <v>5</v>
      </c>
      <c r="CL117" s="841" t="s">
        <v>353</v>
      </c>
      <c r="CM117" s="841">
        <v>5</v>
      </c>
      <c r="CN117" s="841" t="s">
        <v>353</v>
      </c>
      <c r="CO117" s="841" t="s">
        <v>353</v>
      </c>
      <c r="CP117" s="841" t="s">
        <v>2466</v>
      </c>
      <c r="CQ117" s="841" t="s">
        <v>353</v>
      </c>
      <c r="CR117" s="841" t="s">
        <v>353</v>
      </c>
      <c r="CS117" s="841" t="s">
        <v>1405</v>
      </c>
      <c r="CT117" s="841" t="s">
        <v>353</v>
      </c>
      <c r="CU117" s="841" t="s">
        <v>1391</v>
      </c>
      <c r="CV117" s="841" t="s">
        <v>353</v>
      </c>
      <c r="CW117" s="841" t="s">
        <v>353</v>
      </c>
      <c r="CX117" s="841" t="s">
        <v>353</v>
      </c>
      <c r="CY117" s="841" t="s">
        <v>353</v>
      </c>
      <c r="CZ117" s="841" t="s">
        <v>353</v>
      </c>
      <c r="DA117" s="841" t="s">
        <v>353</v>
      </c>
      <c r="DB117" s="841" t="s">
        <v>353</v>
      </c>
      <c r="DC117" s="841" t="s">
        <v>353</v>
      </c>
      <c r="DD117" s="841" t="s">
        <v>353</v>
      </c>
      <c r="DE117" s="841" t="s">
        <v>353</v>
      </c>
      <c r="DF117" s="841">
        <v>21</v>
      </c>
      <c r="DG117" s="841" t="s">
        <v>353</v>
      </c>
      <c r="DH117" s="841" t="s">
        <v>353</v>
      </c>
      <c r="DI117" s="841" t="s">
        <v>353</v>
      </c>
      <c r="DJ117" s="841" t="s">
        <v>2467</v>
      </c>
      <c r="DK117" s="841" t="s">
        <v>353</v>
      </c>
      <c r="DL117" s="842">
        <v>44575.677777777775</v>
      </c>
      <c r="DM117" s="841" t="s">
        <v>353</v>
      </c>
      <c r="DN117" s="841" t="s">
        <v>33</v>
      </c>
      <c r="DO117" s="841" t="s">
        <v>673</v>
      </c>
      <c r="DP117" s="841" t="s">
        <v>1412</v>
      </c>
      <c r="DQ117" s="841" t="s">
        <v>673</v>
      </c>
      <c r="DR117" s="841" t="s">
        <v>353</v>
      </c>
      <c r="DS117" s="841">
        <v>21</v>
      </c>
      <c r="DT117" s="841" t="s">
        <v>353</v>
      </c>
      <c r="DU117" s="841" t="s">
        <v>353</v>
      </c>
      <c r="DV117" s="841">
        <v>792624</v>
      </c>
      <c r="DW117" s="841">
        <v>980000</v>
      </c>
      <c r="DX117" s="841" t="s">
        <v>673</v>
      </c>
      <c r="DY117" s="841" t="s">
        <v>353</v>
      </c>
      <c r="DZ117" s="841" t="s">
        <v>353</v>
      </c>
      <c r="EA117" s="841" t="s">
        <v>353</v>
      </c>
      <c r="EB117" s="841" t="s">
        <v>353</v>
      </c>
      <c r="EC117" s="841" t="s">
        <v>353</v>
      </c>
      <c r="ED117" s="841" t="s">
        <v>353</v>
      </c>
      <c r="EE117" s="841" t="s">
        <v>673</v>
      </c>
      <c r="EF117" s="841" t="s">
        <v>353</v>
      </c>
      <c r="EG117" s="841" t="s">
        <v>353</v>
      </c>
      <c r="EH117" s="841" t="s">
        <v>33</v>
      </c>
      <c r="EI117" s="841">
        <v>170226</v>
      </c>
      <c r="EJ117" s="841" t="s">
        <v>353</v>
      </c>
      <c r="EK117" s="841" t="s">
        <v>1413</v>
      </c>
      <c r="EL117" s="841" t="s">
        <v>1435</v>
      </c>
      <c r="EM117" s="841">
        <v>17150</v>
      </c>
      <c r="EN117" s="841" t="s">
        <v>353</v>
      </c>
      <c r="EO117" s="841" t="s">
        <v>353</v>
      </c>
      <c r="EP117" s="841" t="s">
        <v>353</v>
      </c>
      <c r="EQ117" s="841" t="s">
        <v>353</v>
      </c>
      <c r="ER117" s="841" t="s">
        <v>353</v>
      </c>
      <c r="ES117" s="841" t="s">
        <v>33</v>
      </c>
      <c r="ET117" s="841" t="s">
        <v>1711</v>
      </c>
      <c r="EU117" s="841" t="s">
        <v>2173</v>
      </c>
      <c r="EV117" s="841" t="s">
        <v>353</v>
      </c>
      <c r="EW117" s="841" t="s">
        <v>353</v>
      </c>
      <c r="EX117" s="841" t="s">
        <v>673</v>
      </c>
      <c r="EY117" s="842">
        <v>44606.743750000001</v>
      </c>
      <c r="EZ117" s="841" t="s">
        <v>353</v>
      </c>
      <c r="FA117" s="841" t="s">
        <v>353</v>
      </c>
      <c r="FB117" s="841" t="s">
        <v>353</v>
      </c>
      <c r="FC117" s="841" t="s">
        <v>353</v>
      </c>
      <c r="FD117" s="841" t="s">
        <v>353</v>
      </c>
      <c r="FE117" s="842">
        <v>44575.678472222222</v>
      </c>
      <c r="FF117" s="841" t="s">
        <v>353</v>
      </c>
      <c r="FG117" s="841" t="s">
        <v>2468</v>
      </c>
      <c r="FH117" s="841" t="s">
        <v>353</v>
      </c>
      <c r="FI117" s="841" t="s">
        <v>353</v>
      </c>
      <c r="FJ117" s="841" t="s">
        <v>353</v>
      </c>
      <c r="FK117" s="841" t="s">
        <v>353</v>
      </c>
      <c r="FL117" s="841" t="s">
        <v>353</v>
      </c>
      <c r="FM117" s="841" t="s">
        <v>353</v>
      </c>
      <c r="FN117" s="841" t="s">
        <v>353</v>
      </c>
      <c r="FO117" s="841" t="s">
        <v>1528</v>
      </c>
      <c r="FP117" s="841" t="s">
        <v>353</v>
      </c>
      <c r="FQ117" s="841" t="s">
        <v>353</v>
      </c>
      <c r="FR117" s="841" t="s">
        <v>353</v>
      </c>
      <c r="FS117" s="841" t="s">
        <v>353</v>
      </c>
      <c r="FT117" s="841" t="s">
        <v>353</v>
      </c>
      <c r="FU117" s="841" t="s">
        <v>1714</v>
      </c>
      <c r="FV117" s="841" t="s">
        <v>353</v>
      </c>
      <c r="FW117" s="841" t="s">
        <v>353</v>
      </c>
      <c r="FX117" s="841" t="s">
        <v>353</v>
      </c>
      <c r="FY117" s="841" t="s">
        <v>353</v>
      </c>
      <c r="FZ117" s="841" t="s">
        <v>353</v>
      </c>
      <c r="GA117" s="841" t="s">
        <v>353</v>
      </c>
      <c r="GB117" s="841">
        <v>1</v>
      </c>
      <c r="GC117" s="841" t="s">
        <v>353</v>
      </c>
      <c r="GD117" s="841" t="s">
        <v>1395</v>
      </c>
      <c r="GE117" s="841" t="s">
        <v>353</v>
      </c>
      <c r="GF117" s="841" t="s">
        <v>353</v>
      </c>
      <c r="GG117" s="841" t="s">
        <v>349</v>
      </c>
      <c r="GH117" s="841">
        <v>588000</v>
      </c>
      <c r="GI117" s="841" t="s">
        <v>353</v>
      </c>
      <c r="GJ117" s="841" t="s">
        <v>353</v>
      </c>
      <c r="GK117" s="841" t="s">
        <v>353</v>
      </c>
      <c r="GL117" s="841" t="s">
        <v>2410</v>
      </c>
      <c r="GM117" s="841" t="s">
        <v>353</v>
      </c>
      <c r="GN117" s="841" t="s">
        <v>353</v>
      </c>
      <c r="GO117" s="841" t="s">
        <v>353</v>
      </c>
      <c r="GP117" s="841" t="s">
        <v>353</v>
      </c>
      <c r="GQ117" s="841" t="s">
        <v>353</v>
      </c>
      <c r="GR117" s="842">
        <v>44606.743750000001</v>
      </c>
      <c r="GS117" s="841" t="s">
        <v>1955</v>
      </c>
      <c r="GT117" s="841" t="s">
        <v>353</v>
      </c>
      <c r="GU117" s="841" t="s">
        <v>353</v>
      </c>
      <c r="GV117" s="841" t="s">
        <v>1419</v>
      </c>
      <c r="GW117" s="841" t="s">
        <v>353</v>
      </c>
      <c r="GX117" s="841" t="s">
        <v>2469</v>
      </c>
      <c r="GY117" s="841">
        <v>24</v>
      </c>
      <c r="GZ117" s="841" t="s">
        <v>1420</v>
      </c>
      <c r="HA117" s="841" t="s">
        <v>353</v>
      </c>
      <c r="HB117" s="841" t="s">
        <v>353</v>
      </c>
      <c r="HC117" s="841" t="s">
        <v>1421</v>
      </c>
      <c r="HD117" s="841" t="s">
        <v>2466</v>
      </c>
      <c r="HE117" s="841">
        <v>19600</v>
      </c>
      <c r="HF117" s="841" t="s">
        <v>353</v>
      </c>
      <c r="HG117" s="841" t="s">
        <v>353</v>
      </c>
      <c r="HH117" s="841">
        <v>3300</v>
      </c>
      <c r="HI117" s="841" t="s">
        <v>1422</v>
      </c>
      <c r="HJ117" s="841" t="s">
        <v>2041</v>
      </c>
      <c r="HK117" s="841">
        <v>980000</v>
      </c>
      <c r="HL117" s="841" t="s">
        <v>49</v>
      </c>
      <c r="HM117" s="841" t="s">
        <v>1423</v>
      </c>
      <c r="HN117" s="841" t="s">
        <v>27</v>
      </c>
      <c r="HO117" s="841" t="s">
        <v>353</v>
      </c>
      <c r="HP117" s="841">
        <v>56742</v>
      </c>
      <c r="HQ117" s="841" t="s">
        <v>353</v>
      </c>
      <c r="HR117" s="841" t="s">
        <v>353</v>
      </c>
      <c r="HS117" s="841">
        <v>809774</v>
      </c>
      <c r="HT117" s="841" t="s">
        <v>353</v>
      </c>
      <c r="HU117" s="841" t="s">
        <v>353</v>
      </c>
      <c r="HV117" s="841" t="s">
        <v>353</v>
      </c>
      <c r="HW117" s="841">
        <v>1400000</v>
      </c>
      <c r="HX117" s="841" t="s">
        <v>353</v>
      </c>
      <c r="HY117" s="841" t="s">
        <v>353</v>
      </c>
      <c r="HZ117" s="841" t="s">
        <v>353</v>
      </c>
      <c r="IA117" s="841" t="s">
        <v>353</v>
      </c>
      <c r="IB117" s="841" t="s">
        <v>1424</v>
      </c>
      <c r="IC117" s="841" t="s">
        <v>353</v>
      </c>
      <c r="ID117" s="841" t="s">
        <v>353</v>
      </c>
      <c r="IE117" s="841" t="s">
        <v>353</v>
      </c>
      <c r="IF117" s="841" t="s">
        <v>353</v>
      </c>
      <c r="IG117" s="841" t="s">
        <v>353</v>
      </c>
      <c r="IH117" s="841" t="s">
        <v>353</v>
      </c>
      <c r="II117" s="841" t="s">
        <v>353</v>
      </c>
      <c r="IJ117" s="841">
        <v>59</v>
      </c>
      <c r="IK117" s="841" t="s">
        <v>353</v>
      </c>
      <c r="IL117" s="841">
        <v>948665</v>
      </c>
      <c r="IM117" s="841" t="s">
        <v>353</v>
      </c>
      <c r="IN117" s="841" t="s">
        <v>353</v>
      </c>
      <c r="IO117" s="841">
        <v>0</v>
      </c>
      <c r="IP117" s="841" t="s">
        <v>353</v>
      </c>
      <c r="IQ117" s="841" t="s">
        <v>353</v>
      </c>
      <c r="IR117" s="841">
        <v>3</v>
      </c>
      <c r="IS117" s="841" t="s">
        <v>673</v>
      </c>
      <c r="IT117" s="841" t="s">
        <v>353</v>
      </c>
      <c r="IU117" s="841" t="s">
        <v>353</v>
      </c>
      <c r="IV117" s="841" t="s">
        <v>353</v>
      </c>
      <c r="IW117" s="841" t="s">
        <v>353</v>
      </c>
      <c r="IX117" s="841" t="s">
        <v>353</v>
      </c>
      <c r="IY117" s="841" t="s">
        <v>353</v>
      </c>
      <c r="IZ117" s="841" t="s">
        <v>353</v>
      </c>
      <c r="JA117" s="841">
        <v>980000</v>
      </c>
      <c r="JB117" s="841" t="s">
        <v>353</v>
      </c>
      <c r="JC117" s="841" t="s">
        <v>353</v>
      </c>
      <c r="JD117" s="841" t="s">
        <v>1413</v>
      </c>
      <c r="JE117" s="841" t="s">
        <v>33</v>
      </c>
      <c r="JF117" s="841" t="s">
        <v>2414</v>
      </c>
      <c r="JG117" s="841" t="s">
        <v>2415</v>
      </c>
      <c r="JH117" s="841" t="s">
        <v>2416</v>
      </c>
      <c r="JI117" s="841" t="s">
        <v>2417</v>
      </c>
    </row>
    <row r="118" spans="1:269" x14ac:dyDescent="0.25">
      <c r="A118" s="841" t="s">
        <v>2470</v>
      </c>
      <c r="B118" s="841" t="s">
        <v>353</v>
      </c>
      <c r="C118" s="841" t="s">
        <v>353</v>
      </c>
      <c r="D118" s="841" t="s">
        <v>353</v>
      </c>
      <c r="E118" s="841" t="s">
        <v>33</v>
      </c>
      <c r="F118" s="841" t="s">
        <v>1930</v>
      </c>
      <c r="G118" s="841" t="s">
        <v>1404</v>
      </c>
      <c r="H118" s="841" t="s">
        <v>353</v>
      </c>
      <c r="I118" s="841" t="s">
        <v>353</v>
      </c>
      <c r="J118" s="841" t="s">
        <v>353</v>
      </c>
      <c r="K118" s="841" t="s">
        <v>353</v>
      </c>
      <c r="L118" s="842">
        <v>44607.670138888891</v>
      </c>
      <c r="M118" s="841" t="s">
        <v>353</v>
      </c>
      <c r="N118" s="841" t="s">
        <v>33</v>
      </c>
      <c r="O118" s="841" t="s">
        <v>353</v>
      </c>
      <c r="P118" s="841" t="s">
        <v>33</v>
      </c>
      <c r="Q118" s="841" t="s">
        <v>353</v>
      </c>
      <c r="R118" s="841" t="s">
        <v>353</v>
      </c>
      <c r="S118" s="841" t="s">
        <v>67</v>
      </c>
      <c r="T118" s="841" t="s">
        <v>1390</v>
      </c>
      <c r="U118" s="841" t="s">
        <v>353</v>
      </c>
      <c r="V118" s="841" t="s">
        <v>353</v>
      </c>
      <c r="W118" s="841" t="s">
        <v>353</v>
      </c>
      <c r="X118" s="841" t="s">
        <v>1405</v>
      </c>
      <c r="Y118" s="841" t="s">
        <v>353</v>
      </c>
      <c r="Z118" s="841" t="s">
        <v>353</v>
      </c>
      <c r="AA118" s="841" t="s">
        <v>33</v>
      </c>
      <c r="AB118" s="843">
        <v>44585</v>
      </c>
      <c r="AC118" s="841">
        <v>202500</v>
      </c>
      <c r="AD118" s="841" t="s">
        <v>353</v>
      </c>
      <c r="AE118" s="841" t="s">
        <v>33</v>
      </c>
      <c r="AF118" s="841">
        <v>1085.6300000000001</v>
      </c>
      <c r="AG118" s="841" t="s">
        <v>353</v>
      </c>
      <c r="AH118" s="841">
        <v>1200</v>
      </c>
      <c r="AI118" s="841" t="s">
        <v>1592</v>
      </c>
      <c r="AJ118" s="841" t="s">
        <v>2198</v>
      </c>
      <c r="AK118" s="841">
        <v>75</v>
      </c>
      <c r="AL118" s="841" t="s">
        <v>353</v>
      </c>
      <c r="AM118" s="841" t="s">
        <v>353</v>
      </c>
      <c r="AN118" s="841" t="s">
        <v>33</v>
      </c>
      <c r="AO118" s="841" t="s">
        <v>353</v>
      </c>
      <c r="AP118" s="841" t="s">
        <v>353</v>
      </c>
      <c r="AQ118" s="841" t="s">
        <v>353</v>
      </c>
      <c r="AR118" s="841" t="s">
        <v>33</v>
      </c>
      <c r="AS118" s="841" t="s">
        <v>353</v>
      </c>
      <c r="AT118" s="841" t="s">
        <v>353</v>
      </c>
      <c r="AU118" s="841" t="s">
        <v>353</v>
      </c>
      <c r="AV118" s="841" t="s">
        <v>353</v>
      </c>
      <c r="AW118" s="843">
        <v>44580</v>
      </c>
      <c r="AX118" s="841" t="s">
        <v>353</v>
      </c>
      <c r="AY118" s="841" t="s">
        <v>353</v>
      </c>
      <c r="AZ118" s="841" t="s">
        <v>353</v>
      </c>
      <c r="BA118" s="841" t="s">
        <v>353</v>
      </c>
      <c r="BB118" s="841" t="s">
        <v>353</v>
      </c>
      <c r="BC118" s="841">
        <v>217806</v>
      </c>
      <c r="BD118" s="841" t="s">
        <v>353</v>
      </c>
      <c r="BE118" s="841" t="s">
        <v>353</v>
      </c>
      <c r="BF118" s="841" t="s">
        <v>353</v>
      </c>
      <c r="BG118" s="841" t="s">
        <v>353</v>
      </c>
      <c r="BH118" s="841" t="s">
        <v>353</v>
      </c>
      <c r="BI118" s="841" t="s">
        <v>353</v>
      </c>
      <c r="BJ118" s="841" t="s">
        <v>353</v>
      </c>
      <c r="BK118" s="841" t="s">
        <v>353</v>
      </c>
      <c r="BL118" s="841" t="s">
        <v>2287</v>
      </c>
      <c r="BM118" s="842">
        <v>44592.568055555559</v>
      </c>
      <c r="BN118" s="841" t="s">
        <v>353</v>
      </c>
      <c r="BO118" s="841" t="s">
        <v>353</v>
      </c>
      <c r="BP118" s="841" t="s">
        <v>673</v>
      </c>
      <c r="BQ118" s="841" t="s">
        <v>353</v>
      </c>
      <c r="BR118" s="841" t="s">
        <v>353</v>
      </c>
      <c r="BS118" s="841" t="s">
        <v>353</v>
      </c>
      <c r="BT118" s="841">
        <v>225000</v>
      </c>
      <c r="BU118" s="841" t="s">
        <v>353</v>
      </c>
      <c r="BV118" s="841" t="s">
        <v>2471</v>
      </c>
      <c r="BW118" s="841" t="s">
        <v>353</v>
      </c>
      <c r="BX118" s="841" t="s">
        <v>2472</v>
      </c>
      <c r="BY118" s="841" t="s">
        <v>353</v>
      </c>
      <c r="BZ118" s="841" t="s">
        <v>353</v>
      </c>
      <c r="CA118" s="841" t="s">
        <v>353</v>
      </c>
      <c r="CB118" s="841" t="s">
        <v>353</v>
      </c>
      <c r="CC118" s="841" t="s">
        <v>353</v>
      </c>
      <c r="CD118" s="841" t="s">
        <v>353</v>
      </c>
      <c r="CE118" s="841" t="s">
        <v>353</v>
      </c>
      <c r="CF118" s="841" t="s">
        <v>353</v>
      </c>
      <c r="CG118" s="841" t="s">
        <v>353</v>
      </c>
      <c r="CH118" s="841" t="s">
        <v>353</v>
      </c>
      <c r="CI118" s="841" t="s">
        <v>33</v>
      </c>
      <c r="CJ118" s="841">
        <v>975</v>
      </c>
      <c r="CK118" s="841">
        <v>38</v>
      </c>
      <c r="CL118" s="841" t="s">
        <v>353</v>
      </c>
      <c r="CM118" s="841">
        <v>40</v>
      </c>
      <c r="CN118" s="841" t="s">
        <v>353</v>
      </c>
      <c r="CO118" s="841" t="s">
        <v>353</v>
      </c>
      <c r="CP118" s="841" t="s">
        <v>2473</v>
      </c>
      <c r="CQ118" s="841" t="s">
        <v>353</v>
      </c>
      <c r="CR118" s="841" t="s">
        <v>353</v>
      </c>
      <c r="CS118" s="841" t="s">
        <v>353</v>
      </c>
      <c r="CT118" s="841" t="s">
        <v>353</v>
      </c>
      <c r="CU118" s="841" t="s">
        <v>1391</v>
      </c>
      <c r="CV118" s="841" t="s">
        <v>353</v>
      </c>
      <c r="CW118" s="841" t="s">
        <v>353</v>
      </c>
      <c r="CX118" s="841" t="s">
        <v>353</v>
      </c>
      <c r="CY118" s="841" t="s">
        <v>353</v>
      </c>
      <c r="CZ118" s="841" t="s">
        <v>353</v>
      </c>
      <c r="DA118" s="841" t="s">
        <v>353</v>
      </c>
      <c r="DB118" s="843">
        <v>44596</v>
      </c>
      <c r="DC118" s="841" t="s">
        <v>353</v>
      </c>
      <c r="DD118" s="841" t="s">
        <v>353</v>
      </c>
      <c r="DE118" s="841" t="s">
        <v>353</v>
      </c>
      <c r="DF118" s="841">
        <v>21</v>
      </c>
      <c r="DG118" s="841" t="s">
        <v>353</v>
      </c>
      <c r="DH118" s="841" t="s">
        <v>353</v>
      </c>
      <c r="DI118" s="841" t="s">
        <v>353</v>
      </c>
      <c r="DJ118" s="841" t="s">
        <v>2474</v>
      </c>
      <c r="DK118" s="841" t="s">
        <v>353</v>
      </c>
      <c r="DL118" s="842">
        <v>44575.568055555559</v>
      </c>
      <c r="DM118" s="841" t="s">
        <v>353</v>
      </c>
      <c r="DN118" s="841" t="s">
        <v>33</v>
      </c>
      <c r="DO118" s="841" t="s">
        <v>353</v>
      </c>
      <c r="DP118" s="841" t="s">
        <v>353</v>
      </c>
      <c r="DQ118" s="841" t="s">
        <v>1434</v>
      </c>
      <c r="DR118" s="841" t="s">
        <v>353</v>
      </c>
      <c r="DS118" s="841">
        <v>21</v>
      </c>
      <c r="DT118" s="841" t="s">
        <v>353</v>
      </c>
      <c r="DU118" s="841" t="s">
        <v>353</v>
      </c>
      <c r="DV118" s="841" t="s">
        <v>353</v>
      </c>
      <c r="DW118" s="841">
        <v>225000</v>
      </c>
      <c r="DX118" s="841" t="s">
        <v>33</v>
      </c>
      <c r="DY118" s="841" t="s">
        <v>353</v>
      </c>
      <c r="DZ118" s="841">
        <v>1200</v>
      </c>
      <c r="EA118" s="841" t="s">
        <v>353</v>
      </c>
      <c r="EB118" s="841" t="s">
        <v>353</v>
      </c>
      <c r="EC118" s="841" t="s">
        <v>353</v>
      </c>
      <c r="ED118" s="841" t="s">
        <v>353</v>
      </c>
      <c r="EE118" s="841" t="s">
        <v>33</v>
      </c>
      <c r="EF118" s="841" t="s">
        <v>353</v>
      </c>
      <c r="EG118" s="841" t="s">
        <v>353</v>
      </c>
      <c r="EH118" s="841" t="s">
        <v>33</v>
      </c>
      <c r="EI118" s="841">
        <v>39082.5</v>
      </c>
      <c r="EJ118" s="841" t="s">
        <v>353</v>
      </c>
      <c r="EK118" s="841" t="s">
        <v>353</v>
      </c>
      <c r="EL118" s="841" t="s">
        <v>1930</v>
      </c>
      <c r="EM118" s="841" t="s">
        <v>353</v>
      </c>
      <c r="EN118" s="841" t="s">
        <v>353</v>
      </c>
      <c r="EO118" s="841" t="s">
        <v>353</v>
      </c>
      <c r="EP118" s="841" t="s">
        <v>353</v>
      </c>
      <c r="EQ118" s="841" t="s">
        <v>353</v>
      </c>
      <c r="ER118" s="841" t="s">
        <v>353</v>
      </c>
      <c r="ES118" s="841" t="s">
        <v>33</v>
      </c>
      <c r="ET118" s="841" t="s">
        <v>1496</v>
      </c>
      <c r="EU118" s="841" t="s">
        <v>1712</v>
      </c>
      <c r="EV118" s="841" t="s">
        <v>353</v>
      </c>
      <c r="EW118" s="841" t="s">
        <v>353</v>
      </c>
      <c r="EX118" s="841" t="s">
        <v>33</v>
      </c>
      <c r="EY118" s="842">
        <v>44578.434027777781</v>
      </c>
      <c r="EZ118" s="841" t="s">
        <v>353</v>
      </c>
      <c r="FA118" s="841" t="s">
        <v>353</v>
      </c>
      <c r="FB118" s="841" t="s">
        <v>353</v>
      </c>
      <c r="FC118" s="841" t="s">
        <v>353</v>
      </c>
      <c r="FD118" s="841" t="s">
        <v>353</v>
      </c>
      <c r="FE118" s="842">
        <v>44575.568749999999</v>
      </c>
      <c r="FF118" s="841" t="s">
        <v>353</v>
      </c>
      <c r="FG118" s="841" t="s">
        <v>353</v>
      </c>
      <c r="FH118" s="841" t="s">
        <v>353</v>
      </c>
      <c r="FI118" s="841" t="s">
        <v>353</v>
      </c>
      <c r="FJ118" s="841" t="s">
        <v>353</v>
      </c>
      <c r="FK118" s="841" t="s">
        <v>353</v>
      </c>
      <c r="FL118" s="841" t="s">
        <v>353</v>
      </c>
      <c r="FM118" s="841" t="s">
        <v>353</v>
      </c>
      <c r="FN118" s="841" t="s">
        <v>353</v>
      </c>
      <c r="FO118" s="841" t="s">
        <v>1528</v>
      </c>
      <c r="FP118" s="841" t="s">
        <v>353</v>
      </c>
      <c r="FQ118" s="841" t="s">
        <v>353</v>
      </c>
      <c r="FR118" s="841" t="s">
        <v>353</v>
      </c>
      <c r="FS118" s="841" t="s">
        <v>353</v>
      </c>
      <c r="FT118" s="841" t="s">
        <v>353</v>
      </c>
      <c r="FU118" s="841" t="s">
        <v>2203</v>
      </c>
      <c r="FV118" s="841" t="s">
        <v>353</v>
      </c>
      <c r="FW118" s="841" t="s">
        <v>353</v>
      </c>
      <c r="FX118" s="841" t="s">
        <v>353</v>
      </c>
      <c r="FY118" s="841" t="s">
        <v>353</v>
      </c>
      <c r="FZ118" s="841" t="s">
        <v>353</v>
      </c>
      <c r="GA118" s="841" t="s">
        <v>353</v>
      </c>
      <c r="GB118" s="841">
        <v>1</v>
      </c>
      <c r="GC118" s="841" t="s">
        <v>353</v>
      </c>
      <c r="GD118" s="841" t="s">
        <v>1417</v>
      </c>
      <c r="GE118" s="841" t="s">
        <v>353</v>
      </c>
      <c r="GF118" s="841">
        <v>1200</v>
      </c>
      <c r="GG118" s="841" t="s">
        <v>353</v>
      </c>
      <c r="GH118" s="841">
        <v>202500</v>
      </c>
      <c r="GI118" s="841" t="s">
        <v>353</v>
      </c>
      <c r="GJ118" s="841" t="s">
        <v>353</v>
      </c>
      <c r="GK118" s="841" t="s">
        <v>353</v>
      </c>
      <c r="GL118" s="841" t="s">
        <v>1437</v>
      </c>
      <c r="GM118" s="841" t="s">
        <v>353</v>
      </c>
      <c r="GN118" s="841" t="s">
        <v>353</v>
      </c>
      <c r="GO118" s="841" t="s">
        <v>353</v>
      </c>
      <c r="GP118" s="841" t="s">
        <v>353</v>
      </c>
      <c r="GQ118" s="841" t="s">
        <v>353</v>
      </c>
      <c r="GR118" s="842">
        <v>44575.52847222222</v>
      </c>
      <c r="GS118" s="841" t="s">
        <v>2475</v>
      </c>
      <c r="GT118" s="841" t="s">
        <v>353</v>
      </c>
      <c r="GU118" s="841" t="s">
        <v>353</v>
      </c>
      <c r="GV118" s="841" t="s">
        <v>1419</v>
      </c>
      <c r="GW118" s="841" t="s">
        <v>353</v>
      </c>
      <c r="GX118" s="841" t="s">
        <v>2476</v>
      </c>
      <c r="GY118" s="841">
        <v>24</v>
      </c>
      <c r="GZ118" s="841" t="s">
        <v>1420</v>
      </c>
      <c r="HA118" s="841" t="s">
        <v>353</v>
      </c>
      <c r="HB118" s="841" t="s">
        <v>353</v>
      </c>
      <c r="HC118" s="841" t="s">
        <v>1421</v>
      </c>
      <c r="HD118" s="841" t="s">
        <v>2477</v>
      </c>
      <c r="HE118" s="841">
        <v>4500</v>
      </c>
      <c r="HF118" s="841" t="s">
        <v>353</v>
      </c>
      <c r="HG118" s="841" t="s">
        <v>353</v>
      </c>
      <c r="HH118" s="841">
        <v>855</v>
      </c>
      <c r="HI118" s="841" t="s">
        <v>1422</v>
      </c>
      <c r="HJ118" s="841" t="s">
        <v>353</v>
      </c>
      <c r="HK118" s="841">
        <v>225000</v>
      </c>
      <c r="HL118" s="841" t="s">
        <v>49</v>
      </c>
      <c r="HM118" s="841" t="s">
        <v>1423</v>
      </c>
      <c r="HN118" s="841" t="s">
        <v>353</v>
      </c>
      <c r="HO118" s="841" t="s">
        <v>353</v>
      </c>
      <c r="HP118" s="841">
        <v>13027.5</v>
      </c>
      <c r="HQ118" s="841" t="s">
        <v>353</v>
      </c>
      <c r="HR118" s="841" t="s">
        <v>353</v>
      </c>
      <c r="HS118" s="841" t="s">
        <v>353</v>
      </c>
      <c r="HT118" s="841" t="s">
        <v>353</v>
      </c>
      <c r="HU118" s="841" t="s">
        <v>353</v>
      </c>
      <c r="HV118" s="841" t="s">
        <v>353</v>
      </c>
      <c r="HW118" s="841">
        <v>300000</v>
      </c>
      <c r="HX118" s="841" t="s">
        <v>353</v>
      </c>
      <c r="HY118" s="841" t="s">
        <v>353</v>
      </c>
      <c r="HZ118" s="841" t="s">
        <v>353</v>
      </c>
      <c r="IA118" s="841" t="s">
        <v>353</v>
      </c>
      <c r="IB118" s="841" t="s">
        <v>1424</v>
      </c>
      <c r="IC118" s="841" t="s">
        <v>353</v>
      </c>
      <c r="ID118" s="841" t="s">
        <v>353</v>
      </c>
      <c r="IE118" s="841" t="s">
        <v>353</v>
      </c>
      <c r="IF118" s="841" t="s">
        <v>353</v>
      </c>
      <c r="IG118" s="841" t="s">
        <v>353</v>
      </c>
      <c r="IH118" s="841" t="s">
        <v>353</v>
      </c>
      <c r="II118" s="841" t="s">
        <v>353</v>
      </c>
      <c r="IJ118" s="841" t="s">
        <v>353</v>
      </c>
      <c r="IK118" s="841" t="s">
        <v>353</v>
      </c>
      <c r="IL118" s="841">
        <v>221744</v>
      </c>
      <c r="IM118" s="841" t="s">
        <v>353</v>
      </c>
      <c r="IN118" s="841" t="s">
        <v>353</v>
      </c>
      <c r="IO118" s="841">
        <v>199</v>
      </c>
      <c r="IP118" s="841" t="s">
        <v>353</v>
      </c>
      <c r="IQ118" s="841" t="s">
        <v>353</v>
      </c>
      <c r="IR118" s="841">
        <v>3</v>
      </c>
      <c r="IS118" s="841" t="s">
        <v>33</v>
      </c>
      <c r="IT118" s="841" t="s">
        <v>353</v>
      </c>
      <c r="IU118" s="841" t="s">
        <v>353</v>
      </c>
      <c r="IV118" s="841" t="s">
        <v>353</v>
      </c>
      <c r="IW118" s="841" t="s">
        <v>353</v>
      </c>
      <c r="IX118" s="841" t="s">
        <v>353</v>
      </c>
      <c r="IY118" s="841" t="s">
        <v>1578</v>
      </c>
      <c r="IZ118" s="841" t="s">
        <v>353</v>
      </c>
      <c r="JA118" s="841">
        <v>225000</v>
      </c>
      <c r="JB118" s="841" t="s">
        <v>353</v>
      </c>
      <c r="JC118" s="841" t="s">
        <v>353</v>
      </c>
      <c r="JD118" s="841" t="s">
        <v>1413</v>
      </c>
      <c r="JE118" s="841" t="s">
        <v>33</v>
      </c>
      <c r="JF118" s="841" t="s">
        <v>1514</v>
      </c>
      <c r="JG118" s="841" t="s">
        <v>1515</v>
      </c>
      <c r="JH118" s="841" t="s">
        <v>1516</v>
      </c>
      <c r="JI118" s="841" t="s">
        <v>1517</v>
      </c>
    </row>
    <row r="119" spans="1:269" x14ac:dyDescent="0.25">
      <c r="A119" s="841" t="s">
        <v>2478</v>
      </c>
      <c r="B119" s="841" t="s">
        <v>353</v>
      </c>
      <c r="C119" s="841" t="s">
        <v>353</v>
      </c>
      <c r="D119" s="841" t="s">
        <v>353</v>
      </c>
      <c r="E119" s="841" t="s">
        <v>353</v>
      </c>
      <c r="F119" s="841" t="s">
        <v>2025</v>
      </c>
      <c r="G119" s="841" t="s">
        <v>2479</v>
      </c>
      <c r="H119" s="841" t="s">
        <v>353</v>
      </c>
      <c r="I119" s="841" t="s">
        <v>353</v>
      </c>
      <c r="J119" s="841" t="s">
        <v>353</v>
      </c>
      <c r="K119" s="841" t="s">
        <v>353</v>
      </c>
      <c r="L119" s="842">
        <v>44607.536111111112</v>
      </c>
      <c r="M119" s="841" t="s">
        <v>353</v>
      </c>
      <c r="N119" s="841" t="s">
        <v>353</v>
      </c>
      <c r="O119" s="841" t="s">
        <v>353</v>
      </c>
      <c r="P119" s="841" t="s">
        <v>33</v>
      </c>
      <c r="Q119" s="841" t="s">
        <v>353</v>
      </c>
      <c r="R119" s="841" t="s">
        <v>353</v>
      </c>
      <c r="S119" s="841" t="s">
        <v>67</v>
      </c>
      <c r="T119" s="841" t="s">
        <v>1390</v>
      </c>
      <c r="U119" s="841" t="s">
        <v>353</v>
      </c>
      <c r="V119" s="841" t="s">
        <v>353</v>
      </c>
      <c r="W119" s="841" t="s">
        <v>1716</v>
      </c>
      <c r="X119" s="841" t="s">
        <v>2025</v>
      </c>
      <c r="Y119" s="841" t="s">
        <v>353</v>
      </c>
      <c r="Z119" s="841" t="s">
        <v>353</v>
      </c>
      <c r="AA119" s="841" t="s">
        <v>33</v>
      </c>
      <c r="AB119" s="841" t="s">
        <v>353</v>
      </c>
      <c r="AC119" s="841">
        <v>179500</v>
      </c>
      <c r="AD119" s="841" t="s">
        <v>353</v>
      </c>
      <c r="AE119" s="841" t="s">
        <v>33</v>
      </c>
      <c r="AF119" s="841" t="s">
        <v>353</v>
      </c>
      <c r="AG119" s="841" t="s">
        <v>353</v>
      </c>
      <c r="AH119" s="841">
        <v>1675</v>
      </c>
      <c r="AI119" s="841" t="s">
        <v>1535</v>
      </c>
      <c r="AJ119" s="841" t="s">
        <v>353</v>
      </c>
      <c r="AK119" s="841">
        <v>75</v>
      </c>
      <c r="AL119" s="841" t="s">
        <v>353</v>
      </c>
      <c r="AM119" s="841" t="s">
        <v>353</v>
      </c>
      <c r="AN119" s="841" t="s">
        <v>353</v>
      </c>
      <c r="AO119" s="841" t="s">
        <v>353</v>
      </c>
      <c r="AP119" s="841" t="s">
        <v>353</v>
      </c>
      <c r="AQ119" s="841" t="s">
        <v>353</v>
      </c>
      <c r="AR119" s="841" t="s">
        <v>33</v>
      </c>
      <c r="AS119" s="841" t="s">
        <v>353</v>
      </c>
      <c r="AT119" s="841" t="s">
        <v>353</v>
      </c>
      <c r="AU119" s="841" t="s">
        <v>353</v>
      </c>
      <c r="AV119" s="841" t="s">
        <v>353</v>
      </c>
      <c r="AW119" s="843">
        <v>44582</v>
      </c>
      <c r="AX119" s="841" t="s">
        <v>353</v>
      </c>
      <c r="AY119" s="841" t="s">
        <v>353</v>
      </c>
      <c r="AZ119" s="841" t="s">
        <v>353</v>
      </c>
      <c r="BA119" s="841" t="s">
        <v>353</v>
      </c>
      <c r="BB119" s="841" t="s">
        <v>353</v>
      </c>
      <c r="BC119" s="841">
        <v>340978</v>
      </c>
      <c r="BD119" s="841" t="s">
        <v>353</v>
      </c>
      <c r="BE119" s="841" t="s">
        <v>353</v>
      </c>
      <c r="BF119" s="841" t="s">
        <v>353</v>
      </c>
      <c r="BG119" s="841" t="s">
        <v>353</v>
      </c>
      <c r="BH119" s="841" t="s">
        <v>353</v>
      </c>
      <c r="BI119" s="841" t="s">
        <v>353</v>
      </c>
      <c r="BJ119" s="841" t="s">
        <v>353</v>
      </c>
      <c r="BK119" s="841" t="s">
        <v>353</v>
      </c>
      <c r="BL119" s="841" t="s">
        <v>2273</v>
      </c>
      <c r="BM119" s="842">
        <v>44592.555555555555</v>
      </c>
      <c r="BN119" s="841" t="s">
        <v>353</v>
      </c>
      <c r="BO119" s="841" t="s">
        <v>353</v>
      </c>
      <c r="BP119" s="841" t="s">
        <v>353</v>
      </c>
      <c r="BQ119" s="841" t="s">
        <v>353</v>
      </c>
      <c r="BR119" s="841" t="s">
        <v>353</v>
      </c>
      <c r="BS119" s="841" t="s">
        <v>353</v>
      </c>
      <c r="BT119" s="841">
        <v>360000</v>
      </c>
      <c r="BU119" s="841" t="s">
        <v>353</v>
      </c>
      <c r="BV119" s="841" t="s">
        <v>2480</v>
      </c>
      <c r="BW119" s="841" t="s">
        <v>1578</v>
      </c>
      <c r="BX119" s="841" t="s">
        <v>2481</v>
      </c>
      <c r="BY119" s="841" t="s">
        <v>353</v>
      </c>
      <c r="BZ119" s="841" t="s">
        <v>353</v>
      </c>
      <c r="CA119" s="841" t="s">
        <v>353</v>
      </c>
      <c r="CB119" s="841" t="s">
        <v>353</v>
      </c>
      <c r="CC119" s="841" t="s">
        <v>353</v>
      </c>
      <c r="CD119" s="841" t="s">
        <v>353</v>
      </c>
      <c r="CE119" s="841" t="s">
        <v>353</v>
      </c>
      <c r="CF119" s="841" t="s">
        <v>353</v>
      </c>
      <c r="CG119" s="841" t="s">
        <v>353</v>
      </c>
      <c r="CH119" s="841" t="s">
        <v>353</v>
      </c>
      <c r="CI119" s="841" t="s">
        <v>33</v>
      </c>
      <c r="CJ119" s="841" t="s">
        <v>353</v>
      </c>
      <c r="CK119" s="841">
        <v>3</v>
      </c>
      <c r="CL119" s="841" t="s">
        <v>353</v>
      </c>
      <c r="CM119" s="841">
        <v>4</v>
      </c>
      <c r="CN119" s="841" t="s">
        <v>353</v>
      </c>
      <c r="CO119" s="841" t="s">
        <v>353</v>
      </c>
      <c r="CP119" s="841" t="s">
        <v>2482</v>
      </c>
      <c r="CQ119" s="841" t="s">
        <v>353</v>
      </c>
      <c r="CR119" s="841" t="s">
        <v>353</v>
      </c>
      <c r="CS119" s="841" t="s">
        <v>1405</v>
      </c>
      <c r="CT119" s="841" t="s">
        <v>353</v>
      </c>
      <c r="CU119" s="841" t="s">
        <v>1391</v>
      </c>
      <c r="CV119" s="841" t="s">
        <v>353</v>
      </c>
      <c r="CW119" s="841" t="s">
        <v>353</v>
      </c>
      <c r="CX119" s="841" t="s">
        <v>353</v>
      </c>
      <c r="CY119" s="841" t="s">
        <v>353</v>
      </c>
      <c r="CZ119" s="841">
        <v>2</v>
      </c>
      <c r="DA119" s="841" t="s">
        <v>353</v>
      </c>
      <c r="DB119" s="841" t="s">
        <v>353</v>
      </c>
      <c r="DC119" s="841" t="s">
        <v>353</v>
      </c>
      <c r="DD119" s="841" t="s">
        <v>353</v>
      </c>
      <c r="DE119" s="841" t="s">
        <v>353</v>
      </c>
      <c r="DF119" s="841">
        <v>18</v>
      </c>
      <c r="DG119" s="841" t="s">
        <v>353</v>
      </c>
      <c r="DH119" s="841" t="s">
        <v>353</v>
      </c>
      <c r="DI119" s="841" t="s">
        <v>353</v>
      </c>
      <c r="DJ119" s="841" t="s">
        <v>2483</v>
      </c>
      <c r="DK119" s="841" t="s">
        <v>353</v>
      </c>
      <c r="DL119" s="842">
        <v>44575.555555555555</v>
      </c>
      <c r="DM119" s="841" t="s">
        <v>353</v>
      </c>
      <c r="DN119" s="841" t="s">
        <v>33</v>
      </c>
      <c r="DO119" s="841" t="s">
        <v>673</v>
      </c>
      <c r="DP119" s="841" t="s">
        <v>1412</v>
      </c>
      <c r="DQ119" s="841" t="s">
        <v>1392</v>
      </c>
      <c r="DR119" s="841">
        <v>479250</v>
      </c>
      <c r="DS119" s="841">
        <v>18</v>
      </c>
      <c r="DT119" s="841" t="s">
        <v>353</v>
      </c>
      <c r="DU119" s="841" t="s">
        <v>353</v>
      </c>
      <c r="DV119" s="841">
        <v>227103.4</v>
      </c>
      <c r="DW119" s="841">
        <v>359000</v>
      </c>
      <c r="DX119" s="841" t="s">
        <v>33</v>
      </c>
      <c r="DY119" s="841" t="s">
        <v>353</v>
      </c>
      <c r="DZ119" s="841" t="s">
        <v>353</v>
      </c>
      <c r="EA119" s="841" t="s">
        <v>353</v>
      </c>
      <c r="EB119" s="841" t="s">
        <v>353</v>
      </c>
      <c r="EC119" s="841" t="s">
        <v>353</v>
      </c>
      <c r="ED119" s="841" t="s">
        <v>353</v>
      </c>
      <c r="EE119" s="841" t="s">
        <v>353</v>
      </c>
      <c r="EF119" s="841" t="s">
        <v>353</v>
      </c>
      <c r="EG119" s="841" t="s">
        <v>353</v>
      </c>
      <c r="EH119" s="841" t="s">
        <v>353</v>
      </c>
      <c r="EI119" s="841">
        <v>124716.6</v>
      </c>
      <c r="EJ119" s="841" t="s">
        <v>353</v>
      </c>
      <c r="EK119" s="841" t="s">
        <v>353</v>
      </c>
      <c r="EL119" s="841" t="s">
        <v>1435</v>
      </c>
      <c r="EM119" s="841">
        <v>7180</v>
      </c>
      <c r="EN119" s="841" t="s">
        <v>353</v>
      </c>
      <c r="EO119" s="841" t="s">
        <v>353</v>
      </c>
      <c r="EP119" s="841" t="s">
        <v>353</v>
      </c>
      <c r="EQ119" s="841" t="s">
        <v>353</v>
      </c>
      <c r="ER119" s="841" t="s">
        <v>353</v>
      </c>
      <c r="ES119" s="841" t="s">
        <v>27</v>
      </c>
      <c r="ET119" s="841" t="s">
        <v>1393</v>
      </c>
      <c r="EU119" s="841" t="s">
        <v>353</v>
      </c>
      <c r="EV119" s="841" t="s">
        <v>353</v>
      </c>
      <c r="EW119" s="841" t="s">
        <v>353</v>
      </c>
      <c r="EX119" s="841" t="s">
        <v>33</v>
      </c>
      <c r="EY119" s="842">
        <v>44607.535416666666</v>
      </c>
      <c r="EZ119" s="841" t="s">
        <v>353</v>
      </c>
      <c r="FA119" s="841" t="s">
        <v>353</v>
      </c>
      <c r="FB119" s="841" t="s">
        <v>353</v>
      </c>
      <c r="FC119" s="841" t="s">
        <v>353</v>
      </c>
      <c r="FD119" s="841" t="s">
        <v>353</v>
      </c>
      <c r="FE119" s="842">
        <v>44606.386805555558</v>
      </c>
      <c r="FF119" s="841" t="s">
        <v>353</v>
      </c>
      <c r="FG119" s="841" t="s">
        <v>353</v>
      </c>
      <c r="FH119" s="841" t="s">
        <v>353</v>
      </c>
      <c r="FI119" s="841" t="s">
        <v>353</v>
      </c>
      <c r="FJ119" s="841" t="s">
        <v>353</v>
      </c>
      <c r="FK119" s="841" t="s">
        <v>353</v>
      </c>
      <c r="FL119" s="841" t="s">
        <v>353</v>
      </c>
      <c r="FM119" s="841" t="s">
        <v>353</v>
      </c>
      <c r="FN119" s="841" t="s">
        <v>353</v>
      </c>
      <c r="FO119" s="841" t="s">
        <v>1582</v>
      </c>
      <c r="FP119" s="841" t="s">
        <v>353</v>
      </c>
      <c r="FQ119" s="841" t="s">
        <v>353</v>
      </c>
      <c r="FR119" s="841" t="s">
        <v>353</v>
      </c>
      <c r="FS119" s="841" t="s">
        <v>353</v>
      </c>
      <c r="FT119" s="841" t="s">
        <v>353</v>
      </c>
      <c r="FU119" s="841" t="s">
        <v>1467</v>
      </c>
      <c r="FV119" s="841" t="s">
        <v>353</v>
      </c>
      <c r="FW119" s="841" t="s">
        <v>353</v>
      </c>
      <c r="FX119" s="841" t="s">
        <v>353</v>
      </c>
      <c r="FY119" s="841" t="s">
        <v>353</v>
      </c>
      <c r="FZ119" s="841" t="s">
        <v>353</v>
      </c>
      <c r="GA119" s="841" t="s">
        <v>353</v>
      </c>
      <c r="GB119" s="841">
        <v>1</v>
      </c>
      <c r="GC119" s="841" t="s">
        <v>353</v>
      </c>
      <c r="GD119" s="841" t="s">
        <v>1395</v>
      </c>
      <c r="GE119" s="841" t="s">
        <v>353</v>
      </c>
      <c r="GF119" s="841" t="s">
        <v>353</v>
      </c>
      <c r="GG119" s="841" t="s">
        <v>353</v>
      </c>
      <c r="GH119" s="841">
        <v>179500</v>
      </c>
      <c r="GI119" s="841" t="s">
        <v>353</v>
      </c>
      <c r="GJ119" s="841" t="s">
        <v>353</v>
      </c>
      <c r="GK119" s="841" t="s">
        <v>353</v>
      </c>
      <c r="GL119" s="841" t="s">
        <v>2011</v>
      </c>
      <c r="GM119" s="841" t="s">
        <v>353</v>
      </c>
      <c r="GN119" s="841" t="s">
        <v>353</v>
      </c>
      <c r="GO119" s="841" t="s">
        <v>353</v>
      </c>
      <c r="GP119" s="841" t="s">
        <v>353</v>
      </c>
      <c r="GQ119" s="841" t="s">
        <v>353</v>
      </c>
      <c r="GR119" s="842">
        <v>44607.535416666666</v>
      </c>
      <c r="GS119" s="841" t="s">
        <v>2484</v>
      </c>
      <c r="GT119" s="841" t="s">
        <v>353</v>
      </c>
      <c r="GU119" s="841" t="s">
        <v>353</v>
      </c>
      <c r="GV119" s="841" t="s">
        <v>1076</v>
      </c>
      <c r="GW119" s="841" t="s">
        <v>353</v>
      </c>
      <c r="GX119" s="841" t="s">
        <v>353</v>
      </c>
      <c r="GY119" s="841">
        <v>24</v>
      </c>
      <c r="GZ119" s="841" t="s">
        <v>1716</v>
      </c>
      <c r="HA119" s="841" t="s">
        <v>353</v>
      </c>
      <c r="HB119" s="841" t="s">
        <v>353</v>
      </c>
      <c r="HC119" s="841" t="s">
        <v>1421</v>
      </c>
      <c r="HD119" s="841" t="s">
        <v>2485</v>
      </c>
      <c r="HE119" s="841">
        <v>4487.5</v>
      </c>
      <c r="HF119" s="841" t="s">
        <v>353</v>
      </c>
      <c r="HG119" s="841" t="s">
        <v>353</v>
      </c>
      <c r="HH119" s="841" t="s">
        <v>353</v>
      </c>
      <c r="HI119" s="841" t="s">
        <v>1422</v>
      </c>
      <c r="HJ119" s="841" t="s">
        <v>2486</v>
      </c>
      <c r="HK119" s="841">
        <v>359000</v>
      </c>
      <c r="HL119" s="841" t="s">
        <v>353</v>
      </c>
      <c r="HM119" s="841" t="s">
        <v>1423</v>
      </c>
      <c r="HN119" s="841" t="s">
        <v>353</v>
      </c>
      <c r="HO119" s="841" t="s">
        <v>353</v>
      </c>
      <c r="HP119" s="841">
        <v>20786.099999999999</v>
      </c>
      <c r="HQ119" s="841" t="s">
        <v>353</v>
      </c>
      <c r="HR119" s="841" t="s">
        <v>353</v>
      </c>
      <c r="HS119" s="841">
        <v>234283.4</v>
      </c>
      <c r="HT119" s="841" t="s">
        <v>353</v>
      </c>
      <c r="HU119" s="841" t="s">
        <v>353</v>
      </c>
      <c r="HV119" s="841" t="s">
        <v>353</v>
      </c>
      <c r="HW119" s="841">
        <v>479250</v>
      </c>
      <c r="HX119" s="841" t="s">
        <v>353</v>
      </c>
      <c r="HY119" s="841" t="s">
        <v>353</v>
      </c>
      <c r="HZ119" s="841" t="s">
        <v>353</v>
      </c>
      <c r="IA119" s="841" t="s">
        <v>353</v>
      </c>
      <c r="IB119" s="841" t="s">
        <v>1424</v>
      </c>
      <c r="IC119" s="841" t="s">
        <v>353</v>
      </c>
      <c r="ID119" s="841" t="s">
        <v>353</v>
      </c>
      <c r="IE119" s="841" t="s">
        <v>353</v>
      </c>
      <c r="IF119" s="841" t="s">
        <v>353</v>
      </c>
      <c r="IG119" s="841" t="s">
        <v>353</v>
      </c>
      <c r="IH119" s="841" t="s">
        <v>353</v>
      </c>
      <c r="II119" s="841" t="s">
        <v>353</v>
      </c>
      <c r="IJ119" s="841" t="s">
        <v>353</v>
      </c>
      <c r="IK119" s="841" t="s">
        <v>353</v>
      </c>
      <c r="IL119" s="841">
        <v>347261</v>
      </c>
      <c r="IM119" s="841" t="s">
        <v>353</v>
      </c>
      <c r="IN119" s="841" t="s">
        <v>353</v>
      </c>
      <c r="IO119" s="841">
        <v>199</v>
      </c>
      <c r="IP119" s="841" t="s">
        <v>353</v>
      </c>
      <c r="IQ119" s="841" t="s">
        <v>353</v>
      </c>
      <c r="IR119" s="841">
        <v>6</v>
      </c>
      <c r="IS119" s="841" t="s">
        <v>33</v>
      </c>
      <c r="IT119" s="841" t="s">
        <v>353</v>
      </c>
      <c r="IU119" s="841" t="s">
        <v>353</v>
      </c>
      <c r="IV119" s="841" t="s">
        <v>353</v>
      </c>
      <c r="IW119" s="841" t="s">
        <v>353</v>
      </c>
      <c r="IX119" s="841" t="s">
        <v>353</v>
      </c>
      <c r="IY119" s="841" t="s">
        <v>1622</v>
      </c>
      <c r="IZ119" s="841" t="s">
        <v>353</v>
      </c>
      <c r="JA119" s="841">
        <v>359000</v>
      </c>
      <c r="JB119" s="841" t="s">
        <v>353</v>
      </c>
      <c r="JC119" s="841" t="s">
        <v>353</v>
      </c>
      <c r="JD119" s="841" t="s">
        <v>1413</v>
      </c>
      <c r="JE119" s="841" t="s">
        <v>33</v>
      </c>
      <c r="JF119" s="841" t="s">
        <v>1836</v>
      </c>
      <c r="JG119" s="841" t="s">
        <v>1837</v>
      </c>
      <c r="JH119" s="841" t="s">
        <v>2278</v>
      </c>
      <c r="JI119" s="841" t="s">
        <v>2279</v>
      </c>
    </row>
    <row r="120" spans="1:269" x14ac:dyDescent="0.25">
      <c r="A120" s="841" t="s">
        <v>2487</v>
      </c>
      <c r="B120" s="841" t="s">
        <v>353</v>
      </c>
      <c r="C120" s="841" t="s">
        <v>353</v>
      </c>
      <c r="D120" s="841" t="s">
        <v>353</v>
      </c>
      <c r="E120" s="841" t="s">
        <v>353</v>
      </c>
      <c r="F120" s="841" t="s">
        <v>353</v>
      </c>
      <c r="G120" s="841" t="s">
        <v>1447</v>
      </c>
      <c r="H120" s="841" t="s">
        <v>353</v>
      </c>
      <c r="I120" s="841" t="s">
        <v>353</v>
      </c>
      <c r="J120" s="841" t="s">
        <v>353</v>
      </c>
      <c r="K120" s="841" t="s">
        <v>353</v>
      </c>
      <c r="L120" s="842">
        <v>44601.397916666669</v>
      </c>
      <c r="M120" s="841" t="s">
        <v>353</v>
      </c>
      <c r="N120" s="841" t="s">
        <v>353</v>
      </c>
      <c r="O120" s="841" t="s">
        <v>353</v>
      </c>
      <c r="P120" s="841" t="s">
        <v>353</v>
      </c>
      <c r="Q120" s="841" t="s">
        <v>353</v>
      </c>
      <c r="R120" s="841" t="s">
        <v>353</v>
      </c>
      <c r="S120" s="841" t="s">
        <v>64</v>
      </c>
      <c r="T120" s="841" t="s">
        <v>1390</v>
      </c>
      <c r="U120" s="841" t="s">
        <v>353</v>
      </c>
      <c r="V120" s="841" t="s">
        <v>353</v>
      </c>
      <c r="W120" s="841" t="s">
        <v>353</v>
      </c>
      <c r="X120" s="841" t="s">
        <v>1405</v>
      </c>
      <c r="Y120" s="841" t="s">
        <v>353</v>
      </c>
      <c r="Z120" s="841" t="s">
        <v>353</v>
      </c>
      <c r="AA120" s="841" t="s">
        <v>353</v>
      </c>
      <c r="AB120" s="841" t="s">
        <v>353</v>
      </c>
      <c r="AC120" s="841">
        <v>30000</v>
      </c>
      <c r="AD120" s="841" t="s">
        <v>353</v>
      </c>
      <c r="AE120" s="841" t="s">
        <v>353</v>
      </c>
      <c r="AF120" s="841">
        <v>661.25</v>
      </c>
      <c r="AG120" s="841" t="s">
        <v>353</v>
      </c>
      <c r="AH120" s="841">
        <v>960</v>
      </c>
      <c r="AI120" s="841" t="s">
        <v>1521</v>
      </c>
      <c r="AJ120" s="841" t="s">
        <v>353</v>
      </c>
      <c r="AK120" s="841">
        <v>60</v>
      </c>
      <c r="AL120" s="841" t="s">
        <v>353</v>
      </c>
      <c r="AM120" s="841" t="s">
        <v>353</v>
      </c>
      <c r="AN120" s="841" t="s">
        <v>353</v>
      </c>
      <c r="AO120" s="841" t="s">
        <v>353</v>
      </c>
      <c r="AP120" s="841" t="s">
        <v>353</v>
      </c>
      <c r="AQ120" s="841" t="s">
        <v>353</v>
      </c>
      <c r="AR120" s="841" t="s">
        <v>353</v>
      </c>
      <c r="AS120" s="841" t="s">
        <v>353</v>
      </c>
      <c r="AT120" s="841" t="s">
        <v>353</v>
      </c>
      <c r="AU120" s="841" t="s">
        <v>353</v>
      </c>
      <c r="AV120" s="841" t="s">
        <v>353</v>
      </c>
      <c r="AW120" s="841" t="s">
        <v>353</v>
      </c>
      <c r="AX120" s="841" t="s">
        <v>353</v>
      </c>
      <c r="AY120" s="841" t="s">
        <v>353</v>
      </c>
      <c r="AZ120" s="841" t="s">
        <v>353</v>
      </c>
      <c r="BA120" s="841" t="s">
        <v>353</v>
      </c>
      <c r="BB120" s="841" t="s">
        <v>353</v>
      </c>
      <c r="BC120" s="841">
        <v>147375</v>
      </c>
      <c r="BD120" s="841" t="s">
        <v>353</v>
      </c>
      <c r="BE120" s="841" t="s">
        <v>353</v>
      </c>
      <c r="BF120" s="841" t="s">
        <v>353</v>
      </c>
      <c r="BG120" s="841" t="s">
        <v>353</v>
      </c>
      <c r="BH120" s="841" t="s">
        <v>353</v>
      </c>
      <c r="BI120" s="841" t="s">
        <v>353</v>
      </c>
      <c r="BJ120" s="841" t="s">
        <v>353</v>
      </c>
      <c r="BK120" s="841">
        <v>90000</v>
      </c>
      <c r="BL120" s="841" t="s">
        <v>2488</v>
      </c>
      <c r="BM120" s="842">
        <v>44592.461111111108</v>
      </c>
      <c r="BN120" s="841" t="s">
        <v>353</v>
      </c>
      <c r="BO120" s="841" t="s">
        <v>353</v>
      </c>
      <c r="BP120" s="841" t="s">
        <v>353</v>
      </c>
      <c r="BQ120" s="841" t="s">
        <v>353</v>
      </c>
      <c r="BR120" s="841" t="s">
        <v>353</v>
      </c>
      <c r="BS120" s="841" t="s">
        <v>353</v>
      </c>
      <c r="BT120" s="841">
        <v>150000</v>
      </c>
      <c r="BU120" s="841" t="s">
        <v>353</v>
      </c>
      <c r="BV120" s="841" t="s">
        <v>2489</v>
      </c>
      <c r="BW120" s="841" t="s">
        <v>353</v>
      </c>
      <c r="BX120" s="841" t="s">
        <v>2490</v>
      </c>
      <c r="BY120" s="841" t="s">
        <v>353</v>
      </c>
      <c r="BZ120" s="841" t="s">
        <v>353</v>
      </c>
      <c r="CA120" s="841" t="s">
        <v>353</v>
      </c>
      <c r="CB120" s="841" t="s">
        <v>353</v>
      </c>
      <c r="CC120" s="841" t="s">
        <v>353</v>
      </c>
      <c r="CD120" s="841" t="s">
        <v>353</v>
      </c>
      <c r="CE120" s="841" t="s">
        <v>353</v>
      </c>
      <c r="CF120" s="841" t="s">
        <v>353</v>
      </c>
      <c r="CG120" s="841" t="s">
        <v>353</v>
      </c>
      <c r="CH120" s="841" t="s">
        <v>353</v>
      </c>
      <c r="CI120" s="841" t="s">
        <v>353</v>
      </c>
      <c r="CJ120" s="841" t="s">
        <v>353</v>
      </c>
      <c r="CK120" s="841">
        <v>0</v>
      </c>
      <c r="CL120" s="841" t="s">
        <v>353</v>
      </c>
      <c r="CM120" s="841">
        <v>2</v>
      </c>
      <c r="CN120" s="841" t="s">
        <v>353</v>
      </c>
      <c r="CO120" s="841" t="s">
        <v>353</v>
      </c>
      <c r="CP120" s="841" t="s">
        <v>2491</v>
      </c>
      <c r="CQ120" s="841" t="s">
        <v>353</v>
      </c>
      <c r="CR120" s="841" t="s">
        <v>353</v>
      </c>
      <c r="CS120" s="841" t="s">
        <v>353</v>
      </c>
      <c r="CT120" s="841" t="s">
        <v>353</v>
      </c>
      <c r="CU120" s="841" t="s">
        <v>1391</v>
      </c>
      <c r="CV120" s="841" t="s">
        <v>353</v>
      </c>
      <c r="CW120" s="841" t="s">
        <v>353</v>
      </c>
      <c r="CX120" s="841" t="s">
        <v>353</v>
      </c>
      <c r="CY120" s="841" t="s">
        <v>353</v>
      </c>
      <c r="CZ120" s="841">
        <v>6</v>
      </c>
      <c r="DA120" s="841" t="s">
        <v>353</v>
      </c>
      <c r="DB120" s="841" t="s">
        <v>353</v>
      </c>
      <c r="DC120" s="841" t="s">
        <v>353</v>
      </c>
      <c r="DD120" s="841" t="s">
        <v>353</v>
      </c>
      <c r="DE120" s="841" t="s">
        <v>353</v>
      </c>
      <c r="DF120" s="841">
        <v>36</v>
      </c>
      <c r="DG120" s="841" t="s">
        <v>353</v>
      </c>
      <c r="DH120" s="841" t="s">
        <v>353</v>
      </c>
      <c r="DI120" s="841" t="s">
        <v>353</v>
      </c>
      <c r="DJ120" s="841" t="s">
        <v>2492</v>
      </c>
      <c r="DK120" s="841" t="s">
        <v>353</v>
      </c>
      <c r="DL120" s="842">
        <v>44575.461111111108</v>
      </c>
      <c r="DM120" s="841" t="s">
        <v>353</v>
      </c>
      <c r="DN120" s="841" t="s">
        <v>353</v>
      </c>
      <c r="DO120" s="841" t="s">
        <v>673</v>
      </c>
      <c r="DP120" s="841" t="s">
        <v>1481</v>
      </c>
      <c r="DQ120" s="841" t="s">
        <v>1581</v>
      </c>
      <c r="DR120" s="841" t="s">
        <v>353</v>
      </c>
      <c r="DS120" s="841">
        <v>36</v>
      </c>
      <c r="DT120" s="841" t="s">
        <v>353</v>
      </c>
      <c r="DU120" s="841" t="s">
        <v>353</v>
      </c>
      <c r="DV120" s="841" t="s">
        <v>353</v>
      </c>
      <c r="DW120" s="841">
        <v>150000</v>
      </c>
      <c r="DX120" s="841" t="s">
        <v>353</v>
      </c>
      <c r="DY120" s="841" t="s">
        <v>353</v>
      </c>
      <c r="DZ120" s="841" t="s">
        <v>353</v>
      </c>
      <c r="EA120" s="841" t="s">
        <v>353</v>
      </c>
      <c r="EB120" s="841" t="s">
        <v>353</v>
      </c>
      <c r="EC120" s="841" t="s">
        <v>353</v>
      </c>
      <c r="ED120" s="841" t="s">
        <v>353</v>
      </c>
      <c r="EE120" s="841" t="s">
        <v>353</v>
      </c>
      <c r="EF120" s="841" t="s">
        <v>353</v>
      </c>
      <c r="EG120" s="841" t="s">
        <v>353</v>
      </c>
      <c r="EH120" s="841" t="s">
        <v>353</v>
      </c>
      <c r="EI120" s="841">
        <v>0</v>
      </c>
      <c r="EJ120" s="841" t="s">
        <v>353</v>
      </c>
      <c r="EK120" s="841" t="s">
        <v>353</v>
      </c>
      <c r="EL120" s="841" t="s">
        <v>353</v>
      </c>
      <c r="EM120" s="841" t="s">
        <v>353</v>
      </c>
      <c r="EN120" s="841" t="s">
        <v>353</v>
      </c>
      <c r="EO120" s="841" t="s">
        <v>353</v>
      </c>
      <c r="EP120" s="841" t="s">
        <v>353</v>
      </c>
      <c r="EQ120" s="841" t="s">
        <v>353</v>
      </c>
      <c r="ER120" s="841" t="s">
        <v>353</v>
      </c>
      <c r="ES120" s="841" t="s">
        <v>353</v>
      </c>
      <c r="ET120" s="841" t="s">
        <v>1496</v>
      </c>
      <c r="EU120" s="841" t="s">
        <v>353</v>
      </c>
      <c r="EV120" s="841" t="s">
        <v>353</v>
      </c>
      <c r="EW120" s="841" t="s">
        <v>353</v>
      </c>
      <c r="EX120" s="841" t="s">
        <v>353</v>
      </c>
      <c r="EY120" s="842">
        <v>44601.397916666669</v>
      </c>
      <c r="EZ120" s="841" t="s">
        <v>353</v>
      </c>
      <c r="FA120" s="841" t="s">
        <v>353</v>
      </c>
      <c r="FB120" s="841" t="s">
        <v>353</v>
      </c>
      <c r="FC120" s="841" t="s">
        <v>353</v>
      </c>
      <c r="FD120" s="841" t="s">
        <v>353</v>
      </c>
      <c r="FE120" s="842">
        <v>44575.545138888891</v>
      </c>
      <c r="FF120" s="841" t="s">
        <v>353</v>
      </c>
      <c r="FG120" s="841" t="s">
        <v>2493</v>
      </c>
      <c r="FH120" s="841" t="s">
        <v>353</v>
      </c>
      <c r="FI120" s="841" t="s">
        <v>353</v>
      </c>
      <c r="FJ120" s="841" t="s">
        <v>353</v>
      </c>
      <c r="FK120" s="841" t="s">
        <v>353</v>
      </c>
      <c r="FL120" s="841" t="s">
        <v>353</v>
      </c>
      <c r="FM120" s="841" t="s">
        <v>353</v>
      </c>
      <c r="FN120" s="841" t="s">
        <v>353</v>
      </c>
      <c r="FO120" s="841" t="s">
        <v>1528</v>
      </c>
      <c r="FP120" s="841" t="s">
        <v>353</v>
      </c>
      <c r="FQ120" s="841" t="s">
        <v>353</v>
      </c>
      <c r="FR120" s="841" t="s">
        <v>353</v>
      </c>
      <c r="FS120" s="841" t="s">
        <v>353</v>
      </c>
      <c r="FT120" s="841" t="s">
        <v>353</v>
      </c>
      <c r="FU120" s="841" t="s">
        <v>1416</v>
      </c>
      <c r="FV120" s="841" t="s">
        <v>353</v>
      </c>
      <c r="FW120" s="841" t="s">
        <v>353</v>
      </c>
      <c r="FX120" s="841" t="s">
        <v>353</v>
      </c>
      <c r="FY120" s="841" t="s">
        <v>353</v>
      </c>
      <c r="FZ120" s="841" t="s">
        <v>353</v>
      </c>
      <c r="GA120" s="841" t="s">
        <v>353</v>
      </c>
      <c r="GB120" s="841">
        <v>1</v>
      </c>
      <c r="GC120" s="841" t="s">
        <v>353</v>
      </c>
      <c r="GD120" s="841" t="s">
        <v>1417</v>
      </c>
      <c r="GE120" s="841" t="s">
        <v>353</v>
      </c>
      <c r="GF120" s="841" t="s">
        <v>353</v>
      </c>
      <c r="GG120" s="841" t="s">
        <v>353</v>
      </c>
      <c r="GH120" s="841">
        <v>30000</v>
      </c>
      <c r="GI120" s="841" t="s">
        <v>353</v>
      </c>
      <c r="GJ120" s="841" t="s">
        <v>353</v>
      </c>
      <c r="GK120" s="841" t="s">
        <v>353</v>
      </c>
      <c r="GL120" s="841" t="s">
        <v>1583</v>
      </c>
      <c r="GM120" s="841" t="s">
        <v>353</v>
      </c>
      <c r="GN120" s="841" t="s">
        <v>353</v>
      </c>
      <c r="GO120" s="841" t="s">
        <v>353</v>
      </c>
      <c r="GP120" s="841" t="s">
        <v>353</v>
      </c>
      <c r="GQ120" s="841" t="s">
        <v>353</v>
      </c>
      <c r="GR120" s="841" t="s">
        <v>353</v>
      </c>
      <c r="GS120" s="841" t="s">
        <v>2489</v>
      </c>
      <c r="GT120" s="841" t="s">
        <v>353</v>
      </c>
      <c r="GU120" s="841" t="s">
        <v>353</v>
      </c>
      <c r="GV120" s="841" t="s">
        <v>1419</v>
      </c>
      <c r="GW120" s="841" t="s">
        <v>353</v>
      </c>
      <c r="GX120" s="841" t="s">
        <v>2494</v>
      </c>
      <c r="GY120" s="841">
        <v>36</v>
      </c>
      <c r="GZ120" s="841" t="s">
        <v>1420</v>
      </c>
      <c r="HA120" s="841" t="s">
        <v>353</v>
      </c>
      <c r="HB120" s="841" t="s">
        <v>353</v>
      </c>
      <c r="HC120" s="841" t="s">
        <v>1421</v>
      </c>
      <c r="HD120" s="841" t="s">
        <v>2495</v>
      </c>
      <c r="HE120" s="841" t="s">
        <v>353</v>
      </c>
      <c r="HF120" s="841" t="s">
        <v>353</v>
      </c>
      <c r="HG120" s="841" t="s">
        <v>353</v>
      </c>
      <c r="HH120" s="841" t="s">
        <v>353</v>
      </c>
      <c r="HI120" s="841" t="s">
        <v>1422</v>
      </c>
      <c r="HJ120" s="841" t="s">
        <v>353</v>
      </c>
      <c r="HK120" s="841">
        <v>150000</v>
      </c>
      <c r="HL120" s="841" t="s">
        <v>353</v>
      </c>
      <c r="HM120" s="841" t="s">
        <v>1530</v>
      </c>
      <c r="HN120" s="841" t="s">
        <v>353</v>
      </c>
      <c r="HO120" s="841" t="s">
        <v>353</v>
      </c>
      <c r="HP120" s="841">
        <v>7935</v>
      </c>
      <c r="HQ120" s="841" t="s">
        <v>353</v>
      </c>
      <c r="HR120" s="841" t="s">
        <v>353</v>
      </c>
      <c r="HS120" s="841" t="s">
        <v>353</v>
      </c>
      <c r="HT120" s="841" t="s">
        <v>353</v>
      </c>
      <c r="HU120" s="841" t="s">
        <v>353</v>
      </c>
      <c r="HV120" s="841" t="s">
        <v>353</v>
      </c>
      <c r="HW120" s="841">
        <v>250000</v>
      </c>
      <c r="HX120" s="841" t="s">
        <v>353</v>
      </c>
      <c r="HY120" s="841" t="s">
        <v>353</v>
      </c>
      <c r="HZ120" s="841" t="s">
        <v>353</v>
      </c>
      <c r="IA120" s="841" t="s">
        <v>353</v>
      </c>
      <c r="IB120" s="841" t="s">
        <v>1455</v>
      </c>
      <c r="IC120" s="841" t="s">
        <v>353</v>
      </c>
      <c r="ID120" s="841" t="s">
        <v>353</v>
      </c>
      <c r="IE120" s="841" t="s">
        <v>353</v>
      </c>
      <c r="IF120" s="841" t="s">
        <v>353</v>
      </c>
      <c r="IG120" s="841" t="s">
        <v>353</v>
      </c>
      <c r="IH120" s="841" t="s">
        <v>353</v>
      </c>
      <c r="II120" s="841" t="s">
        <v>353</v>
      </c>
      <c r="IJ120" s="841" t="s">
        <v>353</v>
      </c>
      <c r="IK120" s="841" t="s">
        <v>353</v>
      </c>
      <c r="IL120" s="841">
        <v>150000</v>
      </c>
      <c r="IM120" s="841" t="s">
        <v>353</v>
      </c>
      <c r="IN120" s="841" t="s">
        <v>353</v>
      </c>
      <c r="IO120" s="841" t="s">
        <v>353</v>
      </c>
      <c r="IP120" s="841" t="s">
        <v>353</v>
      </c>
      <c r="IQ120" s="841" t="s">
        <v>353</v>
      </c>
      <c r="IR120" s="841">
        <v>0</v>
      </c>
      <c r="IS120" s="841" t="s">
        <v>353</v>
      </c>
      <c r="IT120" s="841" t="s">
        <v>353</v>
      </c>
      <c r="IU120" s="841" t="s">
        <v>353</v>
      </c>
      <c r="IV120" s="841" t="s">
        <v>353</v>
      </c>
      <c r="IW120" s="841" t="s">
        <v>353</v>
      </c>
      <c r="IX120" s="841" t="s">
        <v>353</v>
      </c>
      <c r="IY120" s="841" t="s">
        <v>1622</v>
      </c>
      <c r="IZ120" s="841" t="s">
        <v>353</v>
      </c>
      <c r="JA120" s="841">
        <v>150000</v>
      </c>
      <c r="JB120" s="841" t="s">
        <v>353</v>
      </c>
      <c r="JC120" s="841" t="s">
        <v>353</v>
      </c>
      <c r="JD120" s="841" t="s">
        <v>1456</v>
      </c>
      <c r="JE120" s="841" t="s">
        <v>353</v>
      </c>
      <c r="JF120" s="841" t="s">
        <v>2496</v>
      </c>
      <c r="JG120" s="841" t="s">
        <v>2497</v>
      </c>
      <c r="JH120" s="841" t="s">
        <v>2498</v>
      </c>
      <c r="JI120" s="841" t="s">
        <v>2499</v>
      </c>
    </row>
    <row r="121" spans="1:269" x14ac:dyDescent="0.25">
      <c r="A121" s="841" t="s">
        <v>2500</v>
      </c>
      <c r="B121" s="841" t="s">
        <v>353</v>
      </c>
      <c r="C121" s="841" t="s">
        <v>353</v>
      </c>
      <c r="D121" s="841" t="s">
        <v>353</v>
      </c>
      <c r="E121" s="841" t="s">
        <v>353</v>
      </c>
      <c r="F121" s="841" t="s">
        <v>353</v>
      </c>
      <c r="G121" s="841" t="s">
        <v>2501</v>
      </c>
      <c r="H121" s="841" t="s">
        <v>353</v>
      </c>
      <c r="I121" s="841" t="s">
        <v>353</v>
      </c>
      <c r="J121" s="841" t="s">
        <v>353</v>
      </c>
      <c r="K121" s="841" t="s">
        <v>353</v>
      </c>
      <c r="L121" s="842">
        <v>44600.711111111108</v>
      </c>
      <c r="M121" s="841" t="s">
        <v>353</v>
      </c>
      <c r="N121" s="841" t="s">
        <v>353</v>
      </c>
      <c r="O121" s="841" t="s">
        <v>353</v>
      </c>
      <c r="P121" s="841" t="s">
        <v>353</v>
      </c>
      <c r="Q121" s="841" t="s">
        <v>353</v>
      </c>
      <c r="R121" s="841" t="s">
        <v>353</v>
      </c>
      <c r="S121" s="841" t="s">
        <v>64</v>
      </c>
      <c r="T121" s="841" t="s">
        <v>1390</v>
      </c>
      <c r="U121" s="841" t="s">
        <v>353</v>
      </c>
      <c r="V121" s="841" t="s">
        <v>353</v>
      </c>
      <c r="W121" s="841" t="s">
        <v>1716</v>
      </c>
      <c r="X121" s="841" t="s">
        <v>2025</v>
      </c>
      <c r="Y121" s="841" t="s">
        <v>353</v>
      </c>
      <c r="Z121" s="841" t="s">
        <v>353</v>
      </c>
      <c r="AA121" s="841" t="s">
        <v>353</v>
      </c>
      <c r="AB121" s="841" t="s">
        <v>353</v>
      </c>
      <c r="AC121" s="841">
        <v>208600</v>
      </c>
      <c r="AD121" s="841" t="s">
        <v>353</v>
      </c>
      <c r="AE121" s="841" t="s">
        <v>353</v>
      </c>
      <c r="AF121" s="841" t="s">
        <v>353</v>
      </c>
      <c r="AG121" s="841" t="s">
        <v>353</v>
      </c>
      <c r="AH121" s="841">
        <v>4600</v>
      </c>
      <c r="AI121" s="841" t="s">
        <v>1521</v>
      </c>
      <c r="AJ121" s="841" t="s">
        <v>353</v>
      </c>
      <c r="AK121" s="841" t="s">
        <v>353</v>
      </c>
      <c r="AL121" s="841" t="s">
        <v>353</v>
      </c>
      <c r="AM121" s="841" t="s">
        <v>353</v>
      </c>
      <c r="AN121" s="841" t="s">
        <v>353</v>
      </c>
      <c r="AO121" s="841" t="s">
        <v>353</v>
      </c>
      <c r="AP121" s="841" t="s">
        <v>353</v>
      </c>
      <c r="AQ121" s="841" t="s">
        <v>353</v>
      </c>
      <c r="AR121" s="841" t="s">
        <v>353</v>
      </c>
      <c r="AS121" s="841" t="s">
        <v>353</v>
      </c>
      <c r="AT121" s="841" t="s">
        <v>353</v>
      </c>
      <c r="AU121" s="841" t="s">
        <v>353</v>
      </c>
      <c r="AV121" s="841" t="s">
        <v>353</v>
      </c>
      <c r="AW121" s="841" t="s">
        <v>353</v>
      </c>
      <c r="AX121" s="841" t="s">
        <v>353</v>
      </c>
      <c r="AY121" s="841" t="s">
        <v>353</v>
      </c>
      <c r="AZ121" s="841" t="s">
        <v>353</v>
      </c>
      <c r="BA121" s="841" t="s">
        <v>353</v>
      </c>
      <c r="BB121" s="841" t="s">
        <v>353</v>
      </c>
      <c r="BC121" s="841">
        <v>993249</v>
      </c>
      <c r="BD121" s="841" t="s">
        <v>353</v>
      </c>
      <c r="BE121" s="841" t="s">
        <v>353</v>
      </c>
      <c r="BF121" s="841" t="s">
        <v>353</v>
      </c>
      <c r="BG121" s="841" t="s">
        <v>353</v>
      </c>
      <c r="BH121" s="841" t="s">
        <v>353</v>
      </c>
      <c r="BI121" s="841" t="s">
        <v>353</v>
      </c>
      <c r="BJ121" s="841" t="s">
        <v>353</v>
      </c>
      <c r="BK121" s="841">
        <v>1000000</v>
      </c>
      <c r="BL121" s="841" t="s">
        <v>2502</v>
      </c>
      <c r="BM121" s="842">
        <v>44592.381249999999</v>
      </c>
      <c r="BN121" s="841" t="s">
        <v>353</v>
      </c>
      <c r="BO121" s="841" t="s">
        <v>353</v>
      </c>
      <c r="BP121" s="841" t="s">
        <v>353</v>
      </c>
      <c r="BQ121" s="841" t="s">
        <v>353</v>
      </c>
      <c r="BR121" s="841" t="s">
        <v>353</v>
      </c>
      <c r="BS121" s="841" t="s">
        <v>353</v>
      </c>
      <c r="BT121" s="841">
        <v>1043000</v>
      </c>
      <c r="BU121" s="841" t="s">
        <v>353</v>
      </c>
      <c r="BV121" s="841" t="s">
        <v>2503</v>
      </c>
      <c r="BW121" s="841" t="s">
        <v>1578</v>
      </c>
      <c r="BX121" s="841" t="s">
        <v>2504</v>
      </c>
      <c r="BY121" s="841" t="s">
        <v>353</v>
      </c>
      <c r="BZ121" s="841" t="s">
        <v>353</v>
      </c>
      <c r="CA121" s="841" t="s">
        <v>353</v>
      </c>
      <c r="CB121" s="841" t="s">
        <v>353</v>
      </c>
      <c r="CC121" s="841" t="s">
        <v>353</v>
      </c>
      <c r="CD121" s="841" t="s">
        <v>353</v>
      </c>
      <c r="CE121" s="841" t="s">
        <v>353</v>
      </c>
      <c r="CF121" s="841" t="s">
        <v>353</v>
      </c>
      <c r="CG121" s="841" t="s">
        <v>353</v>
      </c>
      <c r="CH121" s="841" t="s">
        <v>353</v>
      </c>
      <c r="CI121" s="841" t="s">
        <v>353</v>
      </c>
      <c r="CJ121" s="841" t="s">
        <v>353</v>
      </c>
      <c r="CK121" s="841" t="s">
        <v>353</v>
      </c>
      <c r="CL121" s="841" t="s">
        <v>353</v>
      </c>
      <c r="CM121" s="841" t="s">
        <v>353</v>
      </c>
      <c r="CN121" s="841" t="s">
        <v>353</v>
      </c>
      <c r="CO121" s="841" t="s">
        <v>353</v>
      </c>
      <c r="CP121" s="841" t="s">
        <v>2505</v>
      </c>
      <c r="CQ121" s="841" t="s">
        <v>353</v>
      </c>
      <c r="CR121" s="841" t="s">
        <v>353</v>
      </c>
      <c r="CS121" s="841" t="s">
        <v>1405</v>
      </c>
      <c r="CT121" s="841" t="s">
        <v>353</v>
      </c>
      <c r="CU121" s="841" t="s">
        <v>1391</v>
      </c>
      <c r="CV121" s="841" t="s">
        <v>353</v>
      </c>
      <c r="CW121" s="841" t="s">
        <v>353</v>
      </c>
      <c r="CX121" s="841" t="s">
        <v>353</v>
      </c>
      <c r="CY121" s="841" t="s">
        <v>353</v>
      </c>
      <c r="CZ121" s="841">
        <v>6</v>
      </c>
      <c r="DA121" s="841" t="s">
        <v>353</v>
      </c>
      <c r="DB121" s="841" t="s">
        <v>353</v>
      </c>
      <c r="DC121" s="841" t="s">
        <v>353</v>
      </c>
      <c r="DD121" s="841" t="s">
        <v>353</v>
      </c>
      <c r="DE121" s="841" t="s">
        <v>353</v>
      </c>
      <c r="DF121" s="841">
        <v>18</v>
      </c>
      <c r="DG121" s="841" t="s">
        <v>353</v>
      </c>
      <c r="DH121" s="841" t="s">
        <v>353</v>
      </c>
      <c r="DI121" s="841" t="s">
        <v>353</v>
      </c>
      <c r="DJ121" s="841" t="s">
        <v>2506</v>
      </c>
      <c r="DK121" s="841" t="s">
        <v>353</v>
      </c>
      <c r="DL121" s="842">
        <v>44575.381249999999</v>
      </c>
      <c r="DM121" s="841" t="s">
        <v>353</v>
      </c>
      <c r="DN121" s="841" t="s">
        <v>353</v>
      </c>
      <c r="DO121" s="841" t="s">
        <v>673</v>
      </c>
      <c r="DP121" s="841" t="s">
        <v>1481</v>
      </c>
      <c r="DQ121" s="841" t="s">
        <v>1392</v>
      </c>
      <c r="DR121" s="841" t="s">
        <v>353</v>
      </c>
      <c r="DS121" s="841">
        <v>18</v>
      </c>
      <c r="DT121" s="841" t="s">
        <v>353</v>
      </c>
      <c r="DU121" s="841" t="s">
        <v>353</v>
      </c>
      <c r="DV121" s="841">
        <v>691091.8</v>
      </c>
      <c r="DW121" s="841">
        <v>1043000</v>
      </c>
      <c r="DX121" s="841" t="s">
        <v>353</v>
      </c>
      <c r="DY121" s="841" t="s">
        <v>353</v>
      </c>
      <c r="DZ121" s="841" t="s">
        <v>353</v>
      </c>
      <c r="EA121" s="841" t="s">
        <v>353</v>
      </c>
      <c r="EB121" s="841" t="s">
        <v>353</v>
      </c>
      <c r="EC121" s="841" t="s">
        <v>353</v>
      </c>
      <c r="ED121" s="841" t="s">
        <v>353</v>
      </c>
      <c r="EE121" s="841" t="s">
        <v>353</v>
      </c>
      <c r="EF121" s="841" t="s">
        <v>353</v>
      </c>
      <c r="EG121" s="841" t="s">
        <v>353</v>
      </c>
      <c r="EH121" s="841" t="s">
        <v>353</v>
      </c>
      <c r="EI121" s="841">
        <v>331048.2</v>
      </c>
      <c r="EJ121" s="841" t="s">
        <v>353</v>
      </c>
      <c r="EK121" s="841" t="s">
        <v>353</v>
      </c>
      <c r="EL121" s="841" t="s">
        <v>1435</v>
      </c>
      <c r="EM121" s="841">
        <v>20860</v>
      </c>
      <c r="EN121" s="841" t="s">
        <v>353</v>
      </c>
      <c r="EO121" s="841" t="s">
        <v>353</v>
      </c>
      <c r="EP121" s="841" t="s">
        <v>353</v>
      </c>
      <c r="EQ121" s="841" t="s">
        <v>353</v>
      </c>
      <c r="ER121" s="841" t="s">
        <v>353</v>
      </c>
      <c r="ES121" s="841" t="s">
        <v>353</v>
      </c>
      <c r="ET121" s="841" t="s">
        <v>1393</v>
      </c>
      <c r="EU121" s="841" t="s">
        <v>353</v>
      </c>
      <c r="EV121" s="841" t="s">
        <v>353</v>
      </c>
      <c r="EW121" s="841" t="s">
        <v>353</v>
      </c>
      <c r="EX121" s="841" t="s">
        <v>353</v>
      </c>
      <c r="EY121" s="841" t="s">
        <v>353</v>
      </c>
      <c r="EZ121" s="841" t="s">
        <v>353</v>
      </c>
      <c r="FA121" s="841" t="s">
        <v>353</v>
      </c>
      <c r="FB121" s="841" t="s">
        <v>353</v>
      </c>
      <c r="FC121" s="841" t="s">
        <v>353</v>
      </c>
      <c r="FD121" s="841" t="s">
        <v>353</v>
      </c>
      <c r="FE121" s="842">
        <v>44600.711111111108</v>
      </c>
      <c r="FF121" s="841" t="s">
        <v>353</v>
      </c>
      <c r="FG121" s="841" t="s">
        <v>353</v>
      </c>
      <c r="FH121" s="841" t="s">
        <v>353</v>
      </c>
      <c r="FI121" s="841" t="s">
        <v>353</v>
      </c>
      <c r="FJ121" s="841" t="s">
        <v>353</v>
      </c>
      <c r="FK121" s="841" t="s">
        <v>353</v>
      </c>
      <c r="FL121" s="841" t="s">
        <v>353</v>
      </c>
      <c r="FM121" s="841" t="s">
        <v>353</v>
      </c>
      <c r="FN121" s="841" t="s">
        <v>353</v>
      </c>
      <c r="FO121" s="841" t="s">
        <v>1729</v>
      </c>
      <c r="FP121" s="841" t="s">
        <v>353</v>
      </c>
      <c r="FQ121" s="841" t="s">
        <v>353</v>
      </c>
      <c r="FR121" s="841" t="s">
        <v>353</v>
      </c>
      <c r="FS121" s="841" t="s">
        <v>353</v>
      </c>
      <c r="FT121" s="841" t="s">
        <v>353</v>
      </c>
      <c r="FU121" s="841" t="s">
        <v>1416</v>
      </c>
      <c r="FV121" s="841" t="s">
        <v>353</v>
      </c>
      <c r="FW121" s="841" t="s">
        <v>353</v>
      </c>
      <c r="FX121" s="841" t="s">
        <v>353</v>
      </c>
      <c r="FY121" s="841" t="s">
        <v>353</v>
      </c>
      <c r="FZ121" s="841" t="s">
        <v>353</v>
      </c>
      <c r="GA121" s="841" t="s">
        <v>353</v>
      </c>
      <c r="GB121" s="841">
        <v>1</v>
      </c>
      <c r="GC121" s="841" t="s">
        <v>353</v>
      </c>
      <c r="GD121" s="841" t="s">
        <v>1395</v>
      </c>
      <c r="GE121" s="841" t="s">
        <v>353</v>
      </c>
      <c r="GF121" s="841" t="s">
        <v>353</v>
      </c>
      <c r="GG121" s="841" t="s">
        <v>353</v>
      </c>
      <c r="GH121" s="841">
        <v>208600</v>
      </c>
      <c r="GI121" s="841" t="s">
        <v>353</v>
      </c>
      <c r="GJ121" s="841" t="s">
        <v>353</v>
      </c>
      <c r="GK121" s="841" t="s">
        <v>353</v>
      </c>
      <c r="GL121" s="841" t="s">
        <v>1497</v>
      </c>
      <c r="GM121" s="841" t="s">
        <v>353</v>
      </c>
      <c r="GN121" s="841" t="s">
        <v>353</v>
      </c>
      <c r="GO121" s="841" t="s">
        <v>353</v>
      </c>
      <c r="GP121" s="841" t="s">
        <v>353</v>
      </c>
      <c r="GQ121" s="841" t="s">
        <v>353</v>
      </c>
      <c r="GR121" s="841" t="s">
        <v>353</v>
      </c>
      <c r="GS121" s="841" t="s">
        <v>2507</v>
      </c>
      <c r="GT121" s="841" t="s">
        <v>353</v>
      </c>
      <c r="GU121" s="841" t="s">
        <v>353</v>
      </c>
      <c r="GV121" s="841" t="s">
        <v>1076</v>
      </c>
      <c r="GW121" s="841" t="s">
        <v>353</v>
      </c>
      <c r="GX121" s="841" t="s">
        <v>353</v>
      </c>
      <c r="GY121" s="841">
        <v>24</v>
      </c>
      <c r="GZ121" s="841" t="s">
        <v>1716</v>
      </c>
      <c r="HA121" s="841" t="s">
        <v>353</v>
      </c>
      <c r="HB121" s="841" t="s">
        <v>353</v>
      </c>
      <c r="HC121" s="841" t="s">
        <v>1421</v>
      </c>
      <c r="HD121" s="841" t="s">
        <v>2508</v>
      </c>
      <c r="HE121" s="841" t="s">
        <v>353</v>
      </c>
      <c r="HF121" s="841" t="s">
        <v>353</v>
      </c>
      <c r="HG121" s="841" t="s">
        <v>353</v>
      </c>
      <c r="HH121" s="841" t="s">
        <v>353</v>
      </c>
      <c r="HI121" s="841" t="s">
        <v>1422</v>
      </c>
      <c r="HJ121" s="841" t="s">
        <v>2509</v>
      </c>
      <c r="HK121" s="841">
        <v>1043000</v>
      </c>
      <c r="HL121" s="841" t="s">
        <v>353</v>
      </c>
      <c r="HM121" s="841" t="s">
        <v>1530</v>
      </c>
      <c r="HN121" s="841" t="s">
        <v>353</v>
      </c>
      <c r="HO121" s="841" t="s">
        <v>353</v>
      </c>
      <c r="HP121" s="841">
        <v>55174.7</v>
      </c>
      <c r="HQ121" s="841" t="s">
        <v>353</v>
      </c>
      <c r="HR121" s="841" t="s">
        <v>353</v>
      </c>
      <c r="HS121" s="841">
        <v>711951.8</v>
      </c>
      <c r="HT121" s="841" t="s">
        <v>353</v>
      </c>
      <c r="HU121" s="841" t="s">
        <v>353</v>
      </c>
      <c r="HV121" s="841" t="s">
        <v>353</v>
      </c>
      <c r="HW121" s="841">
        <v>1450000</v>
      </c>
      <c r="HX121" s="841" t="s">
        <v>353</v>
      </c>
      <c r="HY121" s="841" t="s">
        <v>353</v>
      </c>
      <c r="HZ121" s="841" t="s">
        <v>353</v>
      </c>
      <c r="IA121" s="841" t="s">
        <v>353</v>
      </c>
      <c r="IB121" s="841" t="s">
        <v>1424</v>
      </c>
      <c r="IC121" s="841" t="s">
        <v>353</v>
      </c>
      <c r="ID121" s="841" t="s">
        <v>353</v>
      </c>
      <c r="IE121" s="841" t="s">
        <v>353</v>
      </c>
      <c r="IF121" s="841" t="s">
        <v>353</v>
      </c>
      <c r="IG121" s="841" t="s">
        <v>353</v>
      </c>
      <c r="IH121" s="841" t="s">
        <v>353</v>
      </c>
      <c r="II121" s="841" t="s">
        <v>353</v>
      </c>
      <c r="IJ121" s="841" t="s">
        <v>353</v>
      </c>
      <c r="IK121" s="841" t="s">
        <v>353</v>
      </c>
      <c r="IL121" s="841">
        <v>1011501</v>
      </c>
      <c r="IM121" s="841" t="s">
        <v>353</v>
      </c>
      <c r="IN121" s="841" t="s">
        <v>353</v>
      </c>
      <c r="IO121" s="841" t="s">
        <v>353</v>
      </c>
      <c r="IP121" s="841" t="s">
        <v>353</v>
      </c>
      <c r="IQ121" s="841" t="s">
        <v>353</v>
      </c>
      <c r="IR121" s="841">
        <v>6</v>
      </c>
      <c r="IS121" s="841" t="s">
        <v>353</v>
      </c>
      <c r="IT121" s="841" t="s">
        <v>353</v>
      </c>
      <c r="IU121" s="841" t="s">
        <v>353</v>
      </c>
      <c r="IV121" s="841" t="s">
        <v>353</v>
      </c>
      <c r="IW121" s="841" t="s">
        <v>353</v>
      </c>
      <c r="IX121" s="841" t="s">
        <v>353</v>
      </c>
      <c r="IY121" s="841" t="s">
        <v>1578</v>
      </c>
      <c r="IZ121" s="841" t="s">
        <v>353</v>
      </c>
      <c r="JA121" s="841">
        <v>1043000</v>
      </c>
      <c r="JB121" s="841" t="s">
        <v>353</v>
      </c>
      <c r="JC121" s="841" t="s">
        <v>353</v>
      </c>
      <c r="JD121" s="841" t="s">
        <v>1456</v>
      </c>
      <c r="JE121" s="841" t="s">
        <v>353</v>
      </c>
      <c r="JF121" s="841" t="s">
        <v>2510</v>
      </c>
      <c r="JG121" s="841" t="s">
        <v>2511</v>
      </c>
      <c r="JH121" s="841" t="s">
        <v>2512</v>
      </c>
      <c r="JI121" s="841" t="s">
        <v>2513</v>
      </c>
    </row>
    <row r="122" spans="1:269" x14ac:dyDescent="0.25">
      <c r="A122" s="841" t="s">
        <v>2514</v>
      </c>
      <c r="B122" s="841" t="s">
        <v>353</v>
      </c>
      <c r="C122" s="841" t="s">
        <v>353</v>
      </c>
      <c r="D122" s="841" t="s">
        <v>353</v>
      </c>
      <c r="E122" s="841" t="s">
        <v>353</v>
      </c>
      <c r="F122" s="841" t="s">
        <v>353</v>
      </c>
      <c r="G122" s="841" t="s">
        <v>353</v>
      </c>
      <c r="H122" s="841" t="s">
        <v>353</v>
      </c>
      <c r="I122" s="841" t="s">
        <v>353</v>
      </c>
      <c r="J122" s="841" t="s">
        <v>353</v>
      </c>
      <c r="K122" s="841" t="s">
        <v>353</v>
      </c>
      <c r="L122" s="842">
        <v>44578.672222222223</v>
      </c>
      <c r="M122" s="841" t="s">
        <v>353</v>
      </c>
      <c r="N122" s="841" t="s">
        <v>353</v>
      </c>
      <c r="O122" s="841" t="s">
        <v>353</v>
      </c>
      <c r="P122" s="841" t="s">
        <v>353</v>
      </c>
      <c r="Q122" s="841" t="s">
        <v>353</v>
      </c>
      <c r="R122" s="841" t="s">
        <v>353</v>
      </c>
      <c r="S122" s="841" t="s">
        <v>353</v>
      </c>
      <c r="T122" s="841" t="s">
        <v>1390</v>
      </c>
      <c r="U122" s="841" t="s">
        <v>353</v>
      </c>
      <c r="V122" s="841" t="s">
        <v>353</v>
      </c>
      <c r="W122" s="841" t="s">
        <v>353</v>
      </c>
      <c r="X122" s="841" t="s">
        <v>353</v>
      </c>
      <c r="Y122" s="841" t="s">
        <v>353</v>
      </c>
      <c r="Z122" s="841" t="s">
        <v>353</v>
      </c>
      <c r="AA122" s="841" t="s">
        <v>353</v>
      </c>
      <c r="AB122" s="841" t="s">
        <v>353</v>
      </c>
      <c r="AC122" s="841" t="s">
        <v>353</v>
      </c>
      <c r="AD122" s="841" t="s">
        <v>353</v>
      </c>
      <c r="AE122" s="841" t="s">
        <v>353</v>
      </c>
      <c r="AF122" s="841" t="s">
        <v>353</v>
      </c>
      <c r="AG122" s="841" t="s">
        <v>353</v>
      </c>
      <c r="AH122" s="841" t="s">
        <v>353</v>
      </c>
      <c r="AI122" s="841" t="s">
        <v>353</v>
      </c>
      <c r="AJ122" s="841" t="s">
        <v>353</v>
      </c>
      <c r="AK122" s="841" t="s">
        <v>353</v>
      </c>
      <c r="AL122" s="841" t="s">
        <v>353</v>
      </c>
      <c r="AM122" s="841" t="s">
        <v>353</v>
      </c>
      <c r="AN122" s="841" t="s">
        <v>353</v>
      </c>
      <c r="AO122" s="841" t="s">
        <v>353</v>
      </c>
      <c r="AP122" s="841" t="s">
        <v>353</v>
      </c>
      <c r="AQ122" s="841" t="s">
        <v>353</v>
      </c>
      <c r="AR122" s="841" t="s">
        <v>353</v>
      </c>
      <c r="AS122" s="841" t="s">
        <v>353</v>
      </c>
      <c r="AT122" s="841" t="s">
        <v>353</v>
      </c>
      <c r="AU122" s="841" t="s">
        <v>353</v>
      </c>
      <c r="AV122" s="841" t="s">
        <v>353</v>
      </c>
      <c r="AW122" s="841" t="s">
        <v>353</v>
      </c>
      <c r="AX122" s="841" t="s">
        <v>353</v>
      </c>
      <c r="AY122" s="841" t="s">
        <v>353</v>
      </c>
      <c r="AZ122" s="841" t="s">
        <v>353</v>
      </c>
      <c r="BA122" s="841" t="s">
        <v>353</v>
      </c>
      <c r="BB122" s="841" t="s">
        <v>353</v>
      </c>
      <c r="BC122" s="841" t="s">
        <v>353</v>
      </c>
      <c r="BD122" s="841" t="s">
        <v>353</v>
      </c>
      <c r="BE122" s="841" t="s">
        <v>353</v>
      </c>
      <c r="BF122" s="841" t="s">
        <v>353</v>
      </c>
      <c r="BG122" s="841" t="s">
        <v>353</v>
      </c>
      <c r="BH122" s="841" t="s">
        <v>353</v>
      </c>
      <c r="BI122" s="841" t="s">
        <v>353</v>
      </c>
      <c r="BJ122" s="841" t="s">
        <v>353</v>
      </c>
      <c r="BK122" s="841" t="s">
        <v>353</v>
      </c>
      <c r="BL122" s="841" t="s">
        <v>353</v>
      </c>
      <c r="BM122" s="842">
        <v>44592.685416666667</v>
      </c>
      <c r="BN122" s="841" t="s">
        <v>353</v>
      </c>
      <c r="BO122" s="841" t="s">
        <v>353</v>
      </c>
      <c r="BP122" s="841" t="s">
        <v>353</v>
      </c>
      <c r="BQ122" s="841" t="s">
        <v>353</v>
      </c>
      <c r="BR122" s="841" t="s">
        <v>353</v>
      </c>
      <c r="BS122" s="841" t="s">
        <v>353</v>
      </c>
      <c r="BT122" s="841">
        <v>710000</v>
      </c>
      <c r="BU122" s="841" t="s">
        <v>353</v>
      </c>
      <c r="BV122" s="841" t="s">
        <v>353</v>
      </c>
      <c r="BW122" s="841" t="s">
        <v>353</v>
      </c>
      <c r="BX122" s="841" t="s">
        <v>353</v>
      </c>
      <c r="BY122" s="841" t="s">
        <v>353</v>
      </c>
      <c r="BZ122" s="841" t="s">
        <v>353</v>
      </c>
      <c r="CA122" s="841" t="s">
        <v>353</v>
      </c>
      <c r="CB122" s="841" t="s">
        <v>353</v>
      </c>
      <c r="CC122" s="841" t="s">
        <v>353</v>
      </c>
      <c r="CD122" s="841" t="s">
        <v>353</v>
      </c>
      <c r="CE122" s="841" t="s">
        <v>353</v>
      </c>
      <c r="CF122" s="841" t="s">
        <v>353</v>
      </c>
      <c r="CG122" s="841" t="s">
        <v>353</v>
      </c>
      <c r="CH122" s="841" t="s">
        <v>353</v>
      </c>
      <c r="CI122" s="841" t="s">
        <v>353</v>
      </c>
      <c r="CJ122" s="841" t="s">
        <v>353</v>
      </c>
      <c r="CK122" s="841">
        <v>4</v>
      </c>
      <c r="CL122" s="841" t="s">
        <v>353</v>
      </c>
      <c r="CM122" s="841">
        <v>4</v>
      </c>
      <c r="CN122" s="841" t="s">
        <v>353</v>
      </c>
      <c r="CO122" s="841" t="s">
        <v>353</v>
      </c>
      <c r="CP122" s="841" t="s">
        <v>353</v>
      </c>
      <c r="CQ122" s="841" t="s">
        <v>353</v>
      </c>
      <c r="CR122" s="841" t="s">
        <v>353</v>
      </c>
      <c r="CS122" s="841" t="s">
        <v>353</v>
      </c>
      <c r="CT122" s="841" t="s">
        <v>353</v>
      </c>
      <c r="CU122" s="841" t="s">
        <v>1391</v>
      </c>
      <c r="CV122" s="841" t="s">
        <v>353</v>
      </c>
      <c r="CW122" s="841" t="s">
        <v>353</v>
      </c>
      <c r="CX122" s="841" t="s">
        <v>353</v>
      </c>
      <c r="CY122" s="841" t="s">
        <v>353</v>
      </c>
      <c r="CZ122" s="841" t="s">
        <v>353</v>
      </c>
      <c r="DA122" s="841" t="s">
        <v>353</v>
      </c>
      <c r="DB122" s="841" t="s">
        <v>353</v>
      </c>
      <c r="DC122" s="841" t="s">
        <v>353</v>
      </c>
      <c r="DD122" s="841" t="s">
        <v>353</v>
      </c>
      <c r="DE122" s="841" t="s">
        <v>353</v>
      </c>
      <c r="DF122" s="841" t="s">
        <v>353</v>
      </c>
      <c r="DG122" s="841" t="s">
        <v>353</v>
      </c>
      <c r="DH122" s="841" t="s">
        <v>353</v>
      </c>
      <c r="DI122" s="841" t="s">
        <v>353</v>
      </c>
      <c r="DJ122" s="841" t="s">
        <v>2515</v>
      </c>
      <c r="DK122" s="841" t="s">
        <v>353</v>
      </c>
      <c r="DL122" s="842">
        <v>44574.685416666667</v>
      </c>
      <c r="DM122" s="841" t="s">
        <v>353</v>
      </c>
      <c r="DN122" s="841" t="s">
        <v>353</v>
      </c>
      <c r="DO122" s="841" t="s">
        <v>353</v>
      </c>
      <c r="DP122" s="841" t="s">
        <v>353</v>
      </c>
      <c r="DQ122" s="841" t="s">
        <v>673</v>
      </c>
      <c r="DR122" s="841" t="s">
        <v>353</v>
      </c>
      <c r="DS122" s="841" t="s">
        <v>353</v>
      </c>
      <c r="DT122" s="841" t="s">
        <v>353</v>
      </c>
      <c r="DU122" s="841" t="s">
        <v>353</v>
      </c>
      <c r="DV122" s="841" t="s">
        <v>353</v>
      </c>
      <c r="DW122" s="841" t="s">
        <v>353</v>
      </c>
      <c r="DX122" s="841" t="s">
        <v>353</v>
      </c>
      <c r="DY122" s="841" t="s">
        <v>353</v>
      </c>
      <c r="DZ122" s="841" t="s">
        <v>353</v>
      </c>
      <c r="EA122" s="841" t="s">
        <v>353</v>
      </c>
      <c r="EB122" s="841" t="s">
        <v>353</v>
      </c>
      <c r="EC122" s="841" t="s">
        <v>353</v>
      </c>
      <c r="ED122" s="841" t="s">
        <v>353</v>
      </c>
      <c r="EE122" s="841" t="s">
        <v>353</v>
      </c>
      <c r="EF122" s="841" t="s">
        <v>353</v>
      </c>
      <c r="EG122" s="841" t="s">
        <v>353</v>
      </c>
      <c r="EH122" s="841" t="s">
        <v>353</v>
      </c>
      <c r="EI122" s="841" t="s">
        <v>353</v>
      </c>
      <c r="EJ122" s="841" t="s">
        <v>353</v>
      </c>
      <c r="EK122" s="841" t="s">
        <v>353</v>
      </c>
      <c r="EL122" s="841" t="s">
        <v>353</v>
      </c>
      <c r="EM122" s="841" t="s">
        <v>353</v>
      </c>
      <c r="EN122" s="841" t="s">
        <v>353</v>
      </c>
      <c r="EO122" s="841" t="s">
        <v>353</v>
      </c>
      <c r="EP122" s="841" t="s">
        <v>353</v>
      </c>
      <c r="EQ122" s="841" t="s">
        <v>353</v>
      </c>
      <c r="ER122" s="841" t="s">
        <v>353</v>
      </c>
      <c r="ES122" s="841" t="s">
        <v>353</v>
      </c>
      <c r="ET122" s="841" t="s">
        <v>1711</v>
      </c>
      <c r="EU122" s="841" t="s">
        <v>353</v>
      </c>
      <c r="EV122" s="841" t="s">
        <v>353</v>
      </c>
      <c r="EW122" s="841" t="s">
        <v>353</v>
      </c>
      <c r="EX122" s="841" t="s">
        <v>353</v>
      </c>
      <c r="EY122" s="842">
        <v>44578.671527777777</v>
      </c>
      <c r="EZ122" s="841" t="s">
        <v>353</v>
      </c>
      <c r="FA122" s="841" t="s">
        <v>353</v>
      </c>
      <c r="FB122" s="841" t="s">
        <v>353</v>
      </c>
      <c r="FC122" s="841" t="s">
        <v>353</v>
      </c>
      <c r="FD122" s="841" t="s">
        <v>353</v>
      </c>
      <c r="FE122" s="842">
        <v>44574.686111111114</v>
      </c>
      <c r="FF122" s="841" t="s">
        <v>353</v>
      </c>
      <c r="FG122" s="841" t="s">
        <v>353</v>
      </c>
      <c r="FH122" s="841" t="s">
        <v>353</v>
      </c>
      <c r="FI122" s="841" t="s">
        <v>353</v>
      </c>
      <c r="FJ122" s="841" t="s">
        <v>353</v>
      </c>
      <c r="FK122" s="841" t="s">
        <v>353</v>
      </c>
      <c r="FL122" s="841" t="s">
        <v>353</v>
      </c>
      <c r="FM122" s="841" t="s">
        <v>353</v>
      </c>
      <c r="FN122" s="841" t="s">
        <v>353</v>
      </c>
      <c r="FO122" s="841" t="s">
        <v>353</v>
      </c>
      <c r="FP122" s="841" t="s">
        <v>353</v>
      </c>
      <c r="FQ122" s="841" t="s">
        <v>353</v>
      </c>
      <c r="FR122" s="841" t="s">
        <v>353</v>
      </c>
      <c r="FS122" s="841" t="s">
        <v>353</v>
      </c>
      <c r="FT122" s="841" t="s">
        <v>353</v>
      </c>
      <c r="FU122" s="841" t="s">
        <v>1394</v>
      </c>
      <c r="FV122" s="841" t="s">
        <v>353</v>
      </c>
      <c r="FW122" s="841" t="s">
        <v>353</v>
      </c>
      <c r="FX122" s="841" t="s">
        <v>353</v>
      </c>
      <c r="FY122" s="841" t="s">
        <v>353</v>
      </c>
      <c r="FZ122" s="841" t="s">
        <v>353</v>
      </c>
      <c r="GA122" s="841" t="s">
        <v>353</v>
      </c>
      <c r="GB122" s="841">
        <v>1</v>
      </c>
      <c r="GC122" s="841" t="s">
        <v>353</v>
      </c>
      <c r="GD122" s="841" t="s">
        <v>1395</v>
      </c>
      <c r="GE122" s="841" t="s">
        <v>353</v>
      </c>
      <c r="GF122" s="841" t="s">
        <v>353</v>
      </c>
      <c r="GG122" s="841" t="s">
        <v>353</v>
      </c>
      <c r="GH122" s="841" t="s">
        <v>353</v>
      </c>
      <c r="GI122" s="841" t="s">
        <v>353</v>
      </c>
      <c r="GJ122" s="841" t="s">
        <v>353</v>
      </c>
      <c r="GK122" s="841" t="s">
        <v>353</v>
      </c>
      <c r="GL122" s="841" t="s">
        <v>1715</v>
      </c>
      <c r="GM122" s="841" t="s">
        <v>353</v>
      </c>
      <c r="GN122" s="841" t="s">
        <v>353</v>
      </c>
      <c r="GO122" s="841" t="s">
        <v>353</v>
      </c>
      <c r="GP122" s="841" t="s">
        <v>353</v>
      </c>
      <c r="GQ122" s="841" t="s">
        <v>353</v>
      </c>
      <c r="GR122" s="842">
        <v>44578.671527777777</v>
      </c>
      <c r="GS122" s="841" t="s">
        <v>353</v>
      </c>
      <c r="GT122" s="841" t="s">
        <v>353</v>
      </c>
      <c r="GU122" s="841" t="s">
        <v>353</v>
      </c>
      <c r="GV122" s="841" t="s">
        <v>1419</v>
      </c>
      <c r="GW122" s="841" t="s">
        <v>353</v>
      </c>
      <c r="GX122" s="841" t="s">
        <v>353</v>
      </c>
      <c r="GY122" s="841" t="s">
        <v>353</v>
      </c>
      <c r="GZ122" s="841" t="s">
        <v>353</v>
      </c>
      <c r="HA122" s="841" t="s">
        <v>353</v>
      </c>
      <c r="HB122" s="841" t="s">
        <v>353</v>
      </c>
      <c r="HC122" s="841" t="s">
        <v>353</v>
      </c>
      <c r="HD122" s="841" t="s">
        <v>2448</v>
      </c>
      <c r="HE122" s="841" t="s">
        <v>353</v>
      </c>
      <c r="HF122" s="841" t="s">
        <v>353</v>
      </c>
      <c r="HG122" s="841" t="s">
        <v>353</v>
      </c>
      <c r="HH122" s="841" t="s">
        <v>353</v>
      </c>
      <c r="HI122" s="841" t="s">
        <v>353</v>
      </c>
      <c r="HJ122" s="841" t="s">
        <v>353</v>
      </c>
      <c r="HK122" s="841" t="s">
        <v>353</v>
      </c>
      <c r="HL122" s="841" t="s">
        <v>353</v>
      </c>
      <c r="HM122" s="841" t="s">
        <v>353</v>
      </c>
      <c r="HN122" s="841" t="s">
        <v>353</v>
      </c>
      <c r="HO122" s="841" t="s">
        <v>353</v>
      </c>
      <c r="HP122" s="841" t="s">
        <v>353</v>
      </c>
      <c r="HQ122" s="841" t="s">
        <v>353</v>
      </c>
      <c r="HR122" s="841" t="s">
        <v>353</v>
      </c>
      <c r="HS122" s="841" t="s">
        <v>353</v>
      </c>
      <c r="HT122" s="841" t="s">
        <v>353</v>
      </c>
      <c r="HU122" s="841" t="s">
        <v>353</v>
      </c>
      <c r="HV122" s="841" t="s">
        <v>353</v>
      </c>
      <c r="HW122" s="841" t="s">
        <v>353</v>
      </c>
      <c r="HX122" s="841" t="s">
        <v>353</v>
      </c>
      <c r="HY122" s="841" t="s">
        <v>353</v>
      </c>
      <c r="HZ122" s="841" t="s">
        <v>353</v>
      </c>
      <c r="IA122" s="841" t="s">
        <v>353</v>
      </c>
      <c r="IB122" s="841" t="s">
        <v>353</v>
      </c>
      <c r="IC122" s="841" t="s">
        <v>353</v>
      </c>
      <c r="ID122" s="841" t="s">
        <v>353</v>
      </c>
      <c r="IE122" s="841" t="s">
        <v>353</v>
      </c>
      <c r="IF122" s="841" t="s">
        <v>353</v>
      </c>
      <c r="IG122" s="841" t="s">
        <v>353</v>
      </c>
      <c r="IH122" s="841" t="s">
        <v>353</v>
      </c>
      <c r="II122" s="841" t="s">
        <v>353</v>
      </c>
      <c r="IJ122" s="841" t="s">
        <v>353</v>
      </c>
      <c r="IK122" s="841" t="s">
        <v>353</v>
      </c>
      <c r="IL122" s="841" t="s">
        <v>353</v>
      </c>
      <c r="IM122" s="841" t="s">
        <v>353</v>
      </c>
      <c r="IN122" s="841" t="s">
        <v>353</v>
      </c>
      <c r="IO122" s="841" t="s">
        <v>353</v>
      </c>
      <c r="IP122" s="841" t="s">
        <v>353</v>
      </c>
      <c r="IQ122" s="841" t="s">
        <v>353</v>
      </c>
      <c r="IR122" s="841" t="s">
        <v>353</v>
      </c>
      <c r="IS122" s="841" t="s">
        <v>353</v>
      </c>
      <c r="IT122" s="841" t="s">
        <v>353</v>
      </c>
      <c r="IU122" s="841" t="s">
        <v>353</v>
      </c>
      <c r="IV122" s="841" t="s">
        <v>353</v>
      </c>
      <c r="IW122" s="841" t="s">
        <v>353</v>
      </c>
      <c r="IX122" s="841" t="s">
        <v>353</v>
      </c>
      <c r="IY122" s="841" t="s">
        <v>353</v>
      </c>
      <c r="IZ122" s="841" t="s">
        <v>353</v>
      </c>
      <c r="JA122" s="841" t="s">
        <v>353</v>
      </c>
      <c r="JB122" s="841" t="s">
        <v>353</v>
      </c>
      <c r="JC122" s="841" t="s">
        <v>353</v>
      </c>
      <c r="JD122" s="841" t="s">
        <v>353</v>
      </c>
      <c r="JE122" s="841" t="s">
        <v>353</v>
      </c>
      <c r="JF122" s="841" t="s">
        <v>1718</v>
      </c>
      <c r="JG122" s="841" t="s">
        <v>1719</v>
      </c>
      <c r="JH122" s="841" t="s">
        <v>1720</v>
      </c>
      <c r="JI122" s="841" t="s">
        <v>1721</v>
      </c>
    </row>
    <row r="123" spans="1:269" x14ac:dyDescent="0.25">
      <c r="A123" s="841" t="s">
        <v>2516</v>
      </c>
      <c r="B123" s="841" t="s">
        <v>353</v>
      </c>
      <c r="C123" s="841" t="s">
        <v>1403</v>
      </c>
      <c r="D123" s="841" t="s">
        <v>353</v>
      </c>
      <c r="E123" s="841" t="s">
        <v>33</v>
      </c>
      <c r="F123" s="841" t="s">
        <v>1405</v>
      </c>
      <c r="G123" s="841" t="s">
        <v>1723</v>
      </c>
      <c r="H123" s="841" t="s">
        <v>353</v>
      </c>
      <c r="I123" s="841" t="s">
        <v>353</v>
      </c>
      <c r="J123" s="841" t="s">
        <v>353</v>
      </c>
      <c r="K123" s="841" t="s">
        <v>2167</v>
      </c>
      <c r="L123" s="842">
        <v>44606.513888888891</v>
      </c>
      <c r="M123" s="841" t="s">
        <v>353</v>
      </c>
      <c r="N123" s="841" t="s">
        <v>33</v>
      </c>
      <c r="O123" s="841" t="s">
        <v>353</v>
      </c>
      <c r="P123" s="841" t="s">
        <v>673</v>
      </c>
      <c r="Q123" s="841" t="s">
        <v>353</v>
      </c>
      <c r="R123" s="841" t="s">
        <v>353</v>
      </c>
      <c r="S123" s="841" t="s">
        <v>67</v>
      </c>
      <c r="T123" s="841" t="s">
        <v>1390</v>
      </c>
      <c r="U123" s="841" t="s">
        <v>353</v>
      </c>
      <c r="V123" s="841" t="s">
        <v>353</v>
      </c>
      <c r="W123" s="841" t="s">
        <v>1405</v>
      </c>
      <c r="X123" s="841" t="s">
        <v>1930</v>
      </c>
      <c r="Y123" s="841" t="s">
        <v>353</v>
      </c>
      <c r="Z123" s="841" t="s">
        <v>353</v>
      </c>
      <c r="AA123" s="841" t="s">
        <v>673</v>
      </c>
      <c r="AB123" s="841" t="s">
        <v>353</v>
      </c>
      <c r="AC123" s="841">
        <v>306000</v>
      </c>
      <c r="AD123" s="841" t="s">
        <v>353</v>
      </c>
      <c r="AE123" s="841" t="s">
        <v>673</v>
      </c>
      <c r="AF123" s="841">
        <v>2035.75</v>
      </c>
      <c r="AG123" s="841" t="s">
        <v>353</v>
      </c>
      <c r="AH123" s="841">
        <v>2500</v>
      </c>
      <c r="AI123" s="841" t="s">
        <v>1592</v>
      </c>
      <c r="AJ123" s="841" t="s">
        <v>353</v>
      </c>
      <c r="AK123" s="841">
        <v>75</v>
      </c>
      <c r="AL123" s="841" t="s">
        <v>353</v>
      </c>
      <c r="AM123" s="841">
        <v>610000</v>
      </c>
      <c r="AN123" s="841" t="s">
        <v>33</v>
      </c>
      <c r="AO123" s="841" t="s">
        <v>353</v>
      </c>
      <c r="AP123" s="841" t="s">
        <v>353</v>
      </c>
      <c r="AQ123" s="841" t="s">
        <v>353</v>
      </c>
      <c r="AR123" s="841" t="s">
        <v>33</v>
      </c>
      <c r="AS123" s="841" t="s">
        <v>353</v>
      </c>
      <c r="AT123" s="841" t="s">
        <v>353</v>
      </c>
      <c r="AU123" s="841" t="s">
        <v>1405</v>
      </c>
      <c r="AV123" s="841" t="s">
        <v>353</v>
      </c>
      <c r="AW123" s="843">
        <v>44606</v>
      </c>
      <c r="AX123" s="841" t="s">
        <v>353</v>
      </c>
      <c r="AY123" s="841" t="s">
        <v>353</v>
      </c>
      <c r="AZ123" s="841" t="s">
        <v>353</v>
      </c>
      <c r="BA123" s="841" t="s">
        <v>353</v>
      </c>
      <c r="BB123" s="841" t="s">
        <v>353</v>
      </c>
      <c r="BC123" s="841">
        <v>486804</v>
      </c>
      <c r="BD123" s="841" t="s">
        <v>353</v>
      </c>
      <c r="BE123" s="841" t="s">
        <v>353</v>
      </c>
      <c r="BF123" s="841" t="s">
        <v>353</v>
      </c>
      <c r="BG123" s="841" t="s">
        <v>353</v>
      </c>
      <c r="BH123" s="841" t="s">
        <v>353</v>
      </c>
      <c r="BI123" s="841" t="s">
        <v>353</v>
      </c>
      <c r="BJ123" s="841" t="s">
        <v>353</v>
      </c>
      <c r="BK123" s="841" t="s">
        <v>353</v>
      </c>
      <c r="BL123" s="841" t="s">
        <v>2517</v>
      </c>
      <c r="BM123" s="842">
        <v>44592.494444444441</v>
      </c>
      <c r="BN123" s="841" t="s">
        <v>353</v>
      </c>
      <c r="BO123" s="841" t="s">
        <v>353</v>
      </c>
      <c r="BP123" s="841" t="s">
        <v>33</v>
      </c>
      <c r="BQ123" s="841" t="s">
        <v>353</v>
      </c>
      <c r="BR123" s="841" t="s">
        <v>353</v>
      </c>
      <c r="BS123" s="841" t="s">
        <v>353</v>
      </c>
      <c r="BT123" s="841">
        <v>565000</v>
      </c>
      <c r="BU123" s="841" t="s">
        <v>353</v>
      </c>
      <c r="BV123" s="841" t="s">
        <v>2518</v>
      </c>
      <c r="BW123" s="841" t="s">
        <v>1578</v>
      </c>
      <c r="BX123" s="841" t="s">
        <v>2519</v>
      </c>
      <c r="BY123" s="841" t="s">
        <v>353</v>
      </c>
      <c r="BZ123" s="841" t="s">
        <v>353</v>
      </c>
      <c r="CA123" s="841" t="s">
        <v>353</v>
      </c>
      <c r="CB123" s="841" t="s">
        <v>353</v>
      </c>
      <c r="CC123" s="841" t="s">
        <v>353</v>
      </c>
      <c r="CD123" s="841" t="s">
        <v>353</v>
      </c>
      <c r="CE123" s="841" t="s">
        <v>353</v>
      </c>
      <c r="CF123" s="841" t="s">
        <v>353</v>
      </c>
      <c r="CG123" s="841" t="s">
        <v>353</v>
      </c>
      <c r="CH123" s="841" t="s">
        <v>353</v>
      </c>
      <c r="CI123" s="841" t="s">
        <v>33</v>
      </c>
      <c r="CJ123" s="841">
        <v>900</v>
      </c>
      <c r="CK123" s="841">
        <v>4</v>
      </c>
      <c r="CL123" s="841" t="s">
        <v>353</v>
      </c>
      <c r="CM123" s="841">
        <v>16</v>
      </c>
      <c r="CN123" s="841" t="s">
        <v>353</v>
      </c>
      <c r="CO123" s="841" t="s">
        <v>353</v>
      </c>
      <c r="CP123" s="841" t="s">
        <v>2520</v>
      </c>
      <c r="CQ123" s="841" t="s">
        <v>353</v>
      </c>
      <c r="CR123" s="841" t="s">
        <v>353</v>
      </c>
      <c r="CS123" s="841" t="s">
        <v>1405</v>
      </c>
      <c r="CT123" s="841" t="s">
        <v>353</v>
      </c>
      <c r="CU123" s="841" t="s">
        <v>2521</v>
      </c>
      <c r="CV123" s="841" t="s">
        <v>353</v>
      </c>
      <c r="CW123" s="841" t="s">
        <v>353</v>
      </c>
      <c r="CX123" s="841" t="s">
        <v>353</v>
      </c>
      <c r="CY123" s="841" t="s">
        <v>353</v>
      </c>
      <c r="CZ123" s="841" t="s">
        <v>353</v>
      </c>
      <c r="DA123" s="841" t="s">
        <v>353</v>
      </c>
      <c r="DB123" s="843">
        <v>44599</v>
      </c>
      <c r="DC123" s="841" t="s">
        <v>353</v>
      </c>
      <c r="DD123" s="841" t="s">
        <v>353</v>
      </c>
      <c r="DE123" s="841" t="s">
        <v>353</v>
      </c>
      <c r="DF123" s="841">
        <v>22</v>
      </c>
      <c r="DG123" s="841" t="s">
        <v>353</v>
      </c>
      <c r="DH123" s="841" t="s">
        <v>353</v>
      </c>
      <c r="DI123" s="841" t="s">
        <v>353</v>
      </c>
      <c r="DJ123" s="841" t="s">
        <v>2522</v>
      </c>
      <c r="DK123" s="841" t="s">
        <v>353</v>
      </c>
      <c r="DL123" s="842">
        <v>44574.494444444441</v>
      </c>
      <c r="DM123" s="841" t="s">
        <v>353</v>
      </c>
      <c r="DN123" s="841" t="s">
        <v>33</v>
      </c>
      <c r="DO123" s="841" t="s">
        <v>673</v>
      </c>
      <c r="DP123" s="841" t="s">
        <v>1412</v>
      </c>
      <c r="DQ123" s="841" t="s">
        <v>673</v>
      </c>
      <c r="DR123" s="841" t="s">
        <v>353</v>
      </c>
      <c r="DS123" s="841">
        <v>22</v>
      </c>
      <c r="DT123" s="841" t="s">
        <v>353</v>
      </c>
      <c r="DU123" s="841" t="s">
        <v>353</v>
      </c>
      <c r="DV123" s="841">
        <v>450942</v>
      </c>
      <c r="DW123" s="841">
        <v>510000</v>
      </c>
      <c r="DX123" s="841" t="s">
        <v>673</v>
      </c>
      <c r="DY123" s="841" t="s">
        <v>353</v>
      </c>
      <c r="DZ123" s="841" t="s">
        <v>353</v>
      </c>
      <c r="EA123" s="841" t="s">
        <v>353</v>
      </c>
      <c r="EB123" s="841" t="s">
        <v>353</v>
      </c>
      <c r="EC123" s="841" t="s">
        <v>353</v>
      </c>
      <c r="ED123" s="841" t="s">
        <v>353</v>
      </c>
      <c r="EE123" s="841" t="s">
        <v>673</v>
      </c>
      <c r="EF123" s="841" t="s">
        <v>353</v>
      </c>
      <c r="EG123" s="841" t="s">
        <v>353</v>
      </c>
      <c r="EH123" s="841" t="s">
        <v>33</v>
      </c>
      <c r="EI123" s="841">
        <v>59058</v>
      </c>
      <c r="EJ123" s="841" t="s">
        <v>353</v>
      </c>
      <c r="EK123" s="841" t="s">
        <v>1413</v>
      </c>
      <c r="EL123" s="841" t="s">
        <v>1930</v>
      </c>
      <c r="EM123" s="841">
        <v>0</v>
      </c>
      <c r="EN123" s="841" t="s">
        <v>353</v>
      </c>
      <c r="EO123" s="841" t="s">
        <v>353</v>
      </c>
      <c r="EP123" s="841" t="s">
        <v>353</v>
      </c>
      <c r="EQ123" s="841" t="s">
        <v>353</v>
      </c>
      <c r="ER123" s="841" t="s">
        <v>353</v>
      </c>
      <c r="ES123" s="841" t="s">
        <v>33</v>
      </c>
      <c r="ET123" s="841" t="s">
        <v>1414</v>
      </c>
      <c r="EU123" s="841" t="s">
        <v>2141</v>
      </c>
      <c r="EV123" s="841" t="s">
        <v>353</v>
      </c>
      <c r="EW123" s="841" t="s">
        <v>353</v>
      </c>
      <c r="EX123" s="841" t="s">
        <v>33</v>
      </c>
      <c r="EY123" s="842">
        <v>44606.333333333336</v>
      </c>
      <c r="EZ123" s="842">
        <v>44609.333333333336</v>
      </c>
      <c r="FA123" s="841" t="s">
        <v>353</v>
      </c>
      <c r="FB123" s="841" t="s">
        <v>353</v>
      </c>
      <c r="FC123" s="841" t="s">
        <v>353</v>
      </c>
      <c r="FD123" s="841">
        <v>680000</v>
      </c>
      <c r="FE123" s="842">
        <v>44574.495138888888</v>
      </c>
      <c r="FF123" s="841" t="s">
        <v>353</v>
      </c>
      <c r="FG123" s="841" t="s">
        <v>353</v>
      </c>
      <c r="FH123" s="841" t="s">
        <v>353</v>
      </c>
      <c r="FI123" s="841" t="s">
        <v>353</v>
      </c>
      <c r="FJ123" s="841" t="s">
        <v>353</v>
      </c>
      <c r="FK123" s="841" t="s">
        <v>353</v>
      </c>
      <c r="FL123" s="841" t="s">
        <v>353</v>
      </c>
      <c r="FM123" s="841" t="s">
        <v>353</v>
      </c>
      <c r="FN123" s="841" t="s">
        <v>353</v>
      </c>
      <c r="FO123" s="841" t="s">
        <v>2523</v>
      </c>
      <c r="FP123" s="841" t="s">
        <v>2175</v>
      </c>
      <c r="FQ123" s="841" t="s">
        <v>353</v>
      </c>
      <c r="FR123" s="841" t="s">
        <v>353</v>
      </c>
      <c r="FS123" s="841" t="s">
        <v>353</v>
      </c>
      <c r="FT123" s="841" t="s">
        <v>353</v>
      </c>
      <c r="FU123" s="841" t="s">
        <v>1714</v>
      </c>
      <c r="FV123" s="841" t="s">
        <v>353</v>
      </c>
      <c r="FW123" s="841" t="s">
        <v>353</v>
      </c>
      <c r="FX123" s="841" t="s">
        <v>353</v>
      </c>
      <c r="FY123" s="841" t="s">
        <v>353</v>
      </c>
      <c r="FZ123" s="841" t="s">
        <v>353</v>
      </c>
      <c r="GA123" s="841" t="s">
        <v>353</v>
      </c>
      <c r="GB123" s="841">
        <v>1</v>
      </c>
      <c r="GC123" s="841" t="s">
        <v>353</v>
      </c>
      <c r="GD123" s="841" t="s">
        <v>2524</v>
      </c>
      <c r="GE123" s="841" t="s">
        <v>353</v>
      </c>
      <c r="GF123" s="841" t="s">
        <v>353</v>
      </c>
      <c r="GG123" s="841" t="s">
        <v>349</v>
      </c>
      <c r="GH123" s="841">
        <v>306000</v>
      </c>
      <c r="GI123" s="841" t="s">
        <v>353</v>
      </c>
      <c r="GJ123" s="841">
        <v>680000</v>
      </c>
      <c r="GK123" s="841" t="s">
        <v>353</v>
      </c>
      <c r="GL123" s="841" t="s">
        <v>353</v>
      </c>
      <c r="GM123" s="841" t="s">
        <v>353</v>
      </c>
      <c r="GN123" s="841" t="s">
        <v>353</v>
      </c>
      <c r="GO123" s="841" t="s">
        <v>353</v>
      </c>
      <c r="GP123" s="841" t="s">
        <v>353</v>
      </c>
      <c r="GQ123" s="841" t="s">
        <v>353</v>
      </c>
      <c r="GR123" s="842">
        <v>44593.506944444445</v>
      </c>
      <c r="GS123" s="841" t="s">
        <v>2525</v>
      </c>
      <c r="GT123" s="841" t="s">
        <v>353</v>
      </c>
      <c r="GU123" s="841" t="s">
        <v>353</v>
      </c>
      <c r="GV123" s="841" t="s">
        <v>1419</v>
      </c>
      <c r="GW123" s="841" t="s">
        <v>353</v>
      </c>
      <c r="GX123" s="841" t="s">
        <v>353</v>
      </c>
      <c r="GY123" s="841">
        <v>24</v>
      </c>
      <c r="GZ123" s="841" t="s">
        <v>1420</v>
      </c>
      <c r="HA123" s="841" t="s">
        <v>353</v>
      </c>
      <c r="HB123" s="841" t="s">
        <v>353</v>
      </c>
      <c r="HC123" s="841" t="s">
        <v>1421</v>
      </c>
      <c r="HD123" s="841" t="s">
        <v>2526</v>
      </c>
      <c r="HE123" s="841">
        <v>5100</v>
      </c>
      <c r="HF123" s="841" t="s">
        <v>353</v>
      </c>
      <c r="HG123" s="841" t="s">
        <v>353</v>
      </c>
      <c r="HH123" s="841">
        <v>1140</v>
      </c>
      <c r="HI123" s="841" t="s">
        <v>1422</v>
      </c>
      <c r="HJ123" s="841" t="s">
        <v>353</v>
      </c>
      <c r="HK123" s="841">
        <v>510000</v>
      </c>
      <c r="HL123" s="841" t="s">
        <v>49</v>
      </c>
      <c r="HM123" s="841" t="s">
        <v>353</v>
      </c>
      <c r="HN123" s="841" t="s">
        <v>33</v>
      </c>
      <c r="HO123" s="841" t="s">
        <v>353</v>
      </c>
      <c r="HP123" s="841">
        <v>29529</v>
      </c>
      <c r="HQ123" s="841" t="s">
        <v>353</v>
      </c>
      <c r="HR123" s="841" t="s">
        <v>353</v>
      </c>
      <c r="HS123" s="841">
        <v>450942</v>
      </c>
      <c r="HT123" s="841" t="s">
        <v>353</v>
      </c>
      <c r="HU123" s="841" t="s">
        <v>353</v>
      </c>
      <c r="HV123" s="841" t="s">
        <v>353</v>
      </c>
      <c r="HW123" s="841">
        <v>750000</v>
      </c>
      <c r="HX123" s="841" t="s">
        <v>353</v>
      </c>
      <c r="HY123" s="841" t="s">
        <v>353</v>
      </c>
      <c r="HZ123" s="841" t="s">
        <v>353</v>
      </c>
      <c r="IA123" s="841" t="s">
        <v>353</v>
      </c>
      <c r="IB123" s="841" t="s">
        <v>1424</v>
      </c>
      <c r="IC123" s="841" t="s">
        <v>353</v>
      </c>
      <c r="ID123" s="841" t="s">
        <v>353</v>
      </c>
      <c r="IE123" s="841" t="s">
        <v>353</v>
      </c>
      <c r="IF123" s="841" t="s">
        <v>353</v>
      </c>
      <c r="IG123" s="841" t="s">
        <v>353</v>
      </c>
      <c r="IH123" s="841" t="s">
        <v>353</v>
      </c>
      <c r="II123" s="841" t="s">
        <v>353</v>
      </c>
      <c r="IJ123" s="841">
        <v>64</v>
      </c>
      <c r="IK123" s="841" t="s">
        <v>353</v>
      </c>
      <c r="IL123" s="841">
        <v>495729</v>
      </c>
      <c r="IM123" s="841" t="s">
        <v>353</v>
      </c>
      <c r="IN123" s="841" t="s">
        <v>353</v>
      </c>
      <c r="IO123" s="841">
        <v>0</v>
      </c>
      <c r="IP123" s="841">
        <v>5100</v>
      </c>
      <c r="IQ123" s="841" t="s">
        <v>353</v>
      </c>
      <c r="IR123" s="841">
        <v>2</v>
      </c>
      <c r="IS123" s="841" t="s">
        <v>33</v>
      </c>
      <c r="IT123" s="841" t="s">
        <v>353</v>
      </c>
      <c r="IU123" s="841" t="s">
        <v>353</v>
      </c>
      <c r="IV123" s="841" t="s">
        <v>353</v>
      </c>
      <c r="IW123" s="841" t="s">
        <v>353</v>
      </c>
      <c r="IX123" s="841" t="s">
        <v>353</v>
      </c>
      <c r="IY123" s="841" t="s">
        <v>353</v>
      </c>
      <c r="IZ123" s="841" t="s">
        <v>353</v>
      </c>
      <c r="JA123" s="841">
        <v>510000</v>
      </c>
      <c r="JB123" s="841" t="s">
        <v>353</v>
      </c>
      <c r="JC123" s="841" t="s">
        <v>33</v>
      </c>
      <c r="JD123" s="841" t="s">
        <v>1413</v>
      </c>
      <c r="JE123" s="841" t="s">
        <v>33</v>
      </c>
      <c r="JF123" s="841" t="s">
        <v>353</v>
      </c>
      <c r="JG123" s="841" t="s">
        <v>353</v>
      </c>
      <c r="JH123" s="841" t="s">
        <v>2527</v>
      </c>
      <c r="JI123" s="841" t="s">
        <v>2528</v>
      </c>
    </row>
    <row r="124" spans="1:269" x14ac:dyDescent="0.25">
      <c r="A124" s="841" t="s">
        <v>2529</v>
      </c>
      <c r="B124" s="841" t="s">
        <v>353</v>
      </c>
      <c r="C124" s="841" t="s">
        <v>353</v>
      </c>
      <c r="D124" s="841" t="s">
        <v>353</v>
      </c>
      <c r="E124" s="841" t="s">
        <v>353</v>
      </c>
      <c r="F124" s="841" t="s">
        <v>353</v>
      </c>
      <c r="G124" s="841" t="s">
        <v>353</v>
      </c>
      <c r="H124" s="841" t="s">
        <v>353</v>
      </c>
      <c r="I124" s="841" t="s">
        <v>353</v>
      </c>
      <c r="J124" s="841" t="s">
        <v>353</v>
      </c>
      <c r="K124" s="841" t="s">
        <v>353</v>
      </c>
      <c r="L124" s="842">
        <v>44607.536111111112</v>
      </c>
      <c r="M124" s="841" t="s">
        <v>353</v>
      </c>
      <c r="N124" s="841" t="s">
        <v>353</v>
      </c>
      <c r="O124" s="841" t="s">
        <v>353</v>
      </c>
      <c r="P124" s="841" t="s">
        <v>353</v>
      </c>
      <c r="Q124" s="841" t="s">
        <v>353</v>
      </c>
      <c r="R124" s="841" t="s">
        <v>353</v>
      </c>
      <c r="S124" s="841" t="s">
        <v>353</v>
      </c>
      <c r="T124" s="841" t="s">
        <v>1390</v>
      </c>
      <c r="U124" s="841" t="s">
        <v>353</v>
      </c>
      <c r="V124" s="841" t="s">
        <v>353</v>
      </c>
      <c r="W124" s="841" t="s">
        <v>353</v>
      </c>
      <c r="X124" s="841" t="s">
        <v>353</v>
      </c>
      <c r="Y124" s="841" t="s">
        <v>353</v>
      </c>
      <c r="Z124" s="841" t="s">
        <v>353</v>
      </c>
      <c r="AA124" s="841" t="s">
        <v>353</v>
      </c>
      <c r="AB124" s="841" t="s">
        <v>353</v>
      </c>
      <c r="AC124" s="841">
        <v>187500</v>
      </c>
      <c r="AD124" s="841" t="s">
        <v>353</v>
      </c>
      <c r="AE124" s="841" t="s">
        <v>353</v>
      </c>
      <c r="AF124" s="841" t="s">
        <v>353</v>
      </c>
      <c r="AG124" s="841" t="s">
        <v>353</v>
      </c>
      <c r="AH124" s="841" t="s">
        <v>353</v>
      </c>
      <c r="AI124" s="841" t="s">
        <v>1521</v>
      </c>
      <c r="AJ124" s="841" t="s">
        <v>353</v>
      </c>
      <c r="AK124" s="841" t="s">
        <v>353</v>
      </c>
      <c r="AL124" s="841" t="s">
        <v>353</v>
      </c>
      <c r="AM124" s="841" t="s">
        <v>353</v>
      </c>
      <c r="AN124" s="841" t="s">
        <v>353</v>
      </c>
      <c r="AO124" s="841" t="s">
        <v>353</v>
      </c>
      <c r="AP124" s="841" t="s">
        <v>353</v>
      </c>
      <c r="AQ124" s="841" t="s">
        <v>353</v>
      </c>
      <c r="AR124" s="841" t="s">
        <v>353</v>
      </c>
      <c r="AS124" s="841" t="s">
        <v>353</v>
      </c>
      <c r="AT124" s="841" t="s">
        <v>353</v>
      </c>
      <c r="AU124" s="841" t="s">
        <v>353</v>
      </c>
      <c r="AV124" s="841" t="s">
        <v>353</v>
      </c>
      <c r="AW124" s="841" t="s">
        <v>353</v>
      </c>
      <c r="AX124" s="841" t="s">
        <v>353</v>
      </c>
      <c r="AY124" s="841" t="s">
        <v>353</v>
      </c>
      <c r="AZ124" s="841" t="s">
        <v>353</v>
      </c>
      <c r="BA124" s="841" t="s">
        <v>353</v>
      </c>
      <c r="BB124" s="841" t="s">
        <v>353</v>
      </c>
      <c r="BC124" s="841" t="s">
        <v>353</v>
      </c>
      <c r="BD124" s="841" t="s">
        <v>353</v>
      </c>
      <c r="BE124" s="841" t="s">
        <v>353</v>
      </c>
      <c r="BF124" s="841" t="s">
        <v>353</v>
      </c>
      <c r="BG124" s="841" t="s">
        <v>353</v>
      </c>
      <c r="BH124" s="841" t="s">
        <v>353</v>
      </c>
      <c r="BI124" s="841" t="s">
        <v>353</v>
      </c>
      <c r="BJ124" s="841" t="s">
        <v>353</v>
      </c>
      <c r="BK124" s="841" t="s">
        <v>353</v>
      </c>
      <c r="BL124" s="841" t="s">
        <v>2273</v>
      </c>
      <c r="BM124" s="842">
        <v>44592.477777777778</v>
      </c>
      <c r="BN124" s="841" t="s">
        <v>353</v>
      </c>
      <c r="BO124" s="841" t="s">
        <v>353</v>
      </c>
      <c r="BP124" s="841" t="s">
        <v>353</v>
      </c>
      <c r="BQ124" s="841" t="s">
        <v>353</v>
      </c>
      <c r="BR124" s="841" t="s">
        <v>353</v>
      </c>
      <c r="BS124" s="841" t="s">
        <v>353</v>
      </c>
      <c r="BT124" s="841">
        <v>1950000</v>
      </c>
      <c r="BU124" s="841" t="s">
        <v>353</v>
      </c>
      <c r="BV124" s="841" t="s">
        <v>353</v>
      </c>
      <c r="BW124" s="841" t="s">
        <v>353</v>
      </c>
      <c r="BX124" s="841" t="s">
        <v>2530</v>
      </c>
      <c r="BY124" s="841" t="s">
        <v>353</v>
      </c>
      <c r="BZ124" s="841" t="s">
        <v>353</v>
      </c>
      <c r="CA124" s="841" t="s">
        <v>353</v>
      </c>
      <c r="CB124" s="841" t="s">
        <v>353</v>
      </c>
      <c r="CC124" s="841" t="s">
        <v>353</v>
      </c>
      <c r="CD124" s="841" t="s">
        <v>353</v>
      </c>
      <c r="CE124" s="841" t="s">
        <v>353</v>
      </c>
      <c r="CF124" s="841" t="s">
        <v>353</v>
      </c>
      <c r="CG124" s="841" t="s">
        <v>353</v>
      </c>
      <c r="CH124" s="841" t="s">
        <v>353</v>
      </c>
      <c r="CI124" s="841" t="s">
        <v>353</v>
      </c>
      <c r="CJ124" s="841" t="s">
        <v>353</v>
      </c>
      <c r="CK124" s="841">
        <v>3</v>
      </c>
      <c r="CL124" s="841" t="s">
        <v>353</v>
      </c>
      <c r="CM124" s="841">
        <v>4</v>
      </c>
      <c r="CN124" s="841" t="s">
        <v>353</v>
      </c>
      <c r="CO124" s="841" t="s">
        <v>353</v>
      </c>
      <c r="CP124" s="841" t="s">
        <v>2531</v>
      </c>
      <c r="CQ124" s="841" t="s">
        <v>353</v>
      </c>
      <c r="CR124" s="841" t="s">
        <v>353</v>
      </c>
      <c r="CS124" s="841" t="s">
        <v>353</v>
      </c>
      <c r="CT124" s="841" t="s">
        <v>353</v>
      </c>
      <c r="CU124" s="841" t="s">
        <v>1391</v>
      </c>
      <c r="CV124" s="841" t="s">
        <v>353</v>
      </c>
      <c r="CW124" s="841" t="s">
        <v>353</v>
      </c>
      <c r="CX124" s="841" t="s">
        <v>353</v>
      </c>
      <c r="CY124" s="841" t="s">
        <v>353</v>
      </c>
      <c r="CZ124" s="841" t="s">
        <v>353</v>
      </c>
      <c r="DA124" s="841" t="s">
        <v>353</v>
      </c>
      <c r="DB124" s="841" t="s">
        <v>353</v>
      </c>
      <c r="DC124" s="841" t="s">
        <v>353</v>
      </c>
      <c r="DD124" s="841" t="s">
        <v>353</v>
      </c>
      <c r="DE124" s="841" t="s">
        <v>353</v>
      </c>
      <c r="DF124" s="841" t="s">
        <v>353</v>
      </c>
      <c r="DG124" s="841" t="s">
        <v>353</v>
      </c>
      <c r="DH124" s="841" t="s">
        <v>353</v>
      </c>
      <c r="DI124" s="841" t="s">
        <v>353</v>
      </c>
      <c r="DJ124" s="841" t="s">
        <v>2532</v>
      </c>
      <c r="DK124" s="841" t="s">
        <v>353</v>
      </c>
      <c r="DL124" s="842">
        <v>44574.477777777778</v>
      </c>
      <c r="DM124" s="841" t="s">
        <v>353</v>
      </c>
      <c r="DN124" s="841" t="s">
        <v>353</v>
      </c>
      <c r="DO124" s="841" t="s">
        <v>673</v>
      </c>
      <c r="DP124" s="841" t="s">
        <v>353</v>
      </c>
      <c r="DQ124" s="841" t="s">
        <v>1392</v>
      </c>
      <c r="DR124" s="841">
        <v>2500000</v>
      </c>
      <c r="DS124" s="841" t="s">
        <v>353</v>
      </c>
      <c r="DT124" s="841" t="s">
        <v>353</v>
      </c>
      <c r="DU124" s="841" t="s">
        <v>353</v>
      </c>
      <c r="DV124" s="841" t="s">
        <v>353</v>
      </c>
      <c r="DW124" s="841">
        <v>1875000</v>
      </c>
      <c r="DX124" s="841" t="s">
        <v>353</v>
      </c>
      <c r="DY124" s="841" t="s">
        <v>353</v>
      </c>
      <c r="DZ124" s="841" t="s">
        <v>353</v>
      </c>
      <c r="EA124" s="841" t="s">
        <v>353</v>
      </c>
      <c r="EB124" s="841" t="s">
        <v>353</v>
      </c>
      <c r="EC124" s="841" t="s">
        <v>353</v>
      </c>
      <c r="ED124" s="841" t="s">
        <v>353</v>
      </c>
      <c r="EE124" s="841" t="s">
        <v>353</v>
      </c>
      <c r="EF124" s="841" t="s">
        <v>353</v>
      </c>
      <c r="EG124" s="841" t="s">
        <v>353</v>
      </c>
      <c r="EH124" s="841" t="s">
        <v>353</v>
      </c>
      <c r="EI124" s="841" t="s">
        <v>353</v>
      </c>
      <c r="EJ124" s="841" t="s">
        <v>353</v>
      </c>
      <c r="EK124" s="841" t="s">
        <v>353</v>
      </c>
      <c r="EL124" s="841" t="s">
        <v>353</v>
      </c>
      <c r="EM124" s="841" t="s">
        <v>353</v>
      </c>
      <c r="EN124" s="841" t="s">
        <v>353</v>
      </c>
      <c r="EO124" s="841" t="s">
        <v>353</v>
      </c>
      <c r="EP124" s="841" t="s">
        <v>353</v>
      </c>
      <c r="EQ124" s="841" t="s">
        <v>353</v>
      </c>
      <c r="ER124" s="841" t="s">
        <v>353</v>
      </c>
      <c r="ES124" s="841" t="s">
        <v>353</v>
      </c>
      <c r="ET124" s="841" t="s">
        <v>1393</v>
      </c>
      <c r="EU124" s="841" t="s">
        <v>353</v>
      </c>
      <c r="EV124" s="841" t="s">
        <v>353</v>
      </c>
      <c r="EW124" s="841" t="s">
        <v>353</v>
      </c>
      <c r="EX124" s="841" t="s">
        <v>353</v>
      </c>
      <c r="EY124" s="842">
        <v>44607.535416666666</v>
      </c>
      <c r="EZ124" s="841" t="s">
        <v>353</v>
      </c>
      <c r="FA124" s="841" t="s">
        <v>353</v>
      </c>
      <c r="FB124" s="841" t="s">
        <v>353</v>
      </c>
      <c r="FC124" s="841" t="s">
        <v>353</v>
      </c>
      <c r="FD124" s="841" t="s">
        <v>353</v>
      </c>
      <c r="FE124" s="842">
        <v>44600.542361111111</v>
      </c>
      <c r="FF124" s="841" t="s">
        <v>353</v>
      </c>
      <c r="FG124" s="841" t="s">
        <v>353</v>
      </c>
      <c r="FH124" s="841" t="s">
        <v>353</v>
      </c>
      <c r="FI124" s="841" t="s">
        <v>353</v>
      </c>
      <c r="FJ124" s="841" t="s">
        <v>353</v>
      </c>
      <c r="FK124" s="841" t="s">
        <v>353</v>
      </c>
      <c r="FL124" s="841" t="s">
        <v>353</v>
      </c>
      <c r="FM124" s="841" t="s">
        <v>353</v>
      </c>
      <c r="FN124" s="841" t="s">
        <v>353</v>
      </c>
      <c r="FO124" s="841" t="s">
        <v>353</v>
      </c>
      <c r="FP124" s="841" t="s">
        <v>353</v>
      </c>
      <c r="FQ124" s="841" t="s">
        <v>353</v>
      </c>
      <c r="FR124" s="841" t="s">
        <v>353</v>
      </c>
      <c r="FS124" s="841" t="s">
        <v>353</v>
      </c>
      <c r="FT124" s="841" t="s">
        <v>353</v>
      </c>
      <c r="FU124" s="841" t="s">
        <v>1394</v>
      </c>
      <c r="FV124" s="841" t="s">
        <v>353</v>
      </c>
      <c r="FW124" s="841" t="s">
        <v>353</v>
      </c>
      <c r="FX124" s="841" t="s">
        <v>353</v>
      </c>
      <c r="FY124" s="841" t="s">
        <v>353</v>
      </c>
      <c r="FZ124" s="841" t="s">
        <v>353</v>
      </c>
      <c r="GA124" s="841" t="s">
        <v>353</v>
      </c>
      <c r="GB124" s="841">
        <v>1</v>
      </c>
      <c r="GC124" s="841" t="s">
        <v>353</v>
      </c>
      <c r="GD124" s="841" t="s">
        <v>1395</v>
      </c>
      <c r="GE124" s="841" t="s">
        <v>353</v>
      </c>
      <c r="GF124" s="841" t="s">
        <v>353</v>
      </c>
      <c r="GG124" s="841" t="s">
        <v>353</v>
      </c>
      <c r="GH124" s="841">
        <v>187500</v>
      </c>
      <c r="GI124" s="841" t="s">
        <v>353</v>
      </c>
      <c r="GJ124" s="841" t="s">
        <v>353</v>
      </c>
      <c r="GK124" s="841" t="s">
        <v>353</v>
      </c>
      <c r="GL124" s="841" t="s">
        <v>2011</v>
      </c>
      <c r="GM124" s="841" t="s">
        <v>353</v>
      </c>
      <c r="GN124" s="841" t="s">
        <v>353</v>
      </c>
      <c r="GO124" s="841" t="s">
        <v>353</v>
      </c>
      <c r="GP124" s="841" t="s">
        <v>353</v>
      </c>
      <c r="GQ124" s="841" t="s">
        <v>353</v>
      </c>
      <c r="GR124" s="842">
        <v>44607.535416666666</v>
      </c>
      <c r="GS124" s="841" t="s">
        <v>353</v>
      </c>
      <c r="GT124" s="841" t="s">
        <v>353</v>
      </c>
      <c r="GU124" s="841" t="s">
        <v>353</v>
      </c>
      <c r="GV124" s="841" t="s">
        <v>1076</v>
      </c>
      <c r="GW124" s="841" t="s">
        <v>353</v>
      </c>
      <c r="GX124" s="841" t="s">
        <v>353</v>
      </c>
      <c r="GY124" s="841">
        <v>36</v>
      </c>
      <c r="GZ124" s="841" t="s">
        <v>353</v>
      </c>
      <c r="HA124" s="841" t="s">
        <v>353</v>
      </c>
      <c r="HB124" s="841" t="s">
        <v>353</v>
      </c>
      <c r="HC124" s="841" t="s">
        <v>353</v>
      </c>
      <c r="HD124" s="841" t="s">
        <v>2533</v>
      </c>
      <c r="HE124" s="841" t="s">
        <v>353</v>
      </c>
      <c r="HF124" s="841" t="s">
        <v>353</v>
      </c>
      <c r="HG124" s="841" t="s">
        <v>353</v>
      </c>
      <c r="HH124" s="841" t="s">
        <v>353</v>
      </c>
      <c r="HI124" s="841" t="s">
        <v>1422</v>
      </c>
      <c r="HJ124" s="841" t="s">
        <v>353</v>
      </c>
      <c r="HK124" s="841">
        <v>1875000</v>
      </c>
      <c r="HL124" s="841" t="s">
        <v>353</v>
      </c>
      <c r="HM124" s="841" t="s">
        <v>353</v>
      </c>
      <c r="HN124" s="841" t="s">
        <v>353</v>
      </c>
      <c r="HO124" s="841" t="s">
        <v>353</v>
      </c>
      <c r="HP124" s="841" t="s">
        <v>353</v>
      </c>
      <c r="HQ124" s="841" t="s">
        <v>353</v>
      </c>
      <c r="HR124" s="841" t="s">
        <v>353</v>
      </c>
      <c r="HS124" s="841" t="s">
        <v>353</v>
      </c>
      <c r="HT124" s="841" t="s">
        <v>353</v>
      </c>
      <c r="HU124" s="841" t="s">
        <v>353</v>
      </c>
      <c r="HV124" s="841" t="s">
        <v>353</v>
      </c>
      <c r="HW124" s="841">
        <v>2500000</v>
      </c>
      <c r="HX124" s="841" t="s">
        <v>353</v>
      </c>
      <c r="HY124" s="841" t="s">
        <v>353</v>
      </c>
      <c r="HZ124" s="841" t="s">
        <v>353</v>
      </c>
      <c r="IA124" s="841" t="s">
        <v>353</v>
      </c>
      <c r="IB124" s="841" t="s">
        <v>1424</v>
      </c>
      <c r="IC124" s="841" t="s">
        <v>353</v>
      </c>
      <c r="ID124" s="841" t="s">
        <v>353</v>
      </c>
      <c r="IE124" s="841" t="s">
        <v>353</v>
      </c>
      <c r="IF124" s="841" t="s">
        <v>353</v>
      </c>
      <c r="IG124" s="841" t="s">
        <v>353</v>
      </c>
      <c r="IH124" s="841" t="s">
        <v>353</v>
      </c>
      <c r="II124" s="841" t="s">
        <v>353</v>
      </c>
      <c r="IJ124" s="841" t="s">
        <v>353</v>
      </c>
      <c r="IK124" s="841" t="s">
        <v>353</v>
      </c>
      <c r="IL124" s="841" t="s">
        <v>353</v>
      </c>
      <c r="IM124" s="841" t="s">
        <v>353</v>
      </c>
      <c r="IN124" s="841" t="s">
        <v>353</v>
      </c>
      <c r="IO124" s="841" t="s">
        <v>353</v>
      </c>
      <c r="IP124" s="841" t="s">
        <v>353</v>
      </c>
      <c r="IQ124" s="841" t="s">
        <v>353</v>
      </c>
      <c r="IR124" s="841" t="s">
        <v>353</v>
      </c>
      <c r="IS124" s="841" t="s">
        <v>353</v>
      </c>
      <c r="IT124" s="841" t="s">
        <v>353</v>
      </c>
      <c r="IU124" s="841" t="s">
        <v>353</v>
      </c>
      <c r="IV124" s="841" t="s">
        <v>353</v>
      </c>
      <c r="IW124" s="841" t="s">
        <v>353</v>
      </c>
      <c r="IX124" s="841" t="s">
        <v>353</v>
      </c>
      <c r="IY124" s="841" t="s">
        <v>353</v>
      </c>
      <c r="IZ124" s="841" t="s">
        <v>353</v>
      </c>
      <c r="JA124" s="841">
        <v>1875000</v>
      </c>
      <c r="JB124" s="841" t="s">
        <v>353</v>
      </c>
      <c r="JC124" s="841" t="s">
        <v>353</v>
      </c>
      <c r="JD124" s="841" t="s">
        <v>353</v>
      </c>
      <c r="JE124" s="841" t="s">
        <v>353</v>
      </c>
      <c r="JF124" s="841" t="s">
        <v>1836</v>
      </c>
      <c r="JG124" s="841" t="s">
        <v>1837</v>
      </c>
      <c r="JH124" s="841" t="s">
        <v>2278</v>
      </c>
      <c r="JI124" s="841" t="s">
        <v>2279</v>
      </c>
    </row>
    <row r="125" spans="1:269" x14ac:dyDescent="0.25">
      <c r="A125" s="841" t="s">
        <v>2534</v>
      </c>
      <c r="B125" s="841" t="s">
        <v>353</v>
      </c>
      <c r="C125" s="841" t="s">
        <v>353</v>
      </c>
      <c r="D125" s="841" t="s">
        <v>353</v>
      </c>
      <c r="E125" s="841" t="s">
        <v>353</v>
      </c>
      <c r="F125" s="841" t="s">
        <v>353</v>
      </c>
      <c r="G125" s="841" t="s">
        <v>1614</v>
      </c>
      <c r="H125" s="841" t="s">
        <v>353</v>
      </c>
      <c r="I125" s="841" t="s">
        <v>353</v>
      </c>
      <c r="J125" s="841" t="s">
        <v>353</v>
      </c>
      <c r="K125" s="841" t="s">
        <v>353</v>
      </c>
      <c r="L125" s="842">
        <v>44607.500694444447</v>
      </c>
      <c r="M125" s="841" t="s">
        <v>353</v>
      </c>
      <c r="N125" s="841" t="s">
        <v>353</v>
      </c>
      <c r="O125" s="841" t="s">
        <v>353</v>
      </c>
      <c r="P125" s="841" t="s">
        <v>353</v>
      </c>
      <c r="Q125" s="841" t="s">
        <v>353</v>
      </c>
      <c r="R125" s="841" t="s">
        <v>353</v>
      </c>
      <c r="S125" s="841" t="s">
        <v>67</v>
      </c>
      <c r="T125" s="841" t="s">
        <v>1390</v>
      </c>
      <c r="U125" s="841" t="s">
        <v>353</v>
      </c>
      <c r="V125" s="841" t="s">
        <v>353</v>
      </c>
      <c r="W125" s="841" t="s">
        <v>1716</v>
      </c>
      <c r="X125" s="841" t="s">
        <v>1405</v>
      </c>
      <c r="Y125" s="841" t="s">
        <v>353</v>
      </c>
      <c r="Z125" s="841" t="s">
        <v>353</v>
      </c>
      <c r="AA125" s="841" t="s">
        <v>353</v>
      </c>
      <c r="AB125" s="841" t="s">
        <v>353</v>
      </c>
      <c r="AC125" s="841">
        <v>198600</v>
      </c>
      <c r="AD125" s="841" t="s">
        <v>353</v>
      </c>
      <c r="AE125" s="841" t="s">
        <v>353</v>
      </c>
      <c r="AF125" s="841" t="s">
        <v>353</v>
      </c>
      <c r="AG125" s="841" t="s">
        <v>353</v>
      </c>
      <c r="AH125" s="841">
        <v>5000</v>
      </c>
      <c r="AI125" s="841" t="s">
        <v>1521</v>
      </c>
      <c r="AJ125" s="841" t="s">
        <v>353</v>
      </c>
      <c r="AK125" s="841">
        <v>75</v>
      </c>
      <c r="AL125" s="841" t="s">
        <v>353</v>
      </c>
      <c r="AM125" s="841" t="s">
        <v>353</v>
      </c>
      <c r="AN125" s="841" t="s">
        <v>353</v>
      </c>
      <c r="AO125" s="841" t="s">
        <v>353</v>
      </c>
      <c r="AP125" s="841" t="s">
        <v>353</v>
      </c>
      <c r="AQ125" s="841" t="s">
        <v>353</v>
      </c>
      <c r="AR125" s="841" t="s">
        <v>353</v>
      </c>
      <c r="AS125" s="841" t="s">
        <v>353</v>
      </c>
      <c r="AT125" s="841" t="s">
        <v>353</v>
      </c>
      <c r="AU125" s="841" t="s">
        <v>353</v>
      </c>
      <c r="AV125" s="841" t="s">
        <v>353</v>
      </c>
      <c r="AW125" s="841" t="s">
        <v>353</v>
      </c>
      <c r="AX125" s="841" t="s">
        <v>353</v>
      </c>
      <c r="AY125" s="841" t="s">
        <v>353</v>
      </c>
      <c r="AZ125" s="841" t="s">
        <v>353</v>
      </c>
      <c r="BA125" s="841" t="s">
        <v>353</v>
      </c>
      <c r="BB125" s="841" t="s">
        <v>353</v>
      </c>
      <c r="BC125" s="841">
        <v>973140</v>
      </c>
      <c r="BD125" s="841" t="s">
        <v>353</v>
      </c>
      <c r="BE125" s="841" t="s">
        <v>353</v>
      </c>
      <c r="BF125" s="841" t="s">
        <v>353</v>
      </c>
      <c r="BG125" s="841" t="s">
        <v>353</v>
      </c>
      <c r="BH125" s="841" t="s">
        <v>353</v>
      </c>
      <c r="BI125" s="841" t="s">
        <v>353</v>
      </c>
      <c r="BJ125" s="841" t="s">
        <v>353</v>
      </c>
      <c r="BK125" s="841" t="s">
        <v>353</v>
      </c>
      <c r="BL125" s="841" t="s">
        <v>2535</v>
      </c>
      <c r="BM125" s="842">
        <v>44592.438888888886</v>
      </c>
      <c r="BN125" s="841" t="s">
        <v>353</v>
      </c>
      <c r="BO125" s="841" t="s">
        <v>353</v>
      </c>
      <c r="BP125" s="841" t="s">
        <v>353</v>
      </c>
      <c r="BQ125" s="841" t="s">
        <v>353</v>
      </c>
      <c r="BR125" s="841" t="s">
        <v>353</v>
      </c>
      <c r="BS125" s="841" t="s">
        <v>353</v>
      </c>
      <c r="BT125" s="841">
        <v>993000</v>
      </c>
      <c r="BU125" s="841" t="s">
        <v>353</v>
      </c>
      <c r="BV125" s="841" t="s">
        <v>2536</v>
      </c>
      <c r="BW125" s="841" t="s">
        <v>1578</v>
      </c>
      <c r="BX125" s="841" t="s">
        <v>2537</v>
      </c>
      <c r="BY125" s="841" t="s">
        <v>353</v>
      </c>
      <c r="BZ125" s="841" t="s">
        <v>353</v>
      </c>
      <c r="CA125" s="841" t="s">
        <v>353</v>
      </c>
      <c r="CB125" s="841" t="s">
        <v>353</v>
      </c>
      <c r="CC125" s="841" t="s">
        <v>353</v>
      </c>
      <c r="CD125" s="841" t="s">
        <v>353</v>
      </c>
      <c r="CE125" s="841" t="s">
        <v>353</v>
      </c>
      <c r="CF125" s="841" t="s">
        <v>353</v>
      </c>
      <c r="CG125" s="841" t="s">
        <v>353</v>
      </c>
      <c r="CH125" s="841" t="s">
        <v>353</v>
      </c>
      <c r="CI125" s="841" t="s">
        <v>353</v>
      </c>
      <c r="CJ125" s="841" t="s">
        <v>353</v>
      </c>
      <c r="CK125" s="841">
        <v>1</v>
      </c>
      <c r="CL125" s="841" t="s">
        <v>353</v>
      </c>
      <c r="CM125" s="841">
        <v>2</v>
      </c>
      <c r="CN125" s="841" t="s">
        <v>353</v>
      </c>
      <c r="CO125" s="841" t="s">
        <v>353</v>
      </c>
      <c r="CP125" s="841" t="s">
        <v>2538</v>
      </c>
      <c r="CQ125" s="841" t="s">
        <v>353</v>
      </c>
      <c r="CR125" s="841" t="s">
        <v>353</v>
      </c>
      <c r="CS125" s="841" t="s">
        <v>1405</v>
      </c>
      <c r="CT125" s="841" t="s">
        <v>353</v>
      </c>
      <c r="CU125" s="841" t="s">
        <v>1391</v>
      </c>
      <c r="CV125" s="841" t="s">
        <v>353</v>
      </c>
      <c r="CW125" s="841" t="s">
        <v>353</v>
      </c>
      <c r="CX125" s="841" t="s">
        <v>353</v>
      </c>
      <c r="CY125" s="841" t="s">
        <v>353</v>
      </c>
      <c r="CZ125" s="841">
        <v>10</v>
      </c>
      <c r="DA125" s="841" t="s">
        <v>353</v>
      </c>
      <c r="DB125" s="841" t="s">
        <v>353</v>
      </c>
      <c r="DC125" s="841" t="s">
        <v>353</v>
      </c>
      <c r="DD125" s="841" t="s">
        <v>353</v>
      </c>
      <c r="DE125" s="841" t="s">
        <v>353</v>
      </c>
      <c r="DF125" s="841">
        <v>24</v>
      </c>
      <c r="DG125" s="841" t="s">
        <v>353</v>
      </c>
      <c r="DH125" s="841" t="s">
        <v>353</v>
      </c>
      <c r="DI125" s="841" t="s">
        <v>353</v>
      </c>
      <c r="DJ125" s="841" t="s">
        <v>2539</v>
      </c>
      <c r="DK125" s="841" t="s">
        <v>353</v>
      </c>
      <c r="DL125" s="842">
        <v>44574.438888888886</v>
      </c>
      <c r="DM125" s="841" t="s">
        <v>353</v>
      </c>
      <c r="DN125" s="841" t="s">
        <v>353</v>
      </c>
      <c r="DO125" s="841" t="s">
        <v>673</v>
      </c>
      <c r="DP125" s="841" t="s">
        <v>1481</v>
      </c>
      <c r="DQ125" s="841" t="s">
        <v>1482</v>
      </c>
      <c r="DR125" s="841">
        <v>1325000</v>
      </c>
      <c r="DS125" s="841">
        <v>24</v>
      </c>
      <c r="DT125" s="841" t="s">
        <v>353</v>
      </c>
      <c r="DU125" s="841" t="s">
        <v>353</v>
      </c>
      <c r="DV125" s="841">
        <v>973140</v>
      </c>
      <c r="DW125" s="841">
        <v>993000</v>
      </c>
      <c r="DX125" s="841" t="s">
        <v>353</v>
      </c>
      <c r="DY125" s="841" t="s">
        <v>353</v>
      </c>
      <c r="DZ125" s="841" t="s">
        <v>353</v>
      </c>
      <c r="EA125" s="841" t="s">
        <v>353</v>
      </c>
      <c r="EB125" s="841" t="s">
        <v>353</v>
      </c>
      <c r="EC125" s="841" t="s">
        <v>353</v>
      </c>
      <c r="ED125" s="841" t="s">
        <v>353</v>
      </c>
      <c r="EE125" s="841" t="s">
        <v>353</v>
      </c>
      <c r="EF125" s="841" t="s">
        <v>353</v>
      </c>
      <c r="EG125" s="841" t="s">
        <v>353</v>
      </c>
      <c r="EH125" s="841" t="s">
        <v>353</v>
      </c>
      <c r="EI125" s="841">
        <v>0</v>
      </c>
      <c r="EJ125" s="841" t="s">
        <v>353</v>
      </c>
      <c r="EK125" s="841" t="s">
        <v>353</v>
      </c>
      <c r="EL125" s="841" t="s">
        <v>1435</v>
      </c>
      <c r="EM125" s="841">
        <v>19860</v>
      </c>
      <c r="EN125" s="841" t="s">
        <v>353</v>
      </c>
      <c r="EO125" s="841" t="s">
        <v>353</v>
      </c>
      <c r="EP125" s="841" t="s">
        <v>353</v>
      </c>
      <c r="EQ125" s="841" t="s">
        <v>353</v>
      </c>
      <c r="ER125" s="841" t="s">
        <v>353</v>
      </c>
      <c r="ES125" s="841" t="s">
        <v>353</v>
      </c>
      <c r="ET125" s="841" t="s">
        <v>1483</v>
      </c>
      <c r="EU125" s="841" t="s">
        <v>353</v>
      </c>
      <c r="EV125" s="841" t="s">
        <v>353</v>
      </c>
      <c r="EW125" s="841" t="s">
        <v>353</v>
      </c>
      <c r="EX125" s="841" t="s">
        <v>353</v>
      </c>
      <c r="EY125" s="842">
        <v>44607.500694444447</v>
      </c>
      <c r="EZ125" s="841" t="s">
        <v>353</v>
      </c>
      <c r="FA125" s="841" t="s">
        <v>353</v>
      </c>
      <c r="FB125" s="841" t="s">
        <v>353</v>
      </c>
      <c r="FC125" s="841" t="s">
        <v>353</v>
      </c>
      <c r="FD125" s="841" t="s">
        <v>353</v>
      </c>
      <c r="FE125" s="842">
        <v>44601.729861111111</v>
      </c>
      <c r="FF125" s="841" t="s">
        <v>353</v>
      </c>
      <c r="FG125" s="841" t="s">
        <v>2540</v>
      </c>
      <c r="FH125" s="841" t="s">
        <v>353</v>
      </c>
      <c r="FI125" s="841" t="s">
        <v>353</v>
      </c>
      <c r="FJ125" s="841" t="s">
        <v>353</v>
      </c>
      <c r="FK125" s="841" t="s">
        <v>353</v>
      </c>
      <c r="FL125" s="841" t="s">
        <v>353</v>
      </c>
      <c r="FM125" s="841" t="s">
        <v>353</v>
      </c>
      <c r="FN125" s="841" t="s">
        <v>353</v>
      </c>
      <c r="FO125" s="841" t="s">
        <v>1729</v>
      </c>
      <c r="FP125" s="841" t="s">
        <v>353</v>
      </c>
      <c r="FQ125" s="841" t="s">
        <v>353</v>
      </c>
      <c r="FR125" s="841" t="s">
        <v>353</v>
      </c>
      <c r="FS125" s="841" t="s">
        <v>353</v>
      </c>
      <c r="FT125" s="841" t="s">
        <v>353</v>
      </c>
      <c r="FU125" s="841" t="s">
        <v>1416</v>
      </c>
      <c r="FV125" s="841" t="s">
        <v>353</v>
      </c>
      <c r="FW125" s="841" t="s">
        <v>353</v>
      </c>
      <c r="FX125" s="841" t="s">
        <v>353</v>
      </c>
      <c r="FY125" s="841" t="s">
        <v>353</v>
      </c>
      <c r="FZ125" s="841" t="s">
        <v>353</v>
      </c>
      <c r="GA125" s="841" t="s">
        <v>353</v>
      </c>
      <c r="GB125" s="841">
        <v>1</v>
      </c>
      <c r="GC125" s="841" t="s">
        <v>353</v>
      </c>
      <c r="GD125" s="841" t="s">
        <v>1417</v>
      </c>
      <c r="GE125" s="841" t="s">
        <v>353</v>
      </c>
      <c r="GF125" s="841" t="s">
        <v>353</v>
      </c>
      <c r="GG125" s="841" t="s">
        <v>353</v>
      </c>
      <c r="GH125" s="841">
        <v>198600</v>
      </c>
      <c r="GI125" s="841" t="s">
        <v>353</v>
      </c>
      <c r="GJ125" s="841" t="s">
        <v>353</v>
      </c>
      <c r="GK125" s="841" t="s">
        <v>353</v>
      </c>
      <c r="GL125" s="841" t="s">
        <v>1813</v>
      </c>
      <c r="GM125" s="841" t="s">
        <v>353</v>
      </c>
      <c r="GN125" s="841" t="s">
        <v>353</v>
      </c>
      <c r="GO125" s="841" t="s">
        <v>353</v>
      </c>
      <c r="GP125" s="841" t="s">
        <v>353</v>
      </c>
      <c r="GQ125" s="841" t="s">
        <v>353</v>
      </c>
      <c r="GR125" s="842">
        <v>44602.390972222223</v>
      </c>
      <c r="GS125" s="841" t="s">
        <v>2541</v>
      </c>
      <c r="GT125" s="841" t="s">
        <v>353</v>
      </c>
      <c r="GU125" s="841" t="s">
        <v>353</v>
      </c>
      <c r="GV125" s="841" t="s">
        <v>1076</v>
      </c>
      <c r="GW125" s="841" t="s">
        <v>353</v>
      </c>
      <c r="GX125" s="841" t="s">
        <v>353</v>
      </c>
      <c r="GY125" s="841">
        <v>24</v>
      </c>
      <c r="GZ125" s="841" t="s">
        <v>1716</v>
      </c>
      <c r="HA125" s="841" t="s">
        <v>353</v>
      </c>
      <c r="HB125" s="841" t="s">
        <v>353</v>
      </c>
      <c r="HC125" s="841" t="s">
        <v>1421</v>
      </c>
      <c r="HD125" s="841" t="s">
        <v>2542</v>
      </c>
      <c r="HE125" s="841" t="s">
        <v>353</v>
      </c>
      <c r="HF125" s="841" t="s">
        <v>353</v>
      </c>
      <c r="HG125" s="841" t="s">
        <v>353</v>
      </c>
      <c r="HH125" s="841" t="s">
        <v>353</v>
      </c>
      <c r="HI125" s="841" t="s">
        <v>1422</v>
      </c>
      <c r="HJ125" s="841" t="s">
        <v>2543</v>
      </c>
      <c r="HK125" s="841">
        <v>993000</v>
      </c>
      <c r="HL125" s="841" t="s">
        <v>353</v>
      </c>
      <c r="HM125" s="841" t="s">
        <v>1530</v>
      </c>
      <c r="HN125" s="841" t="s">
        <v>353</v>
      </c>
      <c r="HO125" s="841" t="s">
        <v>353</v>
      </c>
      <c r="HP125" s="841">
        <v>57494.7</v>
      </c>
      <c r="HQ125" s="841" t="s">
        <v>353</v>
      </c>
      <c r="HR125" s="841" t="s">
        <v>353</v>
      </c>
      <c r="HS125" s="841">
        <v>993000</v>
      </c>
      <c r="HT125" s="841" t="s">
        <v>353</v>
      </c>
      <c r="HU125" s="841" t="s">
        <v>353</v>
      </c>
      <c r="HV125" s="841" t="s">
        <v>353</v>
      </c>
      <c r="HW125" s="841">
        <v>1325000</v>
      </c>
      <c r="HX125" s="841" t="s">
        <v>353</v>
      </c>
      <c r="HY125" s="841" t="s">
        <v>353</v>
      </c>
      <c r="HZ125" s="841" t="s">
        <v>353</v>
      </c>
      <c r="IA125" s="841" t="s">
        <v>353</v>
      </c>
      <c r="IB125" s="841" t="s">
        <v>1673</v>
      </c>
      <c r="IC125" s="841" t="s">
        <v>353</v>
      </c>
      <c r="ID125" s="841" t="s">
        <v>353</v>
      </c>
      <c r="IE125" s="841" t="s">
        <v>353</v>
      </c>
      <c r="IF125" s="841" t="s">
        <v>353</v>
      </c>
      <c r="IG125" s="841" t="s">
        <v>353</v>
      </c>
      <c r="IH125" s="841" t="s">
        <v>353</v>
      </c>
      <c r="II125" s="841" t="s">
        <v>353</v>
      </c>
      <c r="IJ125" s="841" t="s">
        <v>353</v>
      </c>
      <c r="IK125" s="841" t="s">
        <v>353</v>
      </c>
      <c r="IL125" s="841">
        <v>993000</v>
      </c>
      <c r="IM125" s="841" t="s">
        <v>353</v>
      </c>
      <c r="IN125" s="841" t="s">
        <v>353</v>
      </c>
      <c r="IO125" s="841" t="s">
        <v>353</v>
      </c>
      <c r="IP125" s="841" t="s">
        <v>353</v>
      </c>
      <c r="IQ125" s="841" t="s">
        <v>353</v>
      </c>
      <c r="IR125" s="841">
        <v>0</v>
      </c>
      <c r="IS125" s="841" t="s">
        <v>353</v>
      </c>
      <c r="IT125" s="841" t="s">
        <v>353</v>
      </c>
      <c r="IU125" s="841" t="s">
        <v>353</v>
      </c>
      <c r="IV125" s="841" t="s">
        <v>353</v>
      </c>
      <c r="IW125" s="841" t="s">
        <v>353</v>
      </c>
      <c r="IX125" s="841" t="s">
        <v>353</v>
      </c>
      <c r="IY125" s="841" t="s">
        <v>1622</v>
      </c>
      <c r="IZ125" s="841" t="s">
        <v>353</v>
      </c>
      <c r="JA125" s="841">
        <v>993000</v>
      </c>
      <c r="JB125" s="841" t="s">
        <v>353</v>
      </c>
      <c r="JC125" s="841" t="s">
        <v>353</v>
      </c>
      <c r="JD125" s="841" t="s">
        <v>1413</v>
      </c>
      <c r="JE125" s="841" t="s">
        <v>353</v>
      </c>
      <c r="JF125" s="841" t="s">
        <v>2544</v>
      </c>
      <c r="JG125" s="841" t="s">
        <v>2545</v>
      </c>
      <c r="JH125" s="841" t="s">
        <v>2546</v>
      </c>
      <c r="JI125" s="841" t="s">
        <v>2547</v>
      </c>
    </row>
    <row r="126" spans="1:269" x14ac:dyDescent="0.25">
      <c r="A126" s="841" t="s">
        <v>2548</v>
      </c>
      <c r="B126" s="841" t="s">
        <v>353</v>
      </c>
      <c r="C126" s="841" t="s">
        <v>353</v>
      </c>
      <c r="D126" s="841" t="s">
        <v>353</v>
      </c>
      <c r="E126" s="841" t="s">
        <v>353</v>
      </c>
      <c r="F126" s="841" t="s">
        <v>353</v>
      </c>
      <c r="G126" s="841" t="s">
        <v>353</v>
      </c>
      <c r="H126" s="841" t="s">
        <v>353</v>
      </c>
      <c r="I126" s="841" t="s">
        <v>353</v>
      </c>
      <c r="J126" s="841" t="s">
        <v>353</v>
      </c>
      <c r="K126" s="841" t="s">
        <v>353</v>
      </c>
      <c r="L126" s="842">
        <v>44600.540972222225</v>
      </c>
      <c r="M126" s="841" t="s">
        <v>353</v>
      </c>
      <c r="N126" s="841" t="s">
        <v>353</v>
      </c>
      <c r="O126" s="841" t="s">
        <v>353</v>
      </c>
      <c r="P126" s="841" t="s">
        <v>353</v>
      </c>
      <c r="Q126" s="841" t="s">
        <v>353</v>
      </c>
      <c r="R126" s="841" t="s">
        <v>353</v>
      </c>
      <c r="S126" s="841" t="s">
        <v>64</v>
      </c>
      <c r="T126" s="841" t="s">
        <v>1390</v>
      </c>
      <c r="U126" s="841" t="s">
        <v>353</v>
      </c>
      <c r="V126" s="841" t="s">
        <v>353</v>
      </c>
      <c r="W126" s="841" t="s">
        <v>1716</v>
      </c>
      <c r="X126" s="841" t="s">
        <v>1405</v>
      </c>
      <c r="Y126" s="841" t="s">
        <v>353</v>
      </c>
      <c r="Z126" s="841" t="s">
        <v>353</v>
      </c>
      <c r="AA126" s="841" t="s">
        <v>353</v>
      </c>
      <c r="AB126" s="841" t="s">
        <v>353</v>
      </c>
      <c r="AC126" s="841">
        <v>112500</v>
      </c>
      <c r="AD126" s="841" t="s">
        <v>353</v>
      </c>
      <c r="AE126" s="841" t="s">
        <v>353</v>
      </c>
      <c r="AF126" s="841" t="s">
        <v>353</v>
      </c>
      <c r="AG126" s="841" t="s">
        <v>353</v>
      </c>
      <c r="AH126" s="841">
        <v>2000</v>
      </c>
      <c r="AI126" s="841" t="s">
        <v>1521</v>
      </c>
      <c r="AJ126" s="841" t="s">
        <v>353</v>
      </c>
      <c r="AK126" s="841">
        <v>75</v>
      </c>
      <c r="AL126" s="841" t="s">
        <v>353</v>
      </c>
      <c r="AM126" s="841" t="s">
        <v>353</v>
      </c>
      <c r="AN126" s="841" t="s">
        <v>353</v>
      </c>
      <c r="AO126" s="841" t="s">
        <v>353</v>
      </c>
      <c r="AP126" s="841" t="s">
        <v>353</v>
      </c>
      <c r="AQ126" s="841" t="s">
        <v>353</v>
      </c>
      <c r="AR126" s="841" t="s">
        <v>353</v>
      </c>
      <c r="AS126" s="841" t="s">
        <v>353</v>
      </c>
      <c r="AT126" s="841" t="s">
        <v>353</v>
      </c>
      <c r="AU126" s="841" t="s">
        <v>353</v>
      </c>
      <c r="AV126" s="841" t="s">
        <v>353</v>
      </c>
      <c r="AW126" s="841" t="s">
        <v>353</v>
      </c>
      <c r="AX126" s="841" t="s">
        <v>353</v>
      </c>
      <c r="AY126" s="841" t="s">
        <v>353</v>
      </c>
      <c r="AZ126" s="841" t="s">
        <v>353</v>
      </c>
      <c r="BA126" s="841" t="s">
        <v>353</v>
      </c>
      <c r="BB126" s="841" t="s">
        <v>353</v>
      </c>
      <c r="BC126" s="841">
        <v>1102500</v>
      </c>
      <c r="BD126" s="841" t="s">
        <v>353</v>
      </c>
      <c r="BE126" s="841" t="s">
        <v>353</v>
      </c>
      <c r="BF126" s="841" t="s">
        <v>353</v>
      </c>
      <c r="BG126" s="841" t="s">
        <v>353</v>
      </c>
      <c r="BH126" s="841" t="s">
        <v>353</v>
      </c>
      <c r="BI126" s="841" t="s">
        <v>353</v>
      </c>
      <c r="BJ126" s="841" t="s">
        <v>353</v>
      </c>
      <c r="BK126" s="841" t="s">
        <v>353</v>
      </c>
      <c r="BL126" s="841" t="s">
        <v>2549</v>
      </c>
      <c r="BM126" s="842">
        <v>44592.377083333333</v>
      </c>
      <c r="BN126" s="841" t="s">
        <v>353</v>
      </c>
      <c r="BO126" s="841" t="s">
        <v>353</v>
      </c>
      <c r="BP126" s="841" t="s">
        <v>353</v>
      </c>
      <c r="BQ126" s="841" t="s">
        <v>353</v>
      </c>
      <c r="BR126" s="841" t="s">
        <v>353</v>
      </c>
      <c r="BS126" s="841" t="s">
        <v>353</v>
      </c>
      <c r="BT126" s="841">
        <v>1125000</v>
      </c>
      <c r="BU126" s="841" t="s">
        <v>353</v>
      </c>
      <c r="BV126" s="841" t="s">
        <v>353</v>
      </c>
      <c r="BW126" s="841" t="s">
        <v>1578</v>
      </c>
      <c r="BX126" s="841" t="s">
        <v>353</v>
      </c>
      <c r="BY126" s="841" t="s">
        <v>353</v>
      </c>
      <c r="BZ126" s="841" t="s">
        <v>353</v>
      </c>
      <c r="CA126" s="841" t="s">
        <v>353</v>
      </c>
      <c r="CB126" s="841" t="s">
        <v>353</v>
      </c>
      <c r="CC126" s="841" t="s">
        <v>353</v>
      </c>
      <c r="CD126" s="841" t="s">
        <v>353</v>
      </c>
      <c r="CE126" s="841" t="s">
        <v>353</v>
      </c>
      <c r="CF126" s="841" t="s">
        <v>353</v>
      </c>
      <c r="CG126" s="841" t="s">
        <v>353</v>
      </c>
      <c r="CH126" s="841" t="s">
        <v>353</v>
      </c>
      <c r="CI126" s="841" t="s">
        <v>353</v>
      </c>
      <c r="CJ126" s="841" t="s">
        <v>353</v>
      </c>
      <c r="CK126" s="841">
        <v>1</v>
      </c>
      <c r="CL126" s="841" t="s">
        <v>353</v>
      </c>
      <c r="CM126" s="841">
        <v>1</v>
      </c>
      <c r="CN126" s="841" t="s">
        <v>353</v>
      </c>
      <c r="CO126" s="841" t="s">
        <v>353</v>
      </c>
      <c r="CP126" s="841" t="s">
        <v>2550</v>
      </c>
      <c r="CQ126" s="841" t="s">
        <v>353</v>
      </c>
      <c r="CR126" s="841" t="s">
        <v>353</v>
      </c>
      <c r="CS126" s="841" t="s">
        <v>2551</v>
      </c>
      <c r="CT126" s="841" t="s">
        <v>353</v>
      </c>
      <c r="CU126" s="841" t="s">
        <v>1391</v>
      </c>
      <c r="CV126" s="841" t="s">
        <v>353</v>
      </c>
      <c r="CW126" s="841" t="s">
        <v>353</v>
      </c>
      <c r="CX126" s="841" t="s">
        <v>353</v>
      </c>
      <c r="CY126" s="841" t="s">
        <v>353</v>
      </c>
      <c r="CZ126" s="841">
        <v>2</v>
      </c>
      <c r="DA126" s="841" t="s">
        <v>353</v>
      </c>
      <c r="DB126" s="841" t="s">
        <v>353</v>
      </c>
      <c r="DC126" s="841" t="s">
        <v>353</v>
      </c>
      <c r="DD126" s="841" t="s">
        <v>353</v>
      </c>
      <c r="DE126" s="841" t="s">
        <v>353</v>
      </c>
      <c r="DF126" s="841">
        <v>24</v>
      </c>
      <c r="DG126" s="841" t="s">
        <v>353</v>
      </c>
      <c r="DH126" s="841" t="s">
        <v>353</v>
      </c>
      <c r="DI126" s="841" t="s">
        <v>353</v>
      </c>
      <c r="DJ126" s="841" t="s">
        <v>2552</v>
      </c>
      <c r="DK126" s="841" t="s">
        <v>353</v>
      </c>
      <c r="DL126" s="842">
        <v>44574.377083333333</v>
      </c>
      <c r="DM126" s="841" t="s">
        <v>353</v>
      </c>
      <c r="DN126" s="841" t="s">
        <v>353</v>
      </c>
      <c r="DO126" s="841" t="s">
        <v>673</v>
      </c>
      <c r="DP126" s="841" t="s">
        <v>1481</v>
      </c>
      <c r="DQ126" s="841" t="s">
        <v>1392</v>
      </c>
      <c r="DR126" s="841" t="s">
        <v>353</v>
      </c>
      <c r="DS126" s="841">
        <v>24</v>
      </c>
      <c r="DT126" s="841" t="s">
        <v>353</v>
      </c>
      <c r="DU126" s="841" t="s">
        <v>353</v>
      </c>
      <c r="DV126" s="841">
        <v>1102500</v>
      </c>
      <c r="DW126" s="841">
        <v>1125000</v>
      </c>
      <c r="DX126" s="841" t="s">
        <v>353</v>
      </c>
      <c r="DY126" s="841" t="s">
        <v>353</v>
      </c>
      <c r="DZ126" s="841" t="s">
        <v>353</v>
      </c>
      <c r="EA126" s="841" t="s">
        <v>353</v>
      </c>
      <c r="EB126" s="841" t="s">
        <v>353</v>
      </c>
      <c r="EC126" s="841" t="s">
        <v>353</v>
      </c>
      <c r="ED126" s="841" t="s">
        <v>353</v>
      </c>
      <c r="EE126" s="841" t="s">
        <v>353</v>
      </c>
      <c r="EF126" s="841" t="s">
        <v>353</v>
      </c>
      <c r="EG126" s="841" t="s">
        <v>353</v>
      </c>
      <c r="EH126" s="841" t="s">
        <v>353</v>
      </c>
      <c r="EI126" s="841">
        <v>0</v>
      </c>
      <c r="EJ126" s="841" t="s">
        <v>353</v>
      </c>
      <c r="EK126" s="841" t="s">
        <v>353</v>
      </c>
      <c r="EL126" s="841" t="s">
        <v>1435</v>
      </c>
      <c r="EM126" s="841">
        <v>22500</v>
      </c>
      <c r="EN126" s="841" t="s">
        <v>353</v>
      </c>
      <c r="EO126" s="841" t="s">
        <v>353</v>
      </c>
      <c r="EP126" s="841" t="s">
        <v>353</v>
      </c>
      <c r="EQ126" s="841" t="s">
        <v>353</v>
      </c>
      <c r="ER126" s="841" t="s">
        <v>353</v>
      </c>
      <c r="ES126" s="841" t="s">
        <v>353</v>
      </c>
      <c r="ET126" s="841" t="s">
        <v>1393</v>
      </c>
      <c r="EU126" s="841" t="s">
        <v>353</v>
      </c>
      <c r="EV126" s="841" t="s">
        <v>353</v>
      </c>
      <c r="EW126" s="841" t="s">
        <v>353</v>
      </c>
      <c r="EX126" s="841" t="s">
        <v>353</v>
      </c>
      <c r="EY126" s="842">
        <v>44586.625</v>
      </c>
      <c r="EZ126" s="841" t="s">
        <v>353</v>
      </c>
      <c r="FA126" s="841" t="s">
        <v>353</v>
      </c>
      <c r="FB126" s="841" t="s">
        <v>353</v>
      </c>
      <c r="FC126" s="841" t="s">
        <v>353</v>
      </c>
      <c r="FD126" s="841" t="s">
        <v>353</v>
      </c>
      <c r="FE126" s="842">
        <v>44600.540972222225</v>
      </c>
      <c r="FF126" s="841" t="s">
        <v>353</v>
      </c>
      <c r="FG126" s="841" t="s">
        <v>353</v>
      </c>
      <c r="FH126" s="841" t="s">
        <v>353</v>
      </c>
      <c r="FI126" s="841" t="s">
        <v>353</v>
      </c>
      <c r="FJ126" s="841" t="s">
        <v>353</v>
      </c>
      <c r="FK126" s="841" t="s">
        <v>353</v>
      </c>
      <c r="FL126" s="841" t="s">
        <v>353</v>
      </c>
      <c r="FM126" s="841" t="s">
        <v>353</v>
      </c>
      <c r="FN126" s="841" t="s">
        <v>353</v>
      </c>
      <c r="FO126" s="841" t="s">
        <v>1729</v>
      </c>
      <c r="FP126" s="841" t="s">
        <v>353</v>
      </c>
      <c r="FQ126" s="841" t="s">
        <v>353</v>
      </c>
      <c r="FR126" s="841" t="s">
        <v>353</v>
      </c>
      <c r="FS126" s="841" t="s">
        <v>353</v>
      </c>
      <c r="FT126" s="841" t="s">
        <v>353</v>
      </c>
      <c r="FU126" s="841" t="s">
        <v>1394</v>
      </c>
      <c r="FV126" s="841" t="s">
        <v>353</v>
      </c>
      <c r="FW126" s="841" t="s">
        <v>353</v>
      </c>
      <c r="FX126" s="841" t="s">
        <v>353</v>
      </c>
      <c r="FY126" s="841" t="s">
        <v>353</v>
      </c>
      <c r="FZ126" s="841" t="s">
        <v>353</v>
      </c>
      <c r="GA126" s="841" t="s">
        <v>353</v>
      </c>
      <c r="GB126" s="841">
        <v>1</v>
      </c>
      <c r="GC126" s="841" t="s">
        <v>353</v>
      </c>
      <c r="GD126" s="841" t="s">
        <v>1417</v>
      </c>
      <c r="GE126" s="841" t="s">
        <v>353</v>
      </c>
      <c r="GF126" s="841" t="s">
        <v>353</v>
      </c>
      <c r="GG126" s="841" t="s">
        <v>353</v>
      </c>
      <c r="GH126" s="841">
        <v>112500</v>
      </c>
      <c r="GI126" s="841" t="s">
        <v>353</v>
      </c>
      <c r="GJ126" s="841" t="s">
        <v>353</v>
      </c>
      <c r="GK126" s="841" t="s">
        <v>353</v>
      </c>
      <c r="GL126" s="841" t="s">
        <v>1541</v>
      </c>
      <c r="GM126" s="841" t="s">
        <v>353</v>
      </c>
      <c r="GN126" s="841" t="s">
        <v>353</v>
      </c>
      <c r="GO126" s="841" t="s">
        <v>353</v>
      </c>
      <c r="GP126" s="841" t="s">
        <v>353</v>
      </c>
      <c r="GQ126" s="841" t="s">
        <v>353</v>
      </c>
      <c r="GR126" s="842">
        <v>44586.625</v>
      </c>
      <c r="GS126" s="841" t="s">
        <v>353</v>
      </c>
      <c r="GT126" s="841" t="s">
        <v>353</v>
      </c>
      <c r="GU126" s="841" t="s">
        <v>353</v>
      </c>
      <c r="GV126" s="841" t="s">
        <v>1076</v>
      </c>
      <c r="GW126" s="841" t="s">
        <v>353</v>
      </c>
      <c r="GX126" s="841" t="s">
        <v>353</v>
      </c>
      <c r="GY126" s="841">
        <v>24</v>
      </c>
      <c r="GZ126" s="841" t="s">
        <v>353</v>
      </c>
      <c r="HA126" s="841" t="s">
        <v>353</v>
      </c>
      <c r="HB126" s="841" t="s">
        <v>353</v>
      </c>
      <c r="HC126" s="841" t="s">
        <v>353</v>
      </c>
      <c r="HD126" s="841" t="s">
        <v>2553</v>
      </c>
      <c r="HE126" s="841" t="s">
        <v>353</v>
      </c>
      <c r="HF126" s="841" t="s">
        <v>353</v>
      </c>
      <c r="HG126" s="841" t="s">
        <v>353</v>
      </c>
      <c r="HH126" s="841" t="s">
        <v>353</v>
      </c>
      <c r="HI126" s="841" t="s">
        <v>1422</v>
      </c>
      <c r="HJ126" s="841" t="s">
        <v>2554</v>
      </c>
      <c r="HK126" s="841">
        <v>1125000</v>
      </c>
      <c r="HL126" s="841" t="s">
        <v>353</v>
      </c>
      <c r="HM126" s="841" t="s">
        <v>1530</v>
      </c>
      <c r="HN126" s="841" t="s">
        <v>353</v>
      </c>
      <c r="HO126" s="841" t="s">
        <v>353</v>
      </c>
      <c r="HP126" s="841">
        <v>59512.5</v>
      </c>
      <c r="HQ126" s="841" t="s">
        <v>353</v>
      </c>
      <c r="HR126" s="841" t="s">
        <v>353</v>
      </c>
      <c r="HS126" s="841">
        <v>1125000</v>
      </c>
      <c r="HT126" s="841" t="s">
        <v>353</v>
      </c>
      <c r="HU126" s="841" t="s">
        <v>353</v>
      </c>
      <c r="HV126" s="841" t="s">
        <v>353</v>
      </c>
      <c r="HW126" s="841">
        <v>1500000</v>
      </c>
      <c r="HX126" s="841" t="s">
        <v>353</v>
      </c>
      <c r="HY126" s="841" t="s">
        <v>353</v>
      </c>
      <c r="HZ126" s="841" t="s">
        <v>353</v>
      </c>
      <c r="IA126" s="841" t="s">
        <v>353</v>
      </c>
      <c r="IB126" s="841" t="s">
        <v>1424</v>
      </c>
      <c r="IC126" s="841" t="s">
        <v>353</v>
      </c>
      <c r="ID126" s="841" t="s">
        <v>353</v>
      </c>
      <c r="IE126" s="841" t="s">
        <v>353</v>
      </c>
      <c r="IF126" s="841" t="s">
        <v>353</v>
      </c>
      <c r="IG126" s="841" t="s">
        <v>353</v>
      </c>
      <c r="IH126" s="841" t="s">
        <v>353</v>
      </c>
      <c r="II126" s="841" t="s">
        <v>353</v>
      </c>
      <c r="IJ126" s="841" t="s">
        <v>353</v>
      </c>
      <c r="IK126" s="841" t="s">
        <v>353</v>
      </c>
      <c r="IL126" s="841">
        <v>1125000</v>
      </c>
      <c r="IM126" s="841" t="s">
        <v>353</v>
      </c>
      <c r="IN126" s="841" t="s">
        <v>353</v>
      </c>
      <c r="IO126" s="841" t="s">
        <v>353</v>
      </c>
      <c r="IP126" s="841" t="s">
        <v>353</v>
      </c>
      <c r="IQ126" s="841" t="s">
        <v>353</v>
      </c>
      <c r="IR126" s="841">
        <v>0</v>
      </c>
      <c r="IS126" s="841" t="s">
        <v>353</v>
      </c>
      <c r="IT126" s="841" t="s">
        <v>353</v>
      </c>
      <c r="IU126" s="841" t="s">
        <v>353</v>
      </c>
      <c r="IV126" s="841" t="s">
        <v>353</v>
      </c>
      <c r="IW126" s="841" t="s">
        <v>353</v>
      </c>
      <c r="IX126" s="841" t="s">
        <v>353</v>
      </c>
      <c r="IY126" s="841" t="s">
        <v>1578</v>
      </c>
      <c r="IZ126" s="841" t="s">
        <v>353</v>
      </c>
      <c r="JA126" s="841">
        <v>1125000</v>
      </c>
      <c r="JB126" s="841" t="s">
        <v>353</v>
      </c>
      <c r="JC126" s="841" t="s">
        <v>353</v>
      </c>
      <c r="JD126" s="841" t="s">
        <v>1456</v>
      </c>
      <c r="JE126" s="841" t="s">
        <v>353</v>
      </c>
      <c r="JF126" s="841" t="s">
        <v>2231</v>
      </c>
      <c r="JG126" s="841" t="s">
        <v>2232</v>
      </c>
      <c r="JH126" s="841" t="s">
        <v>2555</v>
      </c>
      <c r="JI126" s="841" t="s">
        <v>2556</v>
      </c>
    </row>
    <row r="127" spans="1:269" x14ac:dyDescent="0.25">
      <c r="A127" s="841" t="s">
        <v>2557</v>
      </c>
      <c r="B127" s="841" t="s">
        <v>353</v>
      </c>
      <c r="C127" s="841" t="s">
        <v>1403</v>
      </c>
      <c r="D127" s="841" t="s">
        <v>353</v>
      </c>
      <c r="E127" s="841" t="s">
        <v>353</v>
      </c>
      <c r="F127" s="841" t="s">
        <v>1435</v>
      </c>
      <c r="G127" s="841" t="s">
        <v>1404</v>
      </c>
      <c r="H127" s="841" t="s">
        <v>353</v>
      </c>
      <c r="I127" s="841" t="s">
        <v>353</v>
      </c>
      <c r="J127" s="841" t="s">
        <v>353</v>
      </c>
      <c r="K127" s="841" t="s">
        <v>353</v>
      </c>
      <c r="L127" s="842">
        <v>44586.70416666667</v>
      </c>
      <c r="M127" s="841" t="s">
        <v>353</v>
      </c>
      <c r="N127" s="841" t="s">
        <v>353</v>
      </c>
      <c r="O127" s="841" t="s">
        <v>353</v>
      </c>
      <c r="P127" s="841" t="s">
        <v>33</v>
      </c>
      <c r="Q127" s="841" t="s">
        <v>353</v>
      </c>
      <c r="R127" s="841" t="s">
        <v>353</v>
      </c>
      <c r="S127" s="841" t="s">
        <v>67</v>
      </c>
      <c r="T127" s="841" t="s">
        <v>1390</v>
      </c>
      <c r="U127" s="841" t="s">
        <v>353</v>
      </c>
      <c r="V127" s="841" t="s">
        <v>353</v>
      </c>
      <c r="W127" s="841" t="s">
        <v>1420</v>
      </c>
      <c r="X127" s="841" t="s">
        <v>1405</v>
      </c>
      <c r="Y127" s="841" t="s">
        <v>353</v>
      </c>
      <c r="Z127" s="841" t="s">
        <v>353</v>
      </c>
      <c r="AA127" s="841" t="s">
        <v>673</v>
      </c>
      <c r="AB127" s="841" t="s">
        <v>353</v>
      </c>
      <c r="AC127" s="841">
        <v>225000</v>
      </c>
      <c r="AD127" s="841" t="s">
        <v>353</v>
      </c>
      <c r="AE127" s="841" t="s">
        <v>673</v>
      </c>
      <c r="AF127" s="841">
        <v>2171.25</v>
      </c>
      <c r="AG127" s="841" t="s">
        <v>353</v>
      </c>
      <c r="AH127" s="841">
        <v>3600</v>
      </c>
      <c r="AI127" s="841" t="s">
        <v>1406</v>
      </c>
      <c r="AJ127" s="841" t="s">
        <v>353</v>
      </c>
      <c r="AK127" s="841">
        <v>75</v>
      </c>
      <c r="AL127" s="841" t="s">
        <v>353</v>
      </c>
      <c r="AM127" s="841" t="s">
        <v>353</v>
      </c>
      <c r="AN127" s="841" t="s">
        <v>353</v>
      </c>
      <c r="AO127" s="841" t="s">
        <v>353</v>
      </c>
      <c r="AP127" s="841" t="s">
        <v>353</v>
      </c>
      <c r="AQ127" s="841" t="s">
        <v>353</v>
      </c>
      <c r="AR127" s="841" t="s">
        <v>673</v>
      </c>
      <c r="AS127" s="841" t="s">
        <v>353</v>
      </c>
      <c r="AT127" s="841" t="s">
        <v>353</v>
      </c>
      <c r="AU127" s="841" t="s">
        <v>1405</v>
      </c>
      <c r="AV127" s="841" t="s">
        <v>353</v>
      </c>
      <c r="AW127" s="843">
        <v>44586</v>
      </c>
      <c r="AX127" s="841" t="s">
        <v>353</v>
      </c>
      <c r="AY127" s="841" t="s">
        <v>353</v>
      </c>
      <c r="AZ127" s="841" t="s">
        <v>353</v>
      </c>
      <c r="BA127" s="841" t="s">
        <v>353</v>
      </c>
      <c r="BB127" s="841" t="s">
        <v>353</v>
      </c>
      <c r="BC127" s="841">
        <v>435611</v>
      </c>
      <c r="BD127" s="841" t="s">
        <v>353</v>
      </c>
      <c r="BE127" s="841" t="s">
        <v>353</v>
      </c>
      <c r="BF127" s="841" t="s">
        <v>353</v>
      </c>
      <c r="BG127" s="841" t="s">
        <v>353</v>
      </c>
      <c r="BH127" s="841" t="s">
        <v>353</v>
      </c>
      <c r="BI127" s="841" t="s">
        <v>353</v>
      </c>
      <c r="BJ127" s="841" t="s">
        <v>353</v>
      </c>
      <c r="BK127" s="841">
        <v>380000</v>
      </c>
      <c r="BL127" s="841" t="s">
        <v>2558</v>
      </c>
      <c r="BM127" s="842">
        <v>44592.675694444442</v>
      </c>
      <c r="BN127" s="841" t="s">
        <v>353</v>
      </c>
      <c r="BO127" s="841" t="s">
        <v>353</v>
      </c>
      <c r="BP127" s="841" t="s">
        <v>353</v>
      </c>
      <c r="BQ127" s="841" t="s">
        <v>353</v>
      </c>
      <c r="BR127" s="841" t="s">
        <v>353</v>
      </c>
      <c r="BS127" s="841" t="s">
        <v>353</v>
      </c>
      <c r="BT127" s="841">
        <v>420000</v>
      </c>
      <c r="BU127" s="841" t="s">
        <v>353</v>
      </c>
      <c r="BV127" s="841" t="s">
        <v>2559</v>
      </c>
      <c r="BW127" s="841" t="s">
        <v>1578</v>
      </c>
      <c r="BX127" s="841" t="s">
        <v>2560</v>
      </c>
      <c r="BY127" s="841" t="s">
        <v>353</v>
      </c>
      <c r="BZ127" s="841" t="s">
        <v>353</v>
      </c>
      <c r="CA127" s="841" t="s">
        <v>353</v>
      </c>
      <c r="CB127" s="841" t="s">
        <v>353</v>
      </c>
      <c r="CC127" s="841" t="s">
        <v>353</v>
      </c>
      <c r="CD127" s="841" t="s">
        <v>353</v>
      </c>
      <c r="CE127" s="841" t="s">
        <v>353</v>
      </c>
      <c r="CF127" s="841" t="s">
        <v>353</v>
      </c>
      <c r="CG127" s="841" t="s">
        <v>353</v>
      </c>
      <c r="CH127" s="841" t="s">
        <v>353</v>
      </c>
      <c r="CI127" s="841" t="s">
        <v>33</v>
      </c>
      <c r="CJ127" s="841" t="s">
        <v>353</v>
      </c>
      <c r="CK127" s="841">
        <v>5</v>
      </c>
      <c r="CL127" s="841" t="s">
        <v>353</v>
      </c>
      <c r="CM127" s="841">
        <v>5</v>
      </c>
      <c r="CN127" s="841" t="s">
        <v>353</v>
      </c>
      <c r="CO127" s="841" t="s">
        <v>353</v>
      </c>
      <c r="CP127" s="841" t="s">
        <v>2561</v>
      </c>
      <c r="CQ127" s="841" t="s">
        <v>353</v>
      </c>
      <c r="CR127" s="841" t="s">
        <v>353</v>
      </c>
      <c r="CS127" s="841" t="s">
        <v>1405</v>
      </c>
      <c r="CT127" s="841" t="s">
        <v>353</v>
      </c>
      <c r="CU127" s="841" t="s">
        <v>1391</v>
      </c>
      <c r="CV127" s="841" t="s">
        <v>353</v>
      </c>
      <c r="CW127" s="841" t="s">
        <v>353</v>
      </c>
      <c r="CX127" s="841" t="s">
        <v>353</v>
      </c>
      <c r="CY127" s="841" t="s">
        <v>353</v>
      </c>
      <c r="CZ127" s="841">
        <v>6</v>
      </c>
      <c r="DA127" s="841" t="s">
        <v>353</v>
      </c>
      <c r="DB127" s="841" t="s">
        <v>353</v>
      </c>
      <c r="DC127" s="841" t="s">
        <v>353</v>
      </c>
      <c r="DD127" s="841" t="s">
        <v>353</v>
      </c>
      <c r="DE127" s="841" t="s">
        <v>353</v>
      </c>
      <c r="DF127" s="841">
        <v>21</v>
      </c>
      <c r="DG127" s="841" t="s">
        <v>353</v>
      </c>
      <c r="DH127" s="841" t="s">
        <v>353</v>
      </c>
      <c r="DI127" s="841" t="s">
        <v>353</v>
      </c>
      <c r="DJ127" s="841" t="s">
        <v>2562</v>
      </c>
      <c r="DK127" s="841" t="s">
        <v>353</v>
      </c>
      <c r="DL127" s="842">
        <v>44573.675694444442</v>
      </c>
      <c r="DM127" s="841" t="s">
        <v>353</v>
      </c>
      <c r="DN127" s="841" t="s">
        <v>33</v>
      </c>
      <c r="DO127" s="841" t="s">
        <v>673</v>
      </c>
      <c r="DP127" s="841" t="s">
        <v>1481</v>
      </c>
      <c r="DQ127" s="841" t="s">
        <v>673</v>
      </c>
      <c r="DR127" s="841" t="s">
        <v>353</v>
      </c>
      <c r="DS127" s="841">
        <v>21</v>
      </c>
      <c r="DT127" s="841" t="s">
        <v>353</v>
      </c>
      <c r="DU127" s="841" t="s">
        <v>353</v>
      </c>
      <c r="DV127" s="841">
        <v>363960</v>
      </c>
      <c r="DW127" s="841">
        <v>450000</v>
      </c>
      <c r="DX127" s="841" t="s">
        <v>673</v>
      </c>
      <c r="DY127" s="841" t="s">
        <v>353</v>
      </c>
      <c r="DZ127" s="841" t="s">
        <v>353</v>
      </c>
      <c r="EA127" s="841" t="s">
        <v>353</v>
      </c>
      <c r="EB127" s="841" t="s">
        <v>353</v>
      </c>
      <c r="EC127" s="841" t="s">
        <v>353</v>
      </c>
      <c r="ED127" s="841" t="s">
        <v>353</v>
      </c>
      <c r="EE127" s="841" t="s">
        <v>353</v>
      </c>
      <c r="EF127" s="841" t="s">
        <v>353</v>
      </c>
      <c r="EG127" s="841" t="s">
        <v>353</v>
      </c>
      <c r="EH127" s="841" t="s">
        <v>353</v>
      </c>
      <c r="EI127" s="841">
        <v>78165</v>
      </c>
      <c r="EJ127" s="841" t="s">
        <v>353</v>
      </c>
      <c r="EK127" s="841" t="s">
        <v>1413</v>
      </c>
      <c r="EL127" s="841" t="s">
        <v>1435</v>
      </c>
      <c r="EM127" s="841">
        <v>7875</v>
      </c>
      <c r="EN127" s="841" t="s">
        <v>353</v>
      </c>
      <c r="EO127" s="841" t="s">
        <v>353</v>
      </c>
      <c r="EP127" s="841" t="s">
        <v>353</v>
      </c>
      <c r="EQ127" s="841" t="s">
        <v>353</v>
      </c>
      <c r="ER127" s="841" t="s">
        <v>353</v>
      </c>
      <c r="ES127" s="841" t="s">
        <v>33</v>
      </c>
      <c r="ET127" s="841" t="s">
        <v>1711</v>
      </c>
      <c r="EU127" s="841" t="s">
        <v>353</v>
      </c>
      <c r="EV127" s="841" t="s">
        <v>353</v>
      </c>
      <c r="EW127" s="841" t="s">
        <v>353</v>
      </c>
      <c r="EX127" s="841" t="s">
        <v>33</v>
      </c>
      <c r="EY127" s="842">
        <v>44586.4375</v>
      </c>
      <c r="EZ127" s="841" t="s">
        <v>353</v>
      </c>
      <c r="FA127" s="841" t="s">
        <v>353</v>
      </c>
      <c r="FB127" s="841" t="s">
        <v>353</v>
      </c>
      <c r="FC127" s="841" t="s">
        <v>353</v>
      </c>
      <c r="FD127" s="841" t="s">
        <v>353</v>
      </c>
      <c r="FE127" s="842">
        <v>44573.676388888889</v>
      </c>
      <c r="FF127" s="841" t="s">
        <v>353</v>
      </c>
      <c r="FG127" s="841" t="s">
        <v>2563</v>
      </c>
      <c r="FH127" s="841" t="s">
        <v>353</v>
      </c>
      <c r="FI127" s="841" t="s">
        <v>353</v>
      </c>
      <c r="FJ127" s="841" t="s">
        <v>353</v>
      </c>
      <c r="FK127" s="841" t="s">
        <v>353</v>
      </c>
      <c r="FL127" s="841" t="s">
        <v>353</v>
      </c>
      <c r="FM127" s="841" t="s">
        <v>353</v>
      </c>
      <c r="FN127" s="841" t="s">
        <v>353</v>
      </c>
      <c r="FO127" s="841" t="s">
        <v>1729</v>
      </c>
      <c r="FP127" s="841" t="s">
        <v>353</v>
      </c>
      <c r="FQ127" s="841" t="s">
        <v>353</v>
      </c>
      <c r="FR127" s="841" t="s">
        <v>353</v>
      </c>
      <c r="FS127" s="841" t="s">
        <v>353</v>
      </c>
      <c r="FT127" s="841" t="s">
        <v>353</v>
      </c>
      <c r="FU127" s="841" t="s">
        <v>1467</v>
      </c>
      <c r="FV127" s="841" t="s">
        <v>353</v>
      </c>
      <c r="FW127" s="841" t="s">
        <v>353</v>
      </c>
      <c r="FX127" s="841" t="s">
        <v>353</v>
      </c>
      <c r="FY127" s="841" t="s">
        <v>353</v>
      </c>
      <c r="FZ127" s="841" t="s">
        <v>353</v>
      </c>
      <c r="GA127" s="841" t="s">
        <v>353</v>
      </c>
      <c r="GB127" s="841">
        <v>1</v>
      </c>
      <c r="GC127" s="841" t="s">
        <v>353</v>
      </c>
      <c r="GD127" s="841" t="s">
        <v>1395</v>
      </c>
      <c r="GE127" s="841" t="s">
        <v>353</v>
      </c>
      <c r="GF127" s="841" t="s">
        <v>353</v>
      </c>
      <c r="GG127" s="841" t="s">
        <v>349</v>
      </c>
      <c r="GH127" s="841">
        <v>225000</v>
      </c>
      <c r="GI127" s="841" t="s">
        <v>353</v>
      </c>
      <c r="GJ127" s="841" t="s">
        <v>353</v>
      </c>
      <c r="GK127" s="841" t="s">
        <v>353</v>
      </c>
      <c r="GL127" s="841" t="s">
        <v>1468</v>
      </c>
      <c r="GM127" s="841" t="s">
        <v>353</v>
      </c>
      <c r="GN127" s="841" t="s">
        <v>353</v>
      </c>
      <c r="GO127" s="841" t="s">
        <v>353</v>
      </c>
      <c r="GP127" s="841" t="s">
        <v>353</v>
      </c>
      <c r="GQ127" s="841" t="s">
        <v>353</v>
      </c>
      <c r="GR127" s="842">
        <v>44586.4375</v>
      </c>
      <c r="GS127" s="841" t="s">
        <v>1870</v>
      </c>
      <c r="GT127" s="841" t="s">
        <v>353</v>
      </c>
      <c r="GU127" s="841" t="s">
        <v>353</v>
      </c>
      <c r="GV127" s="841" t="s">
        <v>1419</v>
      </c>
      <c r="GW127" s="841" t="s">
        <v>353</v>
      </c>
      <c r="GX127" s="841" t="s">
        <v>2564</v>
      </c>
      <c r="GY127" s="841">
        <v>24</v>
      </c>
      <c r="GZ127" s="841" t="s">
        <v>1420</v>
      </c>
      <c r="HA127" s="841" t="s">
        <v>353</v>
      </c>
      <c r="HB127" s="841" t="s">
        <v>353</v>
      </c>
      <c r="HC127" s="841" t="s">
        <v>1421</v>
      </c>
      <c r="HD127" s="841" t="s">
        <v>2561</v>
      </c>
      <c r="HE127" s="841">
        <v>9000</v>
      </c>
      <c r="HF127" s="841" t="s">
        <v>353</v>
      </c>
      <c r="HG127" s="841" t="s">
        <v>353</v>
      </c>
      <c r="HH127" s="841" t="s">
        <v>353</v>
      </c>
      <c r="HI127" s="841" t="s">
        <v>1422</v>
      </c>
      <c r="HJ127" s="841" t="s">
        <v>2565</v>
      </c>
      <c r="HK127" s="841">
        <v>450000</v>
      </c>
      <c r="HL127" s="841" t="s">
        <v>353</v>
      </c>
      <c r="HM127" s="841" t="s">
        <v>1530</v>
      </c>
      <c r="HN127" s="841" t="s">
        <v>33</v>
      </c>
      <c r="HO127" s="841" t="s">
        <v>353</v>
      </c>
      <c r="HP127" s="841">
        <v>26055</v>
      </c>
      <c r="HQ127" s="841" t="s">
        <v>353</v>
      </c>
      <c r="HR127" s="841" t="s">
        <v>353</v>
      </c>
      <c r="HS127" s="841">
        <v>371835</v>
      </c>
      <c r="HT127" s="841" t="s">
        <v>353</v>
      </c>
      <c r="HU127" s="841" t="s">
        <v>353</v>
      </c>
      <c r="HV127" s="841" t="s">
        <v>353</v>
      </c>
      <c r="HW127" s="841">
        <v>600000</v>
      </c>
      <c r="HX127" s="841" t="s">
        <v>353</v>
      </c>
      <c r="HY127" s="841" t="s">
        <v>353</v>
      </c>
      <c r="HZ127" s="841" t="s">
        <v>353</v>
      </c>
      <c r="IA127" s="841" t="s">
        <v>353</v>
      </c>
      <c r="IB127" s="841" t="s">
        <v>2566</v>
      </c>
      <c r="IC127" s="841" t="s">
        <v>353</v>
      </c>
      <c r="ID127" s="841" t="s">
        <v>353</v>
      </c>
      <c r="IE127" s="841" t="s">
        <v>353</v>
      </c>
      <c r="IF127" s="841" t="s">
        <v>353</v>
      </c>
      <c r="IG127" s="841" t="s">
        <v>353</v>
      </c>
      <c r="IH127" s="841" t="s">
        <v>353</v>
      </c>
      <c r="II127" s="841" t="s">
        <v>353</v>
      </c>
      <c r="IJ127" s="841" t="s">
        <v>353</v>
      </c>
      <c r="IK127" s="841" t="s">
        <v>353</v>
      </c>
      <c r="IL127" s="841">
        <v>443486</v>
      </c>
      <c r="IM127" s="841" t="s">
        <v>353</v>
      </c>
      <c r="IN127" s="841" t="s">
        <v>353</v>
      </c>
      <c r="IO127" s="841">
        <v>0</v>
      </c>
      <c r="IP127" s="841">
        <v>0</v>
      </c>
      <c r="IQ127" s="841" t="s">
        <v>353</v>
      </c>
      <c r="IR127" s="841">
        <v>3</v>
      </c>
      <c r="IS127" s="841" t="s">
        <v>33</v>
      </c>
      <c r="IT127" s="841" t="s">
        <v>353</v>
      </c>
      <c r="IU127" s="841" t="s">
        <v>353</v>
      </c>
      <c r="IV127" s="841" t="s">
        <v>353</v>
      </c>
      <c r="IW127" s="841" t="s">
        <v>353</v>
      </c>
      <c r="IX127" s="841" t="s">
        <v>353</v>
      </c>
      <c r="IY127" s="841" t="s">
        <v>353</v>
      </c>
      <c r="IZ127" s="841" t="s">
        <v>353</v>
      </c>
      <c r="JA127" s="841">
        <v>450000</v>
      </c>
      <c r="JB127" s="841" t="s">
        <v>353</v>
      </c>
      <c r="JC127" s="841" t="s">
        <v>353</v>
      </c>
      <c r="JD127" s="841" t="s">
        <v>1413</v>
      </c>
      <c r="JE127" s="841" t="s">
        <v>33</v>
      </c>
      <c r="JF127" s="841" t="s">
        <v>2567</v>
      </c>
      <c r="JG127" s="841" t="s">
        <v>2568</v>
      </c>
      <c r="JH127" s="841" t="s">
        <v>2569</v>
      </c>
      <c r="JI127" s="841" t="s">
        <v>2570</v>
      </c>
    </row>
    <row r="128" spans="1:269" x14ac:dyDescent="0.25">
      <c r="A128" s="841" t="s">
        <v>2571</v>
      </c>
      <c r="B128" s="841" t="s">
        <v>353</v>
      </c>
      <c r="C128" s="841" t="s">
        <v>353</v>
      </c>
      <c r="D128" s="841" t="s">
        <v>353</v>
      </c>
      <c r="E128" s="841" t="s">
        <v>353</v>
      </c>
      <c r="F128" s="841" t="s">
        <v>353</v>
      </c>
      <c r="G128" s="841" t="s">
        <v>2086</v>
      </c>
      <c r="H128" s="841" t="s">
        <v>353</v>
      </c>
      <c r="I128" s="841" t="s">
        <v>353</v>
      </c>
      <c r="J128" s="841" t="s">
        <v>353</v>
      </c>
      <c r="K128" s="841" t="s">
        <v>353</v>
      </c>
      <c r="L128" s="842">
        <v>44606.477777777778</v>
      </c>
      <c r="M128" s="841" t="s">
        <v>353</v>
      </c>
      <c r="N128" s="841" t="s">
        <v>353</v>
      </c>
      <c r="O128" s="841" t="s">
        <v>353</v>
      </c>
      <c r="P128" s="841" t="s">
        <v>353</v>
      </c>
      <c r="Q128" s="841" t="s">
        <v>353</v>
      </c>
      <c r="R128" s="841" t="s">
        <v>353</v>
      </c>
      <c r="S128" s="841" t="s">
        <v>64</v>
      </c>
      <c r="T128" s="841" t="s">
        <v>1390</v>
      </c>
      <c r="U128" s="841" t="s">
        <v>353</v>
      </c>
      <c r="V128" s="841" t="s">
        <v>353</v>
      </c>
      <c r="W128" s="841" t="s">
        <v>1716</v>
      </c>
      <c r="X128" s="841" t="s">
        <v>1405</v>
      </c>
      <c r="Y128" s="841" t="s">
        <v>353</v>
      </c>
      <c r="Z128" s="841" t="s">
        <v>353</v>
      </c>
      <c r="AA128" s="841" t="s">
        <v>353</v>
      </c>
      <c r="AB128" s="841" t="s">
        <v>353</v>
      </c>
      <c r="AC128" s="841">
        <v>46000</v>
      </c>
      <c r="AD128" s="841" t="s">
        <v>353</v>
      </c>
      <c r="AE128" s="841" t="s">
        <v>353</v>
      </c>
      <c r="AF128" s="841" t="s">
        <v>353</v>
      </c>
      <c r="AG128" s="841" t="s">
        <v>353</v>
      </c>
      <c r="AH128" s="841">
        <v>2650</v>
      </c>
      <c r="AI128" s="841" t="s">
        <v>1406</v>
      </c>
      <c r="AJ128" s="841" t="s">
        <v>353</v>
      </c>
      <c r="AK128" s="841">
        <v>66</v>
      </c>
      <c r="AL128" s="841" t="s">
        <v>353</v>
      </c>
      <c r="AM128" s="841" t="s">
        <v>353</v>
      </c>
      <c r="AN128" s="841" t="s">
        <v>353</v>
      </c>
      <c r="AO128" s="841" t="s">
        <v>353</v>
      </c>
      <c r="AP128" s="841" t="s">
        <v>353</v>
      </c>
      <c r="AQ128" s="841" t="s">
        <v>353</v>
      </c>
      <c r="AR128" s="841" t="s">
        <v>353</v>
      </c>
      <c r="AS128" s="841" t="s">
        <v>353</v>
      </c>
      <c r="AT128" s="841" t="s">
        <v>353</v>
      </c>
      <c r="AU128" s="841" t="s">
        <v>353</v>
      </c>
      <c r="AV128" s="841" t="s">
        <v>353</v>
      </c>
      <c r="AW128" s="841" t="s">
        <v>353</v>
      </c>
      <c r="AX128" s="841" t="s">
        <v>353</v>
      </c>
      <c r="AY128" s="841" t="s">
        <v>353</v>
      </c>
      <c r="AZ128" s="841" t="s">
        <v>353</v>
      </c>
      <c r="BA128" s="841" t="s">
        <v>353</v>
      </c>
      <c r="BB128" s="841" t="s">
        <v>353</v>
      </c>
      <c r="BC128" s="841">
        <v>200000</v>
      </c>
      <c r="BD128" s="841" t="s">
        <v>353</v>
      </c>
      <c r="BE128" s="841" t="s">
        <v>353</v>
      </c>
      <c r="BF128" s="841" t="s">
        <v>353</v>
      </c>
      <c r="BG128" s="841" t="s">
        <v>353</v>
      </c>
      <c r="BH128" s="841" t="s">
        <v>353</v>
      </c>
      <c r="BI128" s="841" t="s">
        <v>353</v>
      </c>
      <c r="BJ128" s="841" t="s">
        <v>353</v>
      </c>
      <c r="BK128" s="841" t="s">
        <v>353</v>
      </c>
      <c r="BL128" s="841" t="s">
        <v>2572</v>
      </c>
      <c r="BM128" s="842">
        <v>44592.429166666669</v>
      </c>
      <c r="BN128" s="841" t="s">
        <v>353</v>
      </c>
      <c r="BO128" s="841" t="s">
        <v>353</v>
      </c>
      <c r="BP128" s="841" t="s">
        <v>353</v>
      </c>
      <c r="BQ128" s="841" t="s">
        <v>353</v>
      </c>
      <c r="BR128" s="841" t="s">
        <v>353</v>
      </c>
      <c r="BS128" s="841" t="s">
        <v>353</v>
      </c>
      <c r="BT128" s="841">
        <v>200000</v>
      </c>
      <c r="BU128" s="841" t="s">
        <v>353</v>
      </c>
      <c r="BV128" s="841" t="s">
        <v>2573</v>
      </c>
      <c r="BW128" s="841" t="s">
        <v>353</v>
      </c>
      <c r="BX128" s="841" t="s">
        <v>2574</v>
      </c>
      <c r="BY128" s="841" t="s">
        <v>353</v>
      </c>
      <c r="BZ128" s="841" t="s">
        <v>353</v>
      </c>
      <c r="CA128" s="841" t="s">
        <v>353</v>
      </c>
      <c r="CB128" s="841" t="s">
        <v>353</v>
      </c>
      <c r="CC128" s="841" t="s">
        <v>353</v>
      </c>
      <c r="CD128" s="841" t="s">
        <v>353</v>
      </c>
      <c r="CE128" s="841" t="s">
        <v>353</v>
      </c>
      <c r="CF128" s="841" t="s">
        <v>353</v>
      </c>
      <c r="CG128" s="841" t="s">
        <v>353</v>
      </c>
      <c r="CH128" s="841" t="s">
        <v>353</v>
      </c>
      <c r="CI128" s="841" t="s">
        <v>353</v>
      </c>
      <c r="CJ128" s="841" t="s">
        <v>353</v>
      </c>
      <c r="CK128" s="841">
        <v>1</v>
      </c>
      <c r="CL128" s="841" t="s">
        <v>353</v>
      </c>
      <c r="CM128" s="841">
        <v>4</v>
      </c>
      <c r="CN128" s="841" t="s">
        <v>353</v>
      </c>
      <c r="CO128" s="841" t="s">
        <v>353</v>
      </c>
      <c r="CP128" s="841" t="s">
        <v>2575</v>
      </c>
      <c r="CQ128" s="841" t="s">
        <v>353</v>
      </c>
      <c r="CR128" s="841" t="s">
        <v>353</v>
      </c>
      <c r="CS128" s="841" t="s">
        <v>353</v>
      </c>
      <c r="CT128" s="841" t="s">
        <v>353</v>
      </c>
      <c r="CU128" s="841" t="s">
        <v>1391</v>
      </c>
      <c r="CV128" s="841" t="s">
        <v>353</v>
      </c>
      <c r="CW128" s="841" t="s">
        <v>353</v>
      </c>
      <c r="CX128" s="841" t="s">
        <v>353</v>
      </c>
      <c r="CY128" s="841" t="s">
        <v>353</v>
      </c>
      <c r="CZ128" s="841">
        <v>6</v>
      </c>
      <c r="DA128" s="841" t="s">
        <v>353</v>
      </c>
      <c r="DB128" s="841" t="s">
        <v>353</v>
      </c>
      <c r="DC128" s="841" t="s">
        <v>353</v>
      </c>
      <c r="DD128" s="841" t="s">
        <v>353</v>
      </c>
      <c r="DE128" s="841" t="s">
        <v>353</v>
      </c>
      <c r="DF128" s="841" t="s">
        <v>353</v>
      </c>
      <c r="DG128" s="841" t="s">
        <v>353</v>
      </c>
      <c r="DH128" s="841" t="s">
        <v>353</v>
      </c>
      <c r="DI128" s="841" t="s">
        <v>353</v>
      </c>
      <c r="DJ128" s="841" t="s">
        <v>2576</v>
      </c>
      <c r="DK128" s="841" t="s">
        <v>353</v>
      </c>
      <c r="DL128" s="842">
        <v>44573.429166666669</v>
      </c>
      <c r="DM128" s="841" t="s">
        <v>353</v>
      </c>
      <c r="DN128" s="841" t="s">
        <v>353</v>
      </c>
      <c r="DO128" s="841" t="s">
        <v>673</v>
      </c>
      <c r="DP128" s="841" t="s">
        <v>1481</v>
      </c>
      <c r="DQ128" s="841" t="s">
        <v>1482</v>
      </c>
      <c r="DR128" s="841" t="s">
        <v>353</v>
      </c>
      <c r="DS128" s="841">
        <v>0</v>
      </c>
      <c r="DT128" s="841" t="s">
        <v>353</v>
      </c>
      <c r="DU128" s="841" t="s">
        <v>353</v>
      </c>
      <c r="DV128" s="841">
        <v>200836</v>
      </c>
      <c r="DW128" s="841">
        <v>230000</v>
      </c>
      <c r="DX128" s="841" t="s">
        <v>353</v>
      </c>
      <c r="DY128" s="841" t="s">
        <v>353</v>
      </c>
      <c r="DZ128" s="841" t="s">
        <v>353</v>
      </c>
      <c r="EA128" s="841" t="s">
        <v>353</v>
      </c>
      <c r="EB128" s="841" t="s">
        <v>353</v>
      </c>
      <c r="EC128" s="841" t="s">
        <v>353</v>
      </c>
      <c r="ED128" s="841" t="s">
        <v>353</v>
      </c>
      <c r="EE128" s="841" t="s">
        <v>353</v>
      </c>
      <c r="EF128" s="841" t="s">
        <v>353</v>
      </c>
      <c r="EG128" s="841" t="s">
        <v>353</v>
      </c>
      <c r="EH128" s="841" t="s">
        <v>353</v>
      </c>
      <c r="EI128" s="841">
        <v>24564</v>
      </c>
      <c r="EJ128" s="841" t="s">
        <v>353</v>
      </c>
      <c r="EK128" s="841" t="s">
        <v>353</v>
      </c>
      <c r="EL128" s="841" t="s">
        <v>1435</v>
      </c>
      <c r="EM128" s="841">
        <v>4600</v>
      </c>
      <c r="EN128" s="841" t="s">
        <v>353</v>
      </c>
      <c r="EO128" s="841" t="s">
        <v>353</v>
      </c>
      <c r="EP128" s="841" t="s">
        <v>353</v>
      </c>
      <c r="EQ128" s="841" t="s">
        <v>353</v>
      </c>
      <c r="ER128" s="841" t="s">
        <v>353</v>
      </c>
      <c r="ES128" s="841" t="s">
        <v>33</v>
      </c>
      <c r="ET128" s="841" t="s">
        <v>1483</v>
      </c>
      <c r="EU128" s="841" t="s">
        <v>353</v>
      </c>
      <c r="EV128" s="841" t="s">
        <v>353</v>
      </c>
      <c r="EW128" s="841" t="s">
        <v>353</v>
      </c>
      <c r="EX128" s="841" t="s">
        <v>353</v>
      </c>
      <c r="EY128" s="842">
        <v>44606.477083333331</v>
      </c>
      <c r="EZ128" s="842">
        <v>44627.625</v>
      </c>
      <c r="FA128" s="841" t="s">
        <v>353</v>
      </c>
      <c r="FB128" s="841" t="s">
        <v>353</v>
      </c>
      <c r="FC128" s="841" t="s">
        <v>353</v>
      </c>
      <c r="FD128" s="841" t="s">
        <v>353</v>
      </c>
      <c r="FE128" s="842">
        <v>44600.705555555556</v>
      </c>
      <c r="FF128" s="841" t="s">
        <v>353</v>
      </c>
      <c r="FG128" s="841" t="s">
        <v>2577</v>
      </c>
      <c r="FH128" s="841" t="s">
        <v>353</v>
      </c>
      <c r="FI128" s="841" t="s">
        <v>353</v>
      </c>
      <c r="FJ128" s="841" t="s">
        <v>353</v>
      </c>
      <c r="FK128" s="841" t="s">
        <v>353</v>
      </c>
      <c r="FL128" s="841" t="s">
        <v>353</v>
      </c>
      <c r="FM128" s="841" t="s">
        <v>353</v>
      </c>
      <c r="FN128" s="841" t="s">
        <v>353</v>
      </c>
      <c r="FO128" s="841" t="s">
        <v>1528</v>
      </c>
      <c r="FP128" s="841" t="s">
        <v>353</v>
      </c>
      <c r="FQ128" s="841" t="s">
        <v>353</v>
      </c>
      <c r="FR128" s="841" t="s">
        <v>353</v>
      </c>
      <c r="FS128" s="841" t="s">
        <v>353</v>
      </c>
      <c r="FT128" s="841" t="s">
        <v>353</v>
      </c>
      <c r="FU128" s="841" t="s">
        <v>1416</v>
      </c>
      <c r="FV128" s="841" t="s">
        <v>353</v>
      </c>
      <c r="FW128" s="841" t="s">
        <v>353</v>
      </c>
      <c r="FX128" s="841" t="s">
        <v>353</v>
      </c>
      <c r="FY128" s="841" t="s">
        <v>353</v>
      </c>
      <c r="FZ128" s="841" t="s">
        <v>353</v>
      </c>
      <c r="GA128" s="841" t="s">
        <v>353</v>
      </c>
      <c r="GB128" s="841">
        <v>1</v>
      </c>
      <c r="GC128" s="841" t="s">
        <v>353</v>
      </c>
      <c r="GD128" s="841" t="s">
        <v>1395</v>
      </c>
      <c r="GE128" s="841" t="s">
        <v>353</v>
      </c>
      <c r="GF128" s="841" t="s">
        <v>353</v>
      </c>
      <c r="GG128" s="841" t="s">
        <v>353</v>
      </c>
      <c r="GH128" s="841">
        <v>46000</v>
      </c>
      <c r="GI128" s="841" t="s">
        <v>353</v>
      </c>
      <c r="GJ128" s="841" t="s">
        <v>353</v>
      </c>
      <c r="GK128" s="841" t="s">
        <v>353</v>
      </c>
      <c r="GL128" s="841" t="s">
        <v>1497</v>
      </c>
      <c r="GM128" s="841" t="s">
        <v>353</v>
      </c>
      <c r="GN128" s="841" t="s">
        <v>353</v>
      </c>
      <c r="GO128" s="841" t="s">
        <v>353</v>
      </c>
      <c r="GP128" s="841" t="s">
        <v>353</v>
      </c>
      <c r="GQ128" s="841" t="s">
        <v>353</v>
      </c>
      <c r="GR128" s="842">
        <v>44606.477083333331</v>
      </c>
      <c r="GS128" s="841" t="s">
        <v>2573</v>
      </c>
      <c r="GT128" s="841" t="s">
        <v>353</v>
      </c>
      <c r="GU128" s="841" t="s">
        <v>353</v>
      </c>
      <c r="GV128" s="841" t="s">
        <v>1076</v>
      </c>
      <c r="GW128" s="841" t="s">
        <v>353</v>
      </c>
      <c r="GX128" s="841" t="s">
        <v>353</v>
      </c>
      <c r="GY128" s="841">
        <v>12</v>
      </c>
      <c r="GZ128" s="841" t="s">
        <v>1420</v>
      </c>
      <c r="HA128" s="841" t="s">
        <v>353</v>
      </c>
      <c r="HB128" s="841" t="s">
        <v>353</v>
      </c>
      <c r="HC128" s="841" t="s">
        <v>1421</v>
      </c>
      <c r="HD128" s="841" t="s">
        <v>2578</v>
      </c>
      <c r="HE128" s="841" t="s">
        <v>353</v>
      </c>
      <c r="HF128" s="841" t="s">
        <v>353</v>
      </c>
      <c r="HG128" s="841" t="s">
        <v>353</v>
      </c>
      <c r="HH128" s="841" t="s">
        <v>353</v>
      </c>
      <c r="HI128" s="841" t="s">
        <v>1422</v>
      </c>
      <c r="HJ128" s="841" t="s">
        <v>353</v>
      </c>
      <c r="HK128" s="841">
        <v>230000</v>
      </c>
      <c r="HL128" s="841" t="s">
        <v>353</v>
      </c>
      <c r="HM128" s="841" t="s">
        <v>1530</v>
      </c>
      <c r="HN128" s="841" t="s">
        <v>353</v>
      </c>
      <c r="HO128" s="841" t="s">
        <v>353</v>
      </c>
      <c r="HP128" s="841">
        <v>2047</v>
      </c>
      <c r="HQ128" s="841" t="s">
        <v>353</v>
      </c>
      <c r="HR128" s="841" t="s">
        <v>353</v>
      </c>
      <c r="HS128" s="841">
        <v>205436</v>
      </c>
      <c r="HT128" s="841" t="s">
        <v>353</v>
      </c>
      <c r="HU128" s="841" t="s">
        <v>353</v>
      </c>
      <c r="HV128" s="841" t="s">
        <v>353</v>
      </c>
      <c r="HW128" s="841">
        <v>350000</v>
      </c>
      <c r="HX128" s="841" t="s">
        <v>353</v>
      </c>
      <c r="HY128" s="841" t="s">
        <v>353</v>
      </c>
      <c r="HZ128" s="841" t="s">
        <v>353</v>
      </c>
      <c r="IA128" s="841" t="s">
        <v>353</v>
      </c>
      <c r="IB128" s="841" t="s">
        <v>1455</v>
      </c>
      <c r="IC128" s="841" t="s">
        <v>353</v>
      </c>
      <c r="ID128" s="841" t="s">
        <v>353</v>
      </c>
      <c r="IE128" s="841" t="s">
        <v>353</v>
      </c>
      <c r="IF128" s="841" t="s">
        <v>353</v>
      </c>
      <c r="IG128" s="841" t="s">
        <v>353</v>
      </c>
      <c r="IH128" s="841" t="s">
        <v>353</v>
      </c>
      <c r="II128" s="841" t="s">
        <v>353</v>
      </c>
      <c r="IJ128" s="841" t="s">
        <v>353</v>
      </c>
      <c r="IK128" s="841" t="s">
        <v>353</v>
      </c>
      <c r="IL128" s="841" t="s">
        <v>353</v>
      </c>
      <c r="IM128" s="841" t="s">
        <v>353</v>
      </c>
      <c r="IN128" s="841" t="s">
        <v>353</v>
      </c>
      <c r="IO128" s="841" t="s">
        <v>353</v>
      </c>
      <c r="IP128" s="841" t="s">
        <v>353</v>
      </c>
      <c r="IQ128" s="841" t="s">
        <v>353</v>
      </c>
      <c r="IR128" s="841">
        <v>12</v>
      </c>
      <c r="IS128" s="841" t="s">
        <v>33</v>
      </c>
      <c r="IT128" s="841" t="s">
        <v>353</v>
      </c>
      <c r="IU128" s="841" t="s">
        <v>353</v>
      </c>
      <c r="IV128" s="841" t="s">
        <v>353</v>
      </c>
      <c r="IW128" s="841" t="s">
        <v>353</v>
      </c>
      <c r="IX128" s="841" t="s">
        <v>353</v>
      </c>
      <c r="IY128" s="841" t="s">
        <v>1578</v>
      </c>
      <c r="IZ128" s="841" t="s">
        <v>353</v>
      </c>
      <c r="JA128" s="841">
        <v>230000</v>
      </c>
      <c r="JB128" s="841" t="s">
        <v>353</v>
      </c>
      <c r="JC128" s="841" t="s">
        <v>353</v>
      </c>
      <c r="JD128" s="841" t="s">
        <v>2579</v>
      </c>
      <c r="JE128" s="841" t="s">
        <v>353</v>
      </c>
      <c r="JF128" s="841" t="s">
        <v>353</v>
      </c>
      <c r="JG128" s="841" t="s">
        <v>353</v>
      </c>
      <c r="JH128" s="841" t="s">
        <v>1501</v>
      </c>
      <c r="JI128" s="841" t="s">
        <v>1502</v>
      </c>
    </row>
    <row r="129" spans="1:269" x14ac:dyDescent="0.25">
      <c r="A129" s="841" t="s">
        <v>2580</v>
      </c>
      <c r="B129" s="841" t="s">
        <v>353</v>
      </c>
      <c r="C129" s="841" t="s">
        <v>353</v>
      </c>
      <c r="D129" s="841" t="s">
        <v>353</v>
      </c>
      <c r="E129" s="841" t="s">
        <v>33</v>
      </c>
      <c r="F129" s="841" t="s">
        <v>1930</v>
      </c>
      <c r="G129" s="841" t="s">
        <v>1404</v>
      </c>
      <c r="H129" s="841" t="s">
        <v>353</v>
      </c>
      <c r="I129" s="841" t="s">
        <v>353</v>
      </c>
      <c r="J129" s="841" t="s">
        <v>353</v>
      </c>
      <c r="K129" s="841" t="s">
        <v>353</v>
      </c>
      <c r="L129" s="842">
        <v>44608.399305555555</v>
      </c>
      <c r="M129" s="841" t="s">
        <v>353</v>
      </c>
      <c r="N129" s="841" t="s">
        <v>33</v>
      </c>
      <c r="O129" s="841" t="s">
        <v>353</v>
      </c>
      <c r="P129" s="841" t="s">
        <v>33</v>
      </c>
      <c r="Q129" s="841" t="s">
        <v>353</v>
      </c>
      <c r="R129" s="841" t="s">
        <v>353</v>
      </c>
      <c r="S129" s="841" t="s">
        <v>67</v>
      </c>
      <c r="T129" s="841" t="s">
        <v>1390</v>
      </c>
      <c r="U129" s="841" t="s">
        <v>353</v>
      </c>
      <c r="V129" s="841" t="s">
        <v>353</v>
      </c>
      <c r="W129" s="841" t="s">
        <v>353</v>
      </c>
      <c r="X129" s="841" t="s">
        <v>1405</v>
      </c>
      <c r="Y129" s="841" t="s">
        <v>353</v>
      </c>
      <c r="Z129" s="841" t="s">
        <v>353</v>
      </c>
      <c r="AA129" s="841" t="s">
        <v>33</v>
      </c>
      <c r="AB129" s="843">
        <v>44585</v>
      </c>
      <c r="AC129" s="841">
        <v>202500</v>
      </c>
      <c r="AD129" s="841" t="s">
        <v>353</v>
      </c>
      <c r="AE129" s="841" t="s">
        <v>33</v>
      </c>
      <c r="AF129" s="841">
        <v>1085.6300000000001</v>
      </c>
      <c r="AG129" s="841" t="s">
        <v>353</v>
      </c>
      <c r="AH129" s="841">
        <v>1200</v>
      </c>
      <c r="AI129" s="841" t="s">
        <v>1592</v>
      </c>
      <c r="AJ129" s="841" t="s">
        <v>2198</v>
      </c>
      <c r="AK129" s="841">
        <v>75</v>
      </c>
      <c r="AL129" s="841" t="s">
        <v>353</v>
      </c>
      <c r="AM129" s="841" t="s">
        <v>353</v>
      </c>
      <c r="AN129" s="841" t="s">
        <v>33</v>
      </c>
      <c r="AO129" s="841" t="s">
        <v>353</v>
      </c>
      <c r="AP129" s="841" t="s">
        <v>353</v>
      </c>
      <c r="AQ129" s="841" t="s">
        <v>353</v>
      </c>
      <c r="AR129" s="841" t="s">
        <v>33</v>
      </c>
      <c r="AS129" s="841" t="s">
        <v>353</v>
      </c>
      <c r="AT129" s="841" t="s">
        <v>353</v>
      </c>
      <c r="AU129" s="841" t="s">
        <v>353</v>
      </c>
      <c r="AV129" s="841" t="s">
        <v>353</v>
      </c>
      <c r="AW129" s="843">
        <v>44580</v>
      </c>
      <c r="AX129" s="841" t="s">
        <v>353</v>
      </c>
      <c r="AY129" s="841" t="s">
        <v>353</v>
      </c>
      <c r="AZ129" s="841" t="s">
        <v>353</v>
      </c>
      <c r="BA129" s="841" t="s">
        <v>353</v>
      </c>
      <c r="BB129" s="841" t="s">
        <v>353</v>
      </c>
      <c r="BC129" s="841">
        <v>217806</v>
      </c>
      <c r="BD129" s="841" t="s">
        <v>353</v>
      </c>
      <c r="BE129" s="841" t="s">
        <v>353</v>
      </c>
      <c r="BF129" s="841" t="s">
        <v>353</v>
      </c>
      <c r="BG129" s="841" t="s">
        <v>353</v>
      </c>
      <c r="BH129" s="841" t="s">
        <v>353</v>
      </c>
      <c r="BI129" s="841" t="s">
        <v>353</v>
      </c>
      <c r="BJ129" s="841" t="s">
        <v>353</v>
      </c>
      <c r="BK129" s="841" t="s">
        <v>353</v>
      </c>
      <c r="BL129" s="841" t="s">
        <v>2287</v>
      </c>
      <c r="BM129" s="842">
        <v>44592.71875</v>
      </c>
      <c r="BN129" s="841" t="s">
        <v>353</v>
      </c>
      <c r="BO129" s="841" t="s">
        <v>353</v>
      </c>
      <c r="BP129" s="841" t="s">
        <v>33</v>
      </c>
      <c r="BQ129" s="841" t="s">
        <v>353</v>
      </c>
      <c r="BR129" s="841" t="s">
        <v>353</v>
      </c>
      <c r="BS129" s="841" t="s">
        <v>353</v>
      </c>
      <c r="BT129" s="841">
        <v>225000</v>
      </c>
      <c r="BU129" s="841" t="s">
        <v>353</v>
      </c>
      <c r="BV129" s="841" t="s">
        <v>2471</v>
      </c>
      <c r="BW129" s="841" t="s">
        <v>2581</v>
      </c>
      <c r="BX129" s="841" t="s">
        <v>2582</v>
      </c>
      <c r="BY129" s="841" t="s">
        <v>353</v>
      </c>
      <c r="BZ129" s="841" t="s">
        <v>353</v>
      </c>
      <c r="CA129" s="841" t="s">
        <v>353</v>
      </c>
      <c r="CB129" s="841" t="s">
        <v>353</v>
      </c>
      <c r="CC129" s="841" t="s">
        <v>353</v>
      </c>
      <c r="CD129" s="841" t="s">
        <v>353</v>
      </c>
      <c r="CE129" s="841" t="s">
        <v>353</v>
      </c>
      <c r="CF129" s="841" t="s">
        <v>353</v>
      </c>
      <c r="CG129" s="841" t="s">
        <v>353</v>
      </c>
      <c r="CH129" s="841" t="s">
        <v>353</v>
      </c>
      <c r="CI129" s="841" t="s">
        <v>33</v>
      </c>
      <c r="CJ129" s="841">
        <v>975</v>
      </c>
      <c r="CK129" s="841">
        <v>29</v>
      </c>
      <c r="CL129" s="841" t="s">
        <v>353</v>
      </c>
      <c r="CM129" s="841">
        <v>32</v>
      </c>
      <c r="CN129" s="841" t="s">
        <v>353</v>
      </c>
      <c r="CO129" s="841" t="s">
        <v>353</v>
      </c>
      <c r="CP129" s="841" t="s">
        <v>2583</v>
      </c>
      <c r="CQ129" s="841" t="s">
        <v>353</v>
      </c>
      <c r="CR129" s="841" t="s">
        <v>353</v>
      </c>
      <c r="CS129" s="841" t="s">
        <v>353</v>
      </c>
      <c r="CT129" s="841" t="s">
        <v>353</v>
      </c>
      <c r="CU129" s="841" t="s">
        <v>1391</v>
      </c>
      <c r="CV129" s="841" t="s">
        <v>353</v>
      </c>
      <c r="CW129" s="841" t="s">
        <v>353</v>
      </c>
      <c r="CX129" s="841" t="s">
        <v>353</v>
      </c>
      <c r="CY129" s="841" t="s">
        <v>353</v>
      </c>
      <c r="CZ129" s="841">
        <v>2</v>
      </c>
      <c r="DA129" s="841" t="s">
        <v>353</v>
      </c>
      <c r="DB129" s="843">
        <v>44596</v>
      </c>
      <c r="DC129" s="841" t="s">
        <v>353</v>
      </c>
      <c r="DD129" s="841" t="s">
        <v>353</v>
      </c>
      <c r="DE129" s="841" t="s">
        <v>353</v>
      </c>
      <c r="DF129" s="841">
        <v>21</v>
      </c>
      <c r="DG129" s="841" t="s">
        <v>353</v>
      </c>
      <c r="DH129" s="841" t="s">
        <v>353</v>
      </c>
      <c r="DI129" s="841" t="s">
        <v>353</v>
      </c>
      <c r="DJ129" s="841" t="s">
        <v>2584</v>
      </c>
      <c r="DK129" s="841" t="s">
        <v>353</v>
      </c>
      <c r="DL129" s="842">
        <v>44572.71875</v>
      </c>
      <c r="DM129" s="841" t="s">
        <v>353</v>
      </c>
      <c r="DN129" s="841" t="s">
        <v>33</v>
      </c>
      <c r="DO129" s="841" t="s">
        <v>353</v>
      </c>
      <c r="DP129" s="841" t="s">
        <v>353</v>
      </c>
      <c r="DQ129" s="841" t="s">
        <v>1434</v>
      </c>
      <c r="DR129" s="841" t="s">
        <v>353</v>
      </c>
      <c r="DS129" s="841">
        <v>21</v>
      </c>
      <c r="DT129" s="841" t="s">
        <v>353</v>
      </c>
      <c r="DU129" s="841" t="s">
        <v>353</v>
      </c>
      <c r="DV129" s="841" t="s">
        <v>353</v>
      </c>
      <c r="DW129" s="841">
        <v>225000</v>
      </c>
      <c r="DX129" s="841" t="s">
        <v>33</v>
      </c>
      <c r="DY129" s="841" t="s">
        <v>353</v>
      </c>
      <c r="DZ129" s="841">
        <v>2100</v>
      </c>
      <c r="EA129" s="841" t="s">
        <v>353</v>
      </c>
      <c r="EB129" s="841" t="s">
        <v>353</v>
      </c>
      <c r="EC129" s="841" t="s">
        <v>353</v>
      </c>
      <c r="ED129" s="841" t="s">
        <v>353</v>
      </c>
      <c r="EE129" s="841" t="s">
        <v>33</v>
      </c>
      <c r="EF129" s="841" t="s">
        <v>353</v>
      </c>
      <c r="EG129" s="841" t="s">
        <v>353</v>
      </c>
      <c r="EH129" s="841" t="s">
        <v>33</v>
      </c>
      <c r="EI129" s="841">
        <v>39082.5</v>
      </c>
      <c r="EJ129" s="841" t="s">
        <v>353</v>
      </c>
      <c r="EK129" s="841" t="s">
        <v>353</v>
      </c>
      <c r="EL129" s="841" t="s">
        <v>1930</v>
      </c>
      <c r="EM129" s="841" t="s">
        <v>353</v>
      </c>
      <c r="EN129" s="841" t="s">
        <v>353</v>
      </c>
      <c r="EO129" s="841" t="s">
        <v>353</v>
      </c>
      <c r="EP129" s="841" t="s">
        <v>353</v>
      </c>
      <c r="EQ129" s="841" t="s">
        <v>353</v>
      </c>
      <c r="ER129" s="841" t="s">
        <v>353</v>
      </c>
      <c r="ES129" s="841" t="s">
        <v>33</v>
      </c>
      <c r="ET129" s="841" t="s">
        <v>1496</v>
      </c>
      <c r="EU129" s="841" t="s">
        <v>1712</v>
      </c>
      <c r="EV129" s="841" t="s">
        <v>353</v>
      </c>
      <c r="EW129" s="841" t="s">
        <v>353</v>
      </c>
      <c r="EX129" s="841" t="s">
        <v>33</v>
      </c>
      <c r="EY129" s="842">
        <v>44578.434027777781</v>
      </c>
      <c r="EZ129" s="841" t="s">
        <v>353</v>
      </c>
      <c r="FA129" s="841" t="s">
        <v>353</v>
      </c>
      <c r="FB129" s="841" t="s">
        <v>353</v>
      </c>
      <c r="FC129" s="841" t="s">
        <v>353</v>
      </c>
      <c r="FD129" s="841" t="s">
        <v>353</v>
      </c>
      <c r="FE129" s="842">
        <v>44572.719444444447</v>
      </c>
      <c r="FF129" s="841" t="s">
        <v>353</v>
      </c>
      <c r="FG129" s="841" t="s">
        <v>353</v>
      </c>
      <c r="FH129" s="841" t="s">
        <v>353</v>
      </c>
      <c r="FI129" s="841" t="s">
        <v>353</v>
      </c>
      <c r="FJ129" s="841" t="s">
        <v>353</v>
      </c>
      <c r="FK129" s="841" t="s">
        <v>353</v>
      </c>
      <c r="FL129" s="841" t="s">
        <v>353</v>
      </c>
      <c r="FM129" s="841" t="s">
        <v>353</v>
      </c>
      <c r="FN129" s="841" t="s">
        <v>353</v>
      </c>
      <c r="FO129" s="841" t="s">
        <v>1528</v>
      </c>
      <c r="FP129" s="841" t="s">
        <v>353</v>
      </c>
      <c r="FQ129" s="841" t="s">
        <v>353</v>
      </c>
      <c r="FR129" s="841" t="s">
        <v>353</v>
      </c>
      <c r="FS129" s="841" t="s">
        <v>353</v>
      </c>
      <c r="FT129" s="841" t="s">
        <v>353</v>
      </c>
      <c r="FU129" s="841" t="s">
        <v>2203</v>
      </c>
      <c r="FV129" s="841" t="s">
        <v>353</v>
      </c>
      <c r="FW129" s="841" t="s">
        <v>353</v>
      </c>
      <c r="FX129" s="841" t="s">
        <v>353</v>
      </c>
      <c r="FY129" s="841" t="s">
        <v>353</v>
      </c>
      <c r="FZ129" s="841" t="s">
        <v>353</v>
      </c>
      <c r="GA129" s="841" t="s">
        <v>353</v>
      </c>
      <c r="GB129" s="841">
        <v>1</v>
      </c>
      <c r="GC129" s="841" t="s">
        <v>353</v>
      </c>
      <c r="GD129" s="841" t="s">
        <v>1417</v>
      </c>
      <c r="GE129" s="841" t="s">
        <v>353</v>
      </c>
      <c r="GF129" s="841">
        <v>2100</v>
      </c>
      <c r="GG129" s="841" t="s">
        <v>353</v>
      </c>
      <c r="GH129" s="841">
        <v>202500</v>
      </c>
      <c r="GI129" s="841" t="s">
        <v>353</v>
      </c>
      <c r="GJ129" s="841" t="s">
        <v>353</v>
      </c>
      <c r="GK129" s="841" t="s">
        <v>353</v>
      </c>
      <c r="GL129" s="841" t="s">
        <v>1437</v>
      </c>
      <c r="GM129" s="841" t="s">
        <v>353</v>
      </c>
      <c r="GN129" s="841" t="s">
        <v>353</v>
      </c>
      <c r="GO129" s="841" t="s">
        <v>353</v>
      </c>
      <c r="GP129" s="841" t="s">
        <v>353</v>
      </c>
      <c r="GQ129" s="841" t="s">
        <v>353</v>
      </c>
      <c r="GR129" s="842">
        <v>44572.713888888888</v>
      </c>
      <c r="GS129" s="841" t="s">
        <v>2475</v>
      </c>
      <c r="GT129" s="841" t="s">
        <v>353</v>
      </c>
      <c r="GU129" s="841" t="s">
        <v>353</v>
      </c>
      <c r="GV129" s="841" t="s">
        <v>1419</v>
      </c>
      <c r="GW129" s="841" t="s">
        <v>353</v>
      </c>
      <c r="GX129" s="841" t="s">
        <v>2476</v>
      </c>
      <c r="GY129" s="841">
        <v>24</v>
      </c>
      <c r="GZ129" s="841" t="s">
        <v>1420</v>
      </c>
      <c r="HA129" s="841" t="s">
        <v>353</v>
      </c>
      <c r="HB129" s="841" t="s">
        <v>353</v>
      </c>
      <c r="HC129" s="841" t="s">
        <v>1421</v>
      </c>
      <c r="HD129" s="841" t="s">
        <v>2585</v>
      </c>
      <c r="HE129" s="841">
        <v>4500</v>
      </c>
      <c r="HF129" s="841" t="s">
        <v>353</v>
      </c>
      <c r="HG129" s="841" t="s">
        <v>353</v>
      </c>
      <c r="HH129" s="841">
        <v>855</v>
      </c>
      <c r="HI129" s="841" t="s">
        <v>1422</v>
      </c>
      <c r="HJ129" s="841" t="s">
        <v>353</v>
      </c>
      <c r="HK129" s="841">
        <v>225000</v>
      </c>
      <c r="HL129" s="841" t="s">
        <v>49</v>
      </c>
      <c r="HM129" s="841" t="s">
        <v>1423</v>
      </c>
      <c r="HN129" s="841" t="s">
        <v>353</v>
      </c>
      <c r="HO129" s="841" t="s">
        <v>353</v>
      </c>
      <c r="HP129" s="841">
        <v>13027.5</v>
      </c>
      <c r="HQ129" s="841" t="s">
        <v>353</v>
      </c>
      <c r="HR129" s="841" t="s">
        <v>353</v>
      </c>
      <c r="HS129" s="841" t="s">
        <v>353</v>
      </c>
      <c r="HT129" s="841" t="s">
        <v>353</v>
      </c>
      <c r="HU129" s="841" t="s">
        <v>353</v>
      </c>
      <c r="HV129" s="841" t="s">
        <v>353</v>
      </c>
      <c r="HW129" s="841">
        <v>300000</v>
      </c>
      <c r="HX129" s="841" t="s">
        <v>353</v>
      </c>
      <c r="HY129" s="841" t="s">
        <v>353</v>
      </c>
      <c r="HZ129" s="841" t="s">
        <v>353</v>
      </c>
      <c r="IA129" s="841" t="s">
        <v>353</v>
      </c>
      <c r="IB129" s="841" t="s">
        <v>1424</v>
      </c>
      <c r="IC129" s="841" t="s">
        <v>353</v>
      </c>
      <c r="ID129" s="841" t="s">
        <v>353</v>
      </c>
      <c r="IE129" s="841" t="s">
        <v>353</v>
      </c>
      <c r="IF129" s="841" t="s">
        <v>353</v>
      </c>
      <c r="IG129" s="841" t="s">
        <v>353</v>
      </c>
      <c r="IH129" s="841" t="s">
        <v>353</v>
      </c>
      <c r="II129" s="841" t="s">
        <v>353</v>
      </c>
      <c r="IJ129" s="841" t="s">
        <v>353</v>
      </c>
      <c r="IK129" s="841" t="s">
        <v>353</v>
      </c>
      <c r="IL129" s="841">
        <v>221744</v>
      </c>
      <c r="IM129" s="841" t="s">
        <v>353</v>
      </c>
      <c r="IN129" s="841" t="s">
        <v>353</v>
      </c>
      <c r="IO129" s="841">
        <v>199</v>
      </c>
      <c r="IP129" s="841" t="s">
        <v>353</v>
      </c>
      <c r="IQ129" s="841" t="s">
        <v>353</v>
      </c>
      <c r="IR129" s="841">
        <v>3</v>
      </c>
      <c r="IS129" s="841" t="s">
        <v>33</v>
      </c>
      <c r="IT129" s="841" t="s">
        <v>353</v>
      </c>
      <c r="IU129" s="841" t="s">
        <v>353</v>
      </c>
      <c r="IV129" s="841" t="s">
        <v>353</v>
      </c>
      <c r="IW129" s="841" t="s">
        <v>353</v>
      </c>
      <c r="IX129" s="841" t="s">
        <v>353</v>
      </c>
      <c r="IY129" s="841" t="s">
        <v>1578</v>
      </c>
      <c r="IZ129" s="841" t="s">
        <v>353</v>
      </c>
      <c r="JA129" s="841">
        <v>225000</v>
      </c>
      <c r="JB129" s="841" t="s">
        <v>353</v>
      </c>
      <c r="JC129" s="841" t="s">
        <v>353</v>
      </c>
      <c r="JD129" s="841" t="s">
        <v>1413</v>
      </c>
      <c r="JE129" s="841" t="s">
        <v>33</v>
      </c>
      <c r="JF129" s="841" t="s">
        <v>1514</v>
      </c>
      <c r="JG129" s="841" t="s">
        <v>1515</v>
      </c>
      <c r="JH129" s="841" t="s">
        <v>1516</v>
      </c>
      <c r="JI129" s="841" t="s">
        <v>1517</v>
      </c>
    </row>
    <row r="130" spans="1:269" x14ac:dyDescent="0.25">
      <c r="A130" s="841" t="s">
        <v>2586</v>
      </c>
      <c r="B130" s="841" t="s">
        <v>353</v>
      </c>
      <c r="C130" s="841" t="s">
        <v>353</v>
      </c>
      <c r="D130" s="841" t="s">
        <v>353</v>
      </c>
      <c r="E130" s="841" t="s">
        <v>353</v>
      </c>
      <c r="F130" s="841" t="s">
        <v>353</v>
      </c>
      <c r="G130" s="841" t="s">
        <v>1428</v>
      </c>
      <c r="H130" s="841" t="s">
        <v>353</v>
      </c>
      <c r="I130" s="841" t="s">
        <v>353</v>
      </c>
      <c r="J130" s="841" t="s">
        <v>353</v>
      </c>
      <c r="K130" s="841" t="s">
        <v>353</v>
      </c>
      <c r="L130" s="842">
        <v>44607.561111111114</v>
      </c>
      <c r="M130" s="841" t="s">
        <v>353</v>
      </c>
      <c r="N130" s="841" t="s">
        <v>353</v>
      </c>
      <c r="O130" s="841" t="s">
        <v>353</v>
      </c>
      <c r="P130" s="841" t="s">
        <v>353</v>
      </c>
      <c r="Q130" s="841" t="s">
        <v>353</v>
      </c>
      <c r="R130" s="841" t="s">
        <v>353</v>
      </c>
      <c r="S130" s="841" t="s">
        <v>67</v>
      </c>
      <c r="T130" s="841" t="s">
        <v>1390</v>
      </c>
      <c r="U130" s="841" t="s">
        <v>353</v>
      </c>
      <c r="V130" s="841" t="s">
        <v>353</v>
      </c>
      <c r="W130" s="841" t="s">
        <v>353</v>
      </c>
      <c r="X130" s="841" t="s">
        <v>1405</v>
      </c>
      <c r="Y130" s="841" t="s">
        <v>353</v>
      </c>
      <c r="Z130" s="841" t="s">
        <v>353</v>
      </c>
      <c r="AA130" s="841" t="s">
        <v>353</v>
      </c>
      <c r="AB130" s="841" t="s">
        <v>353</v>
      </c>
      <c r="AC130" s="841">
        <v>42600</v>
      </c>
      <c r="AD130" s="841" t="s">
        <v>353</v>
      </c>
      <c r="AE130" s="841" t="s">
        <v>353</v>
      </c>
      <c r="AF130" s="841">
        <v>1027.73</v>
      </c>
      <c r="AG130" s="841" t="s">
        <v>353</v>
      </c>
      <c r="AH130" s="841">
        <v>1800</v>
      </c>
      <c r="AI130" s="841" t="s">
        <v>1521</v>
      </c>
      <c r="AJ130" s="841" t="s">
        <v>353</v>
      </c>
      <c r="AK130" s="841">
        <v>70</v>
      </c>
      <c r="AL130" s="841" t="s">
        <v>353</v>
      </c>
      <c r="AM130" s="841" t="s">
        <v>353</v>
      </c>
      <c r="AN130" s="841" t="s">
        <v>353</v>
      </c>
      <c r="AO130" s="841" t="s">
        <v>353</v>
      </c>
      <c r="AP130" s="841" t="s">
        <v>353</v>
      </c>
      <c r="AQ130" s="841" t="s">
        <v>353</v>
      </c>
      <c r="AR130" s="841" t="s">
        <v>353</v>
      </c>
      <c r="AS130" s="841" t="s">
        <v>353</v>
      </c>
      <c r="AT130" s="841" t="s">
        <v>353</v>
      </c>
      <c r="AU130" s="841" t="s">
        <v>353</v>
      </c>
      <c r="AV130" s="841" t="s">
        <v>353</v>
      </c>
      <c r="AW130" s="841" t="s">
        <v>353</v>
      </c>
      <c r="AX130" s="841" t="s">
        <v>353</v>
      </c>
      <c r="AY130" s="841" t="s">
        <v>353</v>
      </c>
      <c r="AZ130" s="841" t="s">
        <v>353</v>
      </c>
      <c r="BA130" s="841" t="s">
        <v>353</v>
      </c>
      <c r="BB130" s="841" t="s">
        <v>353</v>
      </c>
      <c r="BC130" s="841">
        <v>209273</v>
      </c>
      <c r="BD130" s="841" t="s">
        <v>353</v>
      </c>
      <c r="BE130" s="841" t="s">
        <v>353</v>
      </c>
      <c r="BF130" s="841" t="s">
        <v>353</v>
      </c>
      <c r="BG130" s="841" t="s">
        <v>353</v>
      </c>
      <c r="BH130" s="841" t="s">
        <v>353</v>
      </c>
      <c r="BI130" s="841" t="s">
        <v>353</v>
      </c>
      <c r="BJ130" s="841" t="s">
        <v>353</v>
      </c>
      <c r="BK130" s="841" t="s">
        <v>353</v>
      </c>
      <c r="BL130" s="841" t="s">
        <v>2587</v>
      </c>
      <c r="BM130" s="842">
        <v>44592.65</v>
      </c>
      <c r="BN130" s="841" t="s">
        <v>353</v>
      </c>
      <c r="BO130" s="841" t="s">
        <v>353</v>
      </c>
      <c r="BP130" s="841" t="s">
        <v>353</v>
      </c>
      <c r="BQ130" s="841" t="s">
        <v>353</v>
      </c>
      <c r="BR130" s="841" t="s">
        <v>353</v>
      </c>
      <c r="BS130" s="841" t="s">
        <v>353</v>
      </c>
      <c r="BT130" s="841">
        <v>213000</v>
      </c>
      <c r="BU130" s="841" t="s">
        <v>353</v>
      </c>
      <c r="BV130" s="841" t="s">
        <v>2588</v>
      </c>
      <c r="BW130" s="841" t="s">
        <v>353</v>
      </c>
      <c r="BX130" s="841" t="s">
        <v>2589</v>
      </c>
      <c r="BY130" s="841" t="s">
        <v>353</v>
      </c>
      <c r="BZ130" s="841" t="s">
        <v>353</v>
      </c>
      <c r="CA130" s="841" t="s">
        <v>353</v>
      </c>
      <c r="CB130" s="841" t="s">
        <v>353</v>
      </c>
      <c r="CC130" s="841" t="s">
        <v>353</v>
      </c>
      <c r="CD130" s="841" t="s">
        <v>353</v>
      </c>
      <c r="CE130" s="841" t="s">
        <v>353</v>
      </c>
      <c r="CF130" s="841" t="s">
        <v>353</v>
      </c>
      <c r="CG130" s="841" t="s">
        <v>353</v>
      </c>
      <c r="CH130" s="841" t="s">
        <v>353</v>
      </c>
      <c r="CI130" s="841" t="s">
        <v>353</v>
      </c>
      <c r="CJ130" s="841" t="s">
        <v>353</v>
      </c>
      <c r="CK130" s="841">
        <v>11</v>
      </c>
      <c r="CL130" s="841" t="s">
        <v>353</v>
      </c>
      <c r="CM130" s="841">
        <v>13</v>
      </c>
      <c r="CN130" s="841" t="s">
        <v>353</v>
      </c>
      <c r="CO130" s="841" t="s">
        <v>353</v>
      </c>
      <c r="CP130" s="841" t="s">
        <v>2590</v>
      </c>
      <c r="CQ130" s="841" t="s">
        <v>353</v>
      </c>
      <c r="CR130" s="841" t="s">
        <v>353</v>
      </c>
      <c r="CS130" s="841" t="s">
        <v>353</v>
      </c>
      <c r="CT130" s="841" t="s">
        <v>353</v>
      </c>
      <c r="CU130" s="841" t="s">
        <v>1391</v>
      </c>
      <c r="CV130" s="841" t="s">
        <v>353</v>
      </c>
      <c r="CW130" s="841" t="s">
        <v>353</v>
      </c>
      <c r="CX130" s="841" t="s">
        <v>353</v>
      </c>
      <c r="CY130" s="841" t="s">
        <v>353</v>
      </c>
      <c r="CZ130" s="841" t="s">
        <v>353</v>
      </c>
      <c r="DA130" s="841" t="s">
        <v>353</v>
      </c>
      <c r="DB130" s="841" t="s">
        <v>353</v>
      </c>
      <c r="DC130" s="841" t="s">
        <v>353</v>
      </c>
      <c r="DD130" s="841" t="s">
        <v>353</v>
      </c>
      <c r="DE130" s="841" t="s">
        <v>353</v>
      </c>
      <c r="DF130" s="841">
        <v>24</v>
      </c>
      <c r="DG130" s="841" t="s">
        <v>353</v>
      </c>
      <c r="DH130" s="841" t="s">
        <v>353</v>
      </c>
      <c r="DI130" s="841" t="s">
        <v>353</v>
      </c>
      <c r="DJ130" s="841" t="s">
        <v>2591</v>
      </c>
      <c r="DK130" s="841" t="s">
        <v>353</v>
      </c>
      <c r="DL130" s="842">
        <v>44572.65</v>
      </c>
      <c r="DM130" s="841" t="s">
        <v>353</v>
      </c>
      <c r="DN130" s="841" t="s">
        <v>353</v>
      </c>
      <c r="DO130" s="841" t="s">
        <v>353</v>
      </c>
      <c r="DP130" s="841" t="s">
        <v>353</v>
      </c>
      <c r="DQ130" s="841" t="s">
        <v>1434</v>
      </c>
      <c r="DR130" s="841">
        <v>305000</v>
      </c>
      <c r="DS130" s="841">
        <v>24</v>
      </c>
      <c r="DT130" s="841" t="s">
        <v>353</v>
      </c>
      <c r="DU130" s="841" t="s">
        <v>353</v>
      </c>
      <c r="DV130" s="841" t="s">
        <v>353</v>
      </c>
      <c r="DW130" s="841">
        <v>213000</v>
      </c>
      <c r="DX130" s="841" t="s">
        <v>353</v>
      </c>
      <c r="DY130" s="841" t="s">
        <v>353</v>
      </c>
      <c r="DZ130" s="841" t="s">
        <v>353</v>
      </c>
      <c r="EA130" s="841" t="s">
        <v>353</v>
      </c>
      <c r="EB130" s="841" t="s">
        <v>353</v>
      </c>
      <c r="EC130" s="841" t="s">
        <v>353</v>
      </c>
      <c r="ED130" s="841" t="s">
        <v>353</v>
      </c>
      <c r="EE130" s="841" t="s">
        <v>353</v>
      </c>
      <c r="EF130" s="841" t="s">
        <v>353</v>
      </c>
      <c r="EG130" s="841" t="s">
        <v>353</v>
      </c>
      <c r="EH130" s="841" t="s">
        <v>353</v>
      </c>
      <c r="EI130" s="841">
        <v>0</v>
      </c>
      <c r="EJ130" s="841" t="s">
        <v>353</v>
      </c>
      <c r="EK130" s="841" t="s">
        <v>353</v>
      </c>
      <c r="EL130" s="841" t="s">
        <v>353</v>
      </c>
      <c r="EM130" s="841" t="s">
        <v>353</v>
      </c>
      <c r="EN130" s="841" t="s">
        <v>353</v>
      </c>
      <c r="EO130" s="841" t="s">
        <v>353</v>
      </c>
      <c r="EP130" s="841" t="s">
        <v>353</v>
      </c>
      <c r="EQ130" s="841" t="s">
        <v>353</v>
      </c>
      <c r="ER130" s="841" t="s">
        <v>353</v>
      </c>
      <c r="ES130" s="841" t="s">
        <v>353</v>
      </c>
      <c r="ET130" s="841" t="s">
        <v>1436</v>
      </c>
      <c r="EU130" s="841" t="s">
        <v>353</v>
      </c>
      <c r="EV130" s="841" t="s">
        <v>353</v>
      </c>
      <c r="EW130" s="841" t="s">
        <v>353</v>
      </c>
      <c r="EX130" s="841" t="s">
        <v>353</v>
      </c>
      <c r="EY130" s="842">
        <v>44607.380555555559</v>
      </c>
      <c r="EZ130" s="842">
        <v>44614.791666666664</v>
      </c>
      <c r="FA130" s="841" t="s">
        <v>353</v>
      </c>
      <c r="FB130" s="841" t="s">
        <v>353</v>
      </c>
      <c r="FC130" s="841" t="s">
        <v>353</v>
      </c>
      <c r="FD130" s="841" t="s">
        <v>353</v>
      </c>
      <c r="FE130" s="842">
        <v>44606.429861111108</v>
      </c>
      <c r="FF130" s="841" t="s">
        <v>353</v>
      </c>
      <c r="FG130" s="841" t="s">
        <v>353</v>
      </c>
      <c r="FH130" s="841" t="s">
        <v>353</v>
      </c>
      <c r="FI130" s="841" t="s">
        <v>353</v>
      </c>
      <c r="FJ130" s="841" t="s">
        <v>353</v>
      </c>
      <c r="FK130" s="841" t="s">
        <v>353</v>
      </c>
      <c r="FL130" s="841" t="s">
        <v>353</v>
      </c>
      <c r="FM130" s="841" t="s">
        <v>353</v>
      </c>
      <c r="FN130" s="841" t="s">
        <v>353</v>
      </c>
      <c r="FO130" s="841" t="s">
        <v>1648</v>
      </c>
      <c r="FP130" s="841" t="s">
        <v>353</v>
      </c>
      <c r="FQ130" s="841" t="s">
        <v>353</v>
      </c>
      <c r="FR130" s="841" t="s">
        <v>353</v>
      </c>
      <c r="FS130" s="841" t="s">
        <v>353</v>
      </c>
      <c r="FT130" s="841" t="s">
        <v>353</v>
      </c>
      <c r="FU130" s="841" t="s">
        <v>1416</v>
      </c>
      <c r="FV130" s="841" t="s">
        <v>353</v>
      </c>
      <c r="FW130" s="841" t="s">
        <v>353</v>
      </c>
      <c r="FX130" s="841" t="s">
        <v>353</v>
      </c>
      <c r="FY130" s="841" t="s">
        <v>353</v>
      </c>
      <c r="FZ130" s="841" t="s">
        <v>353</v>
      </c>
      <c r="GA130" s="841" t="s">
        <v>353</v>
      </c>
      <c r="GB130" s="841">
        <v>1</v>
      </c>
      <c r="GC130" s="841" t="s">
        <v>353</v>
      </c>
      <c r="GD130" s="841" t="s">
        <v>1417</v>
      </c>
      <c r="GE130" s="841" t="s">
        <v>353</v>
      </c>
      <c r="GF130" s="841" t="s">
        <v>353</v>
      </c>
      <c r="GG130" s="841" t="s">
        <v>353</v>
      </c>
      <c r="GH130" s="841">
        <v>42600</v>
      </c>
      <c r="GI130" s="841" t="s">
        <v>353</v>
      </c>
      <c r="GJ130" s="841" t="s">
        <v>353</v>
      </c>
      <c r="GK130" s="841" t="s">
        <v>353</v>
      </c>
      <c r="GL130" s="841" t="s">
        <v>1437</v>
      </c>
      <c r="GM130" s="841" t="s">
        <v>353</v>
      </c>
      <c r="GN130" s="841" t="s">
        <v>353</v>
      </c>
      <c r="GO130" s="841" t="s">
        <v>353</v>
      </c>
      <c r="GP130" s="841" t="s">
        <v>353</v>
      </c>
      <c r="GQ130" s="841" t="s">
        <v>353</v>
      </c>
      <c r="GR130" s="842">
        <v>44607.380555555559</v>
      </c>
      <c r="GS130" s="841" t="s">
        <v>2588</v>
      </c>
      <c r="GT130" s="841" t="s">
        <v>353</v>
      </c>
      <c r="GU130" s="841" t="s">
        <v>353</v>
      </c>
      <c r="GV130" s="841" t="s">
        <v>1076</v>
      </c>
      <c r="GW130" s="841" t="s">
        <v>353</v>
      </c>
      <c r="GX130" s="841" t="s">
        <v>353</v>
      </c>
      <c r="GY130" s="841">
        <v>24</v>
      </c>
      <c r="GZ130" s="841" t="s">
        <v>1413</v>
      </c>
      <c r="HA130" s="841" t="s">
        <v>353</v>
      </c>
      <c r="HB130" s="841" t="s">
        <v>353</v>
      </c>
      <c r="HC130" s="841" t="s">
        <v>1421</v>
      </c>
      <c r="HD130" s="841" t="s">
        <v>2592</v>
      </c>
      <c r="HE130" s="841" t="s">
        <v>353</v>
      </c>
      <c r="HF130" s="841" t="s">
        <v>353</v>
      </c>
      <c r="HG130" s="841" t="s">
        <v>353</v>
      </c>
      <c r="HH130" s="841" t="s">
        <v>353</v>
      </c>
      <c r="HI130" s="841" t="s">
        <v>1422</v>
      </c>
      <c r="HJ130" s="841" t="s">
        <v>353</v>
      </c>
      <c r="HK130" s="841">
        <v>213000</v>
      </c>
      <c r="HL130" s="841" t="s">
        <v>353</v>
      </c>
      <c r="HM130" s="841" t="s">
        <v>1530</v>
      </c>
      <c r="HN130" s="841" t="s">
        <v>353</v>
      </c>
      <c r="HO130" s="841" t="s">
        <v>353</v>
      </c>
      <c r="HP130" s="841">
        <v>12332.7</v>
      </c>
      <c r="HQ130" s="841" t="s">
        <v>353</v>
      </c>
      <c r="HR130" s="841" t="s">
        <v>353</v>
      </c>
      <c r="HS130" s="841" t="s">
        <v>353</v>
      </c>
      <c r="HT130" s="841" t="s">
        <v>353</v>
      </c>
      <c r="HU130" s="841" t="s">
        <v>353</v>
      </c>
      <c r="HV130" s="841" t="s">
        <v>353</v>
      </c>
      <c r="HW130" s="841">
        <v>305000</v>
      </c>
      <c r="HX130" s="841" t="s">
        <v>353</v>
      </c>
      <c r="HY130" s="841" t="s">
        <v>353</v>
      </c>
      <c r="HZ130" s="841" t="s">
        <v>353</v>
      </c>
      <c r="IA130" s="841" t="s">
        <v>353</v>
      </c>
      <c r="IB130" s="841" t="s">
        <v>1424</v>
      </c>
      <c r="IC130" s="841" t="s">
        <v>353</v>
      </c>
      <c r="ID130" s="841" t="s">
        <v>353</v>
      </c>
      <c r="IE130" s="841" t="s">
        <v>353</v>
      </c>
      <c r="IF130" s="841" t="s">
        <v>353</v>
      </c>
      <c r="IG130" s="841" t="s">
        <v>353</v>
      </c>
      <c r="IH130" s="841" t="s">
        <v>353</v>
      </c>
      <c r="II130" s="841" t="s">
        <v>353</v>
      </c>
      <c r="IJ130" s="841" t="s">
        <v>353</v>
      </c>
      <c r="IK130" s="841" t="s">
        <v>353</v>
      </c>
      <c r="IL130" s="841">
        <v>213000</v>
      </c>
      <c r="IM130" s="841" t="s">
        <v>353</v>
      </c>
      <c r="IN130" s="841" t="s">
        <v>353</v>
      </c>
      <c r="IO130" s="841" t="s">
        <v>353</v>
      </c>
      <c r="IP130" s="841" t="s">
        <v>353</v>
      </c>
      <c r="IQ130" s="841" t="s">
        <v>353</v>
      </c>
      <c r="IR130" s="841">
        <v>0</v>
      </c>
      <c r="IS130" s="841" t="s">
        <v>353</v>
      </c>
      <c r="IT130" s="841" t="s">
        <v>353</v>
      </c>
      <c r="IU130" s="841" t="s">
        <v>353</v>
      </c>
      <c r="IV130" s="841" t="s">
        <v>353</v>
      </c>
      <c r="IW130" s="841" t="s">
        <v>353</v>
      </c>
      <c r="IX130" s="841" t="s">
        <v>353</v>
      </c>
      <c r="IY130" s="841" t="s">
        <v>353</v>
      </c>
      <c r="IZ130" s="841" t="s">
        <v>353</v>
      </c>
      <c r="JA130" s="841">
        <v>213000</v>
      </c>
      <c r="JB130" s="841" t="s">
        <v>353</v>
      </c>
      <c r="JC130" s="841" t="s">
        <v>353</v>
      </c>
      <c r="JD130" s="841" t="s">
        <v>1413</v>
      </c>
      <c r="JE130" s="841" t="s">
        <v>353</v>
      </c>
      <c r="JF130" s="841" t="s">
        <v>2593</v>
      </c>
      <c r="JG130" s="841" t="s">
        <v>2594</v>
      </c>
      <c r="JH130" s="841" t="s">
        <v>2595</v>
      </c>
      <c r="JI130" s="841" t="s">
        <v>2596</v>
      </c>
    </row>
    <row r="131" spans="1:269" x14ac:dyDescent="0.25">
      <c r="A131" s="841" t="s">
        <v>2597</v>
      </c>
      <c r="B131" s="841" t="s">
        <v>353</v>
      </c>
      <c r="C131" s="841" t="s">
        <v>353</v>
      </c>
      <c r="D131" s="841" t="s">
        <v>353</v>
      </c>
      <c r="E131" s="841" t="s">
        <v>33</v>
      </c>
      <c r="F131" s="841" t="s">
        <v>1405</v>
      </c>
      <c r="G131" s="841" t="s">
        <v>2598</v>
      </c>
      <c r="H131" s="841" t="s">
        <v>353</v>
      </c>
      <c r="I131" s="841" t="s">
        <v>353</v>
      </c>
      <c r="J131" s="841" t="s">
        <v>353</v>
      </c>
      <c r="K131" s="841" t="s">
        <v>2167</v>
      </c>
      <c r="L131" s="842">
        <v>44607.680555555555</v>
      </c>
      <c r="M131" s="841" t="s">
        <v>353</v>
      </c>
      <c r="N131" s="841" t="s">
        <v>33</v>
      </c>
      <c r="O131" s="841" t="s">
        <v>353</v>
      </c>
      <c r="P131" s="841" t="s">
        <v>33</v>
      </c>
      <c r="Q131" s="841" t="s">
        <v>353</v>
      </c>
      <c r="R131" s="841" t="s">
        <v>353</v>
      </c>
      <c r="S131" s="841" t="s">
        <v>1520</v>
      </c>
      <c r="T131" s="841" t="s">
        <v>1390</v>
      </c>
      <c r="U131" s="841" t="s">
        <v>353</v>
      </c>
      <c r="V131" s="841" t="s">
        <v>353</v>
      </c>
      <c r="W131" s="841" t="s">
        <v>353</v>
      </c>
      <c r="X131" s="841" t="s">
        <v>1405</v>
      </c>
      <c r="Y131" s="841" t="s">
        <v>353</v>
      </c>
      <c r="Z131" s="841" t="s">
        <v>353</v>
      </c>
      <c r="AA131" s="841" t="s">
        <v>33</v>
      </c>
      <c r="AB131" s="843">
        <v>44601</v>
      </c>
      <c r="AC131" s="841">
        <v>1222200</v>
      </c>
      <c r="AD131" s="841" t="s">
        <v>353</v>
      </c>
      <c r="AE131" s="841" t="s">
        <v>33</v>
      </c>
      <c r="AF131" s="841">
        <v>6778.68</v>
      </c>
      <c r="AG131" s="841" t="s">
        <v>353</v>
      </c>
      <c r="AH131" s="841">
        <v>12083</v>
      </c>
      <c r="AI131" s="841" t="s">
        <v>1406</v>
      </c>
      <c r="AJ131" s="841" t="s">
        <v>2168</v>
      </c>
      <c r="AK131" s="841">
        <v>70</v>
      </c>
      <c r="AL131" s="841" t="s">
        <v>353</v>
      </c>
      <c r="AM131" s="841" t="s">
        <v>353</v>
      </c>
      <c r="AN131" s="841" t="s">
        <v>33</v>
      </c>
      <c r="AO131" s="841" t="s">
        <v>353</v>
      </c>
      <c r="AP131" s="841" t="s">
        <v>353</v>
      </c>
      <c r="AQ131" s="841" t="s">
        <v>353</v>
      </c>
      <c r="AR131" s="841" t="s">
        <v>33</v>
      </c>
      <c r="AS131" s="841" t="s">
        <v>353</v>
      </c>
      <c r="AT131" s="841" t="s">
        <v>353</v>
      </c>
      <c r="AU131" s="841" t="s">
        <v>353</v>
      </c>
      <c r="AV131" s="841" t="s">
        <v>353</v>
      </c>
      <c r="AW131" s="843">
        <v>44574</v>
      </c>
      <c r="AX131" s="841" t="s">
        <v>353</v>
      </c>
      <c r="AY131" s="841" t="s">
        <v>353</v>
      </c>
      <c r="AZ131" s="841" t="s">
        <v>353</v>
      </c>
      <c r="BA131" s="841" t="s">
        <v>353</v>
      </c>
      <c r="BB131" s="841" t="s">
        <v>353</v>
      </c>
      <c r="BC131" s="841">
        <v>1330840</v>
      </c>
      <c r="BD131" s="841" t="s">
        <v>353</v>
      </c>
      <c r="BE131" s="841" t="s">
        <v>353</v>
      </c>
      <c r="BF131" s="841" t="s">
        <v>353</v>
      </c>
      <c r="BG131" s="841" t="s">
        <v>353</v>
      </c>
      <c r="BH131" s="841" t="s">
        <v>353</v>
      </c>
      <c r="BI131" s="841" t="s">
        <v>353</v>
      </c>
      <c r="BJ131" s="841" t="s">
        <v>353</v>
      </c>
      <c r="BK131" s="841">
        <v>1073795</v>
      </c>
      <c r="BL131" s="841" t="s">
        <v>2053</v>
      </c>
      <c r="BM131" s="842">
        <v>44592.507638888892</v>
      </c>
      <c r="BN131" s="841" t="s">
        <v>353</v>
      </c>
      <c r="BO131" s="841" t="s">
        <v>353</v>
      </c>
      <c r="BP131" s="841" t="s">
        <v>33</v>
      </c>
      <c r="BQ131" s="841" t="s">
        <v>353</v>
      </c>
      <c r="BR131" s="841" t="s">
        <v>353</v>
      </c>
      <c r="BS131" s="841" t="s">
        <v>353</v>
      </c>
      <c r="BT131" s="841">
        <v>1358000</v>
      </c>
      <c r="BU131" s="841" t="s">
        <v>353</v>
      </c>
      <c r="BV131" s="841" t="s">
        <v>2599</v>
      </c>
      <c r="BW131" s="841" t="s">
        <v>2581</v>
      </c>
      <c r="BX131" s="841" t="s">
        <v>2600</v>
      </c>
      <c r="BY131" s="841" t="s">
        <v>353</v>
      </c>
      <c r="BZ131" s="841" t="s">
        <v>353</v>
      </c>
      <c r="CA131" s="841" t="s">
        <v>353</v>
      </c>
      <c r="CB131" s="841" t="s">
        <v>353</v>
      </c>
      <c r="CC131" s="841" t="s">
        <v>353</v>
      </c>
      <c r="CD131" s="841" t="s">
        <v>353</v>
      </c>
      <c r="CE131" s="841" t="s">
        <v>353</v>
      </c>
      <c r="CF131" s="841" t="s">
        <v>353</v>
      </c>
      <c r="CG131" s="841" t="s">
        <v>353</v>
      </c>
      <c r="CH131" s="841" t="s">
        <v>353</v>
      </c>
      <c r="CI131" s="841" t="s">
        <v>33</v>
      </c>
      <c r="CJ131" s="841">
        <v>735</v>
      </c>
      <c r="CK131" s="841">
        <v>5</v>
      </c>
      <c r="CL131" s="841" t="s">
        <v>353</v>
      </c>
      <c r="CM131" s="841">
        <v>7</v>
      </c>
      <c r="CN131" s="841" t="s">
        <v>353</v>
      </c>
      <c r="CO131" s="841" t="s">
        <v>353</v>
      </c>
      <c r="CP131" s="841" t="s">
        <v>2601</v>
      </c>
      <c r="CQ131" s="841" t="s">
        <v>353</v>
      </c>
      <c r="CR131" s="841" t="s">
        <v>353</v>
      </c>
      <c r="CS131" s="841" t="s">
        <v>353</v>
      </c>
      <c r="CT131" s="841" t="s">
        <v>353</v>
      </c>
      <c r="CU131" s="841" t="s">
        <v>1391</v>
      </c>
      <c r="CV131" s="841" t="s">
        <v>353</v>
      </c>
      <c r="CW131" s="841" t="s">
        <v>353</v>
      </c>
      <c r="CX131" s="841" t="s">
        <v>353</v>
      </c>
      <c r="CY131" s="841" t="s">
        <v>353</v>
      </c>
      <c r="CZ131" s="841">
        <v>20</v>
      </c>
      <c r="DA131" s="841" t="s">
        <v>353</v>
      </c>
      <c r="DB131" s="843">
        <v>44589</v>
      </c>
      <c r="DC131" s="841" t="s">
        <v>353</v>
      </c>
      <c r="DD131" s="841" t="s">
        <v>353</v>
      </c>
      <c r="DE131" s="841" t="s">
        <v>353</v>
      </c>
      <c r="DF131" s="841">
        <v>36</v>
      </c>
      <c r="DG131" s="841" t="s">
        <v>353</v>
      </c>
      <c r="DH131" s="841" t="s">
        <v>353</v>
      </c>
      <c r="DI131" s="841" t="s">
        <v>353</v>
      </c>
      <c r="DJ131" s="841" t="s">
        <v>2602</v>
      </c>
      <c r="DK131" s="841" t="s">
        <v>353</v>
      </c>
      <c r="DL131" s="842">
        <v>44572.507638888892</v>
      </c>
      <c r="DM131" s="841" t="s">
        <v>353</v>
      </c>
      <c r="DN131" s="841" t="s">
        <v>33</v>
      </c>
      <c r="DO131" s="841" t="s">
        <v>353</v>
      </c>
      <c r="DP131" s="841" t="s">
        <v>353</v>
      </c>
      <c r="DQ131" s="841" t="s">
        <v>1997</v>
      </c>
      <c r="DR131" s="841" t="s">
        <v>353</v>
      </c>
      <c r="DS131" s="841">
        <v>36</v>
      </c>
      <c r="DT131" s="841" t="s">
        <v>353</v>
      </c>
      <c r="DU131" s="841" t="s">
        <v>353</v>
      </c>
      <c r="DV131" s="841" t="s">
        <v>353</v>
      </c>
      <c r="DW131" s="841">
        <v>1358000</v>
      </c>
      <c r="DX131" s="841" t="s">
        <v>33</v>
      </c>
      <c r="DY131" s="841" t="s">
        <v>353</v>
      </c>
      <c r="DZ131" s="841">
        <v>6834</v>
      </c>
      <c r="EA131" s="841" t="s">
        <v>353</v>
      </c>
      <c r="EB131" s="841" t="s">
        <v>353</v>
      </c>
      <c r="EC131" s="841" t="s">
        <v>353</v>
      </c>
      <c r="ED131" s="841" t="s">
        <v>353</v>
      </c>
      <c r="EE131" s="841" t="s">
        <v>33</v>
      </c>
      <c r="EF131" s="841" t="s">
        <v>353</v>
      </c>
      <c r="EG131" s="841" t="s">
        <v>353</v>
      </c>
      <c r="EH131" s="841" t="s">
        <v>33</v>
      </c>
      <c r="EI131" s="841">
        <v>0</v>
      </c>
      <c r="EJ131" s="841" t="s">
        <v>353</v>
      </c>
      <c r="EK131" s="841" t="s">
        <v>353</v>
      </c>
      <c r="EL131" s="841" t="s">
        <v>1930</v>
      </c>
      <c r="EM131" s="841" t="s">
        <v>353</v>
      </c>
      <c r="EN131" s="841" t="s">
        <v>353</v>
      </c>
      <c r="EO131" s="841" t="s">
        <v>353</v>
      </c>
      <c r="EP131" s="841" t="s">
        <v>353</v>
      </c>
      <c r="EQ131" s="841" t="s">
        <v>353</v>
      </c>
      <c r="ER131" s="841" t="s">
        <v>353</v>
      </c>
      <c r="ES131" s="841" t="s">
        <v>33</v>
      </c>
      <c r="ET131" s="841" t="s">
        <v>1496</v>
      </c>
      <c r="EU131" s="841" t="s">
        <v>1712</v>
      </c>
      <c r="EV131" s="841" t="s">
        <v>353</v>
      </c>
      <c r="EW131" s="841" t="s">
        <v>353</v>
      </c>
      <c r="EX131" s="841" t="s">
        <v>33</v>
      </c>
      <c r="EY131" s="842">
        <v>44600.714583333334</v>
      </c>
      <c r="EZ131" s="841" t="s">
        <v>353</v>
      </c>
      <c r="FA131" s="841" t="s">
        <v>353</v>
      </c>
      <c r="FB131" s="841" t="s">
        <v>353</v>
      </c>
      <c r="FC131" s="841" t="s">
        <v>353</v>
      </c>
      <c r="FD131" s="841">
        <v>1940000</v>
      </c>
      <c r="FE131" s="842">
        <v>44572.508333333331</v>
      </c>
      <c r="FF131" s="841" t="s">
        <v>353</v>
      </c>
      <c r="FG131" s="841" t="s">
        <v>353</v>
      </c>
      <c r="FH131" s="841" t="s">
        <v>353</v>
      </c>
      <c r="FI131" s="841" t="s">
        <v>353</v>
      </c>
      <c r="FJ131" s="841" t="s">
        <v>353</v>
      </c>
      <c r="FK131" s="841" t="s">
        <v>353</v>
      </c>
      <c r="FL131" s="841" t="s">
        <v>353</v>
      </c>
      <c r="FM131" s="841" t="s">
        <v>353</v>
      </c>
      <c r="FN131" s="841" t="s">
        <v>353</v>
      </c>
      <c r="FO131" s="841" t="s">
        <v>1528</v>
      </c>
      <c r="FP131" s="841" t="s">
        <v>2603</v>
      </c>
      <c r="FQ131" s="841" t="s">
        <v>353</v>
      </c>
      <c r="FR131" s="841" t="s">
        <v>353</v>
      </c>
      <c r="FS131" s="841" t="s">
        <v>353</v>
      </c>
      <c r="FT131" s="841" t="s">
        <v>353</v>
      </c>
      <c r="FU131" s="841" t="s">
        <v>2203</v>
      </c>
      <c r="FV131" s="841" t="s">
        <v>353</v>
      </c>
      <c r="FW131" s="841" t="s">
        <v>353</v>
      </c>
      <c r="FX131" s="841" t="s">
        <v>353</v>
      </c>
      <c r="FY131" s="841" t="s">
        <v>353</v>
      </c>
      <c r="FZ131" s="841" t="s">
        <v>353</v>
      </c>
      <c r="GA131" s="841" t="s">
        <v>353</v>
      </c>
      <c r="GB131" s="841">
        <v>1</v>
      </c>
      <c r="GC131" s="841" t="s">
        <v>353</v>
      </c>
      <c r="GD131" s="841" t="s">
        <v>1395</v>
      </c>
      <c r="GE131" s="841" t="s">
        <v>353</v>
      </c>
      <c r="GF131" s="841">
        <v>6834</v>
      </c>
      <c r="GG131" s="841" t="s">
        <v>353</v>
      </c>
      <c r="GH131" s="841">
        <v>1222200</v>
      </c>
      <c r="GI131" s="841" t="s">
        <v>353</v>
      </c>
      <c r="GJ131" s="841">
        <v>1940000</v>
      </c>
      <c r="GK131" s="841" t="s">
        <v>353</v>
      </c>
      <c r="GL131" s="841" t="s">
        <v>1497</v>
      </c>
      <c r="GM131" s="841" t="s">
        <v>353</v>
      </c>
      <c r="GN131" s="841" t="s">
        <v>353</v>
      </c>
      <c r="GO131" s="841" t="s">
        <v>353</v>
      </c>
      <c r="GP131" s="841" t="s">
        <v>353</v>
      </c>
      <c r="GQ131" s="841" t="s">
        <v>353</v>
      </c>
      <c r="GR131" s="842">
        <v>44587.479166666664</v>
      </c>
      <c r="GS131" s="841" t="s">
        <v>2599</v>
      </c>
      <c r="GT131" s="841" t="s">
        <v>353</v>
      </c>
      <c r="GU131" s="841" t="s">
        <v>353</v>
      </c>
      <c r="GV131" s="841" t="s">
        <v>1419</v>
      </c>
      <c r="GW131" s="841" t="s">
        <v>353</v>
      </c>
      <c r="GX131" s="841" t="s">
        <v>2439</v>
      </c>
      <c r="GY131" s="841">
        <v>36</v>
      </c>
      <c r="GZ131" s="841" t="s">
        <v>1529</v>
      </c>
      <c r="HA131" s="841" t="s">
        <v>353</v>
      </c>
      <c r="HB131" s="841" t="s">
        <v>353</v>
      </c>
      <c r="HC131" s="841" t="s">
        <v>1421</v>
      </c>
      <c r="HD131" s="841" t="s">
        <v>2604</v>
      </c>
      <c r="HE131" s="841">
        <v>13580</v>
      </c>
      <c r="HF131" s="841" t="s">
        <v>353</v>
      </c>
      <c r="HG131" s="841" t="s">
        <v>353</v>
      </c>
      <c r="HH131" s="841">
        <v>735</v>
      </c>
      <c r="HI131" s="841" t="s">
        <v>1422</v>
      </c>
      <c r="HJ131" s="841" t="s">
        <v>353</v>
      </c>
      <c r="HK131" s="841">
        <v>1358000</v>
      </c>
      <c r="HL131" s="841" t="s">
        <v>49</v>
      </c>
      <c r="HM131" s="841" t="s">
        <v>1530</v>
      </c>
      <c r="HN131" s="841" t="s">
        <v>353</v>
      </c>
      <c r="HO131" s="841" t="s">
        <v>353</v>
      </c>
      <c r="HP131" s="841">
        <v>81344.2</v>
      </c>
      <c r="HQ131" s="841" t="s">
        <v>353</v>
      </c>
      <c r="HR131" s="841" t="s">
        <v>353</v>
      </c>
      <c r="HS131" s="841" t="s">
        <v>353</v>
      </c>
      <c r="HT131" s="841" t="s">
        <v>353</v>
      </c>
      <c r="HU131" s="841" t="s">
        <v>353</v>
      </c>
      <c r="HV131" s="841" t="s">
        <v>353</v>
      </c>
      <c r="HW131" s="841">
        <v>1940000</v>
      </c>
      <c r="HX131" s="841" t="s">
        <v>353</v>
      </c>
      <c r="HY131" s="841" t="s">
        <v>353</v>
      </c>
      <c r="HZ131" s="841" t="s">
        <v>353</v>
      </c>
      <c r="IA131" s="841" t="s">
        <v>353</v>
      </c>
      <c r="IB131" s="841" t="s">
        <v>1424</v>
      </c>
      <c r="IC131" s="841" t="s">
        <v>353</v>
      </c>
      <c r="ID131" s="841" t="s">
        <v>353</v>
      </c>
      <c r="IE131" s="841" t="s">
        <v>353</v>
      </c>
      <c r="IF131" s="841" t="s">
        <v>353</v>
      </c>
      <c r="IG131" s="841" t="s">
        <v>353</v>
      </c>
      <c r="IH131" s="841" t="s">
        <v>353</v>
      </c>
      <c r="II131" s="841" t="s">
        <v>353</v>
      </c>
      <c r="IJ131" s="841" t="s">
        <v>353</v>
      </c>
      <c r="IK131" s="841" t="s">
        <v>353</v>
      </c>
      <c r="IL131" s="841">
        <v>1358000</v>
      </c>
      <c r="IM131" s="841" t="s">
        <v>353</v>
      </c>
      <c r="IN131" s="841" t="s">
        <v>353</v>
      </c>
      <c r="IO131" s="841">
        <v>199</v>
      </c>
      <c r="IP131" s="841" t="s">
        <v>353</v>
      </c>
      <c r="IQ131" s="841" t="s">
        <v>353</v>
      </c>
      <c r="IR131" s="841">
        <v>0</v>
      </c>
      <c r="IS131" s="841" t="s">
        <v>33</v>
      </c>
      <c r="IT131" s="841" t="s">
        <v>353</v>
      </c>
      <c r="IU131" s="841" t="s">
        <v>353</v>
      </c>
      <c r="IV131" s="841" t="s">
        <v>353</v>
      </c>
      <c r="IW131" s="841" t="s">
        <v>353</v>
      </c>
      <c r="IX131" s="841" t="s">
        <v>353</v>
      </c>
      <c r="IY131" s="841" t="s">
        <v>1578</v>
      </c>
      <c r="IZ131" s="841" t="s">
        <v>353</v>
      </c>
      <c r="JA131" s="841">
        <v>1358000</v>
      </c>
      <c r="JB131" s="841" t="s">
        <v>353</v>
      </c>
      <c r="JC131" s="841" t="s">
        <v>33</v>
      </c>
      <c r="JD131" s="841" t="s">
        <v>1527</v>
      </c>
      <c r="JE131" s="841" t="s">
        <v>33</v>
      </c>
      <c r="JF131" s="841" t="s">
        <v>2058</v>
      </c>
      <c r="JG131" s="841" t="s">
        <v>2059</v>
      </c>
      <c r="JH131" s="841" t="s">
        <v>2060</v>
      </c>
      <c r="JI131" s="841" t="s">
        <v>2061</v>
      </c>
    </row>
    <row r="132" spans="1:269" x14ac:dyDescent="0.25">
      <c r="A132" s="841" t="s">
        <v>2605</v>
      </c>
      <c r="B132" s="841" t="s">
        <v>353</v>
      </c>
      <c r="C132" s="841" t="s">
        <v>353</v>
      </c>
      <c r="D132" s="841" t="s">
        <v>353</v>
      </c>
      <c r="E132" s="841" t="s">
        <v>33</v>
      </c>
      <c r="F132" s="841" t="s">
        <v>1405</v>
      </c>
      <c r="G132" s="841" t="s">
        <v>2086</v>
      </c>
      <c r="H132" s="841" t="s">
        <v>353</v>
      </c>
      <c r="I132" s="841" t="s">
        <v>353</v>
      </c>
      <c r="J132" s="841" t="s">
        <v>353</v>
      </c>
      <c r="K132" s="841" t="s">
        <v>2606</v>
      </c>
      <c r="L132" s="842">
        <v>44607.706944444442</v>
      </c>
      <c r="M132" s="841" t="s">
        <v>353</v>
      </c>
      <c r="N132" s="841" t="s">
        <v>33</v>
      </c>
      <c r="O132" s="841" t="s">
        <v>353</v>
      </c>
      <c r="P132" s="841" t="s">
        <v>33</v>
      </c>
      <c r="Q132" s="841" t="s">
        <v>353</v>
      </c>
      <c r="R132" s="841" t="s">
        <v>353</v>
      </c>
      <c r="S132" s="841" t="s">
        <v>64</v>
      </c>
      <c r="T132" s="841" t="s">
        <v>1390</v>
      </c>
      <c r="U132" s="841" t="s">
        <v>353</v>
      </c>
      <c r="V132" s="841" t="s">
        <v>353</v>
      </c>
      <c r="W132" s="841" t="s">
        <v>353</v>
      </c>
      <c r="X132" s="841" t="s">
        <v>353</v>
      </c>
      <c r="Y132" s="841" t="s">
        <v>353</v>
      </c>
      <c r="Z132" s="841" t="s">
        <v>353</v>
      </c>
      <c r="AA132" s="841" t="s">
        <v>33</v>
      </c>
      <c r="AB132" s="843">
        <v>44582</v>
      </c>
      <c r="AC132" s="841">
        <v>162000</v>
      </c>
      <c r="AD132" s="841" t="s">
        <v>353</v>
      </c>
      <c r="AE132" s="841" t="s">
        <v>33</v>
      </c>
      <c r="AF132" s="841">
        <v>868.5</v>
      </c>
      <c r="AG132" s="841" t="s">
        <v>353</v>
      </c>
      <c r="AH132" s="841" t="s">
        <v>353</v>
      </c>
      <c r="AI132" s="841" t="s">
        <v>1406</v>
      </c>
      <c r="AJ132" s="841" t="s">
        <v>2168</v>
      </c>
      <c r="AK132" s="841">
        <v>65</v>
      </c>
      <c r="AL132" s="841" t="s">
        <v>353</v>
      </c>
      <c r="AM132" s="841" t="s">
        <v>353</v>
      </c>
      <c r="AN132" s="841" t="s">
        <v>33</v>
      </c>
      <c r="AO132" s="841" t="s">
        <v>353</v>
      </c>
      <c r="AP132" s="841" t="s">
        <v>353</v>
      </c>
      <c r="AQ132" s="841" t="s">
        <v>353</v>
      </c>
      <c r="AR132" s="841" t="s">
        <v>33</v>
      </c>
      <c r="AS132" s="841" t="s">
        <v>353</v>
      </c>
      <c r="AT132" s="841" t="s">
        <v>353</v>
      </c>
      <c r="AU132" s="841" t="s">
        <v>353</v>
      </c>
      <c r="AV132" s="841" t="s">
        <v>353</v>
      </c>
      <c r="AW132" s="843">
        <v>44572</v>
      </c>
      <c r="AX132" s="841" t="s">
        <v>353</v>
      </c>
      <c r="AY132" s="841" t="s">
        <v>353</v>
      </c>
      <c r="AZ132" s="841" t="s">
        <v>353</v>
      </c>
      <c r="BA132" s="841" t="s">
        <v>353</v>
      </c>
      <c r="BB132" s="841" t="s">
        <v>353</v>
      </c>
      <c r="BC132" s="841">
        <v>176850</v>
      </c>
      <c r="BD132" s="841" t="s">
        <v>353</v>
      </c>
      <c r="BE132" s="841" t="s">
        <v>353</v>
      </c>
      <c r="BF132" s="841" t="s">
        <v>353</v>
      </c>
      <c r="BG132" s="841" t="s">
        <v>353</v>
      </c>
      <c r="BH132" s="841" t="s">
        <v>353</v>
      </c>
      <c r="BI132" s="841" t="s">
        <v>353</v>
      </c>
      <c r="BJ132" s="841" t="s">
        <v>353</v>
      </c>
      <c r="BK132" s="841" t="s">
        <v>353</v>
      </c>
      <c r="BL132" s="841" t="s">
        <v>2287</v>
      </c>
      <c r="BM132" s="842">
        <v>44592.381249999999</v>
      </c>
      <c r="BN132" s="841" t="s">
        <v>353</v>
      </c>
      <c r="BO132" s="841" t="s">
        <v>353</v>
      </c>
      <c r="BP132" s="841" t="s">
        <v>673</v>
      </c>
      <c r="BQ132" s="841" t="s">
        <v>353</v>
      </c>
      <c r="BR132" s="841" t="s">
        <v>353</v>
      </c>
      <c r="BS132" s="841" t="s">
        <v>353</v>
      </c>
      <c r="BT132" s="841">
        <v>207000</v>
      </c>
      <c r="BU132" s="841" t="s">
        <v>353</v>
      </c>
      <c r="BV132" s="841" t="s">
        <v>2607</v>
      </c>
      <c r="BW132" s="841" t="s">
        <v>1578</v>
      </c>
      <c r="BX132" s="841" t="s">
        <v>2608</v>
      </c>
      <c r="BY132" s="841" t="s">
        <v>353</v>
      </c>
      <c r="BZ132" s="841" t="s">
        <v>353</v>
      </c>
      <c r="CA132" s="841" t="s">
        <v>353</v>
      </c>
      <c r="CB132" s="841" t="s">
        <v>353</v>
      </c>
      <c r="CC132" s="841" t="s">
        <v>353</v>
      </c>
      <c r="CD132" s="841" t="s">
        <v>353</v>
      </c>
      <c r="CE132" s="841" t="s">
        <v>353</v>
      </c>
      <c r="CF132" s="841" t="s">
        <v>353</v>
      </c>
      <c r="CG132" s="841" t="s">
        <v>353</v>
      </c>
      <c r="CH132" s="841" t="s">
        <v>353</v>
      </c>
      <c r="CI132" s="841" t="s">
        <v>33</v>
      </c>
      <c r="CJ132" s="841">
        <v>2130</v>
      </c>
      <c r="CK132" s="841">
        <v>23</v>
      </c>
      <c r="CL132" s="841" t="s">
        <v>353</v>
      </c>
      <c r="CM132" s="841">
        <v>26</v>
      </c>
      <c r="CN132" s="841" t="s">
        <v>353</v>
      </c>
      <c r="CO132" s="841" t="s">
        <v>353</v>
      </c>
      <c r="CP132" s="841" t="s">
        <v>2609</v>
      </c>
      <c r="CQ132" s="841" t="s">
        <v>353</v>
      </c>
      <c r="CR132" s="841" t="s">
        <v>353</v>
      </c>
      <c r="CS132" s="841" t="s">
        <v>353</v>
      </c>
      <c r="CT132" s="841" t="s">
        <v>353</v>
      </c>
      <c r="CU132" s="841" t="s">
        <v>1391</v>
      </c>
      <c r="CV132" s="841" t="s">
        <v>353</v>
      </c>
      <c r="CW132" s="841" t="s">
        <v>353</v>
      </c>
      <c r="CX132" s="841" t="s">
        <v>353</v>
      </c>
      <c r="CY132" s="841" t="s">
        <v>353</v>
      </c>
      <c r="CZ132" s="841" t="s">
        <v>353</v>
      </c>
      <c r="DA132" s="841" t="s">
        <v>353</v>
      </c>
      <c r="DB132" s="843">
        <v>44602</v>
      </c>
      <c r="DC132" s="841" t="s">
        <v>353</v>
      </c>
      <c r="DD132" s="841" t="s">
        <v>353</v>
      </c>
      <c r="DE132" s="841" t="s">
        <v>353</v>
      </c>
      <c r="DF132" s="841">
        <v>24</v>
      </c>
      <c r="DG132" s="841" t="s">
        <v>353</v>
      </c>
      <c r="DH132" s="841" t="s">
        <v>353</v>
      </c>
      <c r="DI132" s="841" t="s">
        <v>353</v>
      </c>
      <c r="DJ132" s="841" t="s">
        <v>2610</v>
      </c>
      <c r="DK132" s="841" t="s">
        <v>353</v>
      </c>
      <c r="DL132" s="842">
        <v>44572.381249999999</v>
      </c>
      <c r="DM132" s="841" t="s">
        <v>353</v>
      </c>
      <c r="DN132" s="841" t="s">
        <v>33</v>
      </c>
      <c r="DO132" s="841" t="s">
        <v>353</v>
      </c>
      <c r="DP132" s="841" t="s">
        <v>353</v>
      </c>
      <c r="DQ132" s="841" t="s">
        <v>1434</v>
      </c>
      <c r="DR132" s="841">
        <v>277173</v>
      </c>
      <c r="DS132" s="841">
        <v>24</v>
      </c>
      <c r="DT132" s="841" t="s">
        <v>353</v>
      </c>
      <c r="DU132" s="841" t="s">
        <v>353</v>
      </c>
      <c r="DV132" s="841" t="s">
        <v>353</v>
      </c>
      <c r="DW132" s="841">
        <v>180000</v>
      </c>
      <c r="DX132" s="841" t="s">
        <v>33</v>
      </c>
      <c r="DY132" s="841" t="s">
        <v>353</v>
      </c>
      <c r="DZ132" s="841">
        <v>1980</v>
      </c>
      <c r="EA132" s="841" t="s">
        <v>353</v>
      </c>
      <c r="EB132" s="841" t="s">
        <v>353</v>
      </c>
      <c r="EC132" s="841" t="s">
        <v>353</v>
      </c>
      <c r="ED132" s="841" t="s">
        <v>353</v>
      </c>
      <c r="EE132" s="841" t="s">
        <v>33</v>
      </c>
      <c r="EF132" s="841" t="s">
        <v>353</v>
      </c>
      <c r="EG132" s="841" t="s">
        <v>353</v>
      </c>
      <c r="EH132" s="841" t="s">
        <v>33</v>
      </c>
      <c r="EI132" s="841">
        <v>0</v>
      </c>
      <c r="EJ132" s="841" t="s">
        <v>353</v>
      </c>
      <c r="EK132" s="841" t="s">
        <v>353</v>
      </c>
      <c r="EL132" s="841" t="s">
        <v>1930</v>
      </c>
      <c r="EM132" s="841" t="s">
        <v>353</v>
      </c>
      <c r="EN132" s="841" t="s">
        <v>353</v>
      </c>
      <c r="EO132" s="841" t="s">
        <v>353</v>
      </c>
      <c r="EP132" s="841" t="s">
        <v>353</v>
      </c>
      <c r="EQ132" s="841" t="s">
        <v>353</v>
      </c>
      <c r="ER132" s="841" t="s">
        <v>353</v>
      </c>
      <c r="ES132" s="841" t="s">
        <v>33</v>
      </c>
      <c r="ET132" s="841" t="s">
        <v>1496</v>
      </c>
      <c r="EU132" s="841" t="s">
        <v>2291</v>
      </c>
      <c r="EV132" s="841" t="s">
        <v>353</v>
      </c>
      <c r="EW132" s="841" t="s">
        <v>353</v>
      </c>
      <c r="EX132" s="841" t="s">
        <v>33</v>
      </c>
      <c r="EY132" s="842">
        <v>44599.719444444447</v>
      </c>
      <c r="EZ132" s="841" t="s">
        <v>353</v>
      </c>
      <c r="FA132" s="841" t="s">
        <v>353</v>
      </c>
      <c r="FB132" s="841" t="s">
        <v>353</v>
      </c>
      <c r="FC132" s="841" t="s">
        <v>353</v>
      </c>
      <c r="FD132" s="841">
        <v>285000</v>
      </c>
      <c r="FE132" s="842">
        <v>44572.381944444445</v>
      </c>
      <c r="FF132" s="841" t="s">
        <v>353</v>
      </c>
      <c r="FG132" s="841" t="s">
        <v>353</v>
      </c>
      <c r="FH132" s="841" t="s">
        <v>353</v>
      </c>
      <c r="FI132" s="841" t="s">
        <v>353</v>
      </c>
      <c r="FJ132" s="841" t="s">
        <v>353</v>
      </c>
      <c r="FK132" s="841" t="s">
        <v>353</v>
      </c>
      <c r="FL132" s="841" t="s">
        <v>353</v>
      </c>
      <c r="FM132" s="841" t="s">
        <v>353</v>
      </c>
      <c r="FN132" s="841" t="s">
        <v>353</v>
      </c>
      <c r="FO132" s="841" t="s">
        <v>353</v>
      </c>
      <c r="FP132" s="841" t="s">
        <v>2611</v>
      </c>
      <c r="FQ132" s="841" t="s">
        <v>353</v>
      </c>
      <c r="FR132" s="841" t="s">
        <v>353</v>
      </c>
      <c r="FS132" s="841" t="s">
        <v>353</v>
      </c>
      <c r="FT132" s="841" t="s">
        <v>353</v>
      </c>
      <c r="FU132" s="841" t="s">
        <v>2203</v>
      </c>
      <c r="FV132" s="841" t="s">
        <v>353</v>
      </c>
      <c r="FW132" s="841" t="s">
        <v>353</v>
      </c>
      <c r="FX132" s="841" t="s">
        <v>353</v>
      </c>
      <c r="FY132" s="841" t="s">
        <v>353</v>
      </c>
      <c r="FZ132" s="841" t="s">
        <v>353</v>
      </c>
      <c r="GA132" s="841" t="s">
        <v>353</v>
      </c>
      <c r="GB132" s="841">
        <v>1</v>
      </c>
      <c r="GC132" s="841" t="s">
        <v>353</v>
      </c>
      <c r="GD132" s="841" t="s">
        <v>1417</v>
      </c>
      <c r="GE132" s="841" t="s">
        <v>353</v>
      </c>
      <c r="GF132" s="841">
        <v>1980</v>
      </c>
      <c r="GG132" s="841" t="s">
        <v>353</v>
      </c>
      <c r="GH132" s="841">
        <v>162000</v>
      </c>
      <c r="GI132" s="841" t="s">
        <v>353</v>
      </c>
      <c r="GJ132" s="841">
        <v>285000</v>
      </c>
      <c r="GK132" s="841" t="s">
        <v>353</v>
      </c>
      <c r="GL132" s="841" t="s">
        <v>1437</v>
      </c>
      <c r="GM132" s="841" t="s">
        <v>353</v>
      </c>
      <c r="GN132" s="841" t="s">
        <v>353</v>
      </c>
      <c r="GO132" s="841" t="s">
        <v>353</v>
      </c>
      <c r="GP132" s="841" t="s">
        <v>353</v>
      </c>
      <c r="GQ132" s="841" t="s">
        <v>353</v>
      </c>
      <c r="GR132" s="842">
        <v>44571.6875</v>
      </c>
      <c r="GS132" s="841" t="s">
        <v>2607</v>
      </c>
      <c r="GT132" s="841" t="s">
        <v>353</v>
      </c>
      <c r="GU132" s="841" t="s">
        <v>353</v>
      </c>
      <c r="GV132" s="841" t="s">
        <v>1419</v>
      </c>
      <c r="GW132" s="841" t="s">
        <v>353</v>
      </c>
      <c r="GX132" s="841" t="s">
        <v>353</v>
      </c>
      <c r="GY132" s="841">
        <v>24</v>
      </c>
      <c r="GZ132" s="841" t="s">
        <v>1420</v>
      </c>
      <c r="HA132" s="841" t="s">
        <v>353</v>
      </c>
      <c r="HB132" s="841" t="s">
        <v>353</v>
      </c>
      <c r="HC132" s="841" t="s">
        <v>1421</v>
      </c>
      <c r="HD132" s="841" t="s">
        <v>2612</v>
      </c>
      <c r="HE132" s="841">
        <v>1800</v>
      </c>
      <c r="HF132" s="841" t="s">
        <v>353</v>
      </c>
      <c r="HG132" s="841" t="s">
        <v>353</v>
      </c>
      <c r="HH132" s="841">
        <v>1710</v>
      </c>
      <c r="HI132" s="841" t="s">
        <v>1422</v>
      </c>
      <c r="HJ132" s="841" t="s">
        <v>353</v>
      </c>
      <c r="HK132" s="841">
        <v>180000</v>
      </c>
      <c r="HL132" s="841" t="s">
        <v>49</v>
      </c>
      <c r="HM132" s="841" t="s">
        <v>353</v>
      </c>
      <c r="HN132" s="841" t="s">
        <v>353</v>
      </c>
      <c r="HO132" s="841" t="s">
        <v>353</v>
      </c>
      <c r="HP132" s="841">
        <v>10422</v>
      </c>
      <c r="HQ132" s="841" t="s">
        <v>353</v>
      </c>
      <c r="HR132" s="841" t="s">
        <v>353</v>
      </c>
      <c r="HS132" s="841" t="s">
        <v>353</v>
      </c>
      <c r="HT132" s="841" t="s">
        <v>353</v>
      </c>
      <c r="HU132" s="841" t="s">
        <v>353</v>
      </c>
      <c r="HV132" s="841" t="s">
        <v>353</v>
      </c>
      <c r="HW132" s="841">
        <v>277173</v>
      </c>
      <c r="HX132" s="841" t="s">
        <v>353</v>
      </c>
      <c r="HY132" s="841" t="s">
        <v>353</v>
      </c>
      <c r="HZ132" s="841" t="s">
        <v>353</v>
      </c>
      <c r="IA132" s="841" t="s">
        <v>353</v>
      </c>
      <c r="IB132" s="841" t="s">
        <v>1424</v>
      </c>
      <c r="IC132" s="841" t="s">
        <v>353</v>
      </c>
      <c r="ID132" s="841" t="s">
        <v>353</v>
      </c>
      <c r="IE132" s="841" t="s">
        <v>353</v>
      </c>
      <c r="IF132" s="841" t="s">
        <v>353</v>
      </c>
      <c r="IG132" s="841" t="s">
        <v>353</v>
      </c>
      <c r="IH132" s="841" t="s">
        <v>353</v>
      </c>
      <c r="II132" s="841" t="s">
        <v>353</v>
      </c>
      <c r="IJ132" s="841" t="s">
        <v>353</v>
      </c>
      <c r="IK132" s="841" t="s">
        <v>353</v>
      </c>
      <c r="IL132" s="841">
        <v>180000</v>
      </c>
      <c r="IM132" s="841" t="s">
        <v>353</v>
      </c>
      <c r="IN132" s="841" t="s">
        <v>353</v>
      </c>
      <c r="IO132" s="841">
        <v>199</v>
      </c>
      <c r="IP132" s="841" t="s">
        <v>353</v>
      </c>
      <c r="IQ132" s="841" t="s">
        <v>353</v>
      </c>
      <c r="IR132" s="841">
        <v>0</v>
      </c>
      <c r="IS132" s="841" t="s">
        <v>33</v>
      </c>
      <c r="IT132" s="841" t="s">
        <v>353</v>
      </c>
      <c r="IU132" s="841" t="s">
        <v>353</v>
      </c>
      <c r="IV132" s="841" t="s">
        <v>353</v>
      </c>
      <c r="IW132" s="841" t="s">
        <v>353</v>
      </c>
      <c r="IX132" s="841" t="s">
        <v>353</v>
      </c>
      <c r="IY132" s="841" t="s">
        <v>353</v>
      </c>
      <c r="IZ132" s="841" t="s">
        <v>353</v>
      </c>
      <c r="JA132" s="841">
        <v>180000</v>
      </c>
      <c r="JB132" s="841" t="s">
        <v>353</v>
      </c>
      <c r="JC132" s="841" t="s">
        <v>33</v>
      </c>
      <c r="JD132" s="841" t="s">
        <v>1413</v>
      </c>
      <c r="JE132" s="841" t="s">
        <v>33</v>
      </c>
      <c r="JF132" s="841" t="s">
        <v>1514</v>
      </c>
      <c r="JG132" s="841" t="s">
        <v>1515</v>
      </c>
      <c r="JH132" s="841" t="s">
        <v>1516</v>
      </c>
      <c r="JI132" s="841" t="s">
        <v>1517</v>
      </c>
    </row>
    <row r="133" spans="1:269" x14ac:dyDescent="0.25">
      <c r="A133" s="841" t="s">
        <v>2613</v>
      </c>
      <c r="B133" s="841" t="s">
        <v>353</v>
      </c>
      <c r="C133" s="841" t="s">
        <v>353</v>
      </c>
      <c r="D133" s="841" t="s">
        <v>353</v>
      </c>
      <c r="E133" s="841" t="s">
        <v>353</v>
      </c>
      <c r="F133" s="841" t="s">
        <v>353</v>
      </c>
      <c r="G133" s="841" t="s">
        <v>1614</v>
      </c>
      <c r="H133" s="841" t="s">
        <v>353</v>
      </c>
      <c r="I133" s="841" t="s">
        <v>353</v>
      </c>
      <c r="J133" s="841" t="s">
        <v>353</v>
      </c>
      <c r="K133" s="841" t="s">
        <v>353</v>
      </c>
      <c r="L133" s="842">
        <v>44571.737500000003</v>
      </c>
      <c r="M133" s="841" t="s">
        <v>353</v>
      </c>
      <c r="N133" s="841" t="s">
        <v>353</v>
      </c>
      <c r="O133" s="841" t="s">
        <v>353</v>
      </c>
      <c r="P133" s="841" t="s">
        <v>353</v>
      </c>
      <c r="Q133" s="841" t="s">
        <v>353</v>
      </c>
      <c r="R133" s="841" t="s">
        <v>353</v>
      </c>
      <c r="S133" s="841" t="s">
        <v>67</v>
      </c>
      <c r="T133" s="841" t="s">
        <v>1390</v>
      </c>
      <c r="U133" s="841" t="s">
        <v>353</v>
      </c>
      <c r="V133" s="841" t="s">
        <v>353</v>
      </c>
      <c r="W133" s="841" t="s">
        <v>353</v>
      </c>
      <c r="X133" s="841" t="s">
        <v>1405</v>
      </c>
      <c r="Y133" s="841" t="s">
        <v>353</v>
      </c>
      <c r="Z133" s="841" t="s">
        <v>353</v>
      </c>
      <c r="AA133" s="841" t="s">
        <v>353</v>
      </c>
      <c r="AB133" s="841" t="s">
        <v>353</v>
      </c>
      <c r="AC133" s="841">
        <v>40400</v>
      </c>
      <c r="AD133" s="841" t="s">
        <v>353</v>
      </c>
      <c r="AE133" s="841" t="s">
        <v>353</v>
      </c>
      <c r="AF133" s="841">
        <v>974.65</v>
      </c>
      <c r="AG133" s="841" t="s">
        <v>353</v>
      </c>
      <c r="AH133" s="841">
        <v>950</v>
      </c>
      <c r="AI133" s="841" t="s">
        <v>1406</v>
      </c>
      <c r="AJ133" s="841" t="s">
        <v>353</v>
      </c>
      <c r="AK133" s="841">
        <v>75</v>
      </c>
      <c r="AL133" s="841" t="s">
        <v>353</v>
      </c>
      <c r="AM133" s="841" t="s">
        <v>353</v>
      </c>
      <c r="AN133" s="841" t="s">
        <v>353</v>
      </c>
      <c r="AO133" s="841" t="s">
        <v>353</v>
      </c>
      <c r="AP133" s="841" t="s">
        <v>353</v>
      </c>
      <c r="AQ133" s="841" t="s">
        <v>353</v>
      </c>
      <c r="AR133" s="841" t="s">
        <v>353</v>
      </c>
      <c r="AS133" s="841" t="s">
        <v>353</v>
      </c>
      <c r="AT133" s="841" t="s">
        <v>353</v>
      </c>
      <c r="AU133" s="841" t="s">
        <v>353</v>
      </c>
      <c r="AV133" s="841" t="s">
        <v>353</v>
      </c>
      <c r="AW133" s="841" t="s">
        <v>353</v>
      </c>
      <c r="AX133" s="841" t="s">
        <v>353</v>
      </c>
      <c r="AY133" s="841" t="s">
        <v>353</v>
      </c>
      <c r="AZ133" s="841" t="s">
        <v>353</v>
      </c>
      <c r="BA133" s="841" t="s">
        <v>353</v>
      </c>
      <c r="BB133" s="841" t="s">
        <v>353</v>
      </c>
      <c r="BC133" s="841">
        <v>192617</v>
      </c>
      <c r="BD133" s="841" t="s">
        <v>353</v>
      </c>
      <c r="BE133" s="841" t="s">
        <v>353</v>
      </c>
      <c r="BF133" s="841" t="s">
        <v>353</v>
      </c>
      <c r="BG133" s="841" t="s">
        <v>353</v>
      </c>
      <c r="BH133" s="841" t="s">
        <v>353</v>
      </c>
      <c r="BI133" s="841" t="s">
        <v>353</v>
      </c>
      <c r="BJ133" s="841" t="s">
        <v>353</v>
      </c>
      <c r="BK133" s="841" t="s">
        <v>353</v>
      </c>
      <c r="BL133" s="841" t="s">
        <v>2614</v>
      </c>
      <c r="BM133" s="842">
        <v>44592.715277777781</v>
      </c>
      <c r="BN133" s="841" t="s">
        <v>353</v>
      </c>
      <c r="BO133" s="841" t="s">
        <v>353</v>
      </c>
      <c r="BP133" s="841" t="s">
        <v>353</v>
      </c>
      <c r="BQ133" s="841" t="s">
        <v>353</v>
      </c>
      <c r="BR133" s="841" t="s">
        <v>353</v>
      </c>
      <c r="BS133" s="841" t="s">
        <v>353</v>
      </c>
      <c r="BT133" s="841">
        <v>202000</v>
      </c>
      <c r="BU133" s="841" t="s">
        <v>353</v>
      </c>
      <c r="BV133" s="841" t="s">
        <v>2615</v>
      </c>
      <c r="BW133" s="841" t="s">
        <v>1578</v>
      </c>
      <c r="BX133" s="841" t="s">
        <v>2616</v>
      </c>
      <c r="BY133" s="841" t="s">
        <v>353</v>
      </c>
      <c r="BZ133" s="841" t="s">
        <v>353</v>
      </c>
      <c r="CA133" s="841" t="s">
        <v>353</v>
      </c>
      <c r="CB133" s="841" t="s">
        <v>353</v>
      </c>
      <c r="CC133" s="841" t="s">
        <v>353</v>
      </c>
      <c r="CD133" s="841" t="s">
        <v>353</v>
      </c>
      <c r="CE133" s="841" t="s">
        <v>353</v>
      </c>
      <c r="CF133" s="841" t="s">
        <v>353</v>
      </c>
      <c r="CG133" s="841" t="s">
        <v>353</v>
      </c>
      <c r="CH133" s="841" t="s">
        <v>353</v>
      </c>
      <c r="CI133" s="841" t="s">
        <v>353</v>
      </c>
      <c r="CJ133" s="841" t="s">
        <v>353</v>
      </c>
      <c r="CK133" s="841">
        <v>13</v>
      </c>
      <c r="CL133" s="841" t="s">
        <v>353</v>
      </c>
      <c r="CM133" s="841">
        <v>14</v>
      </c>
      <c r="CN133" s="841" t="s">
        <v>353</v>
      </c>
      <c r="CO133" s="841" t="s">
        <v>353</v>
      </c>
      <c r="CP133" s="841" t="s">
        <v>2617</v>
      </c>
      <c r="CQ133" s="841" t="s">
        <v>353</v>
      </c>
      <c r="CR133" s="841" t="s">
        <v>353</v>
      </c>
      <c r="CS133" s="841" t="s">
        <v>353</v>
      </c>
      <c r="CT133" s="841" t="s">
        <v>353</v>
      </c>
      <c r="CU133" s="841" t="s">
        <v>1391</v>
      </c>
      <c r="CV133" s="841" t="s">
        <v>353</v>
      </c>
      <c r="CW133" s="841" t="s">
        <v>353</v>
      </c>
      <c r="CX133" s="841" t="s">
        <v>353</v>
      </c>
      <c r="CY133" s="841" t="s">
        <v>353</v>
      </c>
      <c r="CZ133" s="841">
        <v>3</v>
      </c>
      <c r="DA133" s="841" t="s">
        <v>353</v>
      </c>
      <c r="DB133" s="841" t="s">
        <v>353</v>
      </c>
      <c r="DC133" s="841" t="s">
        <v>353</v>
      </c>
      <c r="DD133" s="841" t="s">
        <v>353</v>
      </c>
      <c r="DE133" s="841" t="s">
        <v>353</v>
      </c>
      <c r="DF133" s="841">
        <v>18</v>
      </c>
      <c r="DG133" s="841" t="s">
        <v>353</v>
      </c>
      <c r="DH133" s="841" t="s">
        <v>353</v>
      </c>
      <c r="DI133" s="841" t="s">
        <v>353</v>
      </c>
      <c r="DJ133" s="841" t="s">
        <v>2618</v>
      </c>
      <c r="DK133" s="841" t="s">
        <v>353</v>
      </c>
      <c r="DL133" s="842">
        <v>44571.715277777781</v>
      </c>
      <c r="DM133" s="841" t="s">
        <v>353</v>
      </c>
      <c r="DN133" s="841" t="s">
        <v>353</v>
      </c>
      <c r="DO133" s="841" t="s">
        <v>353</v>
      </c>
      <c r="DP133" s="841" t="s">
        <v>353</v>
      </c>
      <c r="DQ133" s="841" t="s">
        <v>1434</v>
      </c>
      <c r="DR133" s="841">
        <v>270000</v>
      </c>
      <c r="DS133" s="841">
        <v>18</v>
      </c>
      <c r="DT133" s="841" t="s">
        <v>353</v>
      </c>
      <c r="DU133" s="841" t="s">
        <v>353</v>
      </c>
      <c r="DV133" s="841" t="s">
        <v>353</v>
      </c>
      <c r="DW133" s="841">
        <v>202000</v>
      </c>
      <c r="DX133" s="841" t="s">
        <v>353</v>
      </c>
      <c r="DY133" s="841" t="s">
        <v>353</v>
      </c>
      <c r="DZ133" s="841" t="s">
        <v>353</v>
      </c>
      <c r="EA133" s="841" t="s">
        <v>353</v>
      </c>
      <c r="EB133" s="841" t="s">
        <v>353</v>
      </c>
      <c r="EC133" s="841" t="s">
        <v>353</v>
      </c>
      <c r="ED133" s="841" t="s">
        <v>353</v>
      </c>
      <c r="EE133" s="841" t="s">
        <v>353</v>
      </c>
      <c r="EF133" s="841" t="s">
        <v>353</v>
      </c>
      <c r="EG133" s="841" t="s">
        <v>353</v>
      </c>
      <c r="EH133" s="841" t="s">
        <v>353</v>
      </c>
      <c r="EI133" s="841">
        <v>70174.8</v>
      </c>
      <c r="EJ133" s="841" t="s">
        <v>353</v>
      </c>
      <c r="EK133" s="841" t="s">
        <v>353</v>
      </c>
      <c r="EL133" s="841" t="s">
        <v>353</v>
      </c>
      <c r="EM133" s="841" t="s">
        <v>353</v>
      </c>
      <c r="EN133" s="841" t="s">
        <v>353</v>
      </c>
      <c r="EO133" s="841" t="s">
        <v>353</v>
      </c>
      <c r="EP133" s="841" t="s">
        <v>353</v>
      </c>
      <c r="EQ133" s="841" t="s">
        <v>353</v>
      </c>
      <c r="ER133" s="841" t="s">
        <v>353</v>
      </c>
      <c r="ES133" s="841" t="s">
        <v>353</v>
      </c>
      <c r="ET133" s="841" t="s">
        <v>1496</v>
      </c>
      <c r="EU133" s="841" t="s">
        <v>353</v>
      </c>
      <c r="EV133" s="841" t="s">
        <v>353</v>
      </c>
      <c r="EW133" s="841" t="s">
        <v>353</v>
      </c>
      <c r="EX133" s="841" t="s">
        <v>353</v>
      </c>
      <c r="EY133" s="842">
        <v>44571.737500000003</v>
      </c>
      <c r="EZ133" s="841" t="s">
        <v>353</v>
      </c>
      <c r="FA133" s="841" t="s">
        <v>353</v>
      </c>
      <c r="FB133" s="841" t="s">
        <v>353</v>
      </c>
      <c r="FC133" s="841" t="s">
        <v>353</v>
      </c>
      <c r="FD133" s="841" t="s">
        <v>353</v>
      </c>
      <c r="FE133" s="842">
        <v>44571.73333333333</v>
      </c>
      <c r="FF133" s="841" t="s">
        <v>353</v>
      </c>
      <c r="FG133" s="841" t="s">
        <v>353</v>
      </c>
      <c r="FH133" s="841" t="s">
        <v>353</v>
      </c>
      <c r="FI133" s="841" t="s">
        <v>353</v>
      </c>
      <c r="FJ133" s="841" t="s">
        <v>353</v>
      </c>
      <c r="FK133" s="841" t="s">
        <v>353</v>
      </c>
      <c r="FL133" s="841" t="s">
        <v>353</v>
      </c>
      <c r="FM133" s="841" t="s">
        <v>353</v>
      </c>
      <c r="FN133" s="841" t="s">
        <v>353</v>
      </c>
      <c r="FO133" s="841" t="s">
        <v>1528</v>
      </c>
      <c r="FP133" s="841" t="s">
        <v>353</v>
      </c>
      <c r="FQ133" s="841" t="s">
        <v>353</v>
      </c>
      <c r="FR133" s="841" t="s">
        <v>353</v>
      </c>
      <c r="FS133" s="841" t="s">
        <v>353</v>
      </c>
      <c r="FT133" s="841" t="s">
        <v>353</v>
      </c>
      <c r="FU133" s="841" t="s">
        <v>1416</v>
      </c>
      <c r="FV133" s="841" t="s">
        <v>353</v>
      </c>
      <c r="FW133" s="841" t="s">
        <v>353</v>
      </c>
      <c r="FX133" s="841" t="s">
        <v>353</v>
      </c>
      <c r="FY133" s="841" t="s">
        <v>353</v>
      </c>
      <c r="FZ133" s="841" t="s">
        <v>353</v>
      </c>
      <c r="GA133" s="841" t="s">
        <v>353</v>
      </c>
      <c r="GB133" s="841">
        <v>1</v>
      </c>
      <c r="GC133" s="841" t="s">
        <v>353</v>
      </c>
      <c r="GD133" s="841" t="s">
        <v>1417</v>
      </c>
      <c r="GE133" s="841" t="s">
        <v>353</v>
      </c>
      <c r="GF133" s="841" t="s">
        <v>353</v>
      </c>
      <c r="GG133" s="841" t="s">
        <v>353</v>
      </c>
      <c r="GH133" s="841">
        <v>40400</v>
      </c>
      <c r="GI133" s="841" t="s">
        <v>353</v>
      </c>
      <c r="GJ133" s="841" t="s">
        <v>353</v>
      </c>
      <c r="GK133" s="841" t="s">
        <v>353</v>
      </c>
      <c r="GL133" s="841" t="s">
        <v>1437</v>
      </c>
      <c r="GM133" s="841" t="s">
        <v>353</v>
      </c>
      <c r="GN133" s="841" t="s">
        <v>353</v>
      </c>
      <c r="GO133" s="841" t="s">
        <v>353</v>
      </c>
      <c r="GP133" s="841" t="s">
        <v>353</v>
      </c>
      <c r="GQ133" s="841" t="s">
        <v>353</v>
      </c>
      <c r="GR133" s="842">
        <v>44571.646527777775</v>
      </c>
      <c r="GS133" s="841" t="s">
        <v>2619</v>
      </c>
      <c r="GT133" s="841" t="s">
        <v>353</v>
      </c>
      <c r="GU133" s="841" t="s">
        <v>353</v>
      </c>
      <c r="GV133" s="841" t="s">
        <v>1419</v>
      </c>
      <c r="GW133" s="841" t="s">
        <v>353</v>
      </c>
      <c r="GX133" s="841" t="s">
        <v>353</v>
      </c>
      <c r="GY133" s="841">
        <v>24</v>
      </c>
      <c r="GZ133" s="841" t="s">
        <v>1420</v>
      </c>
      <c r="HA133" s="841" t="s">
        <v>353</v>
      </c>
      <c r="HB133" s="841" t="s">
        <v>353</v>
      </c>
      <c r="HC133" s="841" t="s">
        <v>1421</v>
      </c>
      <c r="HD133" s="841" t="s">
        <v>2620</v>
      </c>
      <c r="HE133" s="841" t="s">
        <v>353</v>
      </c>
      <c r="HF133" s="841" t="s">
        <v>353</v>
      </c>
      <c r="HG133" s="841" t="s">
        <v>353</v>
      </c>
      <c r="HH133" s="841" t="s">
        <v>353</v>
      </c>
      <c r="HI133" s="841" t="s">
        <v>1422</v>
      </c>
      <c r="HJ133" s="841" t="s">
        <v>2621</v>
      </c>
      <c r="HK133" s="841">
        <v>202000</v>
      </c>
      <c r="HL133" s="841" t="s">
        <v>353</v>
      </c>
      <c r="HM133" s="841" t="s">
        <v>1530</v>
      </c>
      <c r="HN133" s="841" t="s">
        <v>353</v>
      </c>
      <c r="HO133" s="841" t="s">
        <v>353</v>
      </c>
      <c r="HP133" s="841">
        <v>11695.8</v>
      </c>
      <c r="HQ133" s="841" t="s">
        <v>353</v>
      </c>
      <c r="HR133" s="841" t="s">
        <v>353</v>
      </c>
      <c r="HS133" s="841" t="s">
        <v>353</v>
      </c>
      <c r="HT133" s="841" t="s">
        <v>353</v>
      </c>
      <c r="HU133" s="841" t="s">
        <v>353</v>
      </c>
      <c r="HV133" s="841" t="s">
        <v>353</v>
      </c>
      <c r="HW133" s="841">
        <v>270000</v>
      </c>
      <c r="HX133" s="841" t="s">
        <v>353</v>
      </c>
      <c r="HY133" s="841" t="s">
        <v>353</v>
      </c>
      <c r="HZ133" s="841" t="s">
        <v>353</v>
      </c>
      <c r="IA133" s="841" t="s">
        <v>353</v>
      </c>
      <c r="IB133" s="841" t="s">
        <v>1424</v>
      </c>
      <c r="IC133" s="841" t="s">
        <v>353</v>
      </c>
      <c r="ID133" s="841" t="s">
        <v>353</v>
      </c>
      <c r="IE133" s="841" t="s">
        <v>353</v>
      </c>
      <c r="IF133" s="841" t="s">
        <v>353</v>
      </c>
      <c r="IG133" s="841" t="s">
        <v>353</v>
      </c>
      <c r="IH133" s="841" t="s">
        <v>353</v>
      </c>
      <c r="II133" s="841" t="s">
        <v>353</v>
      </c>
      <c r="IJ133" s="841" t="s">
        <v>353</v>
      </c>
      <c r="IK133" s="841" t="s">
        <v>353</v>
      </c>
      <c r="IL133" s="841">
        <v>196152</v>
      </c>
      <c r="IM133" s="841" t="s">
        <v>353</v>
      </c>
      <c r="IN133" s="841" t="s">
        <v>353</v>
      </c>
      <c r="IO133" s="841" t="s">
        <v>353</v>
      </c>
      <c r="IP133" s="841" t="s">
        <v>353</v>
      </c>
      <c r="IQ133" s="841" t="s">
        <v>353</v>
      </c>
      <c r="IR133" s="841">
        <v>6</v>
      </c>
      <c r="IS133" s="841" t="s">
        <v>353</v>
      </c>
      <c r="IT133" s="841" t="s">
        <v>353</v>
      </c>
      <c r="IU133" s="841" t="s">
        <v>353</v>
      </c>
      <c r="IV133" s="841" t="s">
        <v>353</v>
      </c>
      <c r="IW133" s="841" t="s">
        <v>353</v>
      </c>
      <c r="IX133" s="841" t="s">
        <v>353</v>
      </c>
      <c r="IY133" s="841" t="s">
        <v>1622</v>
      </c>
      <c r="IZ133" s="841" t="s">
        <v>353</v>
      </c>
      <c r="JA133" s="841">
        <v>202000</v>
      </c>
      <c r="JB133" s="841" t="s">
        <v>353</v>
      </c>
      <c r="JC133" s="841" t="s">
        <v>353</v>
      </c>
      <c r="JD133" s="841" t="s">
        <v>1413</v>
      </c>
      <c r="JE133" s="841" t="s">
        <v>353</v>
      </c>
      <c r="JF133" s="841" t="s">
        <v>1442</v>
      </c>
      <c r="JG133" s="841" t="s">
        <v>1443</v>
      </c>
      <c r="JH133" s="841" t="s">
        <v>2622</v>
      </c>
      <c r="JI133" s="841" t="s">
        <v>2623</v>
      </c>
    </row>
    <row r="134" spans="1:269" x14ac:dyDescent="0.25">
      <c r="A134" s="841" t="s">
        <v>2624</v>
      </c>
      <c r="B134" s="841" t="s">
        <v>353</v>
      </c>
      <c r="C134" s="841" t="s">
        <v>353</v>
      </c>
      <c r="D134" s="841" t="s">
        <v>353</v>
      </c>
      <c r="E134" s="841" t="s">
        <v>353</v>
      </c>
      <c r="F134" s="841" t="s">
        <v>353</v>
      </c>
      <c r="G134" s="841" t="s">
        <v>2086</v>
      </c>
      <c r="H134" s="841" t="s">
        <v>353</v>
      </c>
      <c r="I134" s="841" t="s">
        <v>353</v>
      </c>
      <c r="J134" s="841" t="s">
        <v>353</v>
      </c>
      <c r="K134" s="841" t="s">
        <v>353</v>
      </c>
      <c r="L134" s="842">
        <v>44606.435416666667</v>
      </c>
      <c r="M134" s="841" t="s">
        <v>353</v>
      </c>
      <c r="N134" s="841" t="s">
        <v>353</v>
      </c>
      <c r="O134" s="841" t="s">
        <v>353</v>
      </c>
      <c r="P134" s="841" t="s">
        <v>353</v>
      </c>
      <c r="Q134" s="841" t="s">
        <v>353</v>
      </c>
      <c r="R134" s="841" t="s">
        <v>353</v>
      </c>
      <c r="S134" s="841" t="s">
        <v>64</v>
      </c>
      <c r="T134" s="841" t="s">
        <v>1390</v>
      </c>
      <c r="U134" s="841" t="s">
        <v>353</v>
      </c>
      <c r="V134" s="841" t="s">
        <v>353</v>
      </c>
      <c r="W134" s="841" t="s">
        <v>1420</v>
      </c>
      <c r="X134" s="841" t="s">
        <v>1405</v>
      </c>
      <c r="Y134" s="841" t="s">
        <v>353</v>
      </c>
      <c r="Z134" s="841" t="s">
        <v>353</v>
      </c>
      <c r="AA134" s="841" t="s">
        <v>353</v>
      </c>
      <c r="AB134" s="841" t="s">
        <v>353</v>
      </c>
      <c r="AC134" s="841">
        <v>225000</v>
      </c>
      <c r="AD134" s="841" t="s">
        <v>353</v>
      </c>
      <c r="AE134" s="841" t="s">
        <v>353</v>
      </c>
      <c r="AF134" s="841" t="s">
        <v>353</v>
      </c>
      <c r="AG134" s="841" t="s">
        <v>353</v>
      </c>
      <c r="AH134" s="841">
        <v>9167</v>
      </c>
      <c r="AI134" s="841" t="s">
        <v>1406</v>
      </c>
      <c r="AJ134" s="841" t="s">
        <v>353</v>
      </c>
      <c r="AK134" s="841">
        <v>75</v>
      </c>
      <c r="AL134" s="841" t="s">
        <v>353</v>
      </c>
      <c r="AM134" s="841" t="s">
        <v>353</v>
      </c>
      <c r="AN134" s="841" t="s">
        <v>353</v>
      </c>
      <c r="AO134" s="841" t="s">
        <v>353</v>
      </c>
      <c r="AP134" s="841" t="s">
        <v>353</v>
      </c>
      <c r="AQ134" s="841" t="s">
        <v>353</v>
      </c>
      <c r="AR134" s="841" t="s">
        <v>353</v>
      </c>
      <c r="AS134" s="841" t="s">
        <v>353</v>
      </c>
      <c r="AT134" s="841" t="s">
        <v>353</v>
      </c>
      <c r="AU134" s="841" t="s">
        <v>353</v>
      </c>
      <c r="AV134" s="841" t="s">
        <v>353</v>
      </c>
      <c r="AW134" s="841" t="s">
        <v>353</v>
      </c>
      <c r="AX134" s="841" t="s">
        <v>353</v>
      </c>
      <c r="AY134" s="841" t="s">
        <v>353</v>
      </c>
      <c r="AZ134" s="841" t="s">
        <v>353</v>
      </c>
      <c r="BA134" s="841" t="s">
        <v>353</v>
      </c>
      <c r="BB134" s="841" t="s">
        <v>353</v>
      </c>
      <c r="BC134" s="841">
        <v>1105313</v>
      </c>
      <c r="BD134" s="841" t="s">
        <v>353</v>
      </c>
      <c r="BE134" s="841" t="s">
        <v>353</v>
      </c>
      <c r="BF134" s="841" t="s">
        <v>353</v>
      </c>
      <c r="BG134" s="841" t="s">
        <v>353</v>
      </c>
      <c r="BH134" s="841" t="s">
        <v>353</v>
      </c>
      <c r="BI134" s="841" t="s">
        <v>353</v>
      </c>
      <c r="BJ134" s="841" t="s">
        <v>353</v>
      </c>
      <c r="BK134" s="841" t="s">
        <v>353</v>
      </c>
      <c r="BL134" s="841" t="s">
        <v>2334</v>
      </c>
      <c r="BM134" s="842">
        <v>44592.510416666664</v>
      </c>
      <c r="BN134" s="841" t="s">
        <v>353</v>
      </c>
      <c r="BO134" s="841" t="s">
        <v>353</v>
      </c>
      <c r="BP134" s="841" t="s">
        <v>353</v>
      </c>
      <c r="BQ134" s="841" t="s">
        <v>353</v>
      </c>
      <c r="BR134" s="841" t="s">
        <v>353</v>
      </c>
      <c r="BS134" s="841" t="s">
        <v>353</v>
      </c>
      <c r="BT134" s="841">
        <v>1125000</v>
      </c>
      <c r="BU134" s="841" t="s">
        <v>353</v>
      </c>
      <c r="BV134" s="841" t="s">
        <v>2625</v>
      </c>
      <c r="BW134" s="841" t="s">
        <v>1578</v>
      </c>
      <c r="BX134" s="841" t="s">
        <v>353</v>
      </c>
      <c r="BY134" s="841" t="s">
        <v>353</v>
      </c>
      <c r="BZ134" s="841" t="s">
        <v>353</v>
      </c>
      <c r="CA134" s="841" t="s">
        <v>353</v>
      </c>
      <c r="CB134" s="841" t="s">
        <v>353</v>
      </c>
      <c r="CC134" s="841" t="s">
        <v>353</v>
      </c>
      <c r="CD134" s="841" t="s">
        <v>353</v>
      </c>
      <c r="CE134" s="841" t="s">
        <v>353</v>
      </c>
      <c r="CF134" s="841" t="s">
        <v>353</v>
      </c>
      <c r="CG134" s="841" t="s">
        <v>353</v>
      </c>
      <c r="CH134" s="841" t="s">
        <v>353</v>
      </c>
      <c r="CI134" s="841" t="s">
        <v>353</v>
      </c>
      <c r="CJ134" s="841" t="s">
        <v>353</v>
      </c>
      <c r="CK134" s="841" t="s">
        <v>353</v>
      </c>
      <c r="CL134" s="841" t="s">
        <v>353</v>
      </c>
      <c r="CM134" s="841" t="s">
        <v>353</v>
      </c>
      <c r="CN134" s="841" t="s">
        <v>353</v>
      </c>
      <c r="CO134" s="841" t="s">
        <v>353</v>
      </c>
      <c r="CP134" s="841" t="s">
        <v>2626</v>
      </c>
      <c r="CQ134" s="841" t="s">
        <v>353</v>
      </c>
      <c r="CR134" s="841" t="s">
        <v>353</v>
      </c>
      <c r="CS134" s="841" t="s">
        <v>170</v>
      </c>
      <c r="CT134" s="841" t="s">
        <v>353</v>
      </c>
      <c r="CU134" s="841" t="s">
        <v>1391</v>
      </c>
      <c r="CV134" s="841" t="s">
        <v>353</v>
      </c>
      <c r="CW134" s="841" t="s">
        <v>353</v>
      </c>
      <c r="CX134" s="841" t="s">
        <v>353</v>
      </c>
      <c r="CY134" s="841" t="s">
        <v>353</v>
      </c>
      <c r="CZ134" s="841">
        <v>3</v>
      </c>
      <c r="DA134" s="841" t="s">
        <v>353</v>
      </c>
      <c r="DB134" s="841" t="s">
        <v>353</v>
      </c>
      <c r="DC134" s="841" t="s">
        <v>353</v>
      </c>
      <c r="DD134" s="841" t="s">
        <v>353</v>
      </c>
      <c r="DE134" s="841" t="s">
        <v>353</v>
      </c>
      <c r="DF134" s="841">
        <v>24</v>
      </c>
      <c r="DG134" s="841" t="s">
        <v>353</v>
      </c>
      <c r="DH134" s="841" t="s">
        <v>353</v>
      </c>
      <c r="DI134" s="841" t="s">
        <v>353</v>
      </c>
      <c r="DJ134" s="841" t="s">
        <v>2627</v>
      </c>
      <c r="DK134" s="841" t="s">
        <v>353</v>
      </c>
      <c r="DL134" s="842">
        <v>44571.510416666664</v>
      </c>
      <c r="DM134" s="841" t="s">
        <v>353</v>
      </c>
      <c r="DN134" s="841" t="s">
        <v>353</v>
      </c>
      <c r="DO134" s="841" t="s">
        <v>673</v>
      </c>
      <c r="DP134" s="841" t="s">
        <v>353</v>
      </c>
      <c r="DQ134" s="841" t="s">
        <v>1392</v>
      </c>
      <c r="DR134" s="841">
        <v>1500000</v>
      </c>
      <c r="DS134" s="841">
        <v>24</v>
      </c>
      <c r="DT134" s="841" t="s">
        <v>353</v>
      </c>
      <c r="DU134" s="841" t="s">
        <v>353</v>
      </c>
      <c r="DV134" s="841">
        <v>1105312.5</v>
      </c>
      <c r="DW134" s="841">
        <v>1125000</v>
      </c>
      <c r="DX134" s="841" t="s">
        <v>353</v>
      </c>
      <c r="DY134" s="841" t="s">
        <v>353</v>
      </c>
      <c r="DZ134" s="841" t="s">
        <v>353</v>
      </c>
      <c r="EA134" s="841" t="s">
        <v>353</v>
      </c>
      <c r="EB134" s="841" t="s">
        <v>353</v>
      </c>
      <c r="EC134" s="841" t="s">
        <v>353</v>
      </c>
      <c r="ED134" s="841" t="s">
        <v>353</v>
      </c>
      <c r="EE134" s="841" t="s">
        <v>353</v>
      </c>
      <c r="EF134" s="841" t="s">
        <v>353</v>
      </c>
      <c r="EG134" s="841" t="s">
        <v>353</v>
      </c>
      <c r="EH134" s="841" t="s">
        <v>353</v>
      </c>
      <c r="EI134" s="841">
        <v>0</v>
      </c>
      <c r="EJ134" s="841" t="s">
        <v>353</v>
      </c>
      <c r="EK134" s="841" t="s">
        <v>353</v>
      </c>
      <c r="EL134" s="841" t="s">
        <v>1435</v>
      </c>
      <c r="EM134" s="841">
        <v>19687.5</v>
      </c>
      <c r="EN134" s="841" t="s">
        <v>353</v>
      </c>
      <c r="EO134" s="841" t="s">
        <v>353</v>
      </c>
      <c r="EP134" s="841" t="s">
        <v>353</v>
      </c>
      <c r="EQ134" s="841" t="s">
        <v>353</v>
      </c>
      <c r="ER134" s="841" t="s">
        <v>353</v>
      </c>
      <c r="ES134" s="841" t="s">
        <v>353</v>
      </c>
      <c r="ET134" s="841" t="s">
        <v>1393</v>
      </c>
      <c r="EU134" s="841" t="s">
        <v>353</v>
      </c>
      <c r="EV134" s="841" t="s">
        <v>353</v>
      </c>
      <c r="EW134" s="841" t="s">
        <v>353</v>
      </c>
      <c r="EX134" s="841" t="s">
        <v>353</v>
      </c>
      <c r="EY134" s="841" t="s">
        <v>353</v>
      </c>
      <c r="EZ134" s="841" t="s">
        <v>353</v>
      </c>
      <c r="FA134" s="841" t="s">
        <v>353</v>
      </c>
      <c r="FB134" s="841" t="s">
        <v>353</v>
      </c>
      <c r="FC134" s="841" t="s">
        <v>353</v>
      </c>
      <c r="FD134" s="841" t="s">
        <v>353</v>
      </c>
      <c r="FE134" s="842">
        <v>44606.435416666667</v>
      </c>
      <c r="FF134" s="841" t="s">
        <v>353</v>
      </c>
      <c r="FG134" s="841" t="s">
        <v>353</v>
      </c>
      <c r="FH134" s="841" t="s">
        <v>353</v>
      </c>
      <c r="FI134" s="841" t="s">
        <v>353</v>
      </c>
      <c r="FJ134" s="841" t="s">
        <v>353</v>
      </c>
      <c r="FK134" s="841" t="s">
        <v>353</v>
      </c>
      <c r="FL134" s="841" t="s">
        <v>353</v>
      </c>
      <c r="FM134" s="841" t="s">
        <v>353</v>
      </c>
      <c r="FN134" s="841" t="s">
        <v>353</v>
      </c>
      <c r="FO134" s="841" t="s">
        <v>1582</v>
      </c>
      <c r="FP134" s="841" t="s">
        <v>353</v>
      </c>
      <c r="FQ134" s="841" t="s">
        <v>353</v>
      </c>
      <c r="FR134" s="841" t="s">
        <v>353</v>
      </c>
      <c r="FS134" s="841" t="s">
        <v>353</v>
      </c>
      <c r="FT134" s="841" t="s">
        <v>353</v>
      </c>
      <c r="FU134" s="841" t="s">
        <v>1416</v>
      </c>
      <c r="FV134" s="841" t="s">
        <v>353</v>
      </c>
      <c r="FW134" s="841" t="s">
        <v>353</v>
      </c>
      <c r="FX134" s="841" t="s">
        <v>353</v>
      </c>
      <c r="FY134" s="841" t="s">
        <v>353</v>
      </c>
      <c r="FZ134" s="841" t="s">
        <v>353</v>
      </c>
      <c r="GA134" s="841" t="s">
        <v>353</v>
      </c>
      <c r="GB134" s="841">
        <v>1</v>
      </c>
      <c r="GC134" s="841" t="s">
        <v>353</v>
      </c>
      <c r="GD134" s="841" t="s">
        <v>1395</v>
      </c>
      <c r="GE134" s="841" t="s">
        <v>353</v>
      </c>
      <c r="GF134" s="841" t="s">
        <v>353</v>
      </c>
      <c r="GG134" s="841" t="s">
        <v>353</v>
      </c>
      <c r="GH134" s="841">
        <v>225000</v>
      </c>
      <c r="GI134" s="841" t="s">
        <v>353</v>
      </c>
      <c r="GJ134" s="841" t="s">
        <v>353</v>
      </c>
      <c r="GK134" s="841" t="s">
        <v>353</v>
      </c>
      <c r="GL134" s="841" t="s">
        <v>2011</v>
      </c>
      <c r="GM134" s="841" t="s">
        <v>353</v>
      </c>
      <c r="GN134" s="841" t="s">
        <v>353</v>
      </c>
      <c r="GO134" s="841" t="s">
        <v>353</v>
      </c>
      <c r="GP134" s="841" t="s">
        <v>353</v>
      </c>
      <c r="GQ134" s="841" t="s">
        <v>353</v>
      </c>
      <c r="GR134" s="841" t="s">
        <v>353</v>
      </c>
      <c r="GS134" s="841" t="s">
        <v>2625</v>
      </c>
      <c r="GT134" s="841" t="s">
        <v>353</v>
      </c>
      <c r="GU134" s="841" t="s">
        <v>353</v>
      </c>
      <c r="GV134" s="841" t="s">
        <v>1076</v>
      </c>
      <c r="GW134" s="841" t="s">
        <v>353</v>
      </c>
      <c r="GX134" s="841" t="s">
        <v>353</v>
      </c>
      <c r="GY134" s="841">
        <v>24</v>
      </c>
      <c r="GZ134" s="841" t="s">
        <v>1420</v>
      </c>
      <c r="HA134" s="841" t="s">
        <v>353</v>
      </c>
      <c r="HB134" s="841" t="s">
        <v>353</v>
      </c>
      <c r="HC134" s="841" t="s">
        <v>1421</v>
      </c>
      <c r="HD134" s="841" t="s">
        <v>2628</v>
      </c>
      <c r="HE134" s="841" t="s">
        <v>353</v>
      </c>
      <c r="HF134" s="841" t="s">
        <v>353</v>
      </c>
      <c r="HG134" s="841" t="s">
        <v>353</v>
      </c>
      <c r="HH134" s="841" t="s">
        <v>353</v>
      </c>
      <c r="HI134" s="841" t="s">
        <v>1422</v>
      </c>
      <c r="HJ134" s="841" t="s">
        <v>2629</v>
      </c>
      <c r="HK134" s="841">
        <v>1125000</v>
      </c>
      <c r="HL134" s="841" t="s">
        <v>353</v>
      </c>
      <c r="HM134" s="841" t="s">
        <v>1530</v>
      </c>
      <c r="HN134" s="841" t="s">
        <v>353</v>
      </c>
      <c r="HO134" s="841" t="s">
        <v>353</v>
      </c>
      <c r="HP134" s="841">
        <v>59512.5</v>
      </c>
      <c r="HQ134" s="841" t="s">
        <v>353</v>
      </c>
      <c r="HR134" s="841" t="s">
        <v>353</v>
      </c>
      <c r="HS134" s="841">
        <v>1125000</v>
      </c>
      <c r="HT134" s="841" t="s">
        <v>353</v>
      </c>
      <c r="HU134" s="841" t="s">
        <v>353</v>
      </c>
      <c r="HV134" s="841" t="s">
        <v>353</v>
      </c>
      <c r="HW134" s="841">
        <v>1500000</v>
      </c>
      <c r="HX134" s="841" t="s">
        <v>353</v>
      </c>
      <c r="HY134" s="841" t="s">
        <v>353</v>
      </c>
      <c r="HZ134" s="841" t="s">
        <v>353</v>
      </c>
      <c r="IA134" s="841" t="s">
        <v>353</v>
      </c>
      <c r="IB134" s="841" t="s">
        <v>1424</v>
      </c>
      <c r="IC134" s="841" t="s">
        <v>353</v>
      </c>
      <c r="ID134" s="841" t="s">
        <v>353</v>
      </c>
      <c r="IE134" s="841" t="s">
        <v>353</v>
      </c>
      <c r="IF134" s="841" t="s">
        <v>353</v>
      </c>
      <c r="IG134" s="841" t="s">
        <v>353</v>
      </c>
      <c r="IH134" s="841" t="s">
        <v>353</v>
      </c>
      <c r="II134" s="841" t="s">
        <v>353</v>
      </c>
      <c r="IJ134" s="841" t="s">
        <v>353</v>
      </c>
      <c r="IK134" s="841" t="s">
        <v>353</v>
      </c>
      <c r="IL134" s="841">
        <v>1263713</v>
      </c>
      <c r="IM134" s="841" t="s">
        <v>353</v>
      </c>
      <c r="IN134" s="841" t="s">
        <v>353</v>
      </c>
      <c r="IO134" s="841" t="s">
        <v>353</v>
      </c>
      <c r="IP134" s="841" t="s">
        <v>353</v>
      </c>
      <c r="IQ134" s="841" t="s">
        <v>353</v>
      </c>
      <c r="IR134" s="841">
        <v>0</v>
      </c>
      <c r="IS134" s="841" t="s">
        <v>353</v>
      </c>
      <c r="IT134" s="841" t="s">
        <v>353</v>
      </c>
      <c r="IU134" s="841" t="s">
        <v>353</v>
      </c>
      <c r="IV134" s="841" t="s">
        <v>353</v>
      </c>
      <c r="IW134" s="841" t="s">
        <v>353</v>
      </c>
      <c r="IX134" s="841" t="s">
        <v>353</v>
      </c>
      <c r="IY134" s="841" t="s">
        <v>1622</v>
      </c>
      <c r="IZ134" s="841" t="s">
        <v>353</v>
      </c>
      <c r="JA134" s="841">
        <v>1125000</v>
      </c>
      <c r="JB134" s="841" t="s">
        <v>353</v>
      </c>
      <c r="JC134" s="841" t="s">
        <v>353</v>
      </c>
      <c r="JD134" s="841" t="s">
        <v>1456</v>
      </c>
      <c r="JE134" s="841" t="s">
        <v>353</v>
      </c>
      <c r="JF134" s="841" t="s">
        <v>1836</v>
      </c>
      <c r="JG134" s="841" t="s">
        <v>1837</v>
      </c>
      <c r="JH134" s="841" t="s">
        <v>2278</v>
      </c>
      <c r="JI134" s="841" t="s">
        <v>2279</v>
      </c>
    </row>
    <row r="135" spans="1:269" x14ac:dyDescent="0.25">
      <c r="A135" s="841" t="s">
        <v>2630</v>
      </c>
      <c r="B135" s="841" t="s">
        <v>353</v>
      </c>
      <c r="C135" s="841" t="s">
        <v>353</v>
      </c>
      <c r="D135" s="841" t="s">
        <v>353</v>
      </c>
      <c r="E135" s="841" t="s">
        <v>33</v>
      </c>
      <c r="F135" s="841" t="s">
        <v>1405</v>
      </c>
      <c r="G135" s="841" t="s">
        <v>1876</v>
      </c>
      <c r="H135" s="841" t="s">
        <v>353</v>
      </c>
      <c r="I135" s="841" t="s">
        <v>353</v>
      </c>
      <c r="J135" s="841" t="s">
        <v>353</v>
      </c>
      <c r="K135" s="841" t="s">
        <v>353</v>
      </c>
      <c r="L135" s="842">
        <v>44603.538194444445</v>
      </c>
      <c r="M135" s="841" t="s">
        <v>353</v>
      </c>
      <c r="N135" s="841" t="s">
        <v>33</v>
      </c>
      <c r="O135" s="841" t="s">
        <v>353</v>
      </c>
      <c r="P135" s="841" t="s">
        <v>33</v>
      </c>
      <c r="Q135" s="841" t="s">
        <v>353</v>
      </c>
      <c r="R135" s="841" t="s">
        <v>353</v>
      </c>
      <c r="S135" s="841" t="s">
        <v>64</v>
      </c>
      <c r="T135" s="841" t="s">
        <v>1390</v>
      </c>
      <c r="U135" s="841" t="s">
        <v>353</v>
      </c>
      <c r="V135" s="841" t="s">
        <v>353</v>
      </c>
      <c r="W135" s="841" t="s">
        <v>1420</v>
      </c>
      <c r="X135" s="841" t="s">
        <v>1405</v>
      </c>
      <c r="Y135" s="841" t="s">
        <v>353</v>
      </c>
      <c r="Z135" s="841" t="s">
        <v>353</v>
      </c>
      <c r="AA135" s="841" t="s">
        <v>33</v>
      </c>
      <c r="AB135" s="843">
        <v>44588</v>
      </c>
      <c r="AC135" s="841">
        <v>247500</v>
      </c>
      <c r="AD135" s="841" t="s">
        <v>353</v>
      </c>
      <c r="AE135" s="841" t="s">
        <v>33</v>
      </c>
      <c r="AF135" s="841" t="s">
        <v>353</v>
      </c>
      <c r="AG135" s="841" t="s">
        <v>353</v>
      </c>
      <c r="AH135" s="841">
        <v>1400</v>
      </c>
      <c r="AI135" s="841" t="s">
        <v>1535</v>
      </c>
      <c r="AJ135" s="841" t="s">
        <v>2198</v>
      </c>
      <c r="AK135" s="841">
        <v>75</v>
      </c>
      <c r="AL135" s="841" t="s">
        <v>353</v>
      </c>
      <c r="AM135" s="841" t="s">
        <v>353</v>
      </c>
      <c r="AN135" s="841" t="s">
        <v>33</v>
      </c>
      <c r="AO135" s="841" t="s">
        <v>353</v>
      </c>
      <c r="AP135" s="841" t="s">
        <v>353</v>
      </c>
      <c r="AQ135" s="841" t="s">
        <v>353</v>
      </c>
      <c r="AR135" s="841" t="s">
        <v>33</v>
      </c>
      <c r="AS135" s="841" t="s">
        <v>353</v>
      </c>
      <c r="AT135" s="841" t="s">
        <v>353</v>
      </c>
      <c r="AU135" s="841" t="s">
        <v>353</v>
      </c>
      <c r="AV135" s="841" t="s">
        <v>353</v>
      </c>
      <c r="AW135" s="843">
        <v>44578</v>
      </c>
      <c r="AX135" s="841" t="s">
        <v>353</v>
      </c>
      <c r="AY135" s="841" t="s">
        <v>353</v>
      </c>
      <c r="AZ135" s="841" t="s">
        <v>353</v>
      </c>
      <c r="BA135" s="841" t="s">
        <v>353</v>
      </c>
      <c r="BB135" s="841" t="s">
        <v>353</v>
      </c>
      <c r="BC135" s="841">
        <v>266550</v>
      </c>
      <c r="BD135" s="841" t="s">
        <v>353</v>
      </c>
      <c r="BE135" s="841" t="s">
        <v>353</v>
      </c>
      <c r="BF135" s="841" t="s">
        <v>353</v>
      </c>
      <c r="BG135" s="841" t="s">
        <v>353</v>
      </c>
      <c r="BH135" s="841" t="s">
        <v>353</v>
      </c>
      <c r="BI135" s="841" t="s">
        <v>353</v>
      </c>
      <c r="BJ135" s="841" t="s">
        <v>353</v>
      </c>
      <c r="BK135" s="841">
        <v>270000</v>
      </c>
      <c r="BL135" s="841" t="s">
        <v>2273</v>
      </c>
      <c r="BM135" s="842">
        <v>44592.536805555559</v>
      </c>
      <c r="BN135" s="841" t="s">
        <v>353</v>
      </c>
      <c r="BO135" s="841" t="s">
        <v>353</v>
      </c>
      <c r="BP135" s="841" t="s">
        <v>673</v>
      </c>
      <c r="BQ135" s="841" t="s">
        <v>353</v>
      </c>
      <c r="BR135" s="841" t="s">
        <v>353</v>
      </c>
      <c r="BS135" s="841" t="s">
        <v>353</v>
      </c>
      <c r="BT135" s="841">
        <v>297000</v>
      </c>
      <c r="BU135" s="841" t="s">
        <v>353</v>
      </c>
      <c r="BV135" s="841" t="s">
        <v>2631</v>
      </c>
      <c r="BW135" s="841" t="s">
        <v>1578</v>
      </c>
      <c r="BX135" s="841" t="s">
        <v>2632</v>
      </c>
      <c r="BY135" s="841" t="s">
        <v>353</v>
      </c>
      <c r="BZ135" s="841" t="s">
        <v>353</v>
      </c>
      <c r="CA135" s="841" t="s">
        <v>353</v>
      </c>
      <c r="CB135" s="841" t="s">
        <v>353</v>
      </c>
      <c r="CC135" s="841" t="s">
        <v>353</v>
      </c>
      <c r="CD135" s="841" t="s">
        <v>353</v>
      </c>
      <c r="CE135" s="841" t="s">
        <v>353</v>
      </c>
      <c r="CF135" s="841" t="s">
        <v>353</v>
      </c>
      <c r="CG135" s="841" t="s">
        <v>353</v>
      </c>
      <c r="CH135" s="841" t="s">
        <v>353</v>
      </c>
      <c r="CI135" s="841" t="s">
        <v>33</v>
      </c>
      <c r="CJ135" s="841">
        <v>900</v>
      </c>
      <c r="CK135" s="841">
        <v>0</v>
      </c>
      <c r="CL135" s="841" t="s">
        <v>353</v>
      </c>
      <c r="CM135" s="841">
        <v>1</v>
      </c>
      <c r="CN135" s="841" t="s">
        <v>353</v>
      </c>
      <c r="CO135" s="841" t="s">
        <v>353</v>
      </c>
      <c r="CP135" s="841" t="s">
        <v>2633</v>
      </c>
      <c r="CQ135" s="841" t="s">
        <v>353</v>
      </c>
      <c r="CR135" s="841" t="s">
        <v>353</v>
      </c>
      <c r="CS135" s="841" t="s">
        <v>1405</v>
      </c>
      <c r="CT135" s="841" t="s">
        <v>353</v>
      </c>
      <c r="CU135" s="841" t="s">
        <v>1391</v>
      </c>
      <c r="CV135" s="841" t="s">
        <v>353</v>
      </c>
      <c r="CW135" s="841" t="s">
        <v>353</v>
      </c>
      <c r="CX135" s="841" t="s">
        <v>353</v>
      </c>
      <c r="CY135" s="841" t="s">
        <v>353</v>
      </c>
      <c r="CZ135" s="841">
        <v>2</v>
      </c>
      <c r="DA135" s="841" t="s">
        <v>353</v>
      </c>
      <c r="DB135" s="843">
        <v>44599</v>
      </c>
      <c r="DC135" s="841" t="s">
        <v>353</v>
      </c>
      <c r="DD135" s="841" t="s">
        <v>353</v>
      </c>
      <c r="DE135" s="841" t="s">
        <v>353</v>
      </c>
      <c r="DF135" s="841">
        <v>33</v>
      </c>
      <c r="DG135" s="841" t="s">
        <v>353</v>
      </c>
      <c r="DH135" s="841" t="s">
        <v>353</v>
      </c>
      <c r="DI135" s="841" t="s">
        <v>353</v>
      </c>
      <c r="DJ135" s="841" t="s">
        <v>2634</v>
      </c>
      <c r="DK135" s="841" t="s">
        <v>353</v>
      </c>
      <c r="DL135" s="842">
        <v>44568.536805555559</v>
      </c>
      <c r="DM135" s="841" t="s">
        <v>353</v>
      </c>
      <c r="DN135" s="841" t="s">
        <v>33</v>
      </c>
      <c r="DO135" s="841" t="s">
        <v>353</v>
      </c>
      <c r="DP135" s="841" t="s">
        <v>353</v>
      </c>
      <c r="DQ135" s="841" t="s">
        <v>1392</v>
      </c>
      <c r="DR135" s="841" t="s">
        <v>353</v>
      </c>
      <c r="DS135" s="841">
        <v>33</v>
      </c>
      <c r="DT135" s="841" t="s">
        <v>353</v>
      </c>
      <c r="DU135" s="841" t="s">
        <v>353</v>
      </c>
      <c r="DV135" s="841">
        <v>226545</v>
      </c>
      <c r="DW135" s="841">
        <v>275000</v>
      </c>
      <c r="DX135" s="841" t="s">
        <v>33</v>
      </c>
      <c r="DY135" s="841" t="s">
        <v>353</v>
      </c>
      <c r="DZ135" s="841">
        <v>1500</v>
      </c>
      <c r="EA135" s="841" t="s">
        <v>353</v>
      </c>
      <c r="EB135" s="841" t="s">
        <v>353</v>
      </c>
      <c r="EC135" s="841" t="s">
        <v>353</v>
      </c>
      <c r="ED135" s="841" t="s">
        <v>353</v>
      </c>
      <c r="EE135" s="841" t="s">
        <v>33</v>
      </c>
      <c r="EF135" s="841" t="s">
        <v>353</v>
      </c>
      <c r="EG135" s="841" t="s">
        <v>353</v>
      </c>
      <c r="EH135" s="841" t="s">
        <v>33</v>
      </c>
      <c r="EI135" s="841">
        <v>43642.5</v>
      </c>
      <c r="EJ135" s="841" t="s">
        <v>353</v>
      </c>
      <c r="EK135" s="841" t="s">
        <v>353</v>
      </c>
      <c r="EL135" s="841" t="s">
        <v>1435</v>
      </c>
      <c r="EM135" s="841">
        <v>4812.5</v>
      </c>
      <c r="EN135" s="841" t="s">
        <v>353</v>
      </c>
      <c r="EO135" s="841" t="s">
        <v>353</v>
      </c>
      <c r="EP135" s="841" t="s">
        <v>353</v>
      </c>
      <c r="EQ135" s="841" t="s">
        <v>353</v>
      </c>
      <c r="ER135" s="841" t="s">
        <v>353</v>
      </c>
      <c r="ES135" s="841" t="s">
        <v>33</v>
      </c>
      <c r="ET135" s="841" t="s">
        <v>1512</v>
      </c>
      <c r="EU135" s="841" t="s">
        <v>1972</v>
      </c>
      <c r="EV135" s="841" t="s">
        <v>353</v>
      </c>
      <c r="EW135" s="841" t="s">
        <v>353</v>
      </c>
      <c r="EX135" s="841" t="s">
        <v>33</v>
      </c>
      <c r="EY135" s="842">
        <v>44578.695833333331</v>
      </c>
      <c r="EZ135" s="841" t="s">
        <v>353</v>
      </c>
      <c r="FA135" s="841" t="s">
        <v>353</v>
      </c>
      <c r="FB135" s="841" t="s">
        <v>353</v>
      </c>
      <c r="FC135" s="841" t="s">
        <v>353</v>
      </c>
      <c r="FD135" s="841" t="s">
        <v>353</v>
      </c>
      <c r="FE135" s="842">
        <v>44568.537499999999</v>
      </c>
      <c r="FF135" s="841" t="s">
        <v>353</v>
      </c>
      <c r="FG135" s="841" t="s">
        <v>353</v>
      </c>
      <c r="FH135" s="841" t="s">
        <v>353</v>
      </c>
      <c r="FI135" s="841" t="s">
        <v>353</v>
      </c>
      <c r="FJ135" s="841" t="s">
        <v>353</v>
      </c>
      <c r="FK135" s="841" t="s">
        <v>353</v>
      </c>
      <c r="FL135" s="841" t="s">
        <v>353</v>
      </c>
      <c r="FM135" s="841" t="s">
        <v>353</v>
      </c>
      <c r="FN135" s="841" t="s">
        <v>353</v>
      </c>
      <c r="FO135" s="841" t="s">
        <v>1729</v>
      </c>
      <c r="FP135" s="841" t="s">
        <v>353</v>
      </c>
      <c r="FQ135" s="841" t="s">
        <v>353</v>
      </c>
      <c r="FR135" s="841" t="s">
        <v>353</v>
      </c>
      <c r="FS135" s="841" t="s">
        <v>353</v>
      </c>
      <c r="FT135" s="841" t="s">
        <v>353</v>
      </c>
      <c r="FU135" s="841" t="s">
        <v>2203</v>
      </c>
      <c r="FV135" s="841" t="s">
        <v>353</v>
      </c>
      <c r="FW135" s="841" t="s">
        <v>353</v>
      </c>
      <c r="FX135" s="841" t="s">
        <v>353</v>
      </c>
      <c r="FY135" s="841" t="s">
        <v>353</v>
      </c>
      <c r="FZ135" s="841" t="s">
        <v>353</v>
      </c>
      <c r="GA135" s="841" t="s">
        <v>353</v>
      </c>
      <c r="GB135" s="841">
        <v>1</v>
      </c>
      <c r="GC135" s="841" t="s">
        <v>353</v>
      </c>
      <c r="GD135" s="841" t="s">
        <v>1395</v>
      </c>
      <c r="GE135" s="841" t="s">
        <v>353</v>
      </c>
      <c r="GF135" s="841">
        <v>1500</v>
      </c>
      <c r="GG135" s="841" t="s">
        <v>349</v>
      </c>
      <c r="GH135" s="841">
        <v>247500</v>
      </c>
      <c r="GI135" s="841" t="s">
        <v>353</v>
      </c>
      <c r="GJ135" s="841" t="s">
        <v>353</v>
      </c>
      <c r="GK135" s="841" t="s">
        <v>353</v>
      </c>
      <c r="GL135" s="841" t="s">
        <v>2011</v>
      </c>
      <c r="GM135" s="841" t="s">
        <v>353</v>
      </c>
      <c r="GN135" s="841" t="s">
        <v>353</v>
      </c>
      <c r="GO135" s="841" t="s">
        <v>353</v>
      </c>
      <c r="GP135" s="841" t="s">
        <v>353</v>
      </c>
      <c r="GQ135" s="841" t="s">
        <v>353</v>
      </c>
      <c r="GR135" s="841" t="s">
        <v>353</v>
      </c>
      <c r="GS135" s="841" t="s">
        <v>2635</v>
      </c>
      <c r="GT135" s="841" t="s">
        <v>353</v>
      </c>
      <c r="GU135" s="841" t="s">
        <v>353</v>
      </c>
      <c r="GV135" s="841" t="s">
        <v>1419</v>
      </c>
      <c r="GW135" s="841" t="s">
        <v>353</v>
      </c>
      <c r="GX135" s="841" t="s">
        <v>353</v>
      </c>
      <c r="GY135" s="841">
        <v>36</v>
      </c>
      <c r="GZ135" s="841" t="s">
        <v>1420</v>
      </c>
      <c r="HA135" s="841" t="s">
        <v>353</v>
      </c>
      <c r="HB135" s="841" t="s">
        <v>353</v>
      </c>
      <c r="HC135" s="841" t="s">
        <v>1421</v>
      </c>
      <c r="HD135" s="841" t="s">
        <v>2636</v>
      </c>
      <c r="HE135" s="841">
        <v>2750</v>
      </c>
      <c r="HF135" s="841" t="s">
        <v>353</v>
      </c>
      <c r="HG135" s="841" t="s">
        <v>353</v>
      </c>
      <c r="HH135" s="841">
        <v>780</v>
      </c>
      <c r="HI135" s="841" t="s">
        <v>1422</v>
      </c>
      <c r="HJ135" s="841" t="s">
        <v>2637</v>
      </c>
      <c r="HK135" s="841">
        <v>275000</v>
      </c>
      <c r="HL135" s="841" t="s">
        <v>49</v>
      </c>
      <c r="HM135" s="841" t="s">
        <v>1423</v>
      </c>
      <c r="HN135" s="841" t="s">
        <v>27</v>
      </c>
      <c r="HO135" s="841" t="s">
        <v>353</v>
      </c>
      <c r="HP135" s="841">
        <v>14547.5</v>
      </c>
      <c r="HQ135" s="841" t="s">
        <v>353</v>
      </c>
      <c r="HR135" s="841" t="s">
        <v>353</v>
      </c>
      <c r="HS135" s="841">
        <v>231357.5</v>
      </c>
      <c r="HT135" s="841" t="s">
        <v>353</v>
      </c>
      <c r="HU135" s="841" t="s">
        <v>353</v>
      </c>
      <c r="HV135" s="841" t="s">
        <v>353</v>
      </c>
      <c r="HW135" s="841">
        <v>397000</v>
      </c>
      <c r="HX135" s="841" t="s">
        <v>353</v>
      </c>
      <c r="HY135" s="841" t="s">
        <v>353</v>
      </c>
      <c r="HZ135" s="841" t="s">
        <v>353</v>
      </c>
      <c r="IA135" s="841" t="s">
        <v>353</v>
      </c>
      <c r="IB135" s="841" t="s">
        <v>1424</v>
      </c>
      <c r="IC135" s="843">
        <v>44568</v>
      </c>
      <c r="ID135" s="841" t="s">
        <v>353</v>
      </c>
      <c r="IE135" s="841" t="s">
        <v>353</v>
      </c>
      <c r="IF135" s="841" t="s">
        <v>353</v>
      </c>
      <c r="IG135" s="841" t="s">
        <v>353</v>
      </c>
      <c r="IH135" s="841" t="s">
        <v>353</v>
      </c>
      <c r="II135" s="841" t="s">
        <v>353</v>
      </c>
      <c r="IJ135" s="841" t="s">
        <v>353</v>
      </c>
      <c r="IK135" s="841" t="s">
        <v>353</v>
      </c>
      <c r="IL135" s="841">
        <v>271363</v>
      </c>
      <c r="IM135" s="841" t="s">
        <v>353</v>
      </c>
      <c r="IN135" s="841" t="s">
        <v>353</v>
      </c>
      <c r="IO135" s="841">
        <v>199</v>
      </c>
      <c r="IP135" s="841" t="s">
        <v>353</v>
      </c>
      <c r="IQ135" s="841" t="s">
        <v>353</v>
      </c>
      <c r="IR135" s="841">
        <v>3</v>
      </c>
      <c r="IS135" s="841" t="s">
        <v>33</v>
      </c>
      <c r="IT135" s="841" t="s">
        <v>353</v>
      </c>
      <c r="IU135" s="841" t="s">
        <v>353</v>
      </c>
      <c r="IV135" s="841" t="s">
        <v>353</v>
      </c>
      <c r="IW135" s="841" t="s">
        <v>353</v>
      </c>
      <c r="IX135" s="841" t="s">
        <v>353</v>
      </c>
      <c r="IY135" s="841" t="s">
        <v>1578</v>
      </c>
      <c r="IZ135" s="841" t="s">
        <v>353</v>
      </c>
      <c r="JA135" s="841">
        <v>275000</v>
      </c>
      <c r="JB135" s="841" t="s">
        <v>353</v>
      </c>
      <c r="JC135" s="841" t="s">
        <v>353</v>
      </c>
      <c r="JD135" s="841" t="s">
        <v>1456</v>
      </c>
      <c r="JE135" s="841" t="s">
        <v>33</v>
      </c>
      <c r="JF135" s="841" t="s">
        <v>1836</v>
      </c>
      <c r="JG135" s="841" t="s">
        <v>1837</v>
      </c>
      <c r="JH135" s="841" t="s">
        <v>2278</v>
      </c>
      <c r="JI135" s="841" t="s">
        <v>2279</v>
      </c>
    </row>
    <row r="136" spans="1:269" x14ac:dyDescent="0.25">
      <c r="A136" s="841" t="s">
        <v>2638</v>
      </c>
      <c r="B136" s="841" t="s">
        <v>353</v>
      </c>
      <c r="C136" s="841" t="s">
        <v>1403</v>
      </c>
      <c r="D136" s="841" t="s">
        <v>353</v>
      </c>
      <c r="E136" s="841" t="s">
        <v>33</v>
      </c>
      <c r="F136" s="841" t="s">
        <v>1435</v>
      </c>
      <c r="G136" s="841" t="s">
        <v>2639</v>
      </c>
      <c r="H136" s="841" t="s">
        <v>353</v>
      </c>
      <c r="I136" s="841" t="s">
        <v>353</v>
      </c>
      <c r="J136" s="841" t="s">
        <v>353</v>
      </c>
      <c r="K136" s="841" t="s">
        <v>353</v>
      </c>
      <c r="L136" s="842">
        <v>44603.626388888886</v>
      </c>
      <c r="M136" s="841" t="s">
        <v>353</v>
      </c>
      <c r="N136" s="841" t="s">
        <v>353</v>
      </c>
      <c r="O136" s="841" t="s">
        <v>353</v>
      </c>
      <c r="P136" s="841" t="s">
        <v>33</v>
      </c>
      <c r="Q136" s="841" t="s">
        <v>353</v>
      </c>
      <c r="R136" s="841" t="s">
        <v>353</v>
      </c>
      <c r="S136" s="841" t="s">
        <v>64</v>
      </c>
      <c r="T136" s="841" t="s">
        <v>1390</v>
      </c>
      <c r="U136" s="841" t="s">
        <v>353</v>
      </c>
      <c r="V136" s="841" t="s">
        <v>353</v>
      </c>
      <c r="W136" s="841" t="s">
        <v>1420</v>
      </c>
      <c r="X136" s="841" t="s">
        <v>1405</v>
      </c>
      <c r="Y136" s="841" t="s">
        <v>353</v>
      </c>
      <c r="Z136" s="841" t="s">
        <v>353</v>
      </c>
      <c r="AA136" s="841" t="s">
        <v>673</v>
      </c>
      <c r="AB136" s="841" t="s">
        <v>353</v>
      </c>
      <c r="AC136" s="841">
        <v>189000</v>
      </c>
      <c r="AD136" s="841" t="s">
        <v>353</v>
      </c>
      <c r="AE136" s="841" t="s">
        <v>673</v>
      </c>
      <c r="AF136" s="841">
        <v>1388.63</v>
      </c>
      <c r="AG136" s="841" t="s">
        <v>353</v>
      </c>
      <c r="AH136" s="841">
        <v>2100</v>
      </c>
      <c r="AI136" s="841" t="s">
        <v>1406</v>
      </c>
      <c r="AJ136" s="841" t="s">
        <v>353</v>
      </c>
      <c r="AK136" s="841">
        <v>75</v>
      </c>
      <c r="AL136" s="841" t="s">
        <v>353</v>
      </c>
      <c r="AM136" s="841">
        <v>350000</v>
      </c>
      <c r="AN136" s="841" t="s">
        <v>33</v>
      </c>
      <c r="AO136" s="841" t="s">
        <v>353</v>
      </c>
      <c r="AP136" s="841" t="s">
        <v>353</v>
      </c>
      <c r="AQ136" s="841" t="s">
        <v>353</v>
      </c>
      <c r="AR136" s="841" t="s">
        <v>673</v>
      </c>
      <c r="AS136" s="841" t="s">
        <v>353</v>
      </c>
      <c r="AT136" s="841" t="s">
        <v>353</v>
      </c>
      <c r="AU136" s="841" t="s">
        <v>1405</v>
      </c>
      <c r="AV136" s="841" t="s">
        <v>353</v>
      </c>
      <c r="AW136" s="843">
        <v>44574</v>
      </c>
      <c r="AX136" s="841" t="s">
        <v>353</v>
      </c>
      <c r="AY136" s="841" t="s">
        <v>353</v>
      </c>
      <c r="AZ136" s="841" t="s">
        <v>353</v>
      </c>
      <c r="BA136" s="841" t="s">
        <v>353</v>
      </c>
      <c r="BB136" s="841" t="s">
        <v>353</v>
      </c>
      <c r="BC136" s="841">
        <v>305322</v>
      </c>
      <c r="BD136" s="841" t="s">
        <v>353</v>
      </c>
      <c r="BE136" s="841" t="s">
        <v>353</v>
      </c>
      <c r="BF136" s="841" t="s">
        <v>353</v>
      </c>
      <c r="BG136" s="841" t="s">
        <v>353</v>
      </c>
      <c r="BH136" s="841" t="s">
        <v>353</v>
      </c>
      <c r="BI136" s="841" t="s">
        <v>353</v>
      </c>
      <c r="BJ136" s="841" t="s">
        <v>353</v>
      </c>
      <c r="BK136" s="841">
        <v>261000</v>
      </c>
      <c r="BL136" s="841" t="s">
        <v>2037</v>
      </c>
      <c r="BM136" s="842">
        <v>44592.520833333336</v>
      </c>
      <c r="BN136" s="841" t="s">
        <v>353</v>
      </c>
      <c r="BO136" s="841" t="s">
        <v>353</v>
      </c>
      <c r="BP136" s="841" t="s">
        <v>673</v>
      </c>
      <c r="BQ136" s="841" t="s">
        <v>353</v>
      </c>
      <c r="BR136" s="841" t="s">
        <v>353</v>
      </c>
      <c r="BS136" s="841" t="s">
        <v>353</v>
      </c>
      <c r="BT136" s="841">
        <v>320000</v>
      </c>
      <c r="BU136" s="841" t="s">
        <v>353</v>
      </c>
      <c r="BV136" s="841" t="s">
        <v>2640</v>
      </c>
      <c r="BW136" s="841" t="s">
        <v>1578</v>
      </c>
      <c r="BX136" s="841" t="s">
        <v>2641</v>
      </c>
      <c r="BY136" s="841" t="s">
        <v>353</v>
      </c>
      <c r="BZ136" s="841" t="s">
        <v>353</v>
      </c>
      <c r="CA136" s="841" t="s">
        <v>353</v>
      </c>
      <c r="CB136" s="841" t="s">
        <v>353</v>
      </c>
      <c r="CC136" s="841" t="s">
        <v>353</v>
      </c>
      <c r="CD136" s="841" t="s">
        <v>353</v>
      </c>
      <c r="CE136" s="841" t="s">
        <v>353</v>
      </c>
      <c r="CF136" s="841" t="s">
        <v>353</v>
      </c>
      <c r="CG136" s="841" t="s">
        <v>353</v>
      </c>
      <c r="CH136" s="841" t="s">
        <v>353</v>
      </c>
      <c r="CI136" s="841" t="s">
        <v>33</v>
      </c>
      <c r="CJ136" s="841">
        <v>900</v>
      </c>
      <c r="CK136" s="841">
        <v>7</v>
      </c>
      <c r="CL136" s="841" t="s">
        <v>353</v>
      </c>
      <c r="CM136" s="841">
        <v>9</v>
      </c>
      <c r="CN136" s="841" t="s">
        <v>353</v>
      </c>
      <c r="CO136" s="841" t="s">
        <v>353</v>
      </c>
      <c r="CP136" s="841" t="s">
        <v>2642</v>
      </c>
      <c r="CQ136" s="841" t="s">
        <v>353</v>
      </c>
      <c r="CR136" s="841" t="s">
        <v>353</v>
      </c>
      <c r="CS136" s="841" t="s">
        <v>1405</v>
      </c>
      <c r="CT136" s="841" t="s">
        <v>353</v>
      </c>
      <c r="CU136" s="841" t="s">
        <v>1391</v>
      </c>
      <c r="CV136" s="841" t="s">
        <v>353</v>
      </c>
      <c r="CW136" s="841" t="s">
        <v>353</v>
      </c>
      <c r="CX136" s="841" t="s">
        <v>353</v>
      </c>
      <c r="CY136" s="841" t="s">
        <v>353</v>
      </c>
      <c r="CZ136" s="841">
        <v>3</v>
      </c>
      <c r="DA136" s="841" t="s">
        <v>353</v>
      </c>
      <c r="DB136" s="843">
        <v>44582</v>
      </c>
      <c r="DC136" s="841" t="s">
        <v>353</v>
      </c>
      <c r="DD136" s="841" t="s">
        <v>353</v>
      </c>
      <c r="DE136" s="841" t="s">
        <v>353</v>
      </c>
      <c r="DF136" s="841">
        <v>33</v>
      </c>
      <c r="DG136" s="841" t="s">
        <v>353</v>
      </c>
      <c r="DH136" s="841" t="s">
        <v>353</v>
      </c>
      <c r="DI136" s="841" t="s">
        <v>353</v>
      </c>
      <c r="DJ136" s="841" t="s">
        <v>2643</v>
      </c>
      <c r="DK136" s="841" t="s">
        <v>353</v>
      </c>
      <c r="DL136" s="842">
        <v>44568.520833333336</v>
      </c>
      <c r="DM136" s="841" t="s">
        <v>353</v>
      </c>
      <c r="DN136" s="841" t="s">
        <v>33</v>
      </c>
      <c r="DO136" s="841" t="s">
        <v>673</v>
      </c>
      <c r="DP136" s="841" t="s">
        <v>1481</v>
      </c>
      <c r="DQ136" s="841" t="s">
        <v>673</v>
      </c>
      <c r="DR136" s="841">
        <v>380000</v>
      </c>
      <c r="DS136" s="841">
        <v>33</v>
      </c>
      <c r="DT136" s="841" t="s">
        <v>353</v>
      </c>
      <c r="DU136" s="841" t="s">
        <v>353</v>
      </c>
      <c r="DV136" s="841">
        <v>259497</v>
      </c>
      <c r="DW136" s="841">
        <v>315000</v>
      </c>
      <c r="DX136" s="841" t="s">
        <v>673</v>
      </c>
      <c r="DY136" s="841" t="s">
        <v>353</v>
      </c>
      <c r="DZ136" s="841" t="s">
        <v>353</v>
      </c>
      <c r="EA136" s="841" t="s">
        <v>353</v>
      </c>
      <c r="EB136" s="841" t="s">
        <v>353</v>
      </c>
      <c r="EC136" s="841" t="s">
        <v>353</v>
      </c>
      <c r="ED136" s="841" t="s">
        <v>353</v>
      </c>
      <c r="EE136" s="841" t="s">
        <v>673</v>
      </c>
      <c r="EF136" s="841" t="s">
        <v>353</v>
      </c>
      <c r="EG136" s="841" t="s">
        <v>353</v>
      </c>
      <c r="EH136" s="841" t="s">
        <v>33</v>
      </c>
      <c r="EI136" s="841">
        <v>49990.5</v>
      </c>
      <c r="EJ136" s="841" t="s">
        <v>353</v>
      </c>
      <c r="EK136" s="841" t="s">
        <v>1456</v>
      </c>
      <c r="EL136" s="841" t="s">
        <v>1435</v>
      </c>
      <c r="EM136" s="841">
        <v>5512.5</v>
      </c>
      <c r="EN136" s="841" t="s">
        <v>353</v>
      </c>
      <c r="EO136" s="841" t="s">
        <v>353</v>
      </c>
      <c r="EP136" s="841" t="s">
        <v>353</v>
      </c>
      <c r="EQ136" s="841" t="s">
        <v>353</v>
      </c>
      <c r="ER136" s="841" t="s">
        <v>353</v>
      </c>
      <c r="ES136" s="841" t="s">
        <v>33</v>
      </c>
      <c r="ET136" s="841" t="s">
        <v>1711</v>
      </c>
      <c r="EU136" s="841" t="s">
        <v>2644</v>
      </c>
      <c r="EV136" s="841" t="s">
        <v>353</v>
      </c>
      <c r="EW136" s="841" t="s">
        <v>353</v>
      </c>
      <c r="EX136" s="841" t="s">
        <v>33</v>
      </c>
      <c r="EY136" s="842">
        <v>44594.708333333336</v>
      </c>
      <c r="EZ136" s="841" t="s">
        <v>353</v>
      </c>
      <c r="FA136" s="841" t="s">
        <v>353</v>
      </c>
      <c r="FB136" s="841" t="s">
        <v>353</v>
      </c>
      <c r="FC136" s="841" t="s">
        <v>353</v>
      </c>
      <c r="FD136" s="841">
        <v>385000</v>
      </c>
      <c r="FE136" s="842">
        <v>44568.521527777775</v>
      </c>
      <c r="FF136" s="841" t="s">
        <v>353</v>
      </c>
      <c r="FG136" s="841" t="s">
        <v>2645</v>
      </c>
      <c r="FH136" s="841" t="s">
        <v>353</v>
      </c>
      <c r="FI136" s="841" t="s">
        <v>353</v>
      </c>
      <c r="FJ136" s="841" t="s">
        <v>353</v>
      </c>
      <c r="FK136" s="841" t="s">
        <v>353</v>
      </c>
      <c r="FL136" s="841" t="s">
        <v>353</v>
      </c>
      <c r="FM136" s="841" t="s">
        <v>353</v>
      </c>
      <c r="FN136" s="841" t="s">
        <v>353</v>
      </c>
      <c r="FO136" s="841" t="s">
        <v>1528</v>
      </c>
      <c r="FP136" s="841" t="s">
        <v>353</v>
      </c>
      <c r="FQ136" s="841" t="s">
        <v>353</v>
      </c>
      <c r="FR136" s="841" t="s">
        <v>353</v>
      </c>
      <c r="FS136" s="841" t="s">
        <v>353</v>
      </c>
      <c r="FT136" s="841" t="s">
        <v>353</v>
      </c>
      <c r="FU136" s="841" t="s">
        <v>1714</v>
      </c>
      <c r="FV136" s="841" t="s">
        <v>353</v>
      </c>
      <c r="FW136" s="841" t="s">
        <v>353</v>
      </c>
      <c r="FX136" s="841" t="s">
        <v>353</v>
      </c>
      <c r="FY136" s="841" t="s">
        <v>353</v>
      </c>
      <c r="FZ136" s="841" t="s">
        <v>353</v>
      </c>
      <c r="GA136" s="841" t="s">
        <v>353</v>
      </c>
      <c r="GB136" s="841">
        <v>1</v>
      </c>
      <c r="GC136" s="841" t="s">
        <v>353</v>
      </c>
      <c r="GD136" s="841" t="s">
        <v>1395</v>
      </c>
      <c r="GE136" s="841" t="s">
        <v>353</v>
      </c>
      <c r="GF136" s="841" t="s">
        <v>353</v>
      </c>
      <c r="GG136" s="841" t="s">
        <v>349</v>
      </c>
      <c r="GH136" s="841">
        <v>189000</v>
      </c>
      <c r="GI136" s="841" t="s">
        <v>353</v>
      </c>
      <c r="GJ136" s="841">
        <v>385000</v>
      </c>
      <c r="GK136" s="841" t="s">
        <v>353</v>
      </c>
      <c r="GL136" s="841" t="s">
        <v>1715</v>
      </c>
      <c r="GM136" s="841" t="s">
        <v>353</v>
      </c>
      <c r="GN136" s="841" t="s">
        <v>353</v>
      </c>
      <c r="GO136" s="841" t="s">
        <v>353</v>
      </c>
      <c r="GP136" s="841" t="s">
        <v>353</v>
      </c>
      <c r="GQ136" s="841" t="s">
        <v>353</v>
      </c>
      <c r="GR136" s="842">
        <v>44594.708333333336</v>
      </c>
      <c r="GS136" s="841" t="s">
        <v>2646</v>
      </c>
      <c r="GT136" s="841" t="s">
        <v>353</v>
      </c>
      <c r="GU136" s="841" t="s">
        <v>353</v>
      </c>
      <c r="GV136" s="841" t="s">
        <v>1419</v>
      </c>
      <c r="GW136" s="841" t="s">
        <v>353</v>
      </c>
      <c r="GX136" s="841" t="s">
        <v>49</v>
      </c>
      <c r="GY136" s="841">
        <v>36</v>
      </c>
      <c r="GZ136" s="841" t="s">
        <v>1420</v>
      </c>
      <c r="HA136" s="841" t="s">
        <v>353</v>
      </c>
      <c r="HB136" s="841" t="s">
        <v>353</v>
      </c>
      <c r="HC136" s="841" t="s">
        <v>1421</v>
      </c>
      <c r="HD136" s="841" t="s">
        <v>2642</v>
      </c>
      <c r="HE136" s="841">
        <v>6300</v>
      </c>
      <c r="HF136" s="841" t="s">
        <v>353</v>
      </c>
      <c r="HG136" s="841" t="s">
        <v>353</v>
      </c>
      <c r="HH136" s="841">
        <v>720</v>
      </c>
      <c r="HI136" s="841" t="s">
        <v>1422</v>
      </c>
      <c r="HJ136" s="841" t="s">
        <v>23</v>
      </c>
      <c r="HK136" s="841">
        <v>315000</v>
      </c>
      <c r="HL136" s="841" t="s">
        <v>49</v>
      </c>
      <c r="HM136" s="841" t="s">
        <v>1530</v>
      </c>
      <c r="HN136" s="841" t="s">
        <v>27</v>
      </c>
      <c r="HO136" s="841" t="s">
        <v>353</v>
      </c>
      <c r="HP136" s="841">
        <v>16663.5</v>
      </c>
      <c r="HQ136" s="841" t="s">
        <v>353</v>
      </c>
      <c r="HR136" s="841" t="s">
        <v>353</v>
      </c>
      <c r="HS136" s="841">
        <v>265009.5</v>
      </c>
      <c r="HT136" s="841" t="s">
        <v>353</v>
      </c>
      <c r="HU136" s="841" t="s">
        <v>353</v>
      </c>
      <c r="HV136" s="841" t="s">
        <v>353</v>
      </c>
      <c r="HW136" s="841">
        <v>420000</v>
      </c>
      <c r="HX136" s="841" t="s">
        <v>353</v>
      </c>
      <c r="HY136" s="841" t="s">
        <v>353</v>
      </c>
      <c r="HZ136" s="841" t="s">
        <v>353</v>
      </c>
      <c r="IA136" s="841" t="s">
        <v>353</v>
      </c>
      <c r="IB136" s="841" t="s">
        <v>1424</v>
      </c>
      <c r="IC136" s="843">
        <v>44574</v>
      </c>
      <c r="ID136" s="841" t="s">
        <v>353</v>
      </c>
      <c r="IE136" s="841" t="s">
        <v>353</v>
      </c>
      <c r="IF136" s="841" t="s">
        <v>353</v>
      </c>
      <c r="IG136" s="841" t="s">
        <v>353</v>
      </c>
      <c r="IH136" s="841" t="s">
        <v>353</v>
      </c>
      <c r="II136" s="841" t="s">
        <v>353</v>
      </c>
      <c r="IJ136" s="841" t="s">
        <v>353</v>
      </c>
      <c r="IK136" s="841" t="s">
        <v>353</v>
      </c>
      <c r="IL136" s="841">
        <v>310834</v>
      </c>
      <c r="IM136" s="841" t="s">
        <v>353</v>
      </c>
      <c r="IN136" s="841" t="s">
        <v>353</v>
      </c>
      <c r="IO136" s="841">
        <v>0</v>
      </c>
      <c r="IP136" s="841">
        <v>0</v>
      </c>
      <c r="IQ136" s="841" t="s">
        <v>353</v>
      </c>
      <c r="IR136" s="841">
        <v>3</v>
      </c>
      <c r="IS136" s="841" t="s">
        <v>33</v>
      </c>
      <c r="IT136" s="841" t="s">
        <v>353</v>
      </c>
      <c r="IU136" s="841" t="s">
        <v>353</v>
      </c>
      <c r="IV136" s="841" t="s">
        <v>353</v>
      </c>
      <c r="IW136" s="841" t="s">
        <v>353</v>
      </c>
      <c r="IX136" s="841" t="s">
        <v>353</v>
      </c>
      <c r="IY136" s="841" t="s">
        <v>353</v>
      </c>
      <c r="IZ136" s="841" t="s">
        <v>353</v>
      </c>
      <c r="JA136" s="841">
        <v>315000</v>
      </c>
      <c r="JB136" s="841" t="s">
        <v>353</v>
      </c>
      <c r="JC136" s="841" t="s">
        <v>33</v>
      </c>
      <c r="JD136" s="841" t="s">
        <v>1456</v>
      </c>
      <c r="JE136" s="841" t="s">
        <v>33</v>
      </c>
      <c r="JF136" s="841" t="s">
        <v>353</v>
      </c>
      <c r="JG136" s="841" t="s">
        <v>353</v>
      </c>
      <c r="JH136" s="841" t="s">
        <v>1720</v>
      </c>
      <c r="JI136" s="841" t="s">
        <v>1721</v>
      </c>
    </row>
    <row r="137" spans="1:269" x14ac:dyDescent="0.25">
      <c r="A137" s="841" t="s">
        <v>2647</v>
      </c>
      <c r="B137" s="841" t="s">
        <v>353</v>
      </c>
      <c r="C137" s="841" t="s">
        <v>1403</v>
      </c>
      <c r="D137" s="841" t="s">
        <v>353</v>
      </c>
      <c r="E137" s="841" t="s">
        <v>33</v>
      </c>
      <c r="F137" s="841" t="s">
        <v>1435</v>
      </c>
      <c r="G137" s="841" t="s">
        <v>2648</v>
      </c>
      <c r="H137" s="841" t="s">
        <v>353</v>
      </c>
      <c r="I137" s="841" t="s">
        <v>33</v>
      </c>
      <c r="J137" s="841" t="s">
        <v>353</v>
      </c>
      <c r="K137" s="841" t="s">
        <v>353</v>
      </c>
      <c r="L137" s="842">
        <v>44595.689583333333</v>
      </c>
      <c r="M137" s="841" t="s">
        <v>353</v>
      </c>
      <c r="N137" s="841" t="s">
        <v>33</v>
      </c>
      <c r="O137" s="841" t="s">
        <v>353</v>
      </c>
      <c r="P137" s="841" t="s">
        <v>33</v>
      </c>
      <c r="Q137" s="841" t="s">
        <v>353</v>
      </c>
      <c r="R137" s="841" t="s">
        <v>353</v>
      </c>
      <c r="S137" s="841" t="s">
        <v>1520</v>
      </c>
      <c r="T137" s="841" t="s">
        <v>1390</v>
      </c>
      <c r="U137" s="841" t="s">
        <v>353</v>
      </c>
      <c r="V137" s="841" t="s">
        <v>353</v>
      </c>
      <c r="W137" s="841" t="s">
        <v>1716</v>
      </c>
      <c r="X137" s="841" t="s">
        <v>1435</v>
      </c>
      <c r="Y137" s="841" t="s">
        <v>353</v>
      </c>
      <c r="Z137" s="841" t="s">
        <v>353</v>
      </c>
      <c r="AA137" s="841" t="s">
        <v>33</v>
      </c>
      <c r="AB137" s="843">
        <v>44595</v>
      </c>
      <c r="AC137" s="841">
        <v>292500</v>
      </c>
      <c r="AD137" s="841" t="s">
        <v>353</v>
      </c>
      <c r="AE137" s="841" t="s">
        <v>33</v>
      </c>
      <c r="AF137" s="841">
        <v>1351.46</v>
      </c>
      <c r="AG137" s="841" t="s">
        <v>353</v>
      </c>
      <c r="AH137" s="841">
        <v>1355</v>
      </c>
      <c r="AI137" s="841" t="s">
        <v>1521</v>
      </c>
      <c r="AJ137" s="841" t="s">
        <v>2168</v>
      </c>
      <c r="AK137" s="841">
        <v>65</v>
      </c>
      <c r="AL137" s="841" t="s">
        <v>353</v>
      </c>
      <c r="AM137" s="841">
        <v>450000</v>
      </c>
      <c r="AN137" s="841" t="s">
        <v>33</v>
      </c>
      <c r="AO137" s="841" t="s">
        <v>353</v>
      </c>
      <c r="AP137" s="841" t="s">
        <v>353</v>
      </c>
      <c r="AQ137" s="841" t="s">
        <v>353</v>
      </c>
      <c r="AR137" s="841" t="s">
        <v>673</v>
      </c>
      <c r="AS137" s="841" t="s">
        <v>353</v>
      </c>
      <c r="AT137" s="841" t="s">
        <v>353</v>
      </c>
      <c r="AU137" s="841" t="s">
        <v>1405</v>
      </c>
      <c r="AV137" s="841" t="s">
        <v>353</v>
      </c>
      <c r="AW137" s="843">
        <v>44572</v>
      </c>
      <c r="AX137" s="841" t="s">
        <v>353</v>
      </c>
      <c r="AY137" s="841" t="s">
        <v>353</v>
      </c>
      <c r="AZ137" s="841" t="s">
        <v>353</v>
      </c>
      <c r="BA137" s="841" t="s">
        <v>353</v>
      </c>
      <c r="BB137" s="841" t="s">
        <v>353</v>
      </c>
      <c r="BC137" s="841">
        <v>300641</v>
      </c>
      <c r="BD137" s="841" t="s">
        <v>353</v>
      </c>
      <c r="BE137" s="841" t="s">
        <v>33</v>
      </c>
      <c r="BF137" s="841" t="s">
        <v>353</v>
      </c>
      <c r="BG137" s="841" t="s">
        <v>353</v>
      </c>
      <c r="BH137" s="841" t="s">
        <v>353</v>
      </c>
      <c r="BI137" s="841" t="s">
        <v>353</v>
      </c>
      <c r="BJ137" s="841" t="s">
        <v>353</v>
      </c>
      <c r="BK137" s="841">
        <v>300000</v>
      </c>
      <c r="BL137" s="841" t="s">
        <v>2037</v>
      </c>
      <c r="BM137" s="842">
        <v>44592.472916666666</v>
      </c>
      <c r="BN137" s="841" t="s">
        <v>353</v>
      </c>
      <c r="BO137" s="841" t="s">
        <v>353</v>
      </c>
      <c r="BP137" s="841" t="s">
        <v>673</v>
      </c>
      <c r="BQ137" s="841" t="s">
        <v>353</v>
      </c>
      <c r="BR137" s="841" t="s">
        <v>353</v>
      </c>
      <c r="BS137" s="841" t="s">
        <v>353</v>
      </c>
      <c r="BT137" s="841">
        <v>300000</v>
      </c>
      <c r="BU137" s="841" t="s">
        <v>353</v>
      </c>
      <c r="BV137" s="841" t="s">
        <v>2649</v>
      </c>
      <c r="BW137" s="841" t="s">
        <v>1578</v>
      </c>
      <c r="BX137" s="841" t="s">
        <v>2650</v>
      </c>
      <c r="BY137" s="841" t="s">
        <v>353</v>
      </c>
      <c r="BZ137" s="841" t="s">
        <v>353</v>
      </c>
      <c r="CA137" s="841" t="s">
        <v>353</v>
      </c>
      <c r="CB137" s="841" t="s">
        <v>353</v>
      </c>
      <c r="CC137" s="841" t="s">
        <v>353</v>
      </c>
      <c r="CD137" s="841" t="s">
        <v>353</v>
      </c>
      <c r="CE137" s="841" t="s">
        <v>353</v>
      </c>
      <c r="CF137" s="841" t="s">
        <v>353</v>
      </c>
      <c r="CG137" s="841" t="s">
        <v>353</v>
      </c>
      <c r="CH137" s="841" t="s">
        <v>353</v>
      </c>
      <c r="CI137" s="841" t="s">
        <v>33</v>
      </c>
      <c r="CJ137" s="841">
        <v>900</v>
      </c>
      <c r="CK137" s="841">
        <v>8</v>
      </c>
      <c r="CL137" s="841" t="s">
        <v>353</v>
      </c>
      <c r="CM137" s="841">
        <v>8</v>
      </c>
      <c r="CN137" s="841" t="s">
        <v>353</v>
      </c>
      <c r="CO137" s="841" t="s">
        <v>353</v>
      </c>
      <c r="CP137" s="841" t="s">
        <v>2651</v>
      </c>
      <c r="CQ137" s="841" t="s">
        <v>353</v>
      </c>
      <c r="CR137" s="841" t="s">
        <v>353</v>
      </c>
      <c r="CS137" s="841" t="s">
        <v>1405</v>
      </c>
      <c r="CT137" s="841" t="s">
        <v>353</v>
      </c>
      <c r="CU137" s="841" t="s">
        <v>1391</v>
      </c>
      <c r="CV137" s="841" t="s">
        <v>353</v>
      </c>
      <c r="CW137" s="841" t="s">
        <v>353</v>
      </c>
      <c r="CX137" s="841" t="s">
        <v>353</v>
      </c>
      <c r="CY137" s="841" t="s">
        <v>353</v>
      </c>
      <c r="CZ137" s="841">
        <v>3</v>
      </c>
      <c r="DA137" s="841" t="s">
        <v>353</v>
      </c>
      <c r="DB137" s="843">
        <v>44585</v>
      </c>
      <c r="DC137" s="841" t="s">
        <v>353</v>
      </c>
      <c r="DD137" s="841" t="s">
        <v>353</v>
      </c>
      <c r="DE137" s="841" t="s">
        <v>353</v>
      </c>
      <c r="DF137" s="841">
        <v>6</v>
      </c>
      <c r="DG137" s="841" t="s">
        <v>353</v>
      </c>
      <c r="DH137" s="841" t="s">
        <v>353</v>
      </c>
      <c r="DI137" s="841" t="s">
        <v>353</v>
      </c>
      <c r="DJ137" s="841" t="s">
        <v>2652</v>
      </c>
      <c r="DK137" s="841" t="s">
        <v>353</v>
      </c>
      <c r="DL137" s="842">
        <v>44568.472916666666</v>
      </c>
      <c r="DM137" s="841" t="s">
        <v>353</v>
      </c>
      <c r="DN137" s="841" t="s">
        <v>33</v>
      </c>
      <c r="DO137" s="841" t="s">
        <v>673</v>
      </c>
      <c r="DP137" s="841" t="s">
        <v>1481</v>
      </c>
      <c r="DQ137" s="841" t="s">
        <v>673</v>
      </c>
      <c r="DR137" s="841" t="s">
        <v>353</v>
      </c>
      <c r="DS137" s="841">
        <v>6</v>
      </c>
      <c r="DT137" s="841" t="s">
        <v>353</v>
      </c>
      <c r="DU137" s="841" t="s">
        <v>353</v>
      </c>
      <c r="DV137" s="841">
        <v>-265525</v>
      </c>
      <c r="DW137" s="841">
        <v>325000</v>
      </c>
      <c r="DX137" s="841" t="s">
        <v>673</v>
      </c>
      <c r="DY137" s="841" t="s">
        <v>353</v>
      </c>
      <c r="DZ137" s="841">
        <v>0</v>
      </c>
      <c r="EA137" s="841" t="s">
        <v>353</v>
      </c>
      <c r="EB137" s="841" t="s">
        <v>353</v>
      </c>
      <c r="EC137" s="841" t="s">
        <v>353</v>
      </c>
      <c r="ED137" s="841" t="s">
        <v>353</v>
      </c>
      <c r="EE137" s="841" t="s">
        <v>673</v>
      </c>
      <c r="EF137" s="841" t="s">
        <v>353</v>
      </c>
      <c r="EG137" s="841" t="s">
        <v>353</v>
      </c>
      <c r="EH137" s="841" t="s">
        <v>33</v>
      </c>
      <c r="EI137" s="841">
        <v>584025</v>
      </c>
      <c r="EJ137" s="841" t="s">
        <v>353</v>
      </c>
      <c r="EK137" s="841" t="s">
        <v>1527</v>
      </c>
      <c r="EL137" s="841" t="s">
        <v>1435</v>
      </c>
      <c r="EM137" s="841">
        <v>6500</v>
      </c>
      <c r="EN137" s="841" t="s">
        <v>353</v>
      </c>
      <c r="EO137" s="841" t="s">
        <v>353</v>
      </c>
      <c r="EP137" s="841" t="s">
        <v>353</v>
      </c>
      <c r="EQ137" s="841" t="s">
        <v>353</v>
      </c>
      <c r="ER137" s="841" t="s">
        <v>353</v>
      </c>
      <c r="ES137" s="841" t="s">
        <v>33</v>
      </c>
      <c r="ET137" s="841" t="s">
        <v>1711</v>
      </c>
      <c r="EU137" s="841" t="s">
        <v>2644</v>
      </c>
      <c r="EV137" s="841" t="s">
        <v>353</v>
      </c>
      <c r="EW137" s="841" t="s">
        <v>353</v>
      </c>
      <c r="EX137" s="841" t="s">
        <v>33</v>
      </c>
      <c r="EY137" s="842">
        <v>44595.689583333333</v>
      </c>
      <c r="EZ137" s="841" t="s">
        <v>353</v>
      </c>
      <c r="FA137" s="841" t="s">
        <v>353</v>
      </c>
      <c r="FB137" s="841" t="s">
        <v>353</v>
      </c>
      <c r="FC137" s="841" t="s">
        <v>353</v>
      </c>
      <c r="FD137" s="841">
        <v>500000</v>
      </c>
      <c r="FE137" s="842">
        <v>44568.475694444445</v>
      </c>
      <c r="FF137" s="841" t="s">
        <v>353</v>
      </c>
      <c r="FG137" s="841" t="s">
        <v>2653</v>
      </c>
      <c r="FH137" s="841" t="s">
        <v>353</v>
      </c>
      <c r="FI137" s="841" t="s">
        <v>353</v>
      </c>
      <c r="FJ137" s="841" t="s">
        <v>353</v>
      </c>
      <c r="FK137" s="841" t="s">
        <v>353</v>
      </c>
      <c r="FL137" s="841" t="s">
        <v>353</v>
      </c>
      <c r="FM137" s="841" t="s">
        <v>353</v>
      </c>
      <c r="FN137" s="841" t="s">
        <v>353</v>
      </c>
      <c r="FO137" s="841" t="s">
        <v>1528</v>
      </c>
      <c r="FP137" s="841" t="s">
        <v>2611</v>
      </c>
      <c r="FQ137" s="841" t="s">
        <v>353</v>
      </c>
      <c r="FR137" s="841" t="s">
        <v>353</v>
      </c>
      <c r="FS137" s="841" t="s">
        <v>353</v>
      </c>
      <c r="FT137" s="841" t="s">
        <v>353</v>
      </c>
      <c r="FU137" s="841" t="s">
        <v>2203</v>
      </c>
      <c r="FV137" s="841" t="s">
        <v>353</v>
      </c>
      <c r="FW137" s="841" t="s">
        <v>353</v>
      </c>
      <c r="FX137" s="841" t="s">
        <v>353</v>
      </c>
      <c r="FY137" s="841" t="s">
        <v>353</v>
      </c>
      <c r="FZ137" s="841" t="s">
        <v>353</v>
      </c>
      <c r="GA137" s="841" t="s">
        <v>353</v>
      </c>
      <c r="GB137" s="841">
        <v>1</v>
      </c>
      <c r="GC137" s="841" t="s">
        <v>353</v>
      </c>
      <c r="GD137" s="841" t="s">
        <v>1395</v>
      </c>
      <c r="GE137" s="841" t="s">
        <v>353</v>
      </c>
      <c r="GF137" s="841">
        <v>0</v>
      </c>
      <c r="GG137" s="841" t="s">
        <v>349</v>
      </c>
      <c r="GH137" s="841">
        <v>292500</v>
      </c>
      <c r="GI137" s="841" t="s">
        <v>353</v>
      </c>
      <c r="GJ137" s="841">
        <v>500000</v>
      </c>
      <c r="GK137" s="841" t="s">
        <v>353</v>
      </c>
      <c r="GL137" s="841" t="s">
        <v>1715</v>
      </c>
      <c r="GM137" s="841" t="s">
        <v>353</v>
      </c>
      <c r="GN137" s="841" t="s">
        <v>353</v>
      </c>
      <c r="GO137" s="841" t="s">
        <v>353</v>
      </c>
      <c r="GP137" s="841" t="s">
        <v>353</v>
      </c>
      <c r="GQ137" s="841" t="s">
        <v>353</v>
      </c>
      <c r="GR137" s="842">
        <v>44595.689583333333</v>
      </c>
      <c r="GS137" s="841" t="s">
        <v>2654</v>
      </c>
      <c r="GT137" s="841" t="s">
        <v>353</v>
      </c>
      <c r="GU137" s="841" t="s">
        <v>353</v>
      </c>
      <c r="GV137" s="841" t="s">
        <v>1419</v>
      </c>
      <c r="GW137" s="841" t="s">
        <v>353</v>
      </c>
      <c r="GX137" s="841" t="s">
        <v>49</v>
      </c>
      <c r="GY137" s="841">
        <v>36</v>
      </c>
      <c r="GZ137" s="841" t="s">
        <v>1716</v>
      </c>
      <c r="HA137" s="841" t="s">
        <v>353</v>
      </c>
      <c r="HB137" s="841" t="s">
        <v>353</v>
      </c>
      <c r="HC137" s="841" t="s">
        <v>1421</v>
      </c>
      <c r="HD137" s="841" t="s">
        <v>2651</v>
      </c>
      <c r="HE137" s="841">
        <v>6500</v>
      </c>
      <c r="HF137" s="841" t="s">
        <v>353</v>
      </c>
      <c r="HG137" s="841" t="s">
        <v>353</v>
      </c>
      <c r="HH137" s="841">
        <v>720</v>
      </c>
      <c r="HI137" s="841" t="s">
        <v>1422</v>
      </c>
      <c r="HJ137" s="841" t="s">
        <v>2655</v>
      </c>
      <c r="HK137" s="841">
        <v>325000</v>
      </c>
      <c r="HL137" s="841" t="s">
        <v>49</v>
      </c>
      <c r="HM137" s="841" t="s">
        <v>1530</v>
      </c>
      <c r="HN137" s="841" t="s">
        <v>27</v>
      </c>
      <c r="HO137" s="841" t="s">
        <v>353</v>
      </c>
      <c r="HP137" s="841">
        <v>19467.5</v>
      </c>
      <c r="HQ137" s="841" t="s">
        <v>353</v>
      </c>
      <c r="HR137" s="841" t="s">
        <v>353</v>
      </c>
      <c r="HS137" s="841">
        <v>-259025</v>
      </c>
      <c r="HT137" s="841" t="s">
        <v>353</v>
      </c>
      <c r="HU137" s="841" t="s">
        <v>353</v>
      </c>
      <c r="HV137" s="841" t="s">
        <v>353</v>
      </c>
      <c r="HW137" s="841">
        <v>500000</v>
      </c>
      <c r="HX137" s="841" t="s">
        <v>353</v>
      </c>
      <c r="HY137" s="841" t="s">
        <v>353</v>
      </c>
      <c r="HZ137" s="841" t="s">
        <v>353</v>
      </c>
      <c r="IA137" s="841" t="s">
        <v>353</v>
      </c>
      <c r="IB137" s="841" t="s">
        <v>1424</v>
      </c>
      <c r="IC137" s="843">
        <v>44572</v>
      </c>
      <c r="ID137" s="841" t="s">
        <v>353</v>
      </c>
      <c r="IE137" s="841" t="s">
        <v>353</v>
      </c>
      <c r="IF137" s="841" t="s">
        <v>353</v>
      </c>
      <c r="IG137" s="841" t="s">
        <v>353</v>
      </c>
      <c r="IH137" s="841" t="s">
        <v>353</v>
      </c>
      <c r="II137" s="841" t="s">
        <v>353</v>
      </c>
      <c r="IJ137" s="841" t="s">
        <v>353</v>
      </c>
      <c r="IK137" s="841" t="s">
        <v>353</v>
      </c>
      <c r="IL137" s="841">
        <v>307141</v>
      </c>
      <c r="IM137" s="841" t="s">
        <v>353</v>
      </c>
      <c r="IN137" s="841" t="s">
        <v>353</v>
      </c>
      <c r="IO137" s="841">
        <v>0</v>
      </c>
      <c r="IP137" s="841" t="s">
        <v>353</v>
      </c>
      <c r="IQ137" s="841" t="s">
        <v>353</v>
      </c>
      <c r="IR137" s="841">
        <v>30</v>
      </c>
      <c r="IS137" s="841" t="s">
        <v>33</v>
      </c>
      <c r="IT137" s="841" t="s">
        <v>353</v>
      </c>
      <c r="IU137" s="841" t="s">
        <v>33</v>
      </c>
      <c r="IV137" s="841" t="s">
        <v>353</v>
      </c>
      <c r="IW137" s="841" t="s">
        <v>353</v>
      </c>
      <c r="IX137" s="841" t="s">
        <v>353</v>
      </c>
      <c r="IY137" s="841" t="s">
        <v>353</v>
      </c>
      <c r="IZ137" s="841" t="s">
        <v>353</v>
      </c>
      <c r="JA137" s="841">
        <v>325000</v>
      </c>
      <c r="JB137" s="841" t="s">
        <v>353</v>
      </c>
      <c r="JC137" s="841" t="s">
        <v>33</v>
      </c>
      <c r="JD137" s="841" t="s">
        <v>1527</v>
      </c>
      <c r="JE137" s="841" t="s">
        <v>33</v>
      </c>
      <c r="JF137" s="841" t="s">
        <v>1718</v>
      </c>
      <c r="JG137" s="841" t="s">
        <v>1719</v>
      </c>
      <c r="JH137" s="841" t="s">
        <v>1720</v>
      </c>
      <c r="JI137" s="841" t="s">
        <v>1721</v>
      </c>
    </row>
    <row r="138" spans="1:269" x14ac:dyDescent="0.25">
      <c r="A138" s="841" t="s">
        <v>2656</v>
      </c>
      <c r="B138" s="841" t="s">
        <v>353</v>
      </c>
      <c r="C138" s="841" t="s">
        <v>353</v>
      </c>
      <c r="D138" s="841" t="s">
        <v>353</v>
      </c>
      <c r="E138" s="841" t="s">
        <v>353</v>
      </c>
      <c r="F138" s="841" t="s">
        <v>353</v>
      </c>
      <c r="G138" s="841" t="s">
        <v>2598</v>
      </c>
      <c r="H138" s="841" t="s">
        <v>353</v>
      </c>
      <c r="I138" s="841" t="s">
        <v>353</v>
      </c>
      <c r="J138" s="841" t="s">
        <v>353</v>
      </c>
      <c r="K138" s="841" t="s">
        <v>353</v>
      </c>
      <c r="L138" s="842">
        <v>44600.713194444441</v>
      </c>
      <c r="M138" s="841" t="s">
        <v>353</v>
      </c>
      <c r="N138" s="841" t="s">
        <v>353</v>
      </c>
      <c r="O138" s="841" t="s">
        <v>353</v>
      </c>
      <c r="P138" s="841" t="s">
        <v>33</v>
      </c>
      <c r="Q138" s="841" t="s">
        <v>353</v>
      </c>
      <c r="R138" s="841" t="s">
        <v>353</v>
      </c>
      <c r="S138" s="841" t="s">
        <v>1520</v>
      </c>
      <c r="T138" s="841" t="s">
        <v>1390</v>
      </c>
      <c r="U138" s="841" t="s">
        <v>353</v>
      </c>
      <c r="V138" s="841" t="s">
        <v>353</v>
      </c>
      <c r="W138" s="841" t="s">
        <v>1716</v>
      </c>
      <c r="X138" s="841" t="s">
        <v>1405</v>
      </c>
      <c r="Y138" s="841" t="s">
        <v>353</v>
      </c>
      <c r="Z138" s="841" t="s">
        <v>353</v>
      </c>
      <c r="AA138" s="841" t="s">
        <v>353</v>
      </c>
      <c r="AB138" s="841" t="s">
        <v>353</v>
      </c>
      <c r="AC138" s="841">
        <v>46600</v>
      </c>
      <c r="AD138" s="841" t="s">
        <v>353</v>
      </c>
      <c r="AE138" s="841" t="s">
        <v>33</v>
      </c>
      <c r="AF138" s="841" t="s">
        <v>353</v>
      </c>
      <c r="AG138" s="841" t="s">
        <v>353</v>
      </c>
      <c r="AH138" s="841">
        <v>1600</v>
      </c>
      <c r="AI138" s="841" t="s">
        <v>1535</v>
      </c>
      <c r="AJ138" s="841" t="s">
        <v>353</v>
      </c>
      <c r="AK138" s="841">
        <v>70</v>
      </c>
      <c r="AL138" s="841" t="s">
        <v>353</v>
      </c>
      <c r="AM138" s="841" t="s">
        <v>353</v>
      </c>
      <c r="AN138" s="841" t="s">
        <v>353</v>
      </c>
      <c r="AO138" s="841" t="s">
        <v>353</v>
      </c>
      <c r="AP138" s="841" t="s">
        <v>353</v>
      </c>
      <c r="AQ138" s="841" t="s">
        <v>353</v>
      </c>
      <c r="AR138" s="841" t="s">
        <v>353</v>
      </c>
      <c r="AS138" s="841" t="s">
        <v>353</v>
      </c>
      <c r="AT138" s="841" t="s">
        <v>353</v>
      </c>
      <c r="AU138" s="841" t="s">
        <v>353</v>
      </c>
      <c r="AV138" s="841" t="s">
        <v>353</v>
      </c>
      <c r="AW138" s="841" t="s">
        <v>353</v>
      </c>
      <c r="AX138" s="841" t="s">
        <v>353</v>
      </c>
      <c r="AY138" s="841" t="s">
        <v>353</v>
      </c>
      <c r="AZ138" s="841" t="s">
        <v>353</v>
      </c>
      <c r="BA138" s="841" t="s">
        <v>353</v>
      </c>
      <c r="BB138" s="841" t="s">
        <v>353</v>
      </c>
      <c r="BC138" s="841">
        <v>228340</v>
      </c>
      <c r="BD138" s="841" t="s">
        <v>353</v>
      </c>
      <c r="BE138" s="841" t="s">
        <v>353</v>
      </c>
      <c r="BF138" s="841" t="s">
        <v>353</v>
      </c>
      <c r="BG138" s="841" t="s">
        <v>353</v>
      </c>
      <c r="BH138" s="841" t="s">
        <v>353</v>
      </c>
      <c r="BI138" s="841" t="s">
        <v>353</v>
      </c>
      <c r="BJ138" s="841" t="s">
        <v>353</v>
      </c>
      <c r="BK138" s="841" t="s">
        <v>353</v>
      </c>
      <c r="BL138" s="841" t="s">
        <v>2657</v>
      </c>
      <c r="BM138" s="842">
        <v>44592.469444444447</v>
      </c>
      <c r="BN138" s="841" t="s">
        <v>353</v>
      </c>
      <c r="BO138" s="841" t="s">
        <v>353</v>
      </c>
      <c r="BP138" s="841" t="s">
        <v>353</v>
      </c>
      <c r="BQ138" s="841" t="s">
        <v>353</v>
      </c>
      <c r="BR138" s="841" t="s">
        <v>353</v>
      </c>
      <c r="BS138" s="841" t="s">
        <v>353</v>
      </c>
      <c r="BT138" s="841">
        <v>233000</v>
      </c>
      <c r="BU138" s="841" t="s">
        <v>353</v>
      </c>
      <c r="BV138" s="841" t="s">
        <v>2658</v>
      </c>
      <c r="BW138" s="841" t="s">
        <v>353</v>
      </c>
      <c r="BX138" s="841" t="s">
        <v>2659</v>
      </c>
      <c r="BY138" s="841" t="s">
        <v>353</v>
      </c>
      <c r="BZ138" s="841" t="s">
        <v>353</v>
      </c>
      <c r="CA138" s="841" t="s">
        <v>353</v>
      </c>
      <c r="CB138" s="841" t="s">
        <v>353</v>
      </c>
      <c r="CC138" s="841" t="s">
        <v>353</v>
      </c>
      <c r="CD138" s="841" t="s">
        <v>353</v>
      </c>
      <c r="CE138" s="841" t="s">
        <v>353</v>
      </c>
      <c r="CF138" s="841" t="s">
        <v>353</v>
      </c>
      <c r="CG138" s="841" t="s">
        <v>353</v>
      </c>
      <c r="CH138" s="841" t="s">
        <v>353</v>
      </c>
      <c r="CI138" s="841" t="s">
        <v>353</v>
      </c>
      <c r="CJ138" s="841" t="s">
        <v>353</v>
      </c>
      <c r="CK138" s="841">
        <v>1</v>
      </c>
      <c r="CL138" s="841" t="s">
        <v>353</v>
      </c>
      <c r="CM138" s="841">
        <v>1</v>
      </c>
      <c r="CN138" s="841" t="s">
        <v>353</v>
      </c>
      <c r="CO138" s="841" t="s">
        <v>353</v>
      </c>
      <c r="CP138" s="841" t="s">
        <v>2660</v>
      </c>
      <c r="CQ138" s="841" t="s">
        <v>353</v>
      </c>
      <c r="CR138" s="841" t="s">
        <v>353</v>
      </c>
      <c r="CS138" s="841" t="s">
        <v>1405</v>
      </c>
      <c r="CT138" s="841" t="s">
        <v>353</v>
      </c>
      <c r="CU138" s="841" t="s">
        <v>1391</v>
      </c>
      <c r="CV138" s="841" t="s">
        <v>353</v>
      </c>
      <c r="CW138" s="841" t="s">
        <v>353</v>
      </c>
      <c r="CX138" s="841" t="s">
        <v>353</v>
      </c>
      <c r="CY138" s="841" t="s">
        <v>353</v>
      </c>
      <c r="CZ138" s="841">
        <v>2</v>
      </c>
      <c r="DA138" s="841" t="s">
        <v>353</v>
      </c>
      <c r="DB138" s="841" t="s">
        <v>353</v>
      </c>
      <c r="DC138" s="841" t="s">
        <v>353</v>
      </c>
      <c r="DD138" s="841" t="s">
        <v>353</v>
      </c>
      <c r="DE138" s="841" t="s">
        <v>353</v>
      </c>
      <c r="DF138" s="841">
        <v>24</v>
      </c>
      <c r="DG138" s="841" t="s">
        <v>353</v>
      </c>
      <c r="DH138" s="841" t="s">
        <v>353</v>
      </c>
      <c r="DI138" s="841" t="s">
        <v>353</v>
      </c>
      <c r="DJ138" s="841" t="s">
        <v>2661</v>
      </c>
      <c r="DK138" s="841" t="s">
        <v>353</v>
      </c>
      <c r="DL138" s="842">
        <v>44568.469444444447</v>
      </c>
      <c r="DM138" s="841" t="s">
        <v>353</v>
      </c>
      <c r="DN138" s="841" t="s">
        <v>353</v>
      </c>
      <c r="DO138" s="841" t="s">
        <v>673</v>
      </c>
      <c r="DP138" s="841" t="s">
        <v>1481</v>
      </c>
      <c r="DQ138" s="841" t="s">
        <v>1392</v>
      </c>
      <c r="DR138" s="841">
        <v>333500</v>
      </c>
      <c r="DS138" s="841">
        <v>24</v>
      </c>
      <c r="DT138" s="841" t="s">
        <v>353</v>
      </c>
      <c r="DU138" s="841" t="s">
        <v>353</v>
      </c>
      <c r="DV138" s="841">
        <v>228340</v>
      </c>
      <c r="DW138" s="841">
        <v>233000</v>
      </c>
      <c r="DX138" s="841" t="s">
        <v>353</v>
      </c>
      <c r="DY138" s="841" t="s">
        <v>353</v>
      </c>
      <c r="DZ138" s="841" t="s">
        <v>353</v>
      </c>
      <c r="EA138" s="841" t="s">
        <v>353</v>
      </c>
      <c r="EB138" s="841" t="s">
        <v>353</v>
      </c>
      <c r="EC138" s="841" t="s">
        <v>353</v>
      </c>
      <c r="ED138" s="841" t="s">
        <v>353</v>
      </c>
      <c r="EE138" s="841" t="s">
        <v>353</v>
      </c>
      <c r="EF138" s="841" t="s">
        <v>353</v>
      </c>
      <c r="EG138" s="841" t="s">
        <v>353</v>
      </c>
      <c r="EH138" s="841" t="s">
        <v>353</v>
      </c>
      <c r="EI138" s="841">
        <v>0</v>
      </c>
      <c r="EJ138" s="841" t="s">
        <v>353</v>
      </c>
      <c r="EK138" s="841" t="s">
        <v>353</v>
      </c>
      <c r="EL138" s="841" t="s">
        <v>1435</v>
      </c>
      <c r="EM138" s="841">
        <v>4660</v>
      </c>
      <c r="EN138" s="841" t="s">
        <v>353</v>
      </c>
      <c r="EO138" s="841" t="s">
        <v>353</v>
      </c>
      <c r="EP138" s="841" t="s">
        <v>353</v>
      </c>
      <c r="EQ138" s="841" t="s">
        <v>353</v>
      </c>
      <c r="ER138" s="841" t="s">
        <v>353</v>
      </c>
      <c r="ES138" s="841" t="s">
        <v>353</v>
      </c>
      <c r="ET138" s="841" t="s">
        <v>1393</v>
      </c>
      <c r="EU138" s="841" t="s">
        <v>353</v>
      </c>
      <c r="EV138" s="841" t="s">
        <v>353</v>
      </c>
      <c r="EW138" s="841" t="s">
        <v>353</v>
      </c>
      <c r="EX138" s="841" t="s">
        <v>353</v>
      </c>
      <c r="EY138" s="842">
        <v>44586.625</v>
      </c>
      <c r="EZ138" s="841" t="s">
        <v>353</v>
      </c>
      <c r="FA138" s="841" t="s">
        <v>353</v>
      </c>
      <c r="FB138" s="841" t="s">
        <v>353</v>
      </c>
      <c r="FC138" s="841" t="s">
        <v>353</v>
      </c>
      <c r="FD138" s="841" t="s">
        <v>353</v>
      </c>
      <c r="FE138" s="842">
        <v>44600.713194444441</v>
      </c>
      <c r="FF138" s="841" t="s">
        <v>353</v>
      </c>
      <c r="FG138" s="841" t="s">
        <v>353</v>
      </c>
      <c r="FH138" s="841" t="s">
        <v>353</v>
      </c>
      <c r="FI138" s="841" t="s">
        <v>353</v>
      </c>
      <c r="FJ138" s="841" t="s">
        <v>353</v>
      </c>
      <c r="FK138" s="841" t="s">
        <v>353</v>
      </c>
      <c r="FL138" s="841" t="s">
        <v>353</v>
      </c>
      <c r="FM138" s="841" t="s">
        <v>353</v>
      </c>
      <c r="FN138" s="841" t="s">
        <v>353</v>
      </c>
      <c r="FO138" s="841" t="s">
        <v>1582</v>
      </c>
      <c r="FP138" s="841" t="s">
        <v>353</v>
      </c>
      <c r="FQ138" s="841" t="s">
        <v>353</v>
      </c>
      <c r="FR138" s="841" t="s">
        <v>353</v>
      </c>
      <c r="FS138" s="841" t="s">
        <v>353</v>
      </c>
      <c r="FT138" s="841" t="s">
        <v>353</v>
      </c>
      <c r="FU138" s="841" t="s">
        <v>1416</v>
      </c>
      <c r="FV138" s="841" t="s">
        <v>353</v>
      </c>
      <c r="FW138" s="841" t="s">
        <v>353</v>
      </c>
      <c r="FX138" s="841" t="s">
        <v>353</v>
      </c>
      <c r="FY138" s="841" t="s">
        <v>353</v>
      </c>
      <c r="FZ138" s="841" t="s">
        <v>353</v>
      </c>
      <c r="GA138" s="841" t="s">
        <v>353</v>
      </c>
      <c r="GB138" s="841">
        <v>1</v>
      </c>
      <c r="GC138" s="841" t="s">
        <v>353</v>
      </c>
      <c r="GD138" s="841" t="s">
        <v>1417</v>
      </c>
      <c r="GE138" s="841" t="s">
        <v>353</v>
      </c>
      <c r="GF138" s="841" t="s">
        <v>353</v>
      </c>
      <c r="GG138" s="841" t="s">
        <v>353</v>
      </c>
      <c r="GH138" s="841">
        <v>46600</v>
      </c>
      <c r="GI138" s="841" t="s">
        <v>353</v>
      </c>
      <c r="GJ138" s="841" t="s">
        <v>353</v>
      </c>
      <c r="GK138" s="841" t="s">
        <v>353</v>
      </c>
      <c r="GL138" s="841" t="s">
        <v>1541</v>
      </c>
      <c r="GM138" s="841" t="s">
        <v>353</v>
      </c>
      <c r="GN138" s="841" t="s">
        <v>353</v>
      </c>
      <c r="GO138" s="841" t="s">
        <v>353</v>
      </c>
      <c r="GP138" s="841" t="s">
        <v>353</v>
      </c>
      <c r="GQ138" s="841" t="s">
        <v>353</v>
      </c>
      <c r="GR138" s="842">
        <v>44586.625</v>
      </c>
      <c r="GS138" s="841" t="s">
        <v>2658</v>
      </c>
      <c r="GT138" s="841" t="s">
        <v>353</v>
      </c>
      <c r="GU138" s="841" t="s">
        <v>353</v>
      </c>
      <c r="GV138" s="841" t="s">
        <v>1076</v>
      </c>
      <c r="GW138" s="841" t="s">
        <v>353</v>
      </c>
      <c r="GX138" s="841" t="s">
        <v>353</v>
      </c>
      <c r="GY138" s="841">
        <v>24</v>
      </c>
      <c r="GZ138" s="841" t="s">
        <v>1716</v>
      </c>
      <c r="HA138" s="841" t="s">
        <v>353</v>
      </c>
      <c r="HB138" s="841" t="s">
        <v>353</v>
      </c>
      <c r="HC138" s="841" t="s">
        <v>1421</v>
      </c>
      <c r="HD138" s="841" t="s">
        <v>2662</v>
      </c>
      <c r="HE138" s="841" t="s">
        <v>353</v>
      </c>
      <c r="HF138" s="841" t="s">
        <v>353</v>
      </c>
      <c r="HG138" s="841" t="s">
        <v>353</v>
      </c>
      <c r="HH138" s="841" t="s">
        <v>353</v>
      </c>
      <c r="HI138" s="841" t="s">
        <v>1422</v>
      </c>
      <c r="HJ138" s="841" t="s">
        <v>2663</v>
      </c>
      <c r="HK138" s="841">
        <v>233000</v>
      </c>
      <c r="HL138" s="841" t="s">
        <v>353</v>
      </c>
      <c r="HM138" s="841" t="s">
        <v>1423</v>
      </c>
      <c r="HN138" s="841" t="s">
        <v>353</v>
      </c>
      <c r="HO138" s="841" t="s">
        <v>353</v>
      </c>
      <c r="HP138" s="841">
        <v>13956.7</v>
      </c>
      <c r="HQ138" s="841" t="s">
        <v>353</v>
      </c>
      <c r="HR138" s="841" t="s">
        <v>353</v>
      </c>
      <c r="HS138" s="841">
        <v>233000</v>
      </c>
      <c r="HT138" s="841" t="s">
        <v>353</v>
      </c>
      <c r="HU138" s="841" t="s">
        <v>353</v>
      </c>
      <c r="HV138" s="841" t="s">
        <v>353</v>
      </c>
      <c r="HW138" s="841">
        <v>333500</v>
      </c>
      <c r="HX138" s="841" t="s">
        <v>353</v>
      </c>
      <c r="HY138" s="841" t="s">
        <v>353</v>
      </c>
      <c r="HZ138" s="841" t="s">
        <v>353</v>
      </c>
      <c r="IA138" s="841" t="s">
        <v>353</v>
      </c>
      <c r="IB138" s="841" t="s">
        <v>1424</v>
      </c>
      <c r="IC138" s="843">
        <v>44568</v>
      </c>
      <c r="ID138" s="841" t="s">
        <v>353</v>
      </c>
      <c r="IE138" s="841" t="s">
        <v>353</v>
      </c>
      <c r="IF138" s="841" t="s">
        <v>353</v>
      </c>
      <c r="IG138" s="841" t="s">
        <v>353</v>
      </c>
      <c r="IH138" s="841" t="s">
        <v>353</v>
      </c>
      <c r="II138" s="841" t="s">
        <v>353</v>
      </c>
      <c r="IJ138" s="841" t="s">
        <v>353</v>
      </c>
      <c r="IK138" s="841" t="s">
        <v>353</v>
      </c>
      <c r="IL138" s="841">
        <v>233000</v>
      </c>
      <c r="IM138" s="841" t="s">
        <v>353</v>
      </c>
      <c r="IN138" s="841" t="s">
        <v>353</v>
      </c>
      <c r="IO138" s="841" t="s">
        <v>353</v>
      </c>
      <c r="IP138" s="841" t="s">
        <v>353</v>
      </c>
      <c r="IQ138" s="841" t="s">
        <v>353</v>
      </c>
      <c r="IR138" s="841">
        <v>0</v>
      </c>
      <c r="IS138" s="841" t="s">
        <v>353</v>
      </c>
      <c r="IT138" s="841" t="s">
        <v>353</v>
      </c>
      <c r="IU138" s="841" t="s">
        <v>353</v>
      </c>
      <c r="IV138" s="841" t="s">
        <v>353</v>
      </c>
      <c r="IW138" s="841" t="s">
        <v>353</v>
      </c>
      <c r="IX138" s="841" t="s">
        <v>353</v>
      </c>
      <c r="IY138" s="841" t="s">
        <v>1622</v>
      </c>
      <c r="IZ138" s="841" t="s">
        <v>353</v>
      </c>
      <c r="JA138" s="841">
        <v>233000</v>
      </c>
      <c r="JB138" s="841" t="s">
        <v>353</v>
      </c>
      <c r="JC138" s="841" t="s">
        <v>353</v>
      </c>
      <c r="JD138" s="841" t="s">
        <v>1527</v>
      </c>
      <c r="JE138" s="841" t="s">
        <v>33</v>
      </c>
      <c r="JF138" s="841" t="s">
        <v>2664</v>
      </c>
      <c r="JG138" s="841" t="s">
        <v>2665</v>
      </c>
      <c r="JH138" s="841" t="s">
        <v>2666</v>
      </c>
      <c r="JI138" s="841" t="s">
        <v>2667</v>
      </c>
    </row>
    <row r="139" spans="1:269" x14ac:dyDescent="0.25">
      <c r="A139" s="841" t="s">
        <v>1060</v>
      </c>
      <c r="B139" s="841" t="s">
        <v>353</v>
      </c>
      <c r="C139" s="841" t="s">
        <v>1403</v>
      </c>
      <c r="D139" s="841" t="s">
        <v>353</v>
      </c>
      <c r="E139" s="841" t="s">
        <v>33</v>
      </c>
      <c r="F139" s="841" t="s">
        <v>1405</v>
      </c>
      <c r="G139" s="841" t="s">
        <v>2668</v>
      </c>
      <c r="H139" s="841" t="s">
        <v>353</v>
      </c>
      <c r="I139" s="841" t="s">
        <v>33</v>
      </c>
      <c r="J139" s="841" t="s">
        <v>353</v>
      </c>
      <c r="K139" s="841" t="s">
        <v>2167</v>
      </c>
      <c r="L139" s="842">
        <v>44607.458333333336</v>
      </c>
      <c r="M139" s="841" t="s">
        <v>353</v>
      </c>
      <c r="N139" s="841" t="s">
        <v>33</v>
      </c>
      <c r="O139" s="841" t="s">
        <v>353</v>
      </c>
      <c r="P139" s="841" t="s">
        <v>33</v>
      </c>
      <c r="Q139" s="841" t="s">
        <v>353</v>
      </c>
      <c r="R139" s="841" t="s">
        <v>353</v>
      </c>
      <c r="S139" s="841" t="s">
        <v>61</v>
      </c>
      <c r="T139" s="841" t="s">
        <v>1390</v>
      </c>
      <c r="U139" s="841" t="s">
        <v>353</v>
      </c>
      <c r="V139" s="841" t="s">
        <v>353</v>
      </c>
      <c r="W139" s="841" t="s">
        <v>1405</v>
      </c>
      <c r="X139" s="841" t="s">
        <v>1405</v>
      </c>
      <c r="Y139" s="841" t="s">
        <v>353</v>
      </c>
      <c r="Z139" s="841" t="s">
        <v>353</v>
      </c>
      <c r="AA139" s="841" t="s">
        <v>673</v>
      </c>
      <c r="AB139" s="843">
        <v>44588</v>
      </c>
      <c r="AC139" s="841">
        <v>562000</v>
      </c>
      <c r="AD139" s="841" t="s">
        <v>353</v>
      </c>
      <c r="AE139" s="841" t="s">
        <v>33</v>
      </c>
      <c r="AF139" s="841">
        <v>2243.3200000000002</v>
      </c>
      <c r="AG139" s="841" t="s">
        <v>353</v>
      </c>
      <c r="AH139" s="841">
        <v>2587</v>
      </c>
      <c r="AI139" s="841" t="s">
        <v>1406</v>
      </c>
      <c r="AJ139" s="841" t="s">
        <v>2168</v>
      </c>
      <c r="AK139" s="841">
        <v>75</v>
      </c>
      <c r="AL139" s="841" t="s">
        <v>353</v>
      </c>
      <c r="AM139" s="841" t="s">
        <v>353</v>
      </c>
      <c r="AN139" s="841" t="s">
        <v>33</v>
      </c>
      <c r="AO139" s="841" t="s">
        <v>353</v>
      </c>
      <c r="AP139" s="841" t="s">
        <v>353</v>
      </c>
      <c r="AQ139" s="841" t="s">
        <v>353</v>
      </c>
      <c r="AR139" s="841" t="s">
        <v>33</v>
      </c>
      <c r="AS139" s="841" t="s">
        <v>353</v>
      </c>
      <c r="AT139" s="841" t="s">
        <v>353</v>
      </c>
      <c r="AU139" s="841" t="s">
        <v>1405</v>
      </c>
      <c r="AV139" s="841" t="s">
        <v>353</v>
      </c>
      <c r="AW139" s="843">
        <v>44587</v>
      </c>
      <c r="AX139" s="841" t="s">
        <v>353</v>
      </c>
      <c r="AY139" s="841" t="s">
        <v>353</v>
      </c>
      <c r="AZ139" s="841" t="s">
        <v>353</v>
      </c>
      <c r="BA139" s="841" t="s">
        <v>353</v>
      </c>
      <c r="BB139" s="841" t="s">
        <v>353</v>
      </c>
      <c r="BC139" s="841">
        <v>549083</v>
      </c>
      <c r="BD139" s="841" t="s">
        <v>353</v>
      </c>
      <c r="BE139" s="841" t="s">
        <v>673</v>
      </c>
      <c r="BF139" s="841" t="s">
        <v>353</v>
      </c>
      <c r="BG139" s="841" t="s">
        <v>353</v>
      </c>
      <c r="BH139" s="841" t="s">
        <v>353</v>
      </c>
      <c r="BI139" s="841" t="s">
        <v>353</v>
      </c>
      <c r="BJ139" s="841" t="s">
        <v>353</v>
      </c>
      <c r="BK139" s="841">
        <v>750000</v>
      </c>
      <c r="BL139" s="841" t="s">
        <v>2169</v>
      </c>
      <c r="BM139" s="842">
        <v>44602.677083333336</v>
      </c>
      <c r="BN139" s="841" t="s">
        <v>353</v>
      </c>
      <c r="BO139" s="841" t="s">
        <v>353</v>
      </c>
      <c r="BP139" s="841" t="s">
        <v>33</v>
      </c>
      <c r="BQ139" s="841" t="s">
        <v>353</v>
      </c>
      <c r="BR139" s="841" t="s">
        <v>353</v>
      </c>
      <c r="BS139" s="841" t="s">
        <v>353</v>
      </c>
      <c r="BT139" s="841">
        <v>1200000</v>
      </c>
      <c r="BU139" s="841" t="s">
        <v>353</v>
      </c>
      <c r="BV139" s="841" t="s">
        <v>2396</v>
      </c>
      <c r="BW139" s="841" t="s">
        <v>1578</v>
      </c>
      <c r="BX139" s="841" t="s">
        <v>2170</v>
      </c>
      <c r="BY139" s="841" t="s">
        <v>353</v>
      </c>
      <c r="BZ139" s="841" t="s">
        <v>353</v>
      </c>
      <c r="CA139" s="841" t="s">
        <v>353</v>
      </c>
      <c r="CB139" s="841" t="s">
        <v>353</v>
      </c>
      <c r="CC139" s="841" t="s">
        <v>353</v>
      </c>
      <c r="CD139" s="841" t="s">
        <v>353</v>
      </c>
      <c r="CE139" s="841" t="s">
        <v>353</v>
      </c>
      <c r="CF139" s="841" t="s">
        <v>353</v>
      </c>
      <c r="CG139" s="841" t="s">
        <v>353</v>
      </c>
      <c r="CH139" s="841" t="s">
        <v>353</v>
      </c>
      <c r="CI139" s="841" t="s">
        <v>33</v>
      </c>
      <c r="CJ139" s="841">
        <v>420</v>
      </c>
      <c r="CK139" s="841">
        <v>2</v>
      </c>
      <c r="CL139" s="841" t="s">
        <v>353</v>
      </c>
      <c r="CM139" s="841">
        <v>13</v>
      </c>
      <c r="CN139" s="841" t="s">
        <v>353</v>
      </c>
      <c r="CO139" s="841" t="s">
        <v>353</v>
      </c>
      <c r="CP139" s="841" t="s">
        <v>2669</v>
      </c>
      <c r="CQ139" s="841" t="s">
        <v>353</v>
      </c>
      <c r="CR139" s="841" t="s">
        <v>353</v>
      </c>
      <c r="CS139" s="841" t="s">
        <v>1405</v>
      </c>
      <c r="CT139" s="841" t="s">
        <v>353</v>
      </c>
      <c r="CU139" s="841" t="s">
        <v>1391</v>
      </c>
      <c r="CV139" s="841" t="s">
        <v>353</v>
      </c>
      <c r="CW139" s="841" t="s">
        <v>353</v>
      </c>
      <c r="CX139" s="841" t="s">
        <v>353</v>
      </c>
      <c r="CY139" s="841" t="s">
        <v>353</v>
      </c>
      <c r="CZ139" s="841" t="s">
        <v>353</v>
      </c>
      <c r="DA139" s="841" t="s">
        <v>353</v>
      </c>
      <c r="DB139" s="843">
        <v>44537</v>
      </c>
      <c r="DC139" s="841" t="s">
        <v>353</v>
      </c>
      <c r="DD139" s="841" t="s">
        <v>353</v>
      </c>
      <c r="DE139" s="841" t="s">
        <v>353</v>
      </c>
      <c r="DF139" s="841">
        <v>34</v>
      </c>
      <c r="DG139" s="841" t="s">
        <v>353</v>
      </c>
      <c r="DH139" s="841" t="s">
        <v>353</v>
      </c>
      <c r="DI139" s="841" t="s">
        <v>353</v>
      </c>
      <c r="DJ139" s="841" t="s">
        <v>2670</v>
      </c>
      <c r="DK139" s="841" t="s">
        <v>353</v>
      </c>
      <c r="DL139" s="842">
        <v>44568.447222222225</v>
      </c>
      <c r="DM139" s="841" t="s">
        <v>353</v>
      </c>
      <c r="DN139" s="841" t="s">
        <v>33</v>
      </c>
      <c r="DO139" s="841" t="s">
        <v>673</v>
      </c>
      <c r="DP139" s="841" t="s">
        <v>1412</v>
      </c>
      <c r="DQ139" s="841" t="s">
        <v>673</v>
      </c>
      <c r="DR139" s="841" t="s">
        <v>353</v>
      </c>
      <c r="DS139" s="841">
        <v>34</v>
      </c>
      <c r="DT139" s="841" t="s">
        <v>353</v>
      </c>
      <c r="DU139" s="841" t="s">
        <v>353</v>
      </c>
      <c r="DV139" s="841">
        <v>508160.4</v>
      </c>
      <c r="DW139" s="841">
        <v>562000</v>
      </c>
      <c r="DX139" s="841" t="s">
        <v>673</v>
      </c>
      <c r="DY139" s="841" t="s">
        <v>353</v>
      </c>
      <c r="DZ139" s="841">
        <v>0</v>
      </c>
      <c r="EA139" s="841" t="s">
        <v>353</v>
      </c>
      <c r="EB139" s="841" t="s">
        <v>353</v>
      </c>
      <c r="EC139" s="841" t="s">
        <v>353</v>
      </c>
      <c r="ED139" s="841" t="s">
        <v>353</v>
      </c>
      <c r="EE139" s="841" t="s">
        <v>673</v>
      </c>
      <c r="EF139" s="841" t="s">
        <v>353</v>
      </c>
      <c r="EG139" s="841" t="s">
        <v>353</v>
      </c>
      <c r="EH139" s="841" t="s">
        <v>33</v>
      </c>
      <c r="EI139" s="841">
        <v>53839.6</v>
      </c>
      <c r="EJ139" s="841" t="s">
        <v>353</v>
      </c>
      <c r="EK139" s="841" t="s">
        <v>1488</v>
      </c>
      <c r="EL139" s="841" t="s">
        <v>1930</v>
      </c>
      <c r="EM139" s="841">
        <v>0</v>
      </c>
      <c r="EN139" s="841" t="s">
        <v>353</v>
      </c>
      <c r="EO139" s="841" t="s">
        <v>353</v>
      </c>
      <c r="EP139" s="841" t="s">
        <v>353</v>
      </c>
      <c r="EQ139" s="841" t="s">
        <v>353</v>
      </c>
      <c r="ER139" s="841" t="s">
        <v>33</v>
      </c>
      <c r="ES139" s="841" t="s">
        <v>33</v>
      </c>
      <c r="ET139" s="841" t="s">
        <v>1414</v>
      </c>
      <c r="EU139" s="841" t="s">
        <v>2173</v>
      </c>
      <c r="EV139" s="841" t="s">
        <v>353</v>
      </c>
      <c r="EW139" s="841" t="s">
        <v>353</v>
      </c>
      <c r="EX139" s="841" t="s">
        <v>33</v>
      </c>
      <c r="EY139" s="842">
        <v>44607.333333333336</v>
      </c>
      <c r="EZ139" s="842">
        <v>44610.333333333336</v>
      </c>
      <c r="FA139" s="841" t="s">
        <v>353</v>
      </c>
      <c r="FB139" s="841" t="s">
        <v>353</v>
      </c>
      <c r="FC139" s="841" t="s">
        <v>353</v>
      </c>
      <c r="FD139" s="841">
        <v>750000</v>
      </c>
      <c r="FE139" s="842">
        <v>44568.447222222225</v>
      </c>
      <c r="FF139" s="841" t="s">
        <v>353</v>
      </c>
      <c r="FG139" s="841" t="s">
        <v>353</v>
      </c>
      <c r="FH139" s="841" t="s">
        <v>353</v>
      </c>
      <c r="FI139" s="841" t="s">
        <v>353</v>
      </c>
      <c r="FJ139" s="841" t="s">
        <v>353</v>
      </c>
      <c r="FK139" s="841" t="s">
        <v>353</v>
      </c>
      <c r="FL139" s="841" t="s">
        <v>353</v>
      </c>
      <c r="FM139" s="841" t="s">
        <v>353</v>
      </c>
      <c r="FN139" s="841" t="s">
        <v>353</v>
      </c>
      <c r="FO139" s="841" t="s">
        <v>1528</v>
      </c>
      <c r="FP139" s="841" t="s">
        <v>2175</v>
      </c>
      <c r="FQ139" s="841" t="s">
        <v>353</v>
      </c>
      <c r="FR139" s="841" t="s">
        <v>353</v>
      </c>
      <c r="FS139" s="841" t="s">
        <v>353</v>
      </c>
      <c r="FT139" s="841" t="s">
        <v>353</v>
      </c>
      <c r="FU139" s="841" t="s">
        <v>2176</v>
      </c>
      <c r="FV139" s="841" t="s">
        <v>353</v>
      </c>
      <c r="FW139" s="841" t="s">
        <v>353</v>
      </c>
      <c r="FX139" s="841" t="s">
        <v>353</v>
      </c>
      <c r="FY139" s="841" t="s">
        <v>353</v>
      </c>
      <c r="FZ139" s="841" t="s">
        <v>353</v>
      </c>
      <c r="GA139" s="841" t="s">
        <v>353</v>
      </c>
      <c r="GB139" s="841">
        <v>1</v>
      </c>
      <c r="GC139" s="841" t="s">
        <v>353</v>
      </c>
      <c r="GD139" s="841" t="s">
        <v>1417</v>
      </c>
      <c r="GE139" s="841" t="s">
        <v>353</v>
      </c>
      <c r="GF139" s="841">
        <v>0</v>
      </c>
      <c r="GG139" s="841" t="s">
        <v>349</v>
      </c>
      <c r="GH139" s="841">
        <v>562000</v>
      </c>
      <c r="GI139" s="841" t="s">
        <v>353</v>
      </c>
      <c r="GJ139" s="841">
        <v>750000</v>
      </c>
      <c r="GK139" s="841" t="s">
        <v>353</v>
      </c>
      <c r="GL139" s="841" t="s">
        <v>1418</v>
      </c>
      <c r="GM139" s="841" t="s">
        <v>353</v>
      </c>
      <c r="GN139" s="841" t="s">
        <v>353</v>
      </c>
      <c r="GO139" s="841" t="s">
        <v>353</v>
      </c>
      <c r="GP139" s="841" t="s">
        <v>353</v>
      </c>
      <c r="GQ139" s="841" t="s">
        <v>353</v>
      </c>
      <c r="GR139" s="842">
        <v>44586.665972222225</v>
      </c>
      <c r="GS139" s="841" t="s">
        <v>2671</v>
      </c>
      <c r="GT139" s="841" t="s">
        <v>353</v>
      </c>
      <c r="GU139" s="841" t="s">
        <v>353</v>
      </c>
      <c r="GV139" s="841" t="s">
        <v>1419</v>
      </c>
      <c r="GW139" s="841" t="s">
        <v>353</v>
      </c>
      <c r="GX139" s="841" t="s">
        <v>2672</v>
      </c>
      <c r="GY139" s="841">
        <v>36</v>
      </c>
      <c r="GZ139" s="841" t="s">
        <v>1486</v>
      </c>
      <c r="HA139" s="841" t="s">
        <v>353</v>
      </c>
      <c r="HB139" s="841" t="s">
        <v>353</v>
      </c>
      <c r="HC139" s="841" t="s">
        <v>1421</v>
      </c>
      <c r="HD139" s="841" t="s">
        <v>2673</v>
      </c>
      <c r="HE139" s="841">
        <v>5620</v>
      </c>
      <c r="HF139" s="841" t="s">
        <v>353</v>
      </c>
      <c r="HG139" s="841" t="s">
        <v>353</v>
      </c>
      <c r="HH139" s="841">
        <v>420</v>
      </c>
      <c r="HI139" s="841" t="s">
        <v>1439</v>
      </c>
      <c r="HJ139" s="841" t="s">
        <v>353</v>
      </c>
      <c r="HK139" s="841">
        <v>562000</v>
      </c>
      <c r="HL139" s="841" t="s">
        <v>49</v>
      </c>
      <c r="HM139" s="841" t="s">
        <v>1423</v>
      </c>
      <c r="HN139" s="841" t="s">
        <v>33</v>
      </c>
      <c r="HO139" s="841" t="s">
        <v>353</v>
      </c>
      <c r="HP139" s="841">
        <v>26919.8</v>
      </c>
      <c r="HQ139" s="841" t="s">
        <v>353</v>
      </c>
      <c r="HR139" s="841" t="s">
        <v>353</v>
      </c>
      <c r="HS139" s="841">
        <v>508160.4</v>
      </c>
      <c r="HT139" s="841" t="s">
        <v>353</v>
      </c>
      <c r="HU139" s="841" t="s">
        <v>353</v>
      </c>
      <c r="HV139" s="841" t="s">
        <v>353</v>
      </c>
      <c r="HW139" s="841">
        <v>562000</v>
      </c>
      <c r="HX139" s="841" t="s">
        <v>353</v>
      </c>
      <c r="HY139" s="841" t="s">
        <v>353</v>
      </c>
      <c r="HZ139" s="841" t="s">
        <v>353</v>
      </c>
      <c r="IA139" s="841" t="s">
        <v>353</v>
      </c>
      <c r="IB139" s="841" t="s">
        <v>1440</v>
      </c>
      <c r="IC139" s="843">
        <v>44568</v>
      </c>
      <c r="ID139" s="841" t="s">
        <v>353</v>
      </c>
      <c r="IE139" s="841" t="s">
        <v>353</v>
      </c>
      <c r="IF139" s="841" t="s">
        <v>353</v>
      </c>
      <c r="IG139" s="841" t="s">
        <v>353</v>
      </c>
      <c r="IH139" s="841" t="s">
        <v>353</v>
      </c>
      <c r="II139" s="841" t="s">
        <v>353</v>
      </c>
      <c r="IJ139" s="841" t="s">
        <v>353</v>
      </c>
      <c r="IK139" s="841" t="s">
        <v>353</v>
      </c>
      <c r="IL139" s="841">
        <v>557513</v>
      </c>
      <c r="IM139" s="841" t="s">
        <v>353</v>
      </c>
      <c r="IN139" s="841" t="s">
        <v>353</v>
      </c>
      <c r="IO139" s="841">
        <v>0</v>
      </c>
      <c r="IP139" s="841">
        <v>5620</v>
      </c>
      <c r="IQ139" s="841" t="s">
        <v>353</v>
      </c>
      <c r="IR139" s="841">
        <v>2</v>
      </c>
      <c r="IS139" s="841" t="s">
        <v>33</v>
      </c>
      <c r="IT139" s="841" t="s">
        <v>353</v>
      </c>
      <c r="IU139" s="841" t="s">
        <v>33</v>
      </c>
      <c r="IV139" s="841" t="s">
        <v>353</v>
      </c>
      <c r="IW139" s="841" t="s">
        <v>353</v>
      </c>
      <c r="IX139" s="841" t="s">
        <v>353</v>
      </c>
      <c r="IY139" s="841" t="s">
        <v>353</v>
      </c>
      <c r="IZ139" s="841" t="s">
        <v>353</v>
      </c>
      <c r="JA139" s="841">
        <v>562000</v>
      </c>
      <c r="JB139" s="841" t="s">
        <v>353</v>
      </c>
      <c r="JC139" s="841" t="s">
        <v>33</v>
      </c>
      <c r="JD139" s="841" t="s">
        <v>1488</v>
      </c>
      <c r="JE139" s="841" t="s">
        <v>33</v>
      </c>
      <c r="JF139" s="841" t="s">
        <v>353</v>
      </c>
      <c r="JG139" s="841" t="s">
        <v>353</v>
      </c>
      <c r="JH139" s="841" t="s">
        <v>2178</v>
      </c>
      <c r="JI139" s="841" t="s">
        <v>2179</v>
      </c>
    </row>
    <row r="140" spans="1:269" x14ac:dyDescent="0.25">
      <c r="A140" s="841" t="s">
        <v>2674</v>
      </c>
      <c r="B140" s="841" t="s">
        <v>353</v>
      </c>
      <c r="C140" s="841" t="s">
        <v>353</v>
      </c>
      <c r="D140" s="841" t="s">
        <v>353</v>
      </c>
      <c r="E140" s="841" t="s">
        <v>33</v>
      </c>
      <c r="F140" s="841" t="s">
        <v>1405</v>
      </c>
      <c r="G140" s="841" t="s">
        <v>2382</v>
      </c>
      <c r="H140" s="841" t="s">
        <v>353</v>
      </c>
      <c r="I140" s="841" t="s">
        <v>353</v>
      </c>
      <c r="J140" s="841" t="s">
        <v>353</v>
      </c>
      <c r="K140" s="841" t="s">
        <v>2167</v>
      </c>
      <c r="L140" s="842">
        <v>44607.683333333334</v>
      </c>
      <c r="M140" s="841" t="s">
        <v>353</v>
      </c>
      <c r="N140" s="841" t="s">
        <v>33</v>
      </c>
      <c r="O140" s="841" t="s">
        <v>353</v>
      </c>
      <c r="P140" s="841" t="s">
        <v>33</v>
      </c>
      <c r="Q140" s="841" t="s">
        <v>353</v>
      </c>
      <c r="R140" s="841" t="s">
        <v>353</v>
      </c>
      <c r="S140" s="841" t="s">
        <v>64</v>
      </c>
      <c r="T140" s="841" t="s">
        <v>1390</v>
      </c>
      <c r="U140" s="841" t="s">
        <v>353</v>
      </c>
      <c r="V140" s="841" t="s">
        <v>353</v>
      </c>
      <c r="W140" s="841" t="s">
        <v>353</v>
      </c>
      <c r="X140" s="841" t="s">
        <v>1405</v>
      </c>
      <c r="Y140" s="841" t="s">
        <v>353</v>
      </c>
      <c r="Z140" s="841" t="s">
        <v>353</v>
      </c>
      <c r="AA140" s="841" t="s">
        <v>33</v>
      </c>
      <c r="AB140" s="843">
        <v>44600</v>
      </c>
      <c r="AC140" s="841">
        <v>310500</v>
      </c>
      <c r="AD140" s="841" t="s">
        <v>353</v>
      </c>
      <c r="AE140" s="841" t="s">
        <v>33</v>
      </c>
      <c r="AF140" s="841">
        <v>1520.88</v>
      </c>
      <c r="AG140" s="841" t="s">
        <v>353</v>
      </c>
      <c r="AH140" s="841">
        <v>1900</v>
      </c>
      <c r="AI140" s="841" t="s">
        <v>1521</v>
      </c>
      <c r="AJ140" s="841" t="s">
        <v>2168</v>
      </c>
      <c r="AK140" s="841">
        <v>75</v>
      </c>
      <c r="AL140" s="841" t="s">
        <v>353</v>
      </c>
      <c r="AM140" s="841" t="s">
        <v>353</v>
      </c>
      <c r="AN140" s="841" t="s">
        <v>33</v>
      </c>
      <c r="AO140" s="841" t="s">
        <v>353</v>
      </c>
      <c r="AP140" s="841" t="s">
        <v>353</v>
      </c>
      <c r="AQ140" s="841" t="s">
        <v>353</v>
      </c>
      <c r="AR140" s="841" t="s">
        <v>33</v>
      </c>
      <c r="AS140" s="841" t="s">
        <v>353</v>
      </c>
      <c r="AT140" s="841" t="s">
        <v>353</v>
      </c>
      <c r="AU140" s="841" t="s">
        <v>353</v>
      </c>
      <c r="AV140" s="841" t="s">
        <v>353</v>
      </c>
      <c r="AW140" s="843">
        <v>44207</v>
      </c>
      <c r="AX140" s="841" t="s">
        <v>353</v>
      </c>
      <c r="AY140" s="841" t="s">
        <v>353</v>
      </c>
      <c r="AZ140" s="841" t="s">
        <v>353</v>
      </c>
      <c r="BA140" s="841" t="s">
        <v>353</v>
      </c>
      <c r="BB140" s="841" t="s">
        <v>353</v>
      </c>
      <c r="BC140" s="841">
        <v>329837</v>
      </c>
      <c r="BD140" s="841" t="s">
        <v>353</v>
      </c>
      <c r="BE140" s="841" t="s">
        <v>353</v>
      </c>
      <c r="BF140" s="841" t="s">
        <v>353</v>
      </c>
      <c r="BG140" s="841" t="s">
        <v>353</v>
      </c>
      <c r="BH140" s="841" t="s">
        <v>353</v>
      </c>
      <c r="BI140" s="841" t="s">
        <v>353</v>
      </c>
      <c r="BJ140" s="841" t="s">
        <v>353</v>
      </c>
      <c r="BK140" s="841" t="s">
        <v>353</v>
      </c>
      <c r="BL140" s="841" t="s">
        <v>2657</v>
      </c>
      <c r="BM140" s="842">
        <v>44592.442361111112</v>
      </c>
      <c r="BN140" s="841" t="s">
        <v>353</v>
      </c>
      <c r="BO140" s="841" t="s">
        <v>353</v>
      </c>
      <c r="BP140" s="841" t="s">
        <v>673</v>
      </c>
      <c r="BQ140" s="841" t="s">
        <v>353</v>
      </c>
      <c r="BR140" s="841" t="s">
        <v>353</v>
      </c>
      <c r="BS140" s="841" t="s">
        <v>353</v>
      </c>
      <c r="BT140" s="841">
        <v>393750</v>
      </c>
      <c r="BU140" s="841" t="s">
        <v>353</v>
      </c>
      <c r="BV140" s="841" t="s">
        <v>2675</v>
      </c>
      <c r="BW140" s="841" t="s">
        <v>2581</v>
      </c>
      <c r="BX140" s="841" t="s">
        <v>2676</v>
      </c>
      <c r="BY140" s="841" t="s">
        <v>353</v>
      </c>
      <c r="BZ140" s="841" t="s">
        <v>353</v>
      </c>
      <c r="CA140" s="841" t="s">
        <v>353</v>
      </c>
      <c r="CB140" s="841" t="s">
        <v>353</v>
      </c>
      <c r="CC140" s="841" t="s">
        <v>353</v>
      </c>
      <c r="CD140" s="841" t="s">
        <v>353</v>
      </c>
      <c r="CE140" s="841" t="s">
        <v>353</v>
      </c>
      <c r="CF140" s="841" t="s">
        <v>353</v>
      </c>
      <c r="CG140" s="841" t="s">
        <v>353</v>
      </c>
      <c r="CH140" s="841" t="s">
        <v>353</v>
      </c>
      <c r="CI140" s="841" t="s">
        <v>33</v>
      </c>
      <c r="CJ140" s="841">
        <v>960</v>
      </c>
      <c r="CK140" s="841">
        <v>7</v>
      </c>
      <c r="CL140" s="841" t="s">
        <v>353</v>
      </c>
      <c r="CM140" s="841">
        <v>10</v>
      </c>
      <c r="CN140" s="841" t="s">
        <v>353</v>
      </c>
      <c r="CO140" s="841" t="s">
        <v>353</v>
      </c>
      <c r="CP140" s="841" t="s">
        <v>2677</v>
      </c>
      <c r="CQ140" s="841" t="s">
        <v>353</v>
      </c>
      <c r="CR140" s="841" t="s">
        <v>353</v>
      </c>
      <c r="CS140" s="841" t="s">
        <v>353</v>
      </c>
      <c r="CT140" s="841" t="s">
        <v>353</v>
      </c>
      <c r="CU140" s="841" t="s">
        <v>1391</v>
      </c>
      <c r="CV140" s="841" t="s">
        <v>353</v>
      </c>
      <c r="CW140" s="841" t="s">
        <v>353</v>
      </c>
      <c r="CX140" s="841" t="s">
        <v>353</v>
      </c>
      <c r="CY140" s="841" t="s">
        <v>353</v>
      </c>
      <c r="CZ140" s="841">
        <v>2</v>
      </c>
      <c r="DA140" s="841" t="s">
        <v>353</v>
      </c>
      <c r="DB140" s="843">
        <v>44579</v>
      </c>
      <c r="DC140" s="841" t="s">
        <v>353</v>
      </c>
      <c r="DD140" s="841" t="s">
        <v>353</v>
      </c>
      <c r="DE140" s="841" t="s">
        <v>353</v>
      </c>
      <c r="DF140" s="841">
        <v>18</v>
      </c>
      <c r="DG140" s="841" t="s">
        <v>353</v>
      </c>
      <c r="DH140" s="841" t="s">
        <v>353</v>
      </c>
      <c r="DI140" s="841" t="s">
        <v>353</v>
      </c>
      <c r="DJ140" s="841" t="s">
        <v>2678</v>
      </c>
      <c r="DK140" s="841" t="s">
        <v>353</v>
      </c>
      <c r="DL140" s="842">
        <v>44568.442361111112</v>
      </c>
      <c r="DM140" s="841" t="s">
        <v>353</v>
      </c>
      <c r="DN140" s="841" t="s">
        <v>33</v>
      </c>
      <c r="DO140" s="841" t="s">
        <v>353</v>
      </c>
      <c r="DP140" s="841" t="s">
        <v>353</v>
      </c>
      <c r="DQ140" s="841" t="s">
        <v>1392</v>
      </c>
      <c r="DR140" s="841">
        <v>525000</v>
      </c>
      <c r="DS140" s="841">
        <v>18</v>
      </c>
      <c r="DT140" s="841" t="s">
        <v>353</v>
      </c>
      <c r="DU140" s="841" t="s">
        <v>353</v>
      </c>
      <c r="DV140" s="841" t="s">
        <v>353</v>
      </c>
      <c r="DW140" s="841">
        <v>345000</v>
      </c>
      <c r="DX140" s="841" t="s">
        <v>33</v>
      </c>
      <c r="DY140" s="841" t="s">
        <v>353</v>
      </c>
      <c r="DZ140" s="841">
        <v>2220</v>
      </c>
      <c r="EA140" s="841" t="s">
        <v>353</v>
      </c>
      <c r="EB140" s="841" t="s">
        <v>353</v>
      </c>
      <c r="EC140" s="841" t="s">
        <v>353</v>
      </c>
      <c r="ED140" s="841" t="s">
        <v>353</v>
      </c>
      <c r="EE140" s="841" t="s">
        <v>33</v>
      </c>
      <c r="EF140" s="841" t="s">
        <v>353</v>
      </c>
      <c r="EG140" s="841" t="s">
        <v>353</v>
      </c>
      <c r="EH140" s="841" t="s">
        <v>33</v>
      </c>
      <c r="EI140" s="841">
        <v>109503</v>
      </c>
      <c r="EJ140" s="841" t="s">
        <v>353</v>
      </c>
      <c r="EK140" s="841" t="s">
        <v>353</v>
      </c>
      <c r="EL140" s="841" t="s">
        <v>1930</v>
      </c>
      <c r="EM140" s="841" t="s">
        <v>353</v>
      </c>
      <c r="EN140" s="841" t="s">
        <v>353</v>
      </c>
      <c r="EO140" s="841" t="s">
        <v>353</v>
      </c>
      <c r="EP140" s="841" t="s">
        <v>353</v>
      </c>
      <c r="EQ140" s="841" t="s">
        <v>353</v>
      </c>
      <c r="ER140" s="841" t="s">
        <v>353</v>
      </c>
      <c r="ES140" s="841" t="s">
        <v>33</v>
      </c>
      <c r="ET140" s="841" t="s">
        <v>1496</v>
      </c>
      <c r="EU140" s="841" t="s">
        <v>2141</v>
      </c>
      <c r="EV140" s="841" t="s">
        <v>353</v>
      </c>
      <c r="EW140" s="841" t="s">
        <v>353</v>
      </c>
      <c r="EX140" s="841" t="s">
        <v>33</v>
      </c>
      <c r="EY140" s="842">
        <v>44586.625</v>
      </c>
      <c r="EZ140" s="841" t="s">
        <v>353</v>
      </c>
      <c r="FA140" s="841" t="s">
        <v>353</v>
      </c>
      <c r="FB140" s="841" t="s">
        <v>353</v>
      </c>
      <c r="FC140" s="841" t="s">
        <v>353</v>
      </c>
      <c r="FD140" s="841">
        <v>460000</v>
      </c>
      <c r="FE140" s="842">
        <v>44568.442361111112</v>
      </c>
      <c r="FF140" s="841" t="s">
        <v>353</v>
      </c>
      <c r="FG140" s="841" t="s">
        <v>353</v>
      </c>
      <c r="FH140" s="841" t="s">
        <v>353</v>
      </c>
      <c r="FI140" s="841" t="s">
        <v>353</v>
      </c>
      <c r="FJ140" s="841" t="s">
        <v>353</v>
      </c>
      <c r="FK140" s="841" t="s">
        <v>353</v>
      </c>
      <c r="FL140" s="841" t="s">
        <v>353</v>
      </c>
      <c r="FM140" s="841" t="s">
        <v>353</v>
      </c>
      <c r="FN140" s="841" t="s">
        <v>353</v>
      </c>
      <c r="FO140" s="841" t="s">
        <v>1648</v>
      </c>
      <c r="FP140" s="841" t="s">
        <v>2175</v>
      </c>
      <c r="FQ140" s="841" t="s">
        <v>353</v>
      </c>
      <c r="FR140" s="841" t="s">
        <v>353</v>
      </c>
      <c r="FS140" s="841" t="s">
        <v>353</v>
      </c>
      <c r="FT140" s="841" t="s">
        <v>353</v>
      </c>
      <c r="FU140" s="841" t="s">
        <v>2203</v>
      </c>
      <c r="FV140" s="841" t="s">
        <v>353</v>
      </c>
      <c r="FW140" s="841" t="s">
        <v>353</v>
      </c>
      <c r="FX140" s="841" t="s">
        <v>353</v>
      </c>
      <c r="FY140" s="841" t="s">
        <v>353</v>
      </c>
      <c r="FZ140" s="841" t="s">
        <v>353</v>
      </c>
      <c r="GA140" s="841" t="s">
        <v>353</v>
      </c>
      <c r="GB140" s="841">
        <v>1</v>
      </c>
      <c r="GC140" s="841" t="s">
        <v>353</v>
      </c>
      <c r="GD140" s="841" t="s">
        <v>1417</v>
      </c>
      <c r="GE140" s="841" t="s">
        <v>353</v>
      </c>
      <c r="GF140" s="841">
        <v>2220</v>
      </c>
      <c r="GG140" s="841" t="s">
        <v>353</v>
      </c>
      <c r="GH140" s="841">
        <v>310500</v>
      </c>
      <c r="GI140" s="841" t="s">
        <v>353</v>
      </c>
      <c r="GJ140" s="841">
        <v>460000</v>
      </c>
      <c r="GK140" s="841" t="s">
        <v>353</v>
      </c>
      <c r="GL140" s="841" t="s">
        <v>1541</v>
      </c>
      <c r="GM140" s="841" t="s">
        <v>353</v>
      </c>
      <c r="GN140" s="841" t="s">
        <v>353</v>
      </c>
      <c r="GO140" s="841" t="s">
        <v>353</v>
      </c>
      <c r="GP140" s="841" t="s">
        <v>353</v>
      </c>
      <c r="GQ140" s="841" t="s">
        <v>353</v>
      </c>
      <c r="GR140" s="842">
        <v>44586.625</v>
      </c>
      <c r="GS140" s="841" t="s">
        <v>2679</v>
      </c>
      <c r="GT140" s="841" t="s">
        <v>353</v>
      </c>
      <c r="GU140" s="841" t="s">
        <v>353</v>
      </c>
      <c r="GV140" s="841" t="s">
        <v>1419</v>
      </c>
      <c r="GW140" s="841" t="s">
        <v>353</v>
      </c>
      <c r="GX140" s="841" t="s">
        <v>353</v>
      </c>
      <c r="GY140" s="841">
        <v>24</v>
      </c>
      <c r="GZ140" s="841" t="s">
        <v>1420</v>
      </c>
      <c r="HA140" s="841" t="s">
        <v>353</v>
      </c>
      <c r="HB140" s="841" t="s">
        <v>353</v>
      </c>
      <c r="HC140" s="841" t="s">
        <v>1421</v>
      </c>
      <c r="HD140" s="841" t="s">
        <v>2680</v>
      </c>
      <c r="HE140" s="841">
        <v>3450</v>
      </c>
      <c r="HF140" s="841" t="s">
        <v>353</v>
      </c>
      <c r="HG140" s="841" t="s">
        <v>353</v>
      </c>
      <c r="HH140" s="841">
        <v>840</v>
      </c>
      <c r="HI140" s="841" t="s">
        <v>1422</v>
      </c>
      <c r="HJ140" s="841" t="s">
        <v>2681</v>
      </c>
      <c r="HK140" s="841">
        <v>345000</v>
      </c>
      <c r="HL140" s="841" t="s">
        <v>49</v>
      </c>
      <c r="HM140" s="841" t="s">
        <v>1423</v>
      </c>
      <c r="HN140" s="841" t="s">
        <v>353</v>
      </c>
      <c r="HO140" s="841" t="s">
        <v>353</v>
      </c>
      <c r="HP140" s="841">
        <v>18250.5</v>
      </c>
      <c r="HQ140" s="841" t="s">
        <v>353</v>
      </c>
      <c r="HR140" s="841" t="s">
        <v>353</v>
      </c>
      <c r="HS140" s="841" t="s">
        <v>353</v>
      </c>
      <c r="HT140" s="841" t="s">
        <v>353</v>
      </c>
      <c r="HU140" s="841" t="s">
        <v>353</v>
      </c>
      <c r="HV140" s="841" t="s">
        <v>353</v>
      </c>
      <c r="HW140" s="841">
        <v>525000</v>
      </c>
      <c r="HX140" s="841" t="s">
        <v>353</v>
      </c>
      <c r="HY140" s="841" t="s">
        <v>353</v>
      </c>
      <c r="HZ140" s="841" t="s">
        <v>353</v>
      </c>
      <c r="IA140" s="841" t="s">
        <v>353</v>
      </c>
      <c r="IB140" s="841" t="s">
        <v>1424</v>
      </c>
      <c r="IC140" s="841" t="s">
        <v>353</v>
      </c>
      <c r="ID140" s="841" t="s">
        <v>353</v>
      </c>
      <c r="IE140" s="841" t="s">
        <v>353</v>
      </c>
      <c r="IF140" s="841" t="s">
        <v>353</v>
      </c>
      <c r="IG140" s="841" t="s">
        <v>353</v>
      </c>
      <c r="IH140" s="841" t="s">
        <v>353</v>
      </c>
      <c r="II140" s="841" t="s">
        <v>353</v>
      </c>
      <c r="IJ140" s="841" t="s">
        <v>353</v>
      </c>
      <c r="IK140" s="841" t="s">
        <v>353</v>
      </c>
      <c r="IL140" s="841">
        <v>335875</v>
      </c>
      <c r="IM140" s="841" t="s">
        <v>353</v>
      </c>
      <c r="IN140" s="841" t="s">
        <v>353</v>
      </c>
      <c r="IO140" s="841">
        <v>199</v>
      </c>
      <c r="IP140" s="841" t="s">
        <v>353</v>
      </c>
      <c r="IQ140" s="841" t="s">
        <v>353</v>
      </c>
      <c r="IR140" s="841">
        <v>6</v>
      </c>
      <c r="IS140" s="841" t="s">
        <v>33</v>
      </c>
      <c r="IT140" s="841" t="s">
        <v>353</v>
      </c>
      <c r="IU140" s="841" t="s">
        <v>353</v>
      </c>
      <c r="IV140" s="841" t="s">
        <v>353</v>
      </c>
      <c r="IW140" s="841" t="s">
        <v>353</v>
      </c>
      <c r="IX140" s="841" t="s">
        <v>353</v>
      </c>
      <c r="IY140" s="841" t="s">
        <v>1622</v>
      </c>
      <c r="IZ140" s="841" t="s">
        <v>353</v>
      </c>
      <c r="JA140" s="841">
        <v>345000</v>
      </c>
      <c r="JB140" s="841" t="s">
        <v>353</v>
      </c>
      <c r="JC140" s="841" t="s">
        <v>33</v>
      </c>
      <c r="JD140" s="841" t="s">
        <v>1456</v>
      </c>
      <c r="JE140" s="841" t="s">
        <v>33</v>
      </c>
      <c r="JF140" s="841" t="s">
        <v>2664</v>
      </c>
      <c r="JG140" s="841" t="s">
        <v>2665</v>
      </c>
      <c r="JH140" s="841" t="s">
        <v>2666</v>
      </c>
      <c r="JI140" s="841" t="s">
        <v>2667</v>
      </c>
    </row>
    <row r="141" spans="1:269" x14ac:dyDescent="0.25">
      <c r="A141" s="841" t="s">
        <v>2682</v>
      </c>
      <c r="B141" s="841" t="s">
        <v>353</v>
      </c>
      <c r="C141" s="841" t="s">
        <v>1403</v>
      </c>
      <c r="D141" s="841" t="s">
        <v>353</v>
      </c>
      <c r="E141" s="841" t="s">
        <v>33</v>
      </c>
      <c r="F141" s="841" t="s">
        <v>1405</v>
      </c>
      <c r="G141" s="841" t="s">
        <v>2683</v>
      </c>
      <c r="H141" s="841" t="s">
        <v>353</v>
      </c>
      <c r="I141" s="841" t="s">
        <v>353</v>
      </c>
      <c r="J141" s="841" t="s">
        <v>353</v>
      </c>
      <c r="K141" s="841" t="s">
        <v>353</v>
      </c>
      <c r="L141" s="842">
        <v>44602.716666666667</v>
      </c>
      <c r="M141" s="841" t="s">
        <v>353</v>
      </c>
      <c r="N141" s="841" t="s">
        <v>33</v>
      </c>
      <c r="O141" s="841" t="s">
        <v>353</v>
      </c>
      <c r="P141" s="841" t="s">
        <v>33</v>
      </c>
      <c r="Q141" s="841" t="s">
        <v>353</v>
      </c>
      <c r="R141" s="841" t="s">
        <v>353</v>
      </c>
      <c r="S141" s="841" t="s">
        <v>1520</v>
      </c>
      <c r="T141" s="841" t="s">
        <v>1390</v>
      </c>
      <c r="U141" s="841" t="s">
        <v>353</v>
      </c>
      <c r="V141" s="841" t="s">
        <v>353</v>
      </c>
      <c r="W141" s="841" t="s">
        <v>1716</v>
      </c>
      <c r="X141" s="841" t="s">
        <v>1405</v>
      </c>
      <c r="Y141" s="841" t="s">
        <v>353</v>
      </c>
      <c r="Z141" s="841" t="s">
        <v>353</v>
      </c>
      <c r="AA141" s="841" t="s">
        <v>673</v>
      </c>
      <c r="AB141" s="841" t="s">
        <v>353</v>
      </c>
      <c r="AC141" s="841">
        <v>170100</v>
      </c>
      <c r="AD141" s="841" t="s">
        <v>353</v>
      </c>
      <c r="AE141" s="841" t="s">
        <v>673</v>
      </c>
      <c r="AF141" s="841">
        <v>943.43</v>
      </c>
      <c r="AG141" s="841" t="s">
        <v>353</v>
      </c>
      <c r="AH141" s="841">
        <v>1800</v>
      </c>
      <c r="AI141" s="841" t="s">
        <v>1521</v>
      </c>
      <c r="AJ141" s="841" t="s">
        <v>2198</v>
      </c>
      <c r="AK141" s="841">
        <v>75</v>
      </c>
      <c r="AL141" s="841" t="s">
        <v>353</v>
      </c>
      <c r="AM141" s="841">
        <v>220000</v>
      </c>
      <c r="AN141" s="841" t="s">
        <v>33</v>
      </c>
      <c r="AO141" s="841" t="s">
        <v>353</v>
      </c>
      <c r="AP141" s="841" t="s">
        <v>353</v>
      </c>
      <c r="AQ141" s="841" t="s">
        <v>353</v>
      </c>
      <c r="AR141" s="841" t="s">
        <v>673</v>
      </c>
      <c r="AS141" s="841" t="s">
        <v>353</v>
      </c>
      <c r="AT141" s="841" t="s">
        <v>353</v>
      </c>
      <c r="AU141" s="841" t="s">
        <v>353</v>
      </c>
      <c r="AV141" s="841" t="s">
        <v>353</v>
      </c>
      <c r="AW141" s="843">
        <v>44567</v>
      </c>
      <c r="AX141" s="841" t="s">
        <v>353</v>
      </c>
      <c r="AY141" s="841" t="s">
        <v>353</v>
      </c>
      <c r="AZ141" s="841" t="s">
        <v>353</v>
      </c>
      <c r="BA141" s="841" t="s">
        <v>353</v>
      </c>
      <c r="BB141" s="841" t="s">
        <v>353</v>
      </c>
      <c r="BC141" s="841">
        <v>182390</v>
      </c>
      <c r="BD141" s="841" t="s">
        <v>353</v>
      </c>
      <c r="BE141" s="841" t="s">
        <v>353</v>
      </c>
      <c r="BF141" s="841" t="s">
        <v>353</v>
      </c>
      <c r="BG141" s="841" t="s">
        <v>353</v>
      </c>
      <c r="BH141" s="841" t="s">
        <v>353</v>
      </c>
      <c r="BI141" s="841" t="s">
        <v>353</v>
      </c>
      <c r="BJ141" s="841" t="s">
        <v>353</v>
      </c>
      <c r="BK141" s="841" t="s">
        <v>353</v>
      </c>
      <c r="BL141" s="841" t="s">
        <v>2684</v>
      </c>
      <c r="BM141" s="842">
        <v>44592.7</v>
      </c>
      <c r="BN141" s="841" t="s">
        <v>353</v>
      </c>
      <c r="BO141" s="841" t="s">
        <v>353</v>
      </c>
      <c r="BP141" s="841" t="s">
        <v>33</v>
      </c>
      <c r="BQ141" s="841" t="s">
        <v>353</v>
      </c>
      <c r="BR141" s="841" t="s">
        <v>353</v>
      </c>
      <c r="BS141" s="841" t="s">
        <v>353</v>
      </c>
      <c r="BT141" s="841">
        <v>189000</v>
      </c>
      <c r="BU141" s="841" t="s">
        <v>353</v>
      </c>
      <c r="BV141" s="841" t="s">
        <v>2685</v>
      </c>
      <c r="BW141" s="841" t="s">
        <v>1578</v>
      </c>
      <c r="BX141" s="841" t="s">
        <v>2686</v>
      </c>
      <c r="BY141" s="841" t="s">
        <v>353</v>
      </c>
      <c r="BZ141" s="841" t="s">
        <v>353</v>
      </c>
      <c r="CA141" s="841" t="s">
        <v>353</v>
      </c>
      <c r="CB141" s="841" t="s">
        <v>353</v>
      </c>
      <c r="CC141" s="841" t="s">
        <v>353</v>
      </c>
      <c r="CD141" s="841" t="s">
        <v>353</v>
      </c>
      <c r="CE141" s="841" t="s">
        <v>353</v>
      </c>
      <c r="CF141" s="841" t="s">
        <v>353</v>
      </c>
      <c r="CG141" s="841" t="s">
        <v>353</v>
      </c>
      <c r="CH141" s="841" t="s">
        <v>353</v>
      </c>
      <c r="CI141" s="841" t="s">
        <v>33</v>
      </c>
      <c r="CJ141" s="841">
        <v>1350</v>
      </c>
      <c r="CK141" s="841">
        <v>7</v>
      </c>
      <c r="CL141" s="841" t="s">
        <v>353</v>
      </c>
      <c r="CM141" s="841">
        <v>8</v>
      </c>
      <c r="CN141" s="841" t="s">
        <v>353</v>
      </c>
      <c r="CO141" s="841" t="s">
        <v>353</v>
      </c>
      <c r="CP141" s="841" t="s">
        <v>2687</v>
      </c>
      <c r="CQ141" s="841" t="s">
        <v>353</v>
      </c>
      <c r="CR141" s="841" t="s">
        <v>353</v>
      </c>
      <c r="CS141" s="841" t="s">
        <v>1405</v>
      </c>
      <c r="CT141" s="841" t="s">
        <v>353</v>
      </c>
      <c r="CU141" s="841" t="s">
        <v>1391</v>
      </c>
      <c r="CV141" s="841" t="s">
        <v>353</v>
      </c>
      <c r="CW141" s="841" t="s">
        <v>353</v>
      </c>
      <c r="CX141" s="841" t="s">
        <v>353</v>
      </c>
      <c r="CY141" s="841" t="s">
        <v>353</v>
      </c>
      <c r="CZ141" s="841">
        <v>3</v>
      </c>
      <c r="DA141" s="841" t="s">
        <v>353</v>
      </c>
      <c r="DB141" s="843">
        <v>44585</v>
      </c>
      <c r="DC141" s="841" t="s">
        <v>353</v>
      </c>
      <c r="DD141" s="841" t="s">
        <v>353</v>
      </c>
      <c r="DE141" s="841" t="s">
        <v>353</v>
      </c>
      <c r="DF141" s="841">
        <v>33</v>
      </c>
      <c r="DG141" s="841" t="s">
        <v>353</v>
      </c>
      <c r="DH141" s="841" t="s">
        <v>353</v>
      </c>
      <c r="DI141" s="841" t="s">
        <v>353</v>
      </c>
      <c r="DJ141" s="841" t="s">
        <v>2688</v>
      </c>
      <c r="DK141" s="841" t="s">
        <v>353</v>
      </c>
      <c r="DL141" s="842">
        <v>44566.7</v>
      </c>
      <c r="DM141" s="841" t="s">
        <v>353</v>
      </c>
      <c r="DN141" s="841" t="s">
        <v>33</v>
      </c>
      <c r="DO141" s="841" t="s">
        <v>673</v>
      </c>
      <c r="DP141" s="841" t="s">
        <v>1481</v>
      </c>
      <c r="DQ141" s="841" t="s">
        <v>673</v>
      </c>
      <c r="DR141" s="841">
        <v>252000</v>
      </c>
      <c r="DS141" s="841">
        <v>33</v>
      </c>
      <c r="DT141" s="841" t="s">
        <v>353</v>
      </c>
      <c r="DU141" s="841" t="s">
        <v>353</v>
      </c>
      <c r="DV141" s="841">
        <v>151256.70000000001</v>
      </c>
      <c r="DW141" s="841">
        <v>189000</v>
      </c>
      <c r="DX141" s="841" t="s">
        <v>673</v>
      </c>
      <c r="DY141" s="841" t="s">
        <v>353</v>
      </c>
      <c r="DZ141" s="841">
        <v>0</v>
      </c>
      <c r="EA141" s="841" t="s">
        <v>353</v>
      </c>
      <c r="EB141" s="841" t="s">
        <v>353</v>
      </c>
      <c r="EC141" s="841" t="s">
        <v>353</v>
      </c>
      <c r="ED141" s="841" t="s">
        <v>353</v>
      </c>
      <c r="EE141" s="841" t="s">
        <v>673</v>
      </c>
      <c r="EF141" s="841" t="s">
        <v>353</v>
      </c>
      <c r="EG141" s="841" t="s">
        <v>353</v>
      </c>
      <c r="EH141" s="841" t="s">
        <v>33</v>
      </c>
      <c r="EI141" s="841">
        <v>33963.300000000003</v>
      </c>
      <c r="EJ141" s="841" t="s">
        <v>353</v>
      </c>
      <c r="EK141" s="841" t="s">
        <v>1527</v>
      </c>
      <c r="EL141" s="841" t="s">
        <v>1435</v>
      </c>
      <c r="EM141" s="841">
        <v>3780</v>
      </c>
      <c r="EN141" s="841" t="s">
        <v>353</v>
      </c>
      <c r="EO141" s="841" t="s">
        <v>353</v>
      </c>
      <c r="EP141" s="841" t="s">
        <v>353</v>
      </c>
      <c r="EQ141" s="841" t="s">
        <v>353</v>
      </c>
      <c r="ER141" s="841" t="s">
        <v>353</v>
      </c>
      <c r="ES141" s="841" t="s">
        <v>33</v>
      </c>
      <c r="ET141" s="841" t="s">
        <v>1711</v>
      </c>
      <c r="EU141" s="841" t="s">
        <v>353</v>
      </c>
      <c r="EV141" s="841" t="s">
        <v>353</v>
      </c>
      <c r="EW141" s="841" t="s">
        <v>353</v>
      </c>
      <c r="EX141" s="841" t="s">
        <v>27</v>
      </c>
      <c r="EY141" s="842">
        <v>44602.716666666667</v>
      </c>
      <c r="EZ141" s="841" t="s">
        <v>353</v>
      </c>
      <c r="FA141" s="841" t="s">
        <v>353</v>
      </c>
      <c r="FB141" s="841" t="s">
        <v>353</v>
      </c>
      <c r="FC141" s="841" t="s">
        <v>353</v>
      </c>
      <c r="FD141" s="841">
        <v>252000</v>
      </c>
      <c r="FE141" s="842">
        <v>44566.7</v>
      </c>
      <c r="FF141" s="841" t="s">
        <v>353</v>
      </c>
      <c r="FG141" s="841" t="s">
        <v>2689</v>
      </c>
      <c r="FH141" s="841" t="s">
        <v>353</v>
      </c>
      <c r="FI141" s="841" t="s">
        <v>353</v>
      </c>
      <c r="FJ141" s="841" t="s">
        <v>353</v>
      </c>
      <c r="FK141" s="841" t="s">
        <v>353</v>
      </c>
      <c r="FL141" s="841" t="s">
        <v>353</v>
      </c>
      <c r="FM141" s="841" t="s">
        <v>353</v>
      </c>
      <c r="FN141" s="841" t="s">
        <v>353</v>
      </c>
      <c r="FO141" s="841" t="s">
        <v>1648</v>
      </c>
      <c r="FP141" s="841" t="s">
        <v>353</v>
      </c>
      <c r="FQ141" s="841" t="s">
        <v>353</v>
      </c>
      <c r="FR141" s="841" t="s">
        <v>353</v>
      </c>
      <c r="FS141" s="841" t="s">
        <v>353</v>
      </c>
      <c r="FT141" s="841" t="s">
        <v>353</v>
      </c>
      <c r="FU141" s="841" t="s">
        <v>2203</v>
      </c>
      <c r="FV141" s="841" t="s">
        <v>353</v>
      </c>
      <c r="FW141" s="841" t="s">
        <v>353</v>
      </c>
      <c r="FX141" s="841" t="s">
        <v>353</v>
      </c>
      <c r="FY141" s="841" t="s">
        <v>353</v>
      </c>
      <c r="FZ141" s="841" t="s">
        <v>353</v>
      </c>
      <c r="GA141" s="841" t="s">
        <v>353</v>
      </c>
      <c r="GB141" s="841">
        <v>1</v>
      </c>
      <c r="GC141" s="841" t="s">
        <v>353</v>
      </c>
      <c r="GD141" s="841" t="s">
        <v>1395</v>
      </c>
      <c r="GE141" s="841" t="s">
        <v>353</v>
      </c>
      <c r="GF141" s="841">
        <v>0</v>
      </c>
      <c r="GG141" s="841" t="s">
        <v>349</v>
      </c>
      <c r="GH141" s="841">
        <v>170100</v>
      </c>
      <c r="GI141" s="841" t="s">
        <v>353</v>
      </c>
      <c r="GJ141" s="841">
        <v>252000</v>
      </c>
      <c r="GK141" s="841" t="s">
        <v>353</v>
      </c>
      <c r="GL141" s="841" t="s">
        <v>1468</v>
      </c>
      <c r="GM141" s="841" t="s">
        <v>353</v>
      </c>
      <c r="GN141" s="841" t="s">
        <v>353</v>
      </c>
      <c r="GO141" s="841" t="s">
        <v>353</v>
      </c>
      <c r="GP141" s="841" t="s">
        <v>353</v>
      </c>
      <c r="GQ141" s="841" t="s">
        <v>353</v>
      </c>
      <c r="GR141" s="842">
        <v>44602.716666666667</v>
      </c>
      <c r="GS141" s="841" t="s">
        <v>2690</v>
      </c>
      <c r="GT141" s="841" t="s">
        <v>353</v>
      </c>
      <c r="GU141" s="841" t="s">
        <v>353</v>
      </c>
      <c r="GV141" s="841" t="s">
        <v>1419</v>
      </c>
      <c r="GW141" s="841" t="s">
        <v>353</v>
      </c>
      <c r="GX141" s="841" t="s">
        <v>353</v>
      </c>
      <c r="GY141" s="841">
        <v>36</v>
      </c>
      <c r="GZ141" s="841" t="s">
        <v>1716</v>
      </c>
      <c r="HA141" s="841" t="s">
        <v>353</v>
      </c>
      <c r="HB141" s="841" t="s">
        <v>353</v>
      </c>
      <c r="HC141" s="841" t="s">
        <v>1421</v>
      </c>
      <c r="HD141" s="841" t="s">
        <v>2687</v>
      </c>
      <c r="HE141" s="841">
        <v>1890</v>
      </c>
      <c r="HF141" s="841" t="s">
        <v>353</v>
      </c>
      <c r="HG141" s="841" t="s">
        <v>353</v>
      </c>
      <c r="HH141" s="841" t="s">
        <v>353</v>
      </c>
      <c r="HI141" s="841" t="s">
        <v>1422</v>
      </c>
      <c r="HJ141" s="841" t="s">
        <v>2691</v>
      </c>
      <c r="HK141" s="841">
        <v>189000</v>
      </c>
      <c r="HL141" s="841" t="s">
        <v>49</v>
      </c>
      <c r="HM141" s="841" t="s">
        <v>1530</v>
      </c>
      <c r="HN141" s="841" t="s">
        <v>33</v>
      </c>
      <c r="HO141" s="841" t="s">
        <v>353</v>
      </c>
      <c r="HP141" s="841">
        <v>11321.1</v>
      </c>
      <c r="HQ141" s="841" t="s">
        <v>353</v>
      </c>
      <c r="HR141" s="841" t="s">
        <v>353</v>
      </c>
      <c r="HS141" s="841">
        <v>155036.70000000001</v>
      </c>
      <c r="HT141" s="841" t="s">
        <v>353</v>
      </c>
      <c r="HU141" s="841" t="s">
        <v>353</v>
      </c>
      <c r="HV141" s="841" t="s">
        <v>353</v>
      </c>
      <c r="HW141" s="841">
        <v>252000</v>
      </c>
      <c r="HX141" s="841" t="s">
        <v>353</v>
      </c>
      <c r="HY141" s="841" t="s">
        <v>353</v>
      </c>
      <c r="HZ141" s="841" t="s">
        <v>353</v>
      </c>
      <c r="IA141" s="841" t="s">
        <v>353</v>
      </c>
      <c r="IB141" s="841" t="s">
        <v>1424</v>
      </c>
      <c r="IC141" s="841" t="s">
        <v>353</v>
      </c>
      <c r="ID141" s="841" t="s">
        <v>353</v>
      </c>
      <c r="IE141" s="841" t="s">
        <v>353</v>
      </c>
      <c r="IF141" s="841" t="s">
        <v>353</v>
      </c>
      <c r="IG141" s="841" t="s">
        <v>353</v>
      </c>
      <c r="IH141" s="841" t="s">
        <v>353</v>
      </c>
      <c r="II141" s="841" t="s">
        <v>353</v>
      </c>
      <c r="IJ141" s="841" t="s">
        <v>353</v>
      </c>
      <c r="IK141" s="841" t="s">
        <v>353</v>
      </c>
      <c r="IL141" s="841">
        <v>186170</v>
      </c>
      <c r="IM141" s="841" t="s">
        <v>353</v>
      </c>
      <c r="IN141" s="841" t="s">
        <v>353</v>
      </c>
      <c r="IO141" s="841">
        <v>0</v>
      </c>
      <c r="IP141" s="841" t="s">
        <v>353</v>
      </c>
      <c r="IQ141" s="841" t="s">
        <v>353</v>
      </c>
      <c r="IR141" s="841">
        <v>3</v>
      </c>
      <c r="IS141" s="841" t="s">
        <v>33</v>
      </c>
      <c r="IT141" s="841" t="s">
        <v>353</v>
      </c>
      <c r="IU141" s="841" t="s">
        <v>353</v>
      </c>
      <c r="IV141" s="841" t="s">
        <v>353</v>
      </c>
      <c r="IW141" s="841" t="s">
        <v>353</v>
      </c>
      <c r="IX141" s="841" t="s">
        <v>353</v>
      </c>
      <c r="IY141" s="841" t="s">
        <v>353</v>
      </c>
      <c r="IZ141" s="841" t="s">
        <v>353</v>
      </c>
      <c r="JA141" s="841">
        <v>189000</v>
      </c>
      <c r="JB141" s="841" t="s">
        <v>353</v>
      </c>
      <c r="JC141" s="841" t="s">
        <v>33</v>
      </c>
      <c r="JD141" s="841" t="s">
        <v>1527</v>
      </c>
      <c r="JE141" s="841" t="s">
        <v>33</v>
      </c>
      <c r="JF141" s="841" t="s">
        <v>2692</v>
      </c>
      <c r="JG141" s="841" t="s">
        <v>2693</v>
      </c>
      <c r="JH141" s="841" t="s">
        <v>2694</v>
      </c>
      <c r="JI141" s="841" t="s">
        <v>2695</v>
      </c>
    </row>
    <row r="142" spans="1:269" x14ac:dyDescent="0.25">
      <c r="A142" s="841" t="s">
        <v>2696</v>
      </c>
      <c r="B142" s="841" t="s">
        <v>353</v>
      </c>
      <c r="C142" s="841" t="s">
        <v>353</v>
      </c>
      <c r="D142" s="841" t="s">
        <v>353</v>
      </c>
      <c r="E142" s="841" t="s">
        <v>353</v>
      </c>
      <c r="F142" s="841" t="s">
        <v>1405</v>
      </c>
      <c r="G142" s="841" t="s">
        <v>2086</v>
      </c>
      <c r="H142" s="841" t="s">
        <v>353</v>
      </c>
      <c r="I142" s="841" t="s">
        <v>353</v>
      </c>
      <c r="J142" s="841" t="s">
        <v>353</v>
      </c>
      <c r="K142" s="841" t="s">
        <v>353</v>
      </c>
      <c r="L142" s="842">
        <v>44608.433333333334</v>
      </c>
      <c r="M142" s="841" t="s">
        <v>353</v>
      </c>
      <c r="N142" s="841" t="s">
        <v>353</v>
      </c>
      <c r="O142" s="841" t="s">
        <v>353</v>
      </c>
      <c r="P142" s="841" t="s">
        <v>33</v>
      </c>
      <c r="Q142" s="841" t="s">
        <v>353</v>
      </c>
      <c r="R142" s="841" t="s">
        <v>353</v>
      </c>
      <c r="S142" s="841" t="s">
        <v>64</v>
      </c>
      <c r="T142" s="841" t="s">
        <v>1390</v>
      </c>
      <c r="U142" s="841" t="s">
        <v>353</v>
      </c>
      <c r="V142" s="841" t="s">
        <v>353</v>
      </c>
      <c r="W142" s="841" t="s">
        <v>353</v>
      </c>
      <c r="X142" s="841" t="s">
        <v>353</v>
      </c>
      <c r="Y142" s="841" t="s">
        <v>353</v>
      </c>
      <c r="Z142" s="841" t="s">
        <v>353</v>
      </c>
      <c r="AA142" s="841" t="s">
        <v>33</v>
      </c>
      <c r="AB142" s="841" t="s">
        <v>353</v>
      </c>
      <c r="AC142" s="841">
        <v>690000</v>
      </c>
      <c r="AD142" s="841" t="s">
        <v>353</v>
      </c>
      <c r="AE142" s="841" t="s">
        <v>33</v>
      </c>
      <c r="AF142" s="841">
        <v>6083.5</v>
      </c>
      <c r="AG142" s="841" t="s">
        <v>353</v>
      </c>
      <c r="AH142" s="841" t="s">
        <v>353</v>
      </c>
      <c r="AI142" s="841" t="s">
        <v>1521</v>
      </c>
      <c r="AJ142" s="841" t="s">
        <v>353</v>
      </c>
      <c r="AK142" s="841">
        <v>69</v>
      </c>
      <c r="AL142" s="841" t="s">
        <v>353</v>
      </c>
      <c r="AM142" s="841" t="s">
        <v>353</v>
      </c>
      <c r="AN142" s="841" t="s">
        <v>353</v>
      </c>
      <c r="AO142" s="841" t="s">
        <v>353</v>
      </c>
      <c r="AP142" s="841" t="s">
        <v>353</v>
      </c>
      <c r="AQ142" s="841" t="s">
        <v>353</v>
      </c>
      <c r="AR142" s="841" t="s">
        <v>33</v>
      </c>
      <c r="AS142" s="841" t="s">
        <v>353</v>
      </c>
      <c r="AT142" s="841" t="s">
        <v>353</v>
      </c>
      <c r="AU142" s="841" t="s">
        <v>353</v>
      </c>
      <c r="AV142" s="841" t="s">
        <v>353</v>
      </c>
      <c r="AW142" s="843">
        <v>44608</v>
      </c>
      <c r="AX142" s="841" t="s">
        <v>353</v>
      </c>
      <c r="AY142" s="841" t="s">
        <v>353</v>
      </c>
      <c r="AZ142" s="841" t="s">
        <v>353</v>
      </c>
      <c r="BA142" s="841" t="s">
        <v>353</v>
      </c>
      <c r="BB142" s="841" t="s">
        <v>353</v>
      </c>
      <c r="BC142" s="841">
        <v>1355850</v>
      </c>
      <c r="BD142" s="841" t="s">
        <v>353</v>
      </c>
      <c r="BE142" s="841" t="s">
        <v>353</v>
      </c>
      <c r="BF142" s="841" t="s">
        <v>353</v>
      </c>
      <c r="BG142" s="841" t="s">
        <v>353</v>
      </c>
      <c r="BH142" s="841" t="s">
        <v>353</v>
      </c>
      <c r="BI142" s="841" t="s">
        <v>353</v>
      </c>
      <c r="BJ142" s="841" t="s">
        <v>353</v>
      </c>
      <c r="BK142" s="841">
        <v>980000</v>
      </c>
      <c r="BL142" s="841" t="s">
        <v>1735</v>
      </c>
      <c r="BM142" s="842">
        <v>44592.680555555555</v>
      </c>
      <c r="BN142" s="841" t="s">
        <v>353</v>
      </c>
      <c r="BO142" s="841" t="s">
        <v>353</v>
      </c>
      <c r="BP142" s="841" t="s">
        <v>353</v>
      </c>
      <c r="BQ142" s="841" t="s">
        <v>353</v>
      </c>
      <c r="BR142" s="841" t="s">
        <v>353</v>
      </c>
      <c r="BS142" s="841" t="s">
        <v>353</v>
      </c>
      <c r="BT142" s="841">
        <v>1700000</v>
      </c>
      <c r="BU142" s="841" t="s">
        <v>353</v>
      </c>
      <c r="BV142" s="841" t="s">
        <v>2697</v>
      </c>
      <c r="BW142" s="841" t="s">
        <v>1578</v>
      </c>
      <c r="BX142" s="841" t="s">
        <v>2698</v>
      </c>
      <c r="BY142" s="841" t="s">
        <v>353</v>
      </c>
      <c r="BZ142" s="841" t="s">
        <v>353</v>
      </c>
      <c r="CA142" s="841" t="s">
        <v>353</v>
      </c>
      <c r="CB142" s="841" t="s">
        <v>353</v>
      </c>
      <c r="CC142" s="841" t="s">
        <v>353</v>
      </c>
      <c r="CD142" s="841" t="s">
        <v>353</v>
      </c>
      <c r="CE142" s="841" t="s">
        <v>353</v>
      </c>
      <c r="CF142" s="841" t="s">
        <v>353</v>
      </c>
      <c r="CG142" s="841" t="s">
        <v>353</v>
      </c>
      <c r="CH142" s="841" t="s">
        <v>353</v>
      </c>
      <c r="CI142" s="841" t="s">
        <v>33</v>
      </c>
      <c r="CJ142" s="841" t="s">
        <v>353</v>
      </c>
      <c r="CK142" s="841">
        <v>46</v>
      </c>
      <c r="CL142" s="841">
        <v>365000</v>
      </c>
      <c r="CM142" s="841">
        <v>50</v>
      </c>
      <c r="CN142" s="841" t="s">
        <v>353</v>
      </c>
      <c r="CO142" s="841" t="s">
        <v>353</v>
      </c>
      <c r="CP142" s="841" t="s">
        <v>2699</v>
      </c>
      <c r="CQ142" s="841" t="s">
        <v>353</v>
      </c>
      <c r="CR142" s="841" t="s">
        <v>353</v>
      </c>
      <c r="CS142" s="841" t="s">
        <v>353</v>
      </c>
      <c r="CT142" s="841" t="s">
        <v>353</v>
      </c>
      <c r="CU142" s="841" t="s">
        <v>1391</v>
      </c>
      <c r="CV142" s="841" t="s">
        <v>353</v>
      </c>
      <c r="CW142" s="841" t="s">
        <v>353</v>
      </c>
      <c r="CX142" s="841" t="s">
        <v>353</v>
      </c>
      <c r="CY142" s="841" t="s">
        <v>353</v>
      </c>
      <c r="CZ142" s="841" t="s">
        <v>353</v>
      </c>
      <c r="DA142" s="841" t="s">
        <v>353</v>
      </c>
      <c r="DB142" s="841" t="s">
        <v>353</v>
      </c>
      <c r="DC142" s="841" t="s">
        <v>353</v>
      </c>
      <c r="DD142" s="841" t="s">
        <v>353</v>
      </c>
      <c r="DE142" s="841" t="s">
        <v>353</v>
      </c>
      <c r="DF142" s="841">
        <v>24</v>
      </c>
      <c r="DG142" s="841" t="s">
        <v>353</v>
      </c>
      <c r="DH142" s="841" t="s">
        <v>353</v>
      </c>
      <c r="DI142" s="841" t="s">
        <v>353</v>
      </c>
      <c r="DJ142" s="841" t="s">
        <v>2700</v>
      </c>
      <c r="DK142" s="841" t="s">
        <v>353</v>
      </c>
      <c r="DL142" s="842">
        <v>44566.680555555555</v>
      </c>
      <c r="DM142" s="841" t="s">
        <v>353</v>
      </c>
      <c r="DN142" s="841" t="s">
        <v>33</v>
      </c>
      <c r="DO142" s="841" t="s">
        <v>353</v>
      </c>
      <c r="DP142" s="841" t="s">
        <v>1481</v>
      </c>
      <c r="DQ142" s="841" t="s">
        <v>1581</v>
      </c>
      <c r="DR142" s="841" t="s">
        <v>353</v>
      </c>
      <c r="DS142" s="841" t="s">
        <v>353</v>
      </c>
      <c r="DT142" s="841" t="s">
        <v>353</v>
      </c>
      <c r="DU142" s="841" t="s">
        <v>353</v>
      </c>
      <c r="DV142" s="841" t="s">
        <v>353</v>
      </c>
      <c r="DW142" s="841">
        <v>1380000</v>
      </c>
      <c r="DX142" s="841" t="s">
        <v>33</v>
      </c>
      <c r="DY142" s="841" t="s">
        <v>353</v>
      </c>
      <c r="DZ142" s="841" t="s">
        <v>353</v>
      </c>
      <c r="EA142" s="841" t="s">
        <v>353</v>
      </c>
      <c r="EB142" s="841" t="s">
        <v>353</v>
      </c>
      <c r="EC142" s="841" t="s">
        <v>353</v>
      </c>
      <c r="ED142" s="841" t="s">
        <v>353</v>
      </c>
      <c r="EE142" s="841" t="s">
        <v>353</v>
      </c>
      <c r="EF142" s="841" t="s">
        <v>353</v>
      </c>
      <c r="EG142" s="841" t="s">
        <v>353</v>
      </c>
      <c r="EH142" s="841" t="s">
        <v>353</v>
      </c>
      <c r="EI142" s="841" t="s">
        <v>353</v>
      </c>
      <c r="EJ142" s="841" t="s">
        <v>353</v>
      </c>
      <c r="EK142" s="841" t="s">
        <v>353</v>
      </c>
      <c r="EL142" s="841" t="s">
        <v>1930</v>
      </c>
      <c r="EM142" s="841" t="s">
        <v>353</v>
      </c>
      <c r="EN142" s="841" t="s">
        <v>353</v>
      </c>
      <c r="EO142" s="841" t="s">
        <v>353</v>
      </c>
      <c r="EP142" s="841" t="s">
        <v>353</v>
      </c>
      <c r="EQ142" s="841" t="s">
        <v>353</v>
      </c>
      <c r="ER142" s="841" t="s">
        <v>353</v>
      </c>
      <c r="ES142" s="841" t="s">
        <v>33</v>
      </c>
      <c r="ET142" s="841" t="s">
        <v>1512</v>
      </c>
      <c r="EU142" s="841" t="s">
        <v>353</v>
      </c>
      <c r="EV142" s="841" t="s">
        <v>353</v>
      </c>
      <c r="EW142" s="841" t="s">
        <v>353</v>
      </c>
      <c r="EX142" s="841" t="s">
        <v>33</v>
      </c>
      <c r="EY142" s="842">
        <v>44608.37222222222</v>
      </c>
      <c r="EZ142" s="841" t="s">
        <v>353</v>
      </c>
      <c r="FA142" s="841" t="s">
        <v>353</v>
      </c>
      <c r="FB142" s="841" t="s">
        <v>353</v>
      </c>
      <c r="FC142" s="841" t="s">
        <v>353</v>
      </c>
      <c r="FD142" s="841" t="s">
        <v>353</v>
      </c>
      <c r="FE142" s="842">
        <v>44608.426388888889</v>
      </c>
      <c r="FF142" s="841" t="s">
        <v>353</v>
      </c>
      <c r="FG142" s="841" t="s">
        <v>2701</v>
      </c>
      <c r="FH142" s="841" t="s">
        <v>353</v>
      </c>
      <c r="FI142" s="841" t="s">
        <v>353</v>
      </c>
      <c r="FJ142" s="841" t="s">
        <v>353</v>
      </c>
      <c r="FK142" s="841" t="s">
        <v>353</v>
      </c>
      <c r="FL142" s="841" t="s">
        <v>353</v>
      </c>
      <c r="FM142" s="841" t="s">
        <v>353</v>
      </c>
      <c r="FN142" s="841" t="s">
        <v>353</v>
      </c>
      <c r="FO142" s="841" t="s">
        <v>353</v>
      </c>
      <c r="FP142" s="841" t="s">
        <v>353</v>
      </c>
      <c r="FQ142" s="841" t="s">
        <v>353</v>
      </c>
      <c r="FR142" s="841" t="s">
        <v>353</v>
      </c>
      <c r="FS142" s="841" t="s">
        <v>353</v>
      </c>
      <c r="FT142" s="841" t="s">
        <v>353</v>
      </c>
      <c r="FU142" s="841" t="s">
        <v>1467</v>
      </c>
      <c r="FV142" s="841" t="s">
        <v>353</v>
      </c>
      <c r="FW142" s="841" t="s">
        <v>353</v>
      </c>
      <c r="FX142" s="841" t="s">
        <v>353</v>
      </c>
      <c r="FY142" s="841" t="s">
        <v>353</v>
      </c>
      <c r="FZ142" s="841" t="s">
        <v>353</v>
      </c>
      <c r="GA142" s="841" t="s">
        <v>353</v>
      </c>
      <c r="GB142" s="841">
        <v>1</v>
      </c>
      <c r="GC142" s="841" t="s">
        <v>353</v>
      </c>
      <c r="GD142" s="841" t="s">
        <v>1395</v>
      </c>
      <c r="GE142" s="841" t="s">
        <v>353</v>
      </c>
      <c r="GF142" s="841" t="s">
        <v>353</v>
      </c>
      <c r="GG142" s="841" t="s">
        <v>353</v>
      </c>
      <c r="GH142" s="841">
        <v>690000</v>
      </c>
      <c r="GI142" s="841" t="s">
        <v>353</v>
      </c>
      <c r="GJ142" s="841" t="s">
        <v>353</v>
      </c>
      <c r="GK142" s="841" t="s">
        <v>353</v>
      </c>
      <c r="GL142" s="841" t="s">
        <v>1737</v>
      </c>
      <c r="GM142" s="841" t="s">
        <v>353</v>
      </c>
      <c r="GN142" s="841" t="s">
        <v>353</v>
      </c>
      <c r="GO142" s="841" t="s">
        <v>353</v>
      </c>
      <c r="GP142" s="841" t="s">
        <v>353</v>
      </c>
      <c r="GQ142" s="841" t="s">
        <v>353</v>
      </c>
      <c r="GR142" s="842">
        <v>44608.37222222222</v>
      </c>
      <c r="GS142" s="841" t="s">
        <v>2697</v>
      </c>
      <c r="GT142" s="841" t="s">
        <v>353</v>
      </c>
      <c r="GU142" s="841" t="s">
        <v>353</v>
      </c>
      <c r="GV142" s="841" t="s">
        <v>1419</v>
      </c>
      <c r="GW142" s="841" t="s">
        <v>353</v>
      </c>
      <c r="GX142" s="841" t="s">
        <v>2702</v>
      </c>
      <c r="GY142" s="841">
        <v>24</v>
      </c>
      <c r="GZ142" s="841" t="s">
        <v>1420</v>
      </c>
      <c r="HA142" s="841" t="s">
        <v>353</v>
      </c>
      <c r="HB142" s="841" t="s">
        <v>353</v>
      </c>
      <c r="HC142" s="841" t="s">
        <v>1421</v>
      </c>
      <c r="HD142" s="841" t="s">
        <v>2703</v>
      </c>
      <c r="HE142" s="841">
        <v>13800</v>
      </c>
      <c r="HF142" s="841" t="s">
        <v>353</v>
      </c>
      <c r="HG142" s="841" t="s">
        <v>353</v>
      </c>
      <c r="HH142" s="841" t="s">
        <v>353</v>
      </c>
      <c r="HI142" s="841" t="s">
        <v>1422</v>
      </c>
      <c r="HJ142" s="841" t="s">
        <v>353</v>
      </c>
      <c r="HK142" s="841">
        <v>1380000</v>
      </c>
      <c r="HL142" s="841" t="s">
        <v>353</v>
      </c>
      <c r="HM142" s="841" t="s">
        <v>353</v>
      </c>
      <c r="HN142" s="841" t="s">
        <v>353</v>
      </c>
      <c r="HO142" s="841" t="s">
        <v>353</v>
      </c>
      <c r="HP142" s="841">
        <v>73002</v>
      </c>
      <c r="HQ142" s="841" t="s">
        <v>353</v>
      </c>
      <c r="HR142" s="841" t="s">
        <v>353</v>
      </c>
      <c r="HS142" s="841" t="s">
        <v>353</v>
      </c>
      <c r="HT142" s="841" t="s">
        <v>353</v>
      </c>
      <c r="HU142" s="841" t="s">
        <v>353</v>
      </c>
      <c r="HV142" s="841" t="s">
        <v>353</v>
      </c>
      <c r="HW142" s="841">
        <v>2000000</v>
      </c>
      <c r="HX142" s="841" t="s">
        <v>353</v>
      </c>
      <c r="HY142" s="841" t="s">
        <v>353</v>
      </c>
      <c r="HZ142" s="841">
        <v>290000</v>
      </c>
      <c r="IA142" s="841" t="s">
        <v>353</v>
      </c>
      <c r="IB142" s="841" t="s">
        <v>2704</v>
      </c>
      <c r="IC142" s="841" t="s">
        <v>353</v>
      </c>
      <c r="ID142" s="841" t="s">
        <v>353</v>
      </c>
      <c r="IE142" s="841" t="s">
        <v>353</v>
      </c>
      <c r="IF142" s="841" t="s">
        <v>353</v>
      </c>
      <c r="IG142" s="841" t="s">
        <v>353</v>
      </c>
      <c r="IH142" s="841" t="s">
        <v>353</v>
      </c>
      <c r="II142" s="841" t="s">
        <v>353</v>
      </c>
      <c r="IJ142" s="841" t="s">
        <v>353</v>
      </c>
      <c r="IK142" s="841" t="s">
        <v>353</v>
      </c>
      <c r="IL142" s="841">
        <v>1380000</v>
      </c>
      <c r="IM142" s="841" t="s">
        <v>353</v>
      </c>
      <c r="IN142" s="841" t="s">
        <v>353</v>
      </c>
      <c r="IO142" s="841" t="s">
        <v>353</v>
      </c>
      <c r="IP142" s="841" t="s">
        <v>353</v>
      </c>
      <c r="IQ142" s="841" t="s">
        <v>353</v>
      </c>
      <c r="IR142" s="841" t="s">
        <v>353</v>
      </c>
      <c r="IS142" s="841" t="s">
        <v>33</v>
      </c>
      <c r="IT142" s="841" t="s">
        <v>353</v>
      </c>
      <c r="IU142" s="841" t="s">
        <v>353</v>
      </c>
      <c r="IV142" s="841" t="s">
        <v>353</v>
      </c>
      <c r="IW142" s="841" t="s">
        <v>2705</v>
      </c>
      <c r="IX142" s="841" t="s">
        <v>353</v>
      </c>
      <c r="IY142" s="841" t="s">
        <v>353</v>
      </c>
      <c r="IZ142" s="841" t="s">
        <v>353</v>
      </c>
      <c r="JA142" s="841">
        <v>1380000</v>
      </c>
      <c r="JB142" s="841" t="s">
        <v>353</v>
      </c>
      <c r="JC142" s="841" t="s">
        <v>353</v>
      </c>
      <c r="JD142" s="841" t="s">
        <v>1456</v>
      </c>
      <c r="JE142" s="841" t="s">
        <v>33</v>
      </c>
      <c r="JF142" s="841" t="s">
        <v>1739</v>
      </c>
      <c r="JG142" s="841" t="s">
        <v>1740</v>
      </c>
      <c r="JH142" s="841" t="s">
        <v>1741</v>
      </c>
      <c r="JI142" s="841" t="s">
        <v>1742</v>
      </c>
    </row>
    <row r="143" spans="1:269" x14ac:dyDescent="0.25">
      <c r="A143" s="841" t="s">
        <v>2706</v>
      </c>
      <c r="B143" s="841" t="s">
        <v>353</v>
      </c>
      <c r="C143" s="841" t="s">
        <v>353</v>
      </c>
      <c r="D143" s="841" t="s">
        <v>353</v>
      </c>
      <c r="E143" s="841" t="s">
        <v>33</v>
      </c>
      <c r="F143" s="841" t="s">
        <v>1930</v>
      </c>
      <c r="G143" s="841" t="s">
        <v>2197</v>
      </c>
      <c r="H143" s="841" t="s">
        <v>353</v>
      </c>
      <c r="I143" s="841" t="s">
        <v>353</v>
      </c>
      <c r="J143" s="841" t="s">
        <v>353</v>
      </c>
      <c r="K143" s="841" t="s">
        <v>353</v>
      </c>
      <c r="L143" s="842">
        <v>44607.675000000003</v>
      </c>
      <c r="M143" s="841" t="s">
        <v>353</v>
      </c>
      <c r="N143" s="841" t="s">
        <v>33</v>
      </c>
      <c r="O143" s="841" t="s">
        <v>353</v>
      </c>
      <c r="P143" s="841" t="s">
        <v>33</v>
      </c>
      <c r="Q143" s="841" t="s">
        <v>353</v>
      </c>
      <c r="R143" s="841" t="s">
        <v>353</v>
      </c>
      <c r="S143" s="841" t="s">
        <v>67</v>
      </c>
      <c r="T143" s="841" t="s">
        <v>1390</v>
      </c>
      <c r="U143" s="841" t="s">
        <v>353</v>
      </c>
      <c r="V143" s="841" t="s">
        <v>353</v>
      </c>
      <c r="W143" s="841" t="s">
        <v>353</v>
      </c>
      <c r="X143" s="841" t="s">
        <v>1405</v>
      </c>
      <c r="Y143" s="841" t="s">
        <v>353</v>
      </c>
      <c r="Z143" s="841" t="s">
        <v>353</v>
      </c>
      <c r="AA143" s="841" t="s">
        <v>33</v>
      </c>
      <c r="AB143" s="843">
        <v>44600</v>
      </c>
      <c r="AC143" s="841">
        <v>162900</v>
      </c>
      <c r="AD143" s="841" t="s">
        <v>353</v>
      </c>
      <c r="AE143" s="841" t="s">
        <v>33</v>
      </c>
      <c r="AF143" s="841">
        <v>873.33</v>
      </c>
      <c r="AG143" s="841" t="s">
        <v>353</v>
      </c>
      <c r="AH143" s="841">
        <v>1300</v>
      </c>
      <c r="AI143" s="841" t="s">
        <v>1406</v>
      </c>
      <c r="AJ143" s="841" t="s">
        <v>2168</v>
      </c>
      <c r="AK143" s="841">
        <v>75</v>
      </c>
      <c r="AL143" s="841" t="s">
        <v>353</v>
      </c>
      <c r="AM143" s="841" t="s">
        <v>353</v>
      </c>
      <c r="AN143" s="841" t="s">
        <v>33</v>
      </c>
      <c r="AO143" s="841" t="s">
        <v>353</v>
      </c>
      <c r="AP143" s="841" t="s">
        <v>353</v>
      </c>
      <c r="AQ143" s="841" t="s">
        <v>353</v>
      </c>
      <c r="AR143" s="841" t="s">
        <v>33</v>
      </c>
      <c r="AS143" s="841" t="s">
        <v>353</v>
      </c>
      <c r="AT143" s="841" t="s">
        <v>353</v>
      </c>
      <c r="AU143" s="841" t="s">
        <v>353</v>
      </c>
      <c r="AV143" s="841" t="s">
        <v>353</v>
      </c>
      <c r="AW143" s="843">
        <v>44592</v>
      </c>
      <c r="AX143" s="841" t="s">
        <v>353</v>
      </c>
      <c r="AY143" s="841" t="s">
        <v>353</v>
      </c>
      <c r="AZ143" s="841" t="s">
        <v>353</v>
      </c>
      <c r="BA143" s="841" t="s">
        <v>353</v>
      </c>
      <c r="BB143" s="841" t="s">
        <v>353</v>
      </c>
      <c r="BC143" s="841">
        <v>177832</v>
      </c>
      <c r="BD143" s="841" t="s">
        <v>353</v>
      </c>
      <c r="BE143" s="841" t="s">
        <v>353</v>
      </c>
      <c r="BF143" s="841" t="s">
        <v>353</v>
      </c>
      <c r="BG143" s="841" t="s">
        <v>353</v>
      </c>
      <c r="BH143" s="841" t="s">
        <v>353</v>
      </c>
      <c r="BI143" s="841" t="s">
        <v>353</v>
      </c>
      <c r="BJ143" s="841" t="s">
        <v>353</v>
      </c>
      <c r="BK143" s="841" t="s">
        <v>353</v>
      </c>
      <c r="BL143" s="841" t="s">
        <v>2287</v>
      </c>
      <c r="BM143" s="842">
        <v>44592.410416666666</v>
      </c>
      <c r="BN143" s="841" t="s">
        <v>353</v>
      </c>
      <c r="BO143" s="841" t="s">
        <v>353</v>
      </c>
      <c r="BP143" s="841" t="s">
        <v>673</v>
      </c>
      <c r="BQ143" s="841" t="s">
        <v>353</v>
      </c>
      <c r="BR143" s="841" t="s">
        <v>353</v>
      </c>
      <c r="BS143" s="841" t="s">
        <v>353</v>
      </c>
      <c r="BT143" s="841">
        <v>156000</v>
      </c>
      <c r="BU143" s="841" t="s">
        <v>353</v>
      </c>
      <c r="BV143" s="841" t="s">
        <v>1766</v>
      </c>
      <c r="BW143" s="841" t="s">
        <v>1578</v>
      </c>
      <c r="BX143" s="841" t="s">
        <v>2707</v>
      </c>
      <c r="BY143" s="841" t="s">
        <v>353</v>
      </c>
      <c r="BZ143" s="841" t="s">
        <v>353</v>
      </c>
      <c r="CA143" s="841" t="s">
        <v>353</v>
      </c>
      <c r="CB143" s="841" t="s">
        <v>353</v>
      </c>
      <c r="CC143" s="841" t="s">
        <v>353</v>
      </c>
      <c r="CD143" s="841" t="s">
        <v>353</v>
      </c>
      <c r="CE143" s="841" t="s">
        <v>353</v>
      </c>
      <c r="CF143" s="841" t="s">
        <v>353</v>
      </c>
      <c r="CG143" s="841" t="s">
        <v>353</v>
      </c>
      <c r="CH143" s="841" t="s">
        <v>353</v>
      </c>
      <c r="CI143" s="841" t="s">
        <v>33</v>
      </c>
      <c r="CJ143" s="841">
        <v>1275</v>
      </c>
      <c r="CK143" s="841">
        <v>0</v>
      </c>
      <c r="CL143" s="841" t="s">
        <v>353</v>
      </c>
      <c r="CM143" s="841">
        <v>3</v>
      </c>
      <c r="CN143" s="841" t="s">
        <v>353</v>
      </c>
      <c r="CO143" s="841" t="s">
        <v>353</v>
      </c>
      <c r="CP143" s="841" t="s">
        <v>2708</v>
      </c>
      <c r="CQ143" s="841" t="s">
        <v>353</v>
      </c>
      <c r="CR143" s="841" t="s">
        <v>353</v>
      </c>
      <c r="CS143" s="841" t="s">
        <v>353</v>
      </c>
      <c r="CT143" s="841" t="s">
        <v>353</v>
      </c>
      <c r="CU143" s="841" t="s">
        <v>1391</v>
      </c>
      <c r="CV143" s="841" t="s">
        <v>353</v>
      </c>
      <c r="CW143" s="841" t="s">
        <v>353</v>
      </c>
      <c r="CX143" s="841" t="s">
        <v>353</v>
      </c>
      <c r="CY143" s="841" t="s">
        <v>353</v>
      </c>
      <c r="CZ143" s="841">
        <v>1</v>
      </c>
      <c r="DA143" s="841" t="s">
        <v>353</v>
      </c>
      <c r="DB143" s="843">
        <v>44602</v>
      </c>
      <c r="DC143" s="841" t="s">
        <v>353</v>
      </c>
      <c r="DD143" s="841" t="s">
        <v>353</v>
      </c>
      <c r="DE143" s="841" t="s">
        <v>353</v>
      </c>
      <c r="DF143" s="841">
        <v>36</v>
      </c>
      <c r="DG143" s="841" t="s">
        <v>353</v>
      </c>
      <c r="DH143" s="841" t="s">
        <v>353</v>
      </c>
      <c r="DI143" s="841" t="s">
        <v>353</v>
      </c>
      <c r="DJ143" s="841" t="s">
        <v>2290</v>
      </c>
      <c r="DK143" s="841" t="s">
        <v>353</v>
      </c>
      <c r="DL143" s="842">
        <v>44566.410416666666</v>
      </c>
      <c r="DM143" s="841" t="s">
        <v>353</v>
      </c>
      <c r="DN143" s="841" t="s">
        <v>33</v>
      </c>
      <c r="DO143" s="841" t="s">
        <v>673</v>
      </c>
      <c r="DP143" s="841" t="s">
        <v>1412</v>
      </c>
      <c r="DQ143" s="841" t="s">
        <v>1434</v>
      </c>
      <c r="DR143" s="841">
        <v>241760</v>
      </c>
      <c r="DS143" s="841">
        <v>36</v>
      </c>
      <c r="DT143" s="841" t="s">
        <v>353</v>
      </c>
      <c r="DU143" s="841" t="s">
        <v>353</v>
      </c>
      <c r="DV143" s="841" t="s">
        <v>353</v>
      </c>
      <c r="DW143" s="841">
        <v>181000</v>
      </c>
      <c r="DX143" s="841" t="s">
        <v>33</v>
      </c>
      <c r="DY143" s="841" t="s">
        <v>353</v>
      </c>
      <c r="DZ143" s="841">
        <v>2160</v>
      </c>
      <c r="EA143" s="841" t="s">
        <v>353</v>
      </c>
      <c r="EB143" s="841" t="s">
        <v>353</v>
      </c>
      <c r="EC143" s="841" t="s">
        <v>353</v>
      </c>
      <c r="ED143" s="841" t="s">
        <v>353</v>
      </c>
      <c r="EE143" s="841" t="s">
        <v>33</v>
      </c>
      <c r="EF143" s="841" t="s">
        <v>353</v>
      </c>
      <c r="EG143" s="841" t="s">
        <v>353</v>
      </c>
      <c r="EH143" s="841" t="s">
        <v>33</v>
      </c>
      <c r="EI143" s="841">
        <v>0</v>
      </c>
      <c r="EJ143" s="841" t="s">
        <v>353</v>
      </c>
      <c r="EK143" s="841" t="s">
        <v>353</v>
      </c>
      <c r="EL143" s="841" t="s">
        <v>1930</v>
      </c>
      <c r="EM143" s="841" t="s">
        <v>353</v>
      </c>
      <c r="EN143" s="841" t="s">
        <v>353</v>
      </c>
      <c r="EO143" s="841" t="s">
        <v>353</v>
      </c>
      <c r="EP143" s="841" t="s">
        <v>353</v>
      </c>
      <c r="EQ143" s="841" t="s">
        <v>353</v>
      </c>
      <c r="ER143" s="841" t="s">
        <v>353</v>
      </c>
      <c r="ES143" s="841" t="s">
        <v>33</v>
      </c>
      <c r="ET143" s="841" t="s">
        <v>1496</v>
      </c>
      <c r="EU143" s="841" t="s">
        <v>2291</v>
      </c>
      <c r="EV143" s="841" t="s">
        <v>353</v>
      </c>
      <c r="EW143" s="841" t="s">
        <v>353</v>
      </c>
      <c r="EX143" s="841" t="s">
        <v>33</v>
      </c>
      <c r="EY143" s="842">
        <v>44599.569444444445</v>
      </c>
      <c r="EZ143" s="841" t="s">
        <v>353</v>
      </c>
      <c r="FA143" s="841" t="s">
        <v>353</v>
      </c>
      <c r="FB143" s="841" t="s">
        <v>353</v>
      </c>
      <c r="FC143" s="841" t="s">
        <v>353</v>
      </c>
      <c r="FD143" s="841" t="s">
        <v>353</v>
      </c>
      <c r="FE143" s="842">
        <v>44566.413888888892</v>
      </c>
      <c r="FF143" s="841" t="s">
        <v>353</v>
      </c>
      <c r="FG143" s="841" t="s">
        <v>353</v>
      </c>
      <c r="FH143" s="841" t="s">
        <v>353</v>
      </c>
      <c r="FI143" s="841" t="s">
        <v>353</v>
      </c>
      <c r="FJ143" s="841" t="s">
        <v>353</v>
      </c>
      <c r="FK143" s="841" t="s">
        <v>353</v>
      </c>
      <c r="FL143" s="841" t="s">
        <v>353</v>
      </c>
      <c r="FM143" s="841" t="s">
        <v>353</v>
      </c>
      <c r="FN143" s="841" t="s">
        <v>353</v>
      </c>
      <c r="FO143" s="841" t="s">
        <v>1648</v>
      </c>
      <c r="FP143" s="841" t="s">
        <v>353</v>
      </c>
      <c r="FQ143" s="841" t="s">
        <v>353</v>
      </c>
      <c r="FR143" s="841" t="s">
        <v>353</v>
      </c>
      <c r="FS143" s="841" t="s">
        <v>353</v>
      </c>
      <c r="FT143" s="841" t="s">
        <v>353</v>
      </c>
      <c r="FU143" s="841" t="s">
        <v>2203</v>
      </c>
      <c r="FV143" s="841" t="s">
        <v>353</v>
      </c>
      <c r="FW143" s="841" t="s">
        <v>353</v>
      </c>
      <c r="FX143" s="841" t="s">
        <v>353</v>
      </c>
      <c r="FY143" s="841" t="s">
        <v>353</v>
      </c>
      <c r="FZ143" s="841" t="s">
        <v>353</v>
      </c>
      <c r="GA143" s="841" t="s">
        <v>353</v>
      </c>
      <c r="GB143" s="841">
        <v>1</v>
      </c>
      <c r="GC143" s="841" t="s">
        <v>353</v>
      </c>
      <c r="GD143" s="841" t="s">
        <v>1417</v>
      </c>
      <c r="GE143" s="841" t="s">
        <v>353</v>
      </c>
      <c r="GF143" s="841">
        <v>2160</v>
      </c>
      <c r="GG143" s="841" t="s">
        <v>353</v>
      </c>
      <c r="GH143" s="841">
        <v>162900</v>
      </c>
      <c r="GI143" s="841" t="s">
        <v>353</v>
      </c>
      <c r="GJ143" s="841" t="s">
        <v>353</v>
      </c>
      <c r="GK143" s="841" t="s">
        <v>353</v>
      </c>
      <c r="GL143" s="841" t="s">
        <v>1437</v>
      </c>
      <c r="GM143" s="841" t="s">
        <v>353</v>
      </c>
      <c r="GN143" s="841" t="s">
        <v>353</v>
      </c>
      <c r="GO143" s="841" t="s">
        <v>353</v>
      </c>
      <c r="GP143" s="841" t="s">
        <v>353</v>
      </c>
      <c r="GQ143" s="841" t="s">
        <v>353</v>
      </c>
      <c r="GR143" s="841" t="s">
        <v>353</v>
      </c>
      <c r="GS143" s="841" t="s">
        <v>1766</v>
      </c>
      <c r="GT143" s="841" t="s">
        <v>353</v>
      </c>
      <c r="GU143" s="841" t="s">
        <v>353</v>
      </c>
      <c r="GV143" s="841" t="s">
        <v>1419</v>
      </c>
      <c r="GW143" s="841" t="s">
        <v>353</v>
      </c>
      <c r="GX143" s="841" t="s">
        <v>353</v>
      </c>
      <c r="GY143" s="841">
        <v>36</v>
      </c>
      <c r="GZ143" s="841" t="s">
        <v>1420</v>
      </c>
      <c r="HA143" s="841" t="s">
        <v>353</v>
      </c>
      <c r="HB143" s="841" t="s">
        <v>353</v>
      </c>
      <c r="HC143" s="841" t="s">
        <v>1421</v>
      </c>
      <c r="HD143" s="841" t="s">
        <v>2709</v>
      </c>
      <c r="HE143" s="841">
        <v>3620</v>
      </c>
      <c r="HF143" s="841" t="s">
        <v>353</v>
      </c>
      <c r="HG143" s="841" t="s">
        <v>353</v>
      </c>
      <c r="HH143" s="841">
        <v>1155</v>
      </c>
      <c r="HI143" s="841" t="s">
        <v>1422</v>
      </c>
      <c r="HJ143" s="841" t="s">
        <v>353</v>
      </c>
      <c r="HK143" s="841">
        <v>181000</v>
      </c>
      <c r="HL143" s="841" t="s">
        <v>49</v>
      </c>
      <c r="HM143" s="841" t="s">
        <v>1423</v>
      </c>
      <c r="HN143" s="841" t="s">
        <v>353</v>
      </c>
      <c r="HO143" s="841" t="s">
        <v>353</v>
      </c>
      <c r="HP143" s="841">
        <v>10479.9</v>
      </c>
      <c r="HQ143" s="841" t="s">
        <v>353</v>
      </c>
      <c r="HR143" s="841" t="s">
        <v>353</v>
      </c>
      <c r="HS143" s="841" t="s">
        <v>353</v>
      </c>
      <c r="HT143" s="841" t="s">
        <v>353</v>
      </c>
      <c r="HU143" s="841" t="s">
        <v>353</v>
      </c>
      <c r="HV143" s="841" t="s">
        <v>353</v>
      </c>
      <c r="HW143" s="841">
        <v>241760</v>
      </c>
      <c r="HX143" s="841" t="s">
        <v>353</v>
      </c>
      <c r="HY143" s="841" t="s">
        <v>353</v>
      </c>
      <c r="HZ143" s="841" t="s">
        <v>353</v>
      </c>
      <c r="IA143" s="841" t="s">
        <v>353</v>
      </c>
      <c r="IB143" s="841" t="s">
        <v>1424</v>
      </c>
      <c r="IC143" s="841" t="s">
        <v>353</v>
      </c>
      <c r="ID143" s="841" t="s">
        <v>353</v>
      </c>
      <c r="IE143" s="841" t="s">
        <v>353</v>
      </c>
      <c r="IF143" s="841" t="s">
        <v>353</v>
      </c>
      <c r="IG143" s="841" t="s">
        <v>353</v>
      </c>
      <c r="IH143" s="841" t="s">
        <v>353</v>
      </c>
      <c r="II143" s="841" t="s">
        <v>353</v>
      </c>
      <c r="IJ143" s="841" t="s">
        <v>353</v>
      </c>
      <c r="IK143" s="841" t="s">
        <v>353</v>
      </c>
      <c r="IL143" s="841">
        <v>181000</v>
      </c>
      <c r="IM143" s="841" t="s">
        <v>353</v>
      </c>
      <c r="IN143" s="841" t="s">
        <v>353</v>
      </c>
      <c r="IO143" s="841">
        <v>199</v>
      </c>
      <c r="IP143" s="841" t="s">
        <v>353</v>
      </c>
      <c r="IQ143" s="841" t="s">
        <v>353</v>
      </c>
      <c r="IR143" s="841">
        <v>0</v>
      </c>
      <c r="IS143" s="841" t="s">
        <v>33</v>
      </c>
      <c r="IT143" s="841" t="s">
        <v>353</v>
      </c>
      <c r="IU143" s="841" t="s">
        <v>353</v>
      </c>
      <c r="IV143" s="841" t="s">
        <v>353</v>
      </c>
      <c r="IW143" s="841" t="s">
        <v>353</v>
      </c>
      <c r="IX143" s="841" t="s">
        <v>353</v>
      </c>
      <c r="IY143" s="841" t="s">
        <v>1622</v>
      </c>
      <c r="IZ143" s="841" t="s">
        <v>353</v>
      </c>
      <c r="JA143" s="841">
        <v>181000</v>
      </c>
      <c r="JB143" s="841" t="s">
        <v>353</v>
      </c>
      <c r="JC143" s="841" t="s">
        <v>353</v>
      </c>
      <c r="JD143" s="841" t="s">
        <v>1413</v>
      </c>
      <c r="JE143" s="841" t="s">
        <v>33</v>
      </c>
      <c r="JF143" s="841" t="s">
        <v>1514</v>
      </c>
      <c r="JG143" s="841" t="s">
        <v>1515</v>
      </c>
      <c r="JH143" s="841" t="s">
        <v>1516</v>
      </c>
      <c r="JI143" s="841" t="s">
        <v>1517</v>
      </c>
    </row>
    <row r="144" spans="1:269" x14ac:dyDescent="0.25">
      <c r="A144" s="841" t="s">
        <v>2710</v>
      </c>
      <c r="B144" s="841" t="s">
        <v>353</v>
      </c>
      <c r="C144" s="841" t="s">
        <v>353</v>
      </c>
      <c r="D144" s="841" t="s">
        <v>353</v>
      </c>
      <c r="E144" s="841" t="s">
        <v>33</v>
      </c>
      <c r="F144" s="841" t="s">
        <v>2711</v>
      </c>
      <c r="G144" s="841" t="s">
        <v>2639</v>
      </c>
      <c r="H144" s="841" t="s">
        <v>353</v>
      </c>
      <c r="I144" s="841" t="s">
        <v>353</v>
      </c>
      <c r="J144" s="841" t="s">
        <v>353</v>
      </c>
      <c r="K144" s="841" t="s">
        <v>2167</v>
      </c>
      <c r="L144" s="842">
        <v>44607.90902777778</v>
      </c>
      <c r="M144" s="841" t="s">
        <v>353</v>
      </c>
      <c r="N144" s="841" t="s">
        <v>33</v>
      </c>
      <c r="O144" s="841" t="s">
        <v>353</v>
      </c>
      <c r="P144" s="841" t="s">
        <v>33</v>
      </c>
      <c r="Q144" s="841" t="s">
        <v>353</v>
      </c>
      <c r="R144" s="841" t="s">
        <v>353</v>
      </c>
      <c r="S144" s="841" t="s">
        <v>64</v>
      </c>
      <c r="T144" s="841" t="s">
        <v>1390</v>
      </c>
      <c r="U144" s="841" t="s">
        <v>353</v>
      </c>
      <c r="V144" s="841" t="s">
        <v>353</v>
      </c>
      <c r="W144" s="841" t="s">
        <v>1420</v>
      </c>
      <c r="X144" s="841" t="s">
        <v>1405</v>
      </c>
      <c r="Y144" s="841" t="s">
        <v>353</v>
      </c>
      <c r="Z144" s="841" t="s">
        <v>353</v>
      </c>
      <c r="AA144" s="841" t="s">
        <v>33</v>
      </c>
      <c r="AB144" s="843">
        <v>44578</v>
      </c>
      <c r="AC144" s="841">
        <v>360000</v>
      </c>
      <c r="AD144" s="841" t="s">
        <v>353</v>
      </c>
      <c r="AE144" s="841" t="s">
        <v>33</v>
      </c>
      <c r="AF144" s="841">
        <v>1763.33</v>
      </c>
      <c r="AG144" s="841" t="s">
        <v>353</v>
      </c>
      <c r="AH144" s="841">
        <v>2000</v>
      </c>
      <c r="AI144" s="841" t="s">
        <v>1521</v>
      </c>
      <c r="AJ144" s="841" t="s">
        <v>2168</v>
      </c>
      <c r="AK144" s="841">
        <v>62</v>
      </c>
      <c r="AL144" s="841" t="s">
        <v>353</v>
      </c>
      <c r="AM144" s="841" t="s">
        <v>353</v>
      </c>
      <c r="AN144" s="841" t="s">
        <v>33</v>
      </c>
      <c r="AO144" s="841" t="s">
        <v>353</v>
      </c>
      <c r="AP144" s="841" t="s">
        <v>353</v>
      </c>
      <c r="AQ144" s="841" t="s">
        <v>353</v>
      </c>
      <c r="AR144" s="841" t="s">
        <v>33</v>
      </c>
      <c r="AS144" s="841" t="s">
        <v>353</v>
      </c>
      <c r="AT144" s="841" t="s">
        <v>353</v>
      </c>
      <c r="AU144" s="841" t="s">
        <v>353</v>
      </c>
      <c r="AV144" s="841" t="s">
        <v>353</v>
      </c>
      <c r="AW144" s="843">
        <v>44566</v>
      </c>
      <c r="AX144" s="841" t="s">
        <v>353</v>
      </c>
      <c r="AY144" s="841" t="s">
        <v>353</v>
      </c>
      <c r="AZ144" s="841" t="s">
        <v>353</v>
      </c>
      <c r="BA144" s="841" t="s">
        <v>353</v>
      </c>
      <c r="BB144" s="841" t="s">
        <v>353</v>
      </c>
      <c r="BC144" s="841">
        <v>387710</v>
      </c>
      <c r="BD144" s="841" t="s">
        <v>353</v>
      </c>
      <c r="BE144" s="841" t="s">
        <v>33</v>
      </c>
      <c r="BF144" s="841" t="s">
        <v>353</v>
      </c>
      <c r="BG144" s="841" t="s">
        <v>353</v>
      </c>
      <c r="BH144" s="841" t="s">
        <v>353</v>
      </c>
      <c r="BI144" s="841" t="s">
        <v>353</v>
      </c>
      <c r="BJ144" s="841" t="s">
        <v>353</v>
      </c>
      <c r="BK144" s="841">
        <v>0</v>
      </c>
      <c r="BL144" s="841" t="s">
        <v>2273</v>
      </c>
      <c r="BM144" s="842">
        <v>44592.533333333333</v>
      </c>
      <c r="BN144" s="841" t="s">
        <v>353</v>
      </c>
      <c r="BO144" s="841" t="s">
        <v>353</v>
      </c>
      <c r="BP144" s="841" t="s">
        <v>673</v>
      </c>
      <c r="BQ144" s="841" t="s">
        <v>353</v>
      </c>
      <c r="BR144" s="841" t="s">
        <v>353</v>
      </c>
      <c r="BS144" s="841" t="s">
        <v>353</v>
      </c>
      <c r="BT144" s="841">
        <v>400000</v>
      </c>
      <c r="BU144" s="841" t="s">
        <v>353</v>
      </c>
      <c r="BV144" s="841" t="s">
        <v>2712</v>
      </c>
      <c r="BW144" s="841" t="s">
        <v>1578</v>
      </c>
      <c r="BX144" s="841" t="s">
        <v>2713</v>
      </c>
      <c r="BY144" s="841" t="s">
        <v>353</v>
      </c>
      <c r="BZ144" s="841" t="s">
        <v>353</v>
      </c>
      <c r="CA144" s="841" t="s">
        <v>353</v>
      </c>
      <c r="CB144" s="841" t="s">
        <v>353</v>
      </c>
      <c r="CC144" s="841" t="s">
        <v>353</v>
      </c>
      <c r="CD144" s="841" t="s">
        <v>353</v>
      </c>
      <c r="CE144" s="841" t="s">
        <v>353</v>
      </c>
      <c r="CF144" s="841" t="s">
        <v>353</v>
      </c>
      <c r="CG144" s="841" t="s">
        <v>353</v>
      </c>
      <c r="CH144" s="841" t="s">
        <v>353</v>
      </c>
      <c r="CI144" s="841" t="s">
        <v>33</v>
      </c>
      <c r="CJ144" s="841">
        <v>480</v>
      </c>
      <c r="CK144" s="841" t="s">
        <v>353</v>
      </c>
      <c r="CL144" s="841" t="s">
        <v>353</v>
      </c>
      <c r="CM144" s="841" t="s">
        <v>353</v>
      </c>
      <c r="CN144" s="841" t="s">
        <v>353</v>
      </c>
      <c r="CO144" s="841" t="s">
        <v>353</v>
      </c>
      <c r="CP144" s="841" t="s">
        <v>2714</v>
      </c>
      <c r="CQ144" s="841" t="s">
        <v>353</v>
      </c>
      <c r="CR144" s="841" t="s">
        <v>353</v>
      </c>
      <c r="CS144" s="841" t="s">
        <v>1405</v>
      </c>
      <c r="CT144" s="841" t="s">
        <v>353</v>
      </c>
      <c r="CU144" s="841" t="s">
        <v>1391</v>
      </c>
      <c r="CV144" s="841" t="s">
        <v>353</v>
      </c>
      <c r="CW144" s="841" t="s">
        <v>353</v>
      </c>
      <c r="CX144" s="841" t="s">
        <v>353</v>
      </c>
      <c r="CY144" s="841" t="s">
        <v>353</v>
      </c>
      <c r="CZ144" s="841">
        <v>1</v>
      </c>
      <c r="DA144" s="841" t="s">
        <v>353</v>
      </c>
      <c r="DB144" s="843">
        <v>44523</v>
      </c>
      <c r="DC144" s="841" t="s">
        <v>353</v>
      </c>
      <c r="DD144" s="841" t="s">
        <v>353</v>
      </c>
      <c r="DE144" s="841" t="s">
        <v>353</v>
      </c>
      <c r="DF144" s="841">
        <v>33</v>
      </c>
      <c r="DG144" s="841" t="s">
        <v>353</v>
      </c>
      <c r="DH144" s="841" t="s">
        <v>353</v>
      </c>
      <c r="DI144" s="841" t="s">
        <v>353</v>
      </c>
      <c r="DJ144" s="841" t="s">
        <v>2715</v>
      </c>
      <c r="DK144" s="841" t="s">
        <v>353</v>
      </c>
      <c r="DL144" s="842">
        <v>44565.533333333333</v>
      </c>
      <c r="DM144" s="841" t="s">
        <v>353</v>
      </c>
      <c r="DN144" s="841" t="s">
        <v>33</v>
      </c>
      <c r="DO144" s="841" t="s">
        <v>673</v>
      </c>
      <c r="DP144" s="841" t="s">
        <v>1412</v>
      </c>
      <c r="DQ144" s="841" t="s">
        <v>1392</v>
      </c>
      <c r="DR144" s="841" t="s">
        <v>353</v>
      </c>
      <c r="DS144" s="841">
        <v>33</v>
      </c>
      <c r="DT144" s="841" t="s">
        <v>353</v>
      </c>
      <c r="DU144" s="841" t="s">
        <v>353</v>
      </c>
      <c r="DV144" s="841">
        <v>329520</v>
      </c>
      <c r="DW144" s="841">
        <v>400000</v>
      </c>
      <c r="DX144" s="841" t="s">
        <v>33</v>
      </c>
      <c r="DY144" s="841" t="s">
        <v>353</v>
      </c>
      <c r="DZ144" s="841">
        <v>1680</v>
      </c>
      <c r="EA144" s="841" t="s">
        <v>353</v>
      </c>
      <c r="EB144" s="841" t="s">
        <v>353</v>
      </c>
      <c r="EC144" s="841" t="s">
        <v>353</v>
      </c>
      <c r="ED144" s="841" t="s">
        <v>353</v>
      </c>
      <c r="EE144" s="841" t="s">
        <v>33</v>
      </c>
      <c r="EF144" s="841" t="s">
        <v>353</v>
      </c>
      <c r="EG144" s="841" t="s">
        <v>353</v>
      </c>
      <c r="EH144" s="841" t="s">
        <v>33</v>
      </c>
      <c r="EI144" s="841">
        <v>63480</v>
      </c>
      <c r="EJ144" s="841" t="s">
        <v>353</v>
      </c>
      <c r="EK144" s="841" t="s">
        <v>353</v>
      </c>
      <c r="EL144" s="841" t="s">
        <v>1435</v>
      </c>
      <c r="EM144" s="841">
        <v>7000</v>
      </c>
      <c r="EN144" s="841" t="s">
        <v>353</v>
      </c>
      <c r="EO144" s="841" t="s">
        <v>353</v>
      </c>
      <c r="EP144" s="841" t="s">
        <v>353</v>
      </c>
      <c r="EQ144" s="841" t="s">
        <v>353</v>
      </c>
      <c r="ER144" s="841" t="s">
        <v>353</v>
      </c>
      <c r="ES144" s="841" t="s">
        <v>33</v>
      </c>
      <c r="ET144" s="841" t="s">
        <v>1512</v>
      </c>
      <c r="EU144" s="841" t="s">
        <v>2141</v>
      </c>
      <c r="EV144" s="841" t="s">
        <v>353</v>
      </c>
      <c r="EW144" s="841" t="s">
        <v>353</v>
      </c>
      <c r="EX144" s="841" t="s">
        <v>33</v>
      </c>
      <c r="EY144" s="841" t="s">
        <v>353</v>
      </c>
      <c r="EZ144" s="841" t="s">
        <v>353</v>
      </c>
      <c r="FA144" s="841" t="s">
        <v>353</v>
      </c>
      <c r="FB144" s="841" t="s">
        <v>353</v>
      </c>
      <c r="FC144" s="841" t="s">
        <v>353</v>
      </c>
      <c r="FD144" s="841">
        <v>650000</v>
      </c>
      <c r="FE144" s="842">
        <v>44565.53402777778</v>
      </c>
      <c r="FF144" s="841" t="s">
        <v>353</v>
      </c>
      <c r="FG144" s="841" t="s">
        <v>353</v>
      </c>
      <c r="FH144" s="841" t="s">
        <v>353</v>
      </c>
      <c r="FI144" s="841" t="s">
        <v>353</v>
      </c>
      <c r="FJ144" s="841" t="s">
        <v>353</v>
      </c>
      <c r="FK144" s="841" t="s">
        <v>353</v>
      </c>
      <c r="FL144" s="841" t="s">
        <v>353</v>
      </c>
      <c r="FM144" s="841" t="s">
        <v>353</v>
      </c>
      <c r="FN144" s="841" t="s">
        <v>353</v>
      </c>
      <c r="FO144" s="841" t="s">
        <v>1989</v>
      </c>
      <c r="FP144" s="841" t="s">
        <v>2716</v>
      </c>
      <c r="FQ144" s="841" t="s">
        <v>353</v>
      </c>
      <c r="FR144" s="841" t="s">
        <v>353</v>
      </c>
      <c r="FS144" s="841" t="s">
        <v>353</v>
      </c>
      <c r="FT144" s="841" t="s">
        <v>353</v>
      </c>
      <c r="FU144" s="841" t="s">
        <v>2203</v>
      </c>
      <c r="FV144" s="841" t="s">
        <v>353</v>
      </c>
      <c r="FW144" s="841" t="s">
        <v>353</v>
      </c>
      <c r="FX144" s="841" t="s">
        <v>353</v>
      </c>
      <c r="FY144" s="841" t="s">
        <v>353</v>
      </c>
      <c r="FZ144" s="841" t="s">
        <v>353</v>
      </c>
      <c r="GA144" s="841" t="s">
        <v>353</v>
      </c>
      <c r="GB144" s="841">
        <v>1</v>
      </c>
      <c r="GC144" s="841" t="s">
        <v>353</v>
      </c>
      <c r="GD144" s="841" t="s">
        <v>1395</v>
      </c>
      <c r="GE144" s="841" t="s">
        <v>353</v>
      </c>
      <c r="GF144" s="841">
        <v>1680</v>
      </c>
      <c r="GG144" s="841" t="s">
        <v>349</v>
      </c>
      <c r="GH144" s="841">
        <v>360000</v>
      </c>
      <c r="GI144" s="841" t="s">
        <v>353</v>
      </c>
      <c r="GJ144" s="841">
        <v>650000</v>
      </c>
      <c r="GK144" s="841" t="s">
        <v>353</v>
      </c>
      <c r="GL144" s="841" t="s">
        <v>2011</v>
      </c>
      <c r="GM144" s="841" t="s">
        <v>353</v>
      </c>
      <c r="GN144" s="841" t="s">
        <v>353</v>
      </c>
      <c r="GO144" s="841" t="s">
        <v>353</v>
      </c>
      <c r="GP144" s="841" t="s">
        <v>353</v>
      </c>
      <c r="GQ144" s="841" t="s">
        <v>353</v>
      </c>
      <c r="GR144" s="841" t="s">
        <v>353</v>
      </c>
      <c r="GS144" s="841" t="s">
        <v>2386</v>
      </c>
      <c r="GT144" s="841" t="s">
        <v>353</v>
      </c>
      <c r="GU144" s="841" t="s">
        <v>353</v>
      </c>
      <c r="GV144" s="841" t="s">
        <v>1419</v>
      </c>
      <c r="GW144" s="841" t="s">
        <v>353</v>
      </c>
      <c r="GX144" s="841" t="s">
        <v>353</v>
      </c>
      <c r="GY144" s="841">
        <v>36</v>
      </c>
      <c r="GZ144" s="841" t="s">
        <v>1420</v>
      </c>
      <c r="HA144" s="841" t="s">
        <v>353</v>
      </c>
      <c r="HB144" s="841" t="s">
        <v>353</v>
      </c>
      <c r="HC144" s="841" t="s">
        <v>1421</v>
      </c>
      <c r="HD144" s="841" t="s">
        <v>2717</v>
      </c>
      <c r="HE144" s="841">
        <v>5984000</v>
      </c>
      <c r="HF144" s="841" t="s">
        <v>353</v>
      </c>
      <c r="HG144" s="841" t="s">
        <v>353</v>
      </c>
      <c r="HH144" s="841">
        <v>400</v>
      </c>
      <c r="HI144" s="841" t="s">
        <v>1422</v>
      </c>
      <c r="HJ144" s="841" t="s">
        <v>1620</v>
      </c>
      <c r="HK144" s="841">
        <v>400000</v>
      </c>
      <c r="HL144" s="841" t="s">
        <v>49</v>
      </c>
      <c r="HM144" s="841" t="s">
        <v>1423</v>
      </c>
      <c r="HN144" s="841" t="s">
        <v>27</v>
      </c>
      <c r="HO144" s="841" t="s">
        <v>353</v>
      </c>
      <c r="HP144" s="841">
        <v>21160</v>
      </c>
      <c r="HQ144" s="841" t="s">
        <v>353</v>
      </c>
      <c r="HR144" s="841" t="s">
        <v>353</v>
      </c>
      <c r="HS144" s="841">
        <v>336520</v>
      </c>
      <c r="HT144" s="841" t="s">
        <v>353</v>
      </c>
      <c r="HU144" s="841" t="s">
        <v>353</v>
      </c>
      <c r="HV144" s="841" t="s">
        <v>353</v>
      </c>
      <c r="HW144" s="841">
        <v>650000</v>
      </c>
      <c r="HX144" s="841" t="s">
        <v>353</v>
      </c>
      <c r="HY144" s="841" t="s">
        <v>353</v>
      </c>
      <c r="HZ144" s="841" t="s">
        <v>353</v>
      </c>
      <c r="IA144" s="841" t="s">
        <v>353</v>
      </c>
      <c r="IB144" s="841" t="s">
        <v>1424</v>
      </c>
      <c r="IC144" s="843">
        <v>44565</v>
      </c>
      <c r="ID144" s="841" t="s">
        <v>353</v>
      </c>
      <c r="IE144" s="841" t="s">
        <v>353</v>
      </c>
      <c r="IF144" s="841" t="s">
        <v>353</v>
      </c>
      <c r="IG144" s="841" t="s">
        <v>353</v>
      </c>
      <c r="IH144" s="841" t="s">
        <v>353</v>
      </c>
      <c r="II144" s="841" t="s">
        <v>353</v>
      </c>
      <c r="IJ144" s="841" t="s">
        <v>353</v>
      </c>
      <c r="IK144" s="841" t="s">
        <v>353</v>
      </c>
      <c r="IL144" s="841">
        <v>394710</v>
      </c>
      <c r="IM144" s="841" t="s">
        <v>353</v>
      </c>
      <c r="IN144" s="841" t="s">
        <v>353</v>
      </c>
      <c r="IO144" s="841">
        <v>199</v>
      </c>
      <c r="IP144" s="841" t="s">
        <v>353</v>
      </c>
      <c r="IQ144" s="841" t="s">
        <v>353</v>
      </c>
      <c r="IR144" s="841">
        <v>3</v>
      </c>
      <c r="IS144" s="841" t="s">
        <v>33</v>
      </c>
      <c r="IT144" s="841" t="s">
        <v>353</v>
      </c>
      <c r="IU144" s="841" t="s">
        <v>33</v>
      </c>
      <c r="IV144" s="841" t="s">
        <v>353</v>
      </c>
      <c r="IW144" s="841" t="s">
        <v>353</v>
      </c>
      <c r="IX144" s="841" t="s">
        <v>353</v>
      </c>
      <c r="IY144" s="841" t="s">
        <v>1578</v>
      </c>
      <c r="IZ144" s="841" t="s">
        <v>353</v>
      </c>
      <c r="JA144" s="841">
        <v>400000</v>
      </c>
      <c r="JB144" s="841" t="s">
        <v>353</v>
      </c>
      <c r="JC144" s="841" t="s">
        <v>33</v>
      </c>
      <c r="JD144" s="841" t="s">
        <v>1456</v>
      </c>
      <c r="JE144" s="841" t="s">
        <v>33</v>
      </c>
      <c r="JF144" s="841" t="s">
        <v>1836</v>
      </c>
      <c r="JG144" s="841" t="s">
        <v>1837</v>
      </c>
      <c r="JH144" s="841" t="s">
        <v>2278</v>
      </c>
      <c r="JI144" s="841" t="s">
        <v>2279</v>
      </c>
    </row>
    <row r="145" spans="1:269" x14ac:dyDescent="0.25">
      <c r="A145" s="841" t="s">
        <v>2718</v>
      </c>
      <c r="B145" s="841" t="s">
        <v>353</v>
      </c>
      <c r="C145" s="841" t="s">
        <v>353</v>
      </c>
      <c r="D145" s="841" t="s">
        <v>353</v>
      </c>
      <c r="E145" s="841" t="s">
        <v>33</v>
      </c>
      <c r="F145" s="841" t="s">
        <v>1405</v>
      </c>
      <c r="G145" s="841" t="s">
        <v>2719</v>
      </c>
      <c r="H145" s="841" t="s">
        <v>353</v>
      </c>
      <c r="I145" s="841" t="s">
        <v>353</v>
      </c>
      <c r="J145" s="841" t="s">
        <v>353</v>
      </c>
      <c r="K145" s="841" t="s">
        <v>353</v>
      </c>
      <c r="L145" s="842">
        <v>44608.430555555555</v>
      </c>
      <c r="M145" s="841" t="s">
        <v>353</v>
      </c>
      <c r="N145" s="841" t="s">
        <v>353</v>
      </c>
      <c r="O145" s="841" t="s">
        <v>353</v>
      </c>
      <c r="P145" s="841" t="s">
        <v>33</v>
      </c>
      <c r="Q145" s="841" t="s">
        <v>353</v>
      </c>
      <c r="R145" s="841" t="s">
        <v>353</v>
      </c>
      <c r="S145" s="841" t="s">
        <v>1520</v>
      </c>
      <c r="T145" s="841" t="s">
        <v>1390</v>
      </c>
      <c r="U145" s="841" t="s">
        <v>353</v>
      </c>
      <c r="V145" s="841" t="s">
        <v>353</v>
      </c>
      <c r="W145" s="841" t="s">
        <v>1420</v>
      </c>
      <c r="X145" s="841" t="s">
        <v>353</v>
      </c>
      <c r="Y145" s="841" t="s">
        <v>353</v>
      </c>
      <c r="Z145" s="841" t="s">
        <v>353</v>
      </c>
      <c r="AA145" s="841" t="s">
        <v>33</v>
      </c>
      <c r="AB145" s="841" t="s">
        <v>353</v>
      </c>
      <c r="AC145" s="841">
        <v>212400</v>
      </c>
      <c r="AD145" s="841" t="s">
        <v>353</v>
      </c>
      <c r="AE145" s="841" t="s">
        <v>33</v>
      </c>
      <c r="AF145" s="841">
        <v>1708.05</v>
      </c>
      <c r="AG145" s="841" t="s">
        <v>353</v>
      </c>
      <c r="AH145" s="841" t="s">
        <v>353</v>
      </c>
      <c r="AI145" s="841" t="s">
        <v>1406</v>
      </c>
      <c r="AJ145" s="841" t="s">
        <v>353</v>
      </c>
      <c r="AK145" s="841">
        <v>75</v>
      </c>
      <c r="AL145" s="841" t="s">
        <v>353</v>
      </c>
      <c r="AM145" s="841" t="s">
        <v>353</v>
      </c>
      <c r="AN145" s="841" t="s">
        <v>353</v>
      </c>
      <c r="AO145" s="841" t="s">
        <v>353</v>
      </c>
      <c r="AP145" s="841" t="s">
        <v>353</v>
      </c>
      <c r="AQ145" s="841" t="s">
        <v>353</v>
      </c>
      <c r="AR145" s="841" t="s">
        <v>33</v>
      </c>
      <c r="AS145" s="841" t="s">
        <v>353</v>
      </c>
      <c r="AT145" s="841" t="s">
        <v>353</v>
      </c>
      <c r="AU145" s="841" t="s">
        <v>353</v>
      </c>
      <c r="AV145" s="841" t="s">
        <v>353</v>
      </c>
      <c r="AW145" s="843">
        <v>44592</v>
      </c>
      <c r="AX145" s="841" t="s">
        <v>353</v>
      </c>
      <c r="AY145" s="841" t="s">
        <v>353</v>
      </c>
      <c r="AZ145" s="841" t="s">
        <v>353</v>
      </c>
      <c r="BA145" s="841" t="s">
        <v>353</v>
      </c>
      <c r="BB145" s="841" t="s">
        <v>353</v>
      </c>
      <c r="BC145" s="841">
        <v>347805</v>
      </c>
      <c r="BD145" s="841" t="s">
        <v>353</v>
      </c>
      <c r="BE145" s="841" t="s">
        <v>353</v>
      </c>
      <c r="BF145" s="841" t="s">
        <v>353</v>
      </c>
      <c r="BG145" s="841" t="s">
        <v>353</v>
      </c>
      <c r="BH145" s="841" t="s">
        <v>353</v>
      </c>
      <c r="BI145" s="841" t="s">
        <v>353</v>
      </c>
      <c r="BJ145" s="841" t="s">
        <v>353</v>
      </c>
      <c r="BK145" s="841">
        <v>332500</v>
      </c>
      <c r="BL145" s="841" t="s">
        <v>2720</v>
      </c>
      <c r="BM145" s="842">
        <v>44561.554861111108</v>
      </c>
      <c r="BN145" s="841" t="s">
        <v>353</v>
      </c>
      <c r="BO145" s="841" t="s">
        <v>353</v>
      </c>
      <c r="BP145" s="841" t="s">
        <v>353</v>
      </c>
      <c r="BQ145" s="841" t="s">
        <v>353</v>
      </c>
      <c r="BR145" s="841" t="s">
        <v>353</v>
      </c>
      <c r="BS145" s="841" t="s">
        <v>353</v>
      </c>
      <c r="BT145" s="841">
        <v>332000</v>
      </c>
      <c r="BU145" s="841" t="s">
        <v>353</v>
      </c>
      <c r="BV145" s="841" t="s">
        <v>2721</v>
      </c>
      <c r="BW145" s="841" t="s">
        <v>1578</v>
      </c>
      <c r="BX145" s="841" t="s">
        <v>2722</v>
      </c>
      <c r="BY145" s="841" t="s">
        <v>353</v>
      </c>
      <c r="BZ145" s="841" t="s">
        <v>353</v>
      </c>
      <c r="CA145" s="841" t="s">
        <v>353</v>
      </c>
      <c r="CB145" s="841" t="s">
        <v>353</v>
      </c>
      <c r="CC145" s="841" t="s">
        <v>353</v>
      </c>
      <c r="CD145" s="841" t="s">
        <v>353</v>
      </c>
      <c r="CE145" s="841" t="s">
        <v>353</v>
      </c>
      <c r="CF145" s="841" t="s">
        <v>353</v>
      </c>
      <c r="CG145" s="841" t="s">
        <v>353</v>
      </c>
      <c r="CH145" s="841" t="s">
        <v>353</v>
      </c>
      <c r="CI145" s="841" t="s">
        <v>33</v>
      </c>
      <c r="CJ145" s="841">
        <v>960</v>
      </c>
      <c r="CK145" s="841">
        <v>12</v>
      </c>
      <c r="CL145" s="841" t="s">
        <v>353</v>
      </c>
      <c r="CM145" s="841">
        <v>17</v>
      </c>
      <c r="CN145" s="841" t="s">
        <v>353</v>
      </c>
      <c r="CO145" s="841" t="s">
        <v>353</v>
      </c>
      <c r="CP145" s="841" t="s">
        <v>2723</v>
      </c>
      <c r="CQ145" s="841" t="s">
        <v>353</v>
      </c>
      <c r="CR145" s="841" t="s">
        <v>353</v>
      </c>
      <c r="CS145" s="841" t="s">
        <v>353</v>
      </c>
      <c r="CT145" s="841" t="s">
        <v>353</v>
      </c>
      <c r="CU145" s="841" t="s">
        <v>1391</v>
      </c>
      <c r="CV145" s="841" t="s">
        <v>353</v>
      </c>
      <c r="CW145" s="841" t="s">
        <v>353</v>
      </c>
      <c r="CX145" s="841" t="s">
        <v>353</v>
      </c>
      <c r="CY145" s="841" t="s">
        <v>353</v>
      </c>
      <c r="CZ145" s="841" t="s">
        <v>353</v>
      </c>
      <c r="DA145" s="841" t="s">
        <v>353</v>
      </c>
      <c r="DB145" s="843">
        <v>44601</v>
      </c>
      <c r="DC145" s="841" t="s">
        <v>353</v>
      </c>
      <c r="DD145" s="841" t="s">
        <v>353</v>
      </c>
      <c r="DE145" s="841" t="s">
        <v>353</v>
      </c>
      <c r="DF145" s="841">
        <v>36</v>
      </c>
      <c r="DG145" s="841" t="s">
        <v>353</v>
      </c>
      <c r="DH145" s="841" t="s">
        <v>353</v>
      </c>
      <c r="DI145" s="841" t="s">
        <v>353</v>
      </c>
      <c r="DJ145" s="841" t="s">
        <v>2724</v>
      </c>
      <c r="DK145" s="841" t="s">
        <v>353</v>
      </c>
      <c r="DL145" s="842">
        <v>44553.554861111108</v>
      </c>
      <c r="DM145" s="841" t="s">
        <v>353</v>
      </c>
      <c r="DN145" s="841" t="s">
        <v>33</v>
      </c>
      <c r="DO145" s="841" t="s">
        <v>353</v>
      </c>
      <c r="DP145" s="841" t="s">
        <v>353</v>
      </c>
      <c r="DQ145" s="841" t="s">
        <v>1482</v>
      </c>
      <c r="DR145" s="841" t="s">
        <v>353</v>
      </c>
      <c r="DS145" s="841">
        <v>36</v>
      </c>
      <c r="DT145" s="841" t="s">
        <v>353</v>
      </c>
      <c r="DU145" s="841" t="s">
        <v>353</v>
      </c>
      <c r="DV145" s="841">
        <v>347805</v>
      </c>
      <c r="DW145" s="841">
        <v>354000</v>
      </c>
      <c r="DX145" s="841" t="s">
        <v>33</v>
      </c>
      <c r="DY145" s="841" t="s">
        <v>353</v>
      </c>
      <c r="DZ145" s="841" t="s">
        <v>353</v>
      </c>
      <c r="EA145" s="841" t="s">
        <v>353</v>
      </c>
      <c r="EB145" s="841" t="s">
        <v>353</v>
      </c>
      <c r="EC145" s="841" t="s">
        <v>353</v>
      </c>
      <c r="ED145" s="841" t="s">
        <v>353</v>
      </c>
      <c r="EE145" s="841" t="s">
        <v>33</v>
      </c>
      <c r="EF145" s="841" t="s">
        <v>353</v>
      </c>
      <c r="EG145" s="841" t="s">
        <v>353</v>
      </c>
      <c r="EH145" s="841" t="s">
        <v>33</v>
      </c>
      <c r="EI145" s="841">
        <v>0</v>
      </c>
      <c r="EJ145" s="841" t="s">
        <v>353</v>
      </c>
      <c r="EK145" s="841" t="s">
        <v>353</v>
      </c>
      <c r="EL145" s="841" t="s">
        <v>1930</v>
      </c>
      <c r="EM145" s="841">
        <v>6195</v>
      </c>
      <c r="EN145" s="841" t="s">
        <v>353</v>
      </c>
      <c r="EO145" s="841" t="s">
        <v>353</v>
      </c>
      <c r="EP145" s="841" t="s">
        <v>353</v>
      </c>
      <c r="EQ145" s="841" t="s">
        <v>353</v>
      </c>
      <c r="ER145" s="841" t="s">
        <v>353</v>
      </c>
      <c r="ES145" s="841" t="s">
        <v>33</v>
      </c>
      <c r="ET145" s="841" t="s">
        <v>1496</v>
      </c>
      <c r="EU145" s="841" t="s">
        <v>1972</v>
      </c>
      <c r="EV145" s="841" t="s">
        <v>353</v>
      </c>
      <c r="EW145" s="841" t="s">
        <v>353</v>
      </c>
      <c r="EX145" s="841" t="s">
        <v>33</v>
      </c>
      <c r="EY145" s="842">
        <v>44599.48333333333</v>
      </c>
      <c r="EZ145" s="842">
        <v>44610.5</v>
      </c>
      <c r="FA145" s="841" t="s">
        <v>353</v>
      </c>
      <c r="FB145" s="841" t="s">
        <v>353</v>
      </c>
      <c r="FC145" s="841" t="s">
        <v>353</v>
      </c>
      <c r="FD145" s="841" t="s">
        <v>353</v>
      </c>
      <c r="FE145" s="842">
        <v>44572.573611111111</v>
      </c>
      <c r="FF145" s="841" t="s">
        <v>353</v>
      </c>
      <c r="FG145" s="841" t="s">
        <v>353</v>
      </c>
      <c r="FH145" s="841" t="s">
        <v>353</v>
      </c>
      <c r="FI145" s="841" t="s">
        <v>353</v>
      </c>
      <c r="FJ145" s="841" t="s">
        <v>353</v>
      </c>
      <c r="FK145" s="841" t="s">
        <v>353</v>
      </c>
      <c r="FL145" s="841" t="s">
        <v>353</v>
      </c>
      <c r="FM145" s="841" t="s">
        <v>353</v>
      </c>
      <c r="FN145" s="841" t="s">
        <v>353</v>
      </c>
      <c r="FO145" s="841" t="s">
        <v>353</v>
      </c>
      <c r="FP145" s="841" t="s">
        <v>353</v>
      </c>
      <c r="FQ145" s="841" t="s">
        <v>353</v>
      </c>
      <c r="FR145" s="841" t="s">
        <v>353</v>
      </c>
      <c r="FS145" s="841" t="s">
        <v>353</v>
      </c>
      <c r="FT145" s="841" t="s">
        <v>353</v>
      </c>
      <c r="FU145" s="841" t="s">
        <v>1714</v>
      </c>
      <c r="FV145" s="841" t="s">
        <v>353</v>
      </c>
      <c r="FW145" s="841" t="s">
        <v>353</v>
      </c>
      <c r="FX145" s="841" t="s">
        <v>353</v>
      </c>
      <c r="FY145" s="841" t="s">
        <v>353</v>
      </c>
      <c r="FZ145" s="841" t="s">
        <v>353</v>
      </c>
      <c r="GA145" s="841" t="s">
        <v>353</v>
      </c>
      <c r="GB145" s="841">
        <v>1</v>
      </c>
      <c r="GC145" s="841" t="s">
        <v>353</v>
      </c>
      <c r="GD145" s="841" t="s">
        <v>1395</v>
      </c>
      <c r="GE145" s="841" t="s">
        <v>353</v>
      </c>
      <c r="GF145" s="841" t="s">
        <v>353</v>
      </c>
      <c r="GG145" s="841" t="s">
        <v>353</v>
      </c>
      <c r="GH145" s="841">
        <v>212400</v>
      </c>
      <c r="GI145" s="841" t="s">
        <v>353</v>
      </c>
      <c r="GJ145" s="841" t="s">
        <v>353</v>
      </c>
      <c r="GK145" s="841" t="s">
        <v>353</v>
      </c>
      <c r="GL145" s="841" t="s">
        <v>1497</v>
      </c>
      <c r="GM145" s="841" t="s">
        <v>353</v>
      </c>
      <c r="GN145" s="841" t="s">
        <v>353</v>
      </c>
      <c r="GO145" s="841" t="s">
        <v>353</v>
      </c>
      <c r="GP145" s="841" t="s">
        <v>353</v>
      </c>
      <c r="GQ145" s="841" t="s">
        <v>353</v>
      </c>
      <c r="GR145" s="842">
        <v>44571.380555555559</v>
      </c>
      <c r="GS145" s="841" t="s">
        <v>2721</v>
      </c>
      <c r="GT145" s="841" t="s">
        <v>353</v>
      </c>
      <c r="GU145" s="841" t="s">
        <v>353</v>
      </c>
      <c r="GV145" s="841" t="s">
        <v>1419</v>
      </c>
      <c r="GW145" s="841" t="s">
        <v>353</v>
      </c>
      <c r="GX145" s="841" t="s">
        <v>2725</v>
      </c>
      <c r="GY145" s="841">
        <v>36</v>
      </c>
      <c r="GZ145" s="841" t="s">
        <v>1420</v>
      </c>
      <c r="HA145" s="841" t="s">
        <v>353</v>
      </c>
      <c r="HB145" s="841" t="s">
        <v>353</v>
      </c>
      <c r="HC145" s="841" t="s">
        <v>1421</v>
      </c>
      <c r="HD145" s="841" t="s">
        <v>2726</v>
      </c>
      <c r="HE145" s="841">
        <v>3540</v>
      </c>
      <c r="HF145" s="841" t="s">
        <v>353</v>
      </c>
      <c r="HG145" s="841" t="s">
        <v>353</v>
      </c>
      <c r="HH145" s="841">
        <v>840</v>
      </c>
      <c r="HI145" s="841" t="s">
        <v>1422</v>
      </c>
      <c r="HJ145" s="841" t="s">
        <v>353</v>
      </c>
      <c r="HK145" s="841">
        <v>354000</v>
      </c>
      <c r="HL145" s="841" t="s">
        <v>49</v>
      </c>
      <c r="HM145" s="841" t="s">
        <v>353</v>
      </c>
      <c r="HN145" s="841" t="s">
        <v>353</v>
      </c>
      <c r="HO145" s="841" t="s">
        <v>353</v>
      </c>
      <c r="HP145" s="841">
        <v>20496.599999999999</v>
      </c>
      <c r="HQ145" s="841" t="s">
        <v>353</v>
      </c>
      <c r="HR145" s="841" t="s">
        <v>353</v>
      </c>
      <c r="HS145" s="841">
        <v>354000</v>
      </c>
      <c r="HT145" s="841" t="s">
        <v>353</v>
      </c>
      <c r="HU145" s="841" t="s">
        <v>353</v>
      </c>
      <c r="HV145" s="841" t="s">
        <v>353</v>
      </c>
      <c r="HW145" s="841">
        <v>472000</v>
      </c>
      <c r="HX145" s="841" t="s">
        <v>353</v>
      </c>
      <c r="HY145" s="841" t="s">
        <v>353</v>
      </c>
      <c r="HZ145" s="841" t="s">
        <v>353</v>
      </c>
      <c r="IA145" s="841" t="s">
        <v>353</v>
      </c>
      <c r="IB145" s="841" t="s">
        <v>1424</v>
      </c>
      <c r="IC145" s="841" t="s">
        <v>353</v>
      </c>
      <c r="ID145" s="841" t="s">
        <v>353</v>
      </c>
      <c r="IE145" s="841" t="s">
        <v>353</v>
      </c>
      <c r="IF145" s="841" t="s">
        <v>353</v>
      </c>
      <c r="IG145" s="841" t="s">
        <v>353</v>
      </c>
      <c r="IH145" s="841" t="s">
        <v>353</v>
      </c>
      <c r="II145" s="841" t="s">
        <v>353</v>
      </c>
      <c r="IJ145" s="841" t="s">
        <v>353</v>
      </c>
      <c r="IK145" s="841" t="s">
        <v>353</v>
      </c>
      <c r="IL145" s="841">
        <v>354000</v>
      </c>
      <c r="IM145" s="841" t="s">
        <v>353</v>
      </c>
      <c r="IN145" s="841" t="s">
        <v>353</v>
      </c>
      <c r="IO145" s="841">
        <v>199</v>
      </c>
      <c r="IP145" s="841" t="s">
        <v>353</v>
      </c>
      <c r="IQ145" s="841" t="s">
        <v>353</v>
      </c>
      <c r="IR145" s="841">
        <v>0</v>
      </c>
      <c r="IS145" s="841" t="s">
        <v>33</v>
      </c>
      <c r="IT145" s="841" t="s">
        <v>353</v>
      </c>
      <c r="IU145" s="841" t="s">
        <v>353</v>
      </c>
      <c r="IV145" s="841" t="s">
        <v>353</v>
      </c>
      <c r="IW145" s="841" t="s">
        <v>353</v>
      </c>
      <c r="IX145" s="841" t="s">
        <v>353</v>
      </c>
      <c r="IY145" s="841" t="s">
        <v>353</v>
      </c>
      <c r="IZ145" s="841" t="s">
        <v>353</v>
      </c>
      <c r="JA145" s="841">
        <v>354000</v>
      </c>
      <c r="JB145" s="841" t="s">
        <v>353</v>
      </c>
      <c r="JC145" s="841" t="s">
        <v>353</v>
      </c>
      <c r="JD145" s="841" t="s">
        <v>1413</v>
      </c>
      <c r="JE145" s="841" t="s">
        <v>33</v>
      </c>
      <c r="JF145" s="841" t="s">
        <v>2727</v>
      </c>
      <c r="JG145" s="841" t="s">
        <v>2728</v>
      </c>
      <c r="JH145" s="841" t="s">
        <v>2729</v>
      </c>
      <c r="JI145" s="841" t="s">
        <v>2730</v>
      </c>
    </row>
    <row r="146" spans="1:269" x14ac:dyDescent="0.25">
      <c r="A146" s="841" t="s">
        <v>2731</v>
      </c>
      <c r="B146" s="841" t="s">
        <v>353</v>
      </c>
      <c r="C146" s="841" t="s">
        <v>353</v>
      </c>
      <c r="D146" s="841" t="s">
        <v>353</v>
      </c>
      <c r="E146" s="841" t="s">
        <v>353</v>
      </c>
      <c r="F146" s="841" t="s">
        <v>353</v>
      </c>
      <c r="G146" s="841" t="s">
        <v>2086</v>
      </c>
      <c r="H146" s="841" t="s">
        <v>353</v>
      </c>
      <c r="I146" s="841" t="s">
        <v>353</v>
      </c>
      <c r="J146" s="841" t="s">
        <v>353</v>
      </c>
      <c r="K146" s="841" t="s">
        <v>353</v>
      </c>
      <c r="L146" s="842">
        <v>44608.399305555555</v>
      </c>
      <c r="M146" s="841" t="s">
        <v>353</v>
      </c>
      <c r="N146" s="841" t="s">
        <v>353</v>
      </c>
      <c r="O146" s="841" t="s">
        <v>353</v>
      </c>
      <c r="P146" s="841" t="s">
        <v>353</v>
      </c>
      <c r="Q146" s="841" t="s">
        <v>353</v>
      </c>
      <c r="R146" s="841" t="s">
        <v>353</v>
      </c>
      <c r="S146" s="841" t="s">
        <v>64</v>
      </c>
      <c r="T146" s="841" t="s">
        <v>1390</v>
      </c>
      <c r="U146" s="841" t="s">
        <v>353</v>
      </c>
      <c r="V146" s="841" t="s">
        <v>353</v>
      </c>
      <c r="W146" s="841" t="s">
        <v>353</v>
      </c>
      <c r="X146" s="841" t="s">
        <v>1405</v>
      </c>
      <c r="Y146" s="841" t="s">
        <v>353</v>
      </c>
      <c r="Z146" s="841" t="s">
        <v>353</v>
      </c>
      <c r="AA146" s="841" t="s">
        <v>353</v>
      </c>
      <c r="AB146" s="841" t="s">
        <v>353</v>
      </c>
      <c r="AC146" s="841">
        <v>53000</v>
      </c>
      <c r="AD146" s="841" t="s">
        <v>353</v>
      </c>
      <c r="AE146" s="841" t="s">
        <v>353</v>
      </c>
      <c r="AF146" s="841" t="s">
        <v>353</v>
      </c>
      <c r="AG146" s="841" t="s">
        <v>353</v>
      </c>
      <c r="AH146" s="841">
        <v>1768</v>
      </c>
      <c r="AI146" s="841" t="s">
        <v>1406</v>
      </c>
      <c r="AJ146" s="841" t="s">
        <v>353</v>
      </c>
      <c r="AK146" s="841">
        <v>75</v>
      </c>
      <c r="AL146" s="841" t="s">
        <v>353</v>
      </c>
      <c r="AM146" s="841" t="s">
        <v>353</v>
      </c>
      <c r="AN146" s="841" t="s">
        <v>353</v>
      </c>
      <c r="AO146" s="841" t="s">
        <v>353</v>
      </c>
      <c r="AP146" s="841" t="s">
        <v>353</v>
      </c>
      <c r="AQ146" s="841" t="s">
        <v>353</v>
      </c>
      <c r="AR146" s="841" t="s">
        <v>353</v>
      </c>
      <c r="AS146" s="841" t="s">
        <v>353</v>
      </c>
      <c r="AT146" s="841" t="s">
        <v>353</v>
      </c>
      <c r="AU146" s="841" t="s">
        <v>353</v>
      </c>
      <c r="AV146" s="841" t="s">
        <v>353</v>
      </c>
      <c r="AW146" s="841" t="s">
        <v>353</v>
      </c>
      <c r="AX146" s="841" t="s">
        <v>353</v>
      </c>
      <c r="AY146" s="841" t="s">
        <v>353</v>
      </c>
      <c r="AZ146" s="841" t="s">
        <v>353</v>
      </c>
      <c r="BA146" s="841" t="s">
        <v>353</v>
      </c>
      <c r="BB146" s="841" t="s">
        <v>353</v>
      </c>
      <c r="BC146" s="841">
        <v>260363</v>
      </c>
      <c r="BD146" s="841" t="s">
        <v>353</v>
      </c>
      <c r="BE146" s="841" t="s">
        <v>353</v>
      </c>
      <c r="BF146" s="841" t="s">
        <v>353</v>
      </c>
      <c r="BG146" s="841" t="s">
        <v>353</v>
      </c>
      <c r="BH146" s="841" t="s">
        <v>353</v>
      </c>
      <c r="BI146" s="841" t="s">
        <v>353</v>
      </c>
      <c r="BJ146" s="841" t="s">
        <v>353</v>
      </c>
      <c r="BK146" s="841" t="s">
        <v>353</v>
      </c>
      <c r="BL146" s="841" t="s">
        <v>2287</v>
      </c>
      <c r="BM146" s="842">
        <v>44561.4</v>
      </c>
      <c r="BN146" s="841" t="s">
        <v>353</v>
      </c>
      <c r="BO146" s="841" t="s">
        <v>353</v>
      </c>
      <c r="BP146" s="841" t="s">
        <v>353</v>
      </c>
      <c r="BQ146" s="841" t="s">
        <v>353</v>
      </c>
      <c r="BR146" s="841" t="s">
        <v>353</v>
      </c>
      <c r="BS146" s="841" t="s">
        <v>353</v>
      </c>
      <c r="BT146" s="841">
        <v>265000</v>
      </c>
      <c r="BU146" s="841" t="s">
        <v>353</v>
      </c>
      <c r="BV146" s="841" t="s">
        <v>2732</v>
      </c>
      <c r="BW146" s="841" t="s">
        <v>353</v>
      </c>
      <c r="BX146" s="841" t="s">
        <v>353</v>
      </c>
      <c r="BY146" s="841" t="s">
        <v>353</v>
      </c>
      <c r="BZ146" s="841" t="s">
        <v>353</v>
      </c>
      <c r="CA146" s="841" t="s">
        <v>353</v>
      </c>
      <c r="CB146" s="841" t="s">
        <v>353</v>
      </c>
      <c r="CC146" s="841" t="s">
        <v>353</v>
      </c>
      <c r="CD146" s="841" t="s">
        <v>353</v>
      </c>
      <c r="CE146" s="841" t="s">
        <v>353</v>
      </c>
      <c r="CF146" s="841" t="s">
        <v>353</v>
      </c>
      <c r="CG146" s="841" t="s">
        <v>353</v>
      </c>
      <c r="CH146" s="841" t="s">
        <v>353</v>
      </c>
      <c r="CI146" s="841" t="s">
        <v>353</v>
      </c>
      <c r="CJ146" s="841" t="s">
        <v>353</v>
      </c>
      <c r="CK146" s="841">
        <v>36</v>
      </c>
      <c r="CL146" s="841" t="s">
        <v>353</v>
      </c>
      <c r="CM146" s="841">
        <v>37</v>
      </c>
      <c r="CN146" s="841" t="s">
        <v>353</v>
      </c>
      <c r="CO146" s="841" t="s">
        <v>353</v>
      </c>
      <c r="CP146" s="841" t="s">
        <v>2733</v>
      </c>
      <c r="CQ146" s="841" t="s">
        <v>353</v>
      </c>
      <c r="CR146" s="841" t="s">
        <v>353</v>
      </c>
      <c r="CS146" s="841" t="s">
        <v>353</v>
      </c>
      <c r="CT146" s="841" t="s">
        <v>353</v>
      </c>
      <c r="CU146" s="841" t="s">
        <v>1391</v>
      </c>
      <c r="CV146" s="841" t="s">
        <v>353</v>
      </c>
      <c r="CW146" s="841" t="s">
        <v>353</v>
      </c>
      <c r="CX146" s="841" t="s">
        <v>353</v>
      </c>
      <c r="CY146" s="841" t="s">
        <v>353</v>
      </c>
      <c r="CZ146" s="841" t="s">
        <v>353</v>
      </c>
      <c r="DA146" s="841" t="s">
        <v>353</v>
      </c>
      <c r="DB146" s="841" t="s">
        <v>353</v>
      </c>
      <c r="DC146" s="841" t="s">
        <v>353</v>
      </c>
      <c r="DD146" s="841" t="s">
        <v>353</v>
      </c>
      <c r="DE146" s="841" t="s">
        <v>353</v>
      </c>
      <c r="DF146" s="841">
        <v>24</v>
      </c>
      <c r="DG146" s="841" t="s">
        <v>353</v>
      </c>
      <c r="DH146" s="841" t="s">
        <v>353</v>
      </c>
      <c r="DI146" s="841" t="s">
        <v>353</v>
      </c>
      <c r="DJ146" s="841" t="s">
        <v>2734</v>
      </c>
      <c r="DK146" s="841" t="s">
        <v>353</v>
      </c>
      <c r="DL146" s="842">
        <v>44552.4</v>
      </c>
      <c r="DM146" s="841" t="s">
        <v>353</v>
      </c>
      <c r="DN146" s="841" t="s">
        <v>353</v>
      </c>
      <c r="DO146" s="841" t="s">
        <v>353</v>
      </c>
      <c r="DP146" s="841" t="s">
        <v>353</v>
      </c>
      <c r="DQ146" s="841" t="s">
        <v>1434</v>
      </c>
      <c r="DR146" s="841">
        <v>353607</v>
      </c>
      <c r="DS146" s="841">
        <v>24</v>
      </c>
      <c r="DT146" s="841" t="s">
        <v>353</v>
      </c>
      <c r="DU146" s="841" t="s">
        <v>353</v>
      </c>
      <c r="DV146" s="841" t="s">
        <v>353</v>
      </c>
      <c r="DW146" s="841">
        <v>265000</v>
      </c>
      <c r="DX146" s="841" t="s">
        <v>353</v>
      </c>
      <c r="DY146" s="841" t="s">
        <v>353</v>
      </c>
      <c r="DZ146" s="841" t="s">
        <v>353</v>
      </c>
      <c r="EA146" s="841" t="s">
        <v>353</v>
      </c>
      <c r="EB146" s="841" t="s">
        <v>353</v>
      </c>
      <c r="EC146" s="841" t="s">
        <v>353</v>
      </c>
      <c r="ED146" s="841" t="s">
        <v>353</v>
      </c>
      <c r="EE146" s="841" t="s">
        <v>353</v>
      </c>
      <c r="EF146" s="841" t="s">
        <v>353</v>
      </c>
      <c r="EG146" s="841" t="s">
        <v>353</v>
      </c>
      <c r="EH146" s="841" t="s">
        <v>353</v>
      </c>
      <c r="EI146" s="841">
        <v>0</v>
      </c>
      <c r="EJ146" s="841" t="s">
        <v>353</v>
      </c>
      <c r="EK146" s="841" t="s">
        <v>353</v>
      </c>
      <c r="EL146" s="841" t="s">
        <v>353</v>
      </c>
      <c r="EM146" s="841" t="s">
        <v>353</v>
      </c>
      <c r="EN146" s="841" t="s">
        <v>353</v>
      </c>
      <c r="EO146" s="841" t="s">
        <v>353</v>
      </c>
      <c r="EP146" s="841" t="s">
        <v>353</v>
      </c>
      <c r="EQ146" s="841" t="s">
        <v>353</v>
      </c>
      <c r="ER146" s="841" t="s">
        <v>353</v>
      </c>
      <c r="ES146" s="841" t="s">
        <v>353</v>
      </c>
      <c r="ET146" s="841" t="s">
        <v>1436</v>
      </c>
      <c r="EU146" s="841" t="s">
        <v>353</v>
      </c>
      <c r="EV146" s="841" t="s">
        <v>353</v>
      </c>
      <c r="EW146" s="841" t="s">
        <v>353</v>
      </c>
      <c r="EX146" s="841" t="s">
        <v>353</v>
      </c>
      <c r="EY146" s="842">
        <v>44608.397916666669</v>
      </c>
      <c r="EZ146" s="841" t="s">
        <v>353</v>
      </c>
      <c r="FA146" s="841" t="s">
        <v>353</v>
      </c>
      <c r="FB146" s="841" t="s">
        <v>353</v>
      </c>
      <c r="FC146" s="841" t="s">
        <v>353</v>
      </c>
      <c r="FD146" s="841" t="s">
        <v>353</v>
      </c>
      <c r="FE146" s="842">
        <v>44599.482638888891</v>
      </c>
      <c r="FF146" s="841" t="s">
        <v>353</v>
      </c>
      <c r="FG146" s="841" t="s">
        <v>353</v>
      </c>
      <c r="FH146" s="841" t="s">
        <v>353</v>
      </c>
      <c r="FI146" s="841" t="s">
        <v>353</v>
      </c>
      <c r="FJ146" s="841" t="s">
        <v>353</v>
      </c>
      <c r="FK146" s="841" t="s">
        <v>353</v>
      </c>
      <c r="FL146" s="841" t="s">
        <v>353</v>
      </c>
      <c r="FM146" s="841" t="s">
        <v>353</v>
      </c>
      <c r="FN146" s="841" t="s">
        <v>353</v>
      </c>
      <c r="FO146" s="841" t="s">
        <v>1648</v>
      </c>
      <c r="FP146" s="841" t="s">
        <v>353</v>
      </c>
      <c r="FQ146" s="841" t="s">
        <v>353</v>
      </c>
      <c r="FR146" s="841" t="s">
        <v>353</v>
      </c>
      <c r="FS146" s="841" t="s">
        <v>353</v>
      </c>
      <c r="FT146" s="841" t="s">
        <v>353</v>
      </c>
      <c r="FU146" s="841" t="s">
        <v>1416</v>
      </c>
      <c r="FV146" s="841" t="s">
        <v>353</v>
      </c>
      <c r="FW146" s="841" t="s">
        <v>353</v>
      </c>
      <c r="FX146" s="841" t="s">
        <v>353</v>
      </c>
      <c r="FY146" s="841" t="s">
        <v>353</v>
      </c>
      <c r="FZ146" s="841" t="s">
        <v>353</v>
      </c>
      <c r="GA146" s="841" t="s">
        <v>353</v>
      </c>
      <c r="GB146" s="841">
        <v>1</v>
      </c>
      <c r="GC146" s="841" t="s">
        <v>353</v>
      </c>
      <c r="GD146" s="841" t="s">
        <v>1417</v>
      </c>
      <c r="GE146" s="841" t="s">
        <v>353</v>
      </c>
      <c r="GF146" s="841" t="s">
        <v>353</v>
      </c>
      <c r="GG146" s="841" t="s">
        <v>353</v>
      </c>
      <c r="GH146" s="841">
        <v>53000</v>
      </c>
      <c r="GI146" s="841" t="s">
        <v>353</v>
      </c>
      <c r="GJ146" s="841" t="s">
        <v>353</v>
      </c>
      <c r="GK146" s="841" t="s">
        <v>353</v>
      </c>
      <c r="GL146" s="841" t="s">
        <v>1437</v>
      </c>
      <c r="GM146" s="841" t="s">
        <v>353</v>
      </c>
      <c r="GN146" s="841" t="s">
        <v>353</v>
      </c>
      <c r="GO146" s="841" t="s">
        <v>353</v>
      </c>
      <c r="GP146" s="841" t="s">
        <v>353</v>
      </c>
      <c r="GQ146" s="841" t="s">
        <v>353</v>
      </c>
      <c r="GR146" s="842">
        <v>44608.397916666669</v>
      </c>
      <c r="GS146" s="841" t="s">
        <v>2732</v>
      </c>
      <c r="GT146" s="841" t="s">
        <v>353</v>
      </c>
      <c r="GU146" s="841" t="s">
        <v>353</v>
      </c>
      <c r="GV146" s="841" t="s">
        <v>1076</v>
      </c>
      <c r="GW146" s="841" t="s">
        <v>353</v>
      </c>
      <c r="GX146" s="841" t="s">
        <v>353</v>
      </c>
      <c r="GY146" s="841">
        <v>24</v>
      </c>
      <c r="GZ146" s="841" t="s">
        <v>1420</v>
      </c>
      <c r="HA146" s="841" t="s">
        <v>353</v>
      </c>
      <c r="HB146" s="841" t="s">
        <v>353</v>
      </c>
      <c r="HC146" s="841" t="s">
        <v>1421</v>
      </c>
      <c r="HD146" s="841" t="s">
        <v>2735</v>
      </c>
      <c r="HE146" s="841" t="s">
        <v>353</v>
      </c>
      <c r="HF146" s="841" t="s">
        <v>353</v>
      </c>
      <c r="HG146" s="841" t="s">
        <v>353</v>
      </c>
      <c r="HH146" s="841" t="s">
        <v>353</v>
      </c>
      <c r="HI146" s="841" t="s">
        <v>1422</v>
      </c>
      <c r="HJ146" s="841" t="s">
        <v>353</v>
      </c>
      <c r="HK146" s="841">
        <v>265000</v>
      </c>
      <c r="HL146" s="841" t="s">
        <v>353</v>
      </c>
      <c r="HM146" s="841" t="s">
        <v>1423</v>
      </c>
      <c r="HN146" s="841" t="s">
        <v>353</v>
      </c>
      <c r="HO146" s="841" t="s">
        <v>353</v>
      </c>
      <c r="HP146" s="841">
        <v>14018.5</v>
      </c>
      <c r="HQ146" s="841" t="s">
        <v>353</v>
      </c>
      <c r="HR146" s="841" t="s">
        <v>353</v>
      </c>
      <c r="HS146" s="841" t="s">
        <v>353</v>
      </c>
      <c r="HT146" s="841" t="s">
        <v>353</v>
      </c>
      <c r="HU146" s="841" t="s">
        <v>353</v>
      </c>
      <c r="HV146" s="841" t="s">
        <v>353</v>
      </c>
      <c r="HW146" s="841">
        <v>353607</v>
      </c>
      <c r="HX146" s="841" t="s">
        <v>353</v>
      </c>
      <c r="HY146" s="841" t="s">
        <v>353</v>
      </c>
      <c r="HZ146" s="841" t="s">
        <v>353</v>
      </c>
      <c r="IA146" s="841" t="s">
        <v>353</v>
      </c>
      <c r="IB146" s="841" t="s">
        <v>1424</v>
      </c>
      <c r="IC146" s="841" t="s">
        <v>353</v>
      </c>
      <c r="ID146" s="841" t="s">
        <v>353</v>
      </c>
      <c r="IE146" s="841" t="s">
        <v>353</v>
      </c>
      <c r="IF146" s="841" t="s">
        <v>353</v>
      </c>
      <c r="IG146" s="841" t="s">
        <v>353</v>
      </c>
      <c r="IH146" s="841" t="s">
        <v>353</v>
      </c>
      <c r="II146" s="841" t="s">
        <v>353</v>
      </c>
      <c r="IJ146" s="841" t="s">
        <v>353</v>
      </c>
      <c r="IK146" s="841" t="s">
        <v>353</v>
      </c>
      <c r="IL146" s="841" t="s">
        <v>353</v>
      </c>
      <c r="IM146" s="841" t="s">
        <v>353</v>
      </c>
      <c r="IN146" s="841" t="s">
        <v>353</v>
      </c>
      <c r="IO146" s="841" t="s">
        <v>353</v>
      </c>
      <c r="IP146" s="841" t="s">
        <v>353</v>
      </c>
      <c r="IQ146" s="841" t="s">
        <v>353</v>
      </c>
      <c r="IR146" s="841">
        <v>0</v>
      </c>
      <c r="IS146" s="841" t="s">
        <v>353</v>
      </c>
      <c r="IT146" s="841" t="s">
        <v>353</v>
      </c>
      <c r="IU146" s="841" t="s">
        <v>353</v>
      </c>
      <c r="IV146" s="841" t="s">
        <v>353</v>
      </c>
      <c r="IW146" s="841" t="s">
        <v>353</v>
      </c>
      <c r="IX146" s="841" t="s">
        <v>353</v>
      </c>
      <c r="IY146" s="841" t="s">
        <v>1622</v>
      </c>
      <c r="IZ146" s="841" t="s">
        <v>353</v>
      </c>
      <c r="JA146" s="841">
        <v>265000</v>
      </c>
      <c r="JB146" s="841" t="s">
        <v>353</v>
      </c>
      <c r="JC146" s="841" t="s">
        <v>353</v>
      </c>
      <c r="JD146" s="841" t="s">
        <v>1456</v>
      </c>
      <c r="JE146" s="841" t="s">
        <v>353</v>
      </c>
      <c r="JF146" s="841" t="s">
        <v>1514</v>
      </c>
      <c r="JG146" s="841" t="s">
        <v>1515</v>
      </c>
      <c r="JH146" s="841" t="s">
        <v>1516</v>
      </c>
      <c r="JI146" s="841" t="s">
        <v>1517</v>
      </c>
    </row>
    <row r="147" spans="1:269" x14ac:dyDescent="0.25">
      <c r="A147" s="841" t="s">
        <v>2736</v>
      </c>
      <c r="B147" s="841" t="s">
        <v>353</v>
      </c>
      <c r="C147" s="841" t="s">
        <v>353</v>
      </c>
      <c r="D147" s="841" t="s">
        <v>353</v>
      </c>
      <c r="E147" s="841" t="s">
        <v>33</v>
      </c>
      <c r="F147" s="841" t="s">
        <v>1405</v>
      </c>
      <c r="G147" s="841" t="s">
        <v>2086</v>
      </c>
      <c r="H147" s="841" t="s">
        <v>353</v>
      </c>
      <c r="I147" s="841" t="s">
        <v>353</v>
      </c>
      <c r="J147" s="841" t="s">
        <v>353</v>
      </c>
      <c r="K147" s="841" t="s">
        <v>2167</v>
      </c>
      <c r="L147" s="842">
        <v>44603.416666666664</v>
      </c>
      <c r="M147" s="841" t="s">
        <v>353</v>
      </c>
      <c r="N147" s="841" t="s">
        <v>33</v>
      </c>
      <c r="O147" s="841" t="s">
        <v>353</v>
      </c>
      <c r="P147" s="841" t="s">
        <v>33</v>
      </c>
      <c r="Q147" s="841" t="s">
        <v>353</v>
      </c>
      <c r="R147" s="841" t="s">
        <v>353</v>
      </c>
      <c r="S147" s="841" t="s">
        <v>61</v>
      </c>
      <c r="T147" s="841" t="s">
        <v>1390</v>
      </c>
      <c r="U147" s="841" t="s">
        <v>353</v>
      </c>
      <c r="V147" s="841" t="s">
        <v>353</v>
      </c>
      <c r="W147" s="841" t="s">
        <v>353</v>
      </c>
      <c r="X147" s="841" t="s">
        <v>1405</v>
      </c>
      <c r="Y147" s="841" t="s">
        <v>353</v>
      </c>
      <c r="Z147" s="841" t="s">
        <v>353</v>
      </c>
      <c r="AA147" s="841" t="s">
        <v>33</v>
      </c>
      <c r="AB147" s="843">
        <v>44601</v>
      </c>
      <c r="AC147" s="841">
        <v>2655000</v>
      </c>
      <c r="AD147" s="841" t="s">
        <v>353</v>
      </c>
      <c r="AE147" s="841" t="s">
        <v>33</v>
      </c>
      <c r="AF147" s="841">
        <v>12267.08</v>
      </c>
      <c r="AG147" s="841" t="s">
        <v>353</v>
      </c>
      <c r="AH147" s="841">
        <v>11500</v>
      </c>
      <c r="AI147" s="841" t="s">
        <v>1521</v>
      </c>
      <c r="AJ147" s="841" t="s">
        <v>2168</v>
      </c>
      <c r="AK147" s="841">
        <v>59</v>
      </c>
      <c r="AL147" s="841" t="s">
        <v>353</v>
      </c>
      <c r="AM147" s="841" t="s">
        <v>353</v>
      </c>
      <c r="AN147" s="841" t="s">
        <v>33</v>
      </c>
      <c r="AO147" s="841" t="s">
        <v>353</v>
      </c>
      <c r="AP147" s="841" t="s">
        <v>353</v>
      </c>
      <c r="AQ147" s="841" t="s">
        <v>353</v>
      </c>
      <c r="AR147" s="841" t="s">
        <v>33</v>
      </c>
      <c r="AS147" s="841" t="s">
        <v>353</v>
      </c>
      <c r="AT147" s="841" t="s">
        <v>353</v>
      </c>
      <c r="AU147" s="841" t="s">
        <v>353</v>
      </c>
      <c r="AV147" s="841" t="s">
        <v>353</v>
      </c>
      <c r="AW147" s="843">
        <v>44578</v>
      </c>
      <c r="AX147" s="841" t="s">
        <v>353</v>
      </c>
      <c r="AY147" s="841" t="s">
        <v>353</v>
      </c>
      <c r="AZ147" s="841" t="s">
        <v>353</v>
      </c>
      <c r="BA147" s="841" t="s">
        <v>353</v>
      </c>
      <c r="BB147" s="841" t="s">
        <v>353</v>
      </c>
      <c r="BC147" s="841">
        <v>2824773</v>
      </c>
      <c r="BD147" s="841" t="s">
        <v>353</v>
      </c>
      <c r="BE147" s="841" t="s">
        <v>353</v>
      </c>
      <c r="BF147" s="841" t="s">
        <v>353</v>
      </c>
      <c r="BG147" s="841" t="s">
        <v>353</v>
      </c>
      <c r="BH147" s="841" t="s">
        <v>353</v>
      </c>
      <c r="BI147" s="841" t="s">
        <v>353</v>
      </c>
      <c r="BJ147" s="841" t="s">
        <v>353</v>
      </c>
      <c r="BK147" s="841">
        <v>3250000</v>
      </c>
      <c r="BL147" s="841" t="s">
        <v>2737</v>
      </c>
      <c r="BM147" s="842">
        <v>44561.692361111112</v>
      </c>
      <c r="BN147" s="841" t="s">
        <v>353</v>
      </c>
      <c r="BO147" s="841" t="s">
        <v>353</v>
      </c>
      <c r="BP147" s="841" t="s">
        <v>673</v>
      </c>
      <c r="BQ147" s="841" t="s">
        <v>353</v>
      </c>
      <c r="BR147" s="841" t="s">
        <v>353</v>
      </c>
      <c r="BS147" s="841" t="s">
        <v>353</v>
      </c>
      <c r="BT147" s="841">
        <v>2000000</v>
      </c>
      <c r="BU147" s="841" t="s">
        <v>353</v>
      </c>
      <c r="BV147" s="841" t="s">
        <v>1477</v>
      </c>
      <c r="BW147" s="841" t="s">
        <v>1578</v>
      </c>
      <c r="BX147" s="841" t="s">
        <v>2738</v>
      </c>
      <c r="BY147" s="841" t="s">
        <v>353</v>
      </c>
      <c r="BZ147" s="841" t="s">
        <v>353</v>
      </c>
      <c r="CA147" s="841" t="s">
        <v>353</v>
      </c>
      <c r="CB147" s="841" t="s">
        <v>353</v>
      </c>
      <c r="CC147" s="841" t="s">
        <v>353</v>
      </c>
      <c r="CD147" s="841" t="s">
        <v>353</v>
      </c>
      <c r="CE147" s="841" t="s">
        <v>353</v>
      </c>
      <c r="CF147" s="841" t="s">
        <v>353</v>
      </c>
      <c r="CG147" s="841" t="s">
        <v>353</v>
      </c>
      <c r="CH147" s="841" t="s">
        <v>353</v>
      </c>
      <c r="CI147" s="841" t="s">
        <v>33</v>
      </c>
      <c r="CJ147" s="841">
        <v>3120</v>
      </c>
      <c r="CK147" s="841">
        <v>3</v>
      </c>
      <c r="CL147" s="841" t="s">
        <v>353</v>
      </c>
      <c r="CM147" s="841">
        <v>6</v>
      </c>
      <c r="CN147" s="841" t="s">
        <v>353</v>
      </c>
      <c r="CO147" s="841" t="s">
        <v>353</v>
      </c>
      <c r="CP147" s="841" t="s">
        <v>2739</v>
      </c>
      <c r="CQ147" s="841" t="s">
        <v>353</v>
      </c>
      <c r="CR147" s="841" t="s">
        <v>353</v>
      </c>
      <c r="CS147" s="841" t="s">
        <v>353</v>
      </c>
      <c r="CT147" s="841" t="s">
        <v>353</v>
      </c>
      <c r="CU147" s="841" t="s">
        <v>1391</v>
      </c>
      <c r="CV147" s="841" t="s">
        <v>353</v>
      </c>
      <c r="CW147" s="841" t="s">
        <v>353</v>
      </c>
      <c r="CX147" s="841" t="s">
        <v>353</v>
      </c>
      <c r="CY147" s="841" t="s">
        <v>353</v>
      </c>
      <c r="CZ147" s="841">
        <v>3</v>
      </c>
      <c r="DA147" s="841" t="s">
        <v>353</v>
      </c>
      <c r="DB147" s="843">
        <v>44594</v>
      </c>
      <c r="DC147" s="841" t="s">
        <v>353</v>
      </c>
      <c r="DD147" s="841" t="s">
        <v>353</v>
      </c>
      <c r="DE147" s="841" t="s">
        <v>353</v>
      </c>
      <c r="DF147" s="841">
        <v>18</v>
      </c>
      <c r="DG147" s="841" t="s">
        <v>353</v>
      </c>
      <c r="DH147" s="841" t="s">
        <v>353</v>
      </c>
      <c r="DI147" s="841" t="s">
        <v>353</v>
      </c>
      <c r="DJ147" s="841" t="s">
        <v>2740</v>
      </c>
      <c r="DK147" s="841" t="s">
        <v>353</v>
      </c>
      <c r="DL147" s="842">
        <v>44551.692361111112</v>
      </c>
      <c r="DM147" s="841" t="s">
        <v>353</v>
      </c>
      <c r="DN147" s="841" t="s">
        <v>33</v>
      </c>
      <c r="DO147" s="841" t="s">
        <v>353</v>
      </c>
      <c r="DP147" s="841" t="s">
        <v>353</v>
      </c>
      <c r="DQ147" s="841" t="s">
        <v>1392</v>
      </c>
      <c r="DR147" s="841" t="s">
        <v>353</v>
      </c>
      <c r="DS147" s="841">
        <v>18</v>
      </c>
      <c r="DT147" s="841" t="s">
        <v>353</v>
      </c>
      <c r="DU147" s="841" t="s">
        <v>353</v>
      </c>
      <c r="DV147" s="841" t="s">
        <v>353</v>
      </c>
      <c r="DW147" s="841">
        <v>2950000</v>
      </c>
      <c r="DX147" s="841" t="s">
        <v>33</v>
      </c>
      <c r="DY147" s="841" t="s">
        <v>353</v>
      </c>
      <c r="DZ147" s="841">
        <v>7080</v>
      </c>
      <c r="EA147" s="841" t="s">
        <v>353</v>
      </c>
      <c r="EB147" s="841" t="s">
        <v>353</v>
      </c>
      <c r="EC147" s="841" t="s">
        <v>353</v>
      </c>
      <c r="ED147" s="841" t="s">
        <v>353</v>
      </c>
      <c r="EE147" s="841" t="s">
        <v>33</v>
      </c>
      <c r="EF147" s="841" t="s">
        <v>353</v>
      </c>
      <c r="EG147" s="841" t="s">
        <v>353</v>
      </c>
      <c r="EH147" s="841" t="s">
        <v>33</v>
      </c>
      <c r="EI147" s="841">
        <v>883230</v>
      </c>
      <c r="EJ147" s="841" t="s">
        <v>353</v>
      </c>
      <c r="EK147" s="841" t="s">
        <v>353</v>
      </c>
      <c r="EL147" s="841" t="s">
        <v>1930</v>
      </c>
      <c r="EM147" s="841" t="s">
        <v>353</v>
      </c>
      <c r="EN147" s="841" t="s">
        <v>353</v>
      </c>
      <c r="EO147" s="841" t="s">
        <v>353</v>
      </c>
      <c r="EP147" s="841" t="s">
        <v>353</v>
      </c>
      <c r="EQ147" s="841" t="s">
        <v>353</v>
      </c>
      <c r="ER147" s="841" t="s">
        <v>353</v>
      </c>
      <c r="ES147" s="841" t="s">
        <v>33</v>
      </c>
      <c r="ET147" s="841" t="s">
        <v>1496</v>
      </c>
      <c r="EU147" s="841" t="s">
        <v>2141</v>
      </c>
      <c r="EV147" s="841" t="s">
        <v>353</v>
      </c>
      <c r="EW147" s="841" t="s">
        <v>353</v>
      </c>
      <c r="EX147" s="841" t="s">
        <v>33</v>
      </c>
      <c r="EY147" s="842">
        <v>44587.379861111112</v>
      </c>
      <c r="EZ147" s="841" t="s">
        <v>353</v>
      </c>
      <c r="FA147" s="841" t="s">
        <v>353</v>
      </c>
      <c r="FB147" s="841" t="s">
        <v>353</v>
      </c>
      <c r="FC147" s="841" t="s">
        <v>353</v>
      </c>
      <c r="FD147" s="841">
        <v>5000000</v>
      </c>
      <c r="FE147" s="842">
        <v>44551.693055555559</v>
      </c>
      <c r="FF147" s="841" t="s">
        <v>353</v>
      </c>
      <c r="FG147" s="841" t="s">
        <v>353</v>
      </c>
      <c r="FH147" s="841" t="s">
        <v>353</v>
      </c>
      <c r="FI147" s="841" t="s">
        <v>353</v>
      </c>
      <c r="FJ147" s="841" t="s">
        <v>353</v>
      </c>
      <c r="FK147" s="841" t="s">
        <v>353</v>
      </c>
      <c r="FL147" s="841" t="s">
        <v>353</v>
      </c>
      <c r="FM147" s="841" t="s">
        <v>353</v>
      </c>
      <c r="FN147" s="841" t="s">
        <v>353</v>
      </c>
      <c r="FO147" s="841" t="s">
        <v>1528</v>
      </c>
      <c r="FP147" s="841" t="s">
        <v>2741</v>
      </c>
      <c r="FQ147" s="841" t="s">
        <v>353</v>
      </c>
      <c r="FR147" s="841" t="s">
        <v>353</v>
      </c>
      <c r="FS147" s="841" t="s">
        <v>353</v>
      </c>
      <c r="FT147" s="841" t="s">
        <v>353</v>
      </c>
      <c r="FU147" s="841" t="s">
        <v>2203</v>
      </c>
      <c r="FV147" s="841" t="s">
        <v>353</v>
      </c>
      <c r="FW147" s="841" t="s">
        <v>353</v>
      </c>
      <c r="FX147" s="841" t="s">
        <v>353</v>
      </c>
      <c r="FY147" s="841" t="s">
        <v>353</v>
      </c>
      <c r="FZ147" s="841" t="s">
        <v>353</v>
      </c>
      <c r="GA147" s="841" t="s">
        <v>353</v>
      </c>
      <c r="GB147" s="841">
        <v>1</v>
      </c>
      <c r="GC147" s="841" t="s">
        <v>353</v>
      </c>
      <c r="GD147" s="841" t="s">
        <v>1395</v>
      </c>
      <c r="GE147" s="841" t="s">
        <v>353</v>
      </c>
      <c r="GF147" s="841">
        <v>7080</v>
      </c>
      <c r="GG147" s="841" t="s">
        <v>353</v>
      </c>
      <c r="GH147" s="841">
        <v>2655000</v>
      </c>
      <c r="GI147" s="841" t="s">
        <v>353</v>
      </c>
      <c r="GJ147" s="841">
        <v>5200000</v>
      </c>
      <c r="GK147" s="841" t="s">
        <v>353</v>
      </c>
      <c r="GL147" s="841" t="s">
        <v>1497</v>
      </c>
      <c r="GM147" s="841" t="s">
        <v>353</v>
      </c>
      <c r="GN147" s="841" t="s">
        <v>353</v>
      </c>
      <c r="GO147" s="841" t="s">
        <v>353</v>
      </c>
      <c r="GP147" s="841" t="s">
        <v>353</v>
      </c>
      <c r="GQ147" s="841" t="s">
        <v>353</v>
      </c>
      <c r="GR147" s="842">
        <v>44551.556250000001</v>
      </c>
      <c r="GS147" s="841" t="s">
        <v>2742</v>
      </c>
      <c r="GT147" s="841" t="s">
        <v>353</v>
      </c>
      <c r="GU147" s="841" t="s">
        <v>353</v>
      </c>
      <c r="GV147" s="841" t="s">
        <v>1419</v>
      </c>
      <c r="GW147" s="841" t="s">
        <v>353</v>
      </c>
      <c r="GX147" s="841" t="s">
        <v>2743</v>
      </c>
      <c r="GY147" s="841">
        <v>24</v>
      </c>
      <c r="GZ147" s="841" t="s">
        <v>1420</v>
      </c>
      <c r="HA147" s="841" t="s">
        <v>353</v>
      </c>
      <c r="HB147" s="841" t="s">
        <v>353</v>
      </c>
      <c r="HC147" s="841" t="s">
        <v>1421</v>
      </c>
      <c r="HD147" s="841" t="s">
        <v>2744</v>
      </c>
      <c r="HE147" s="841">
        <v>29500</v>
      </c>
      <c r="HF147" s="841" t="s">
        <v>353</v>
      </c>
      <c r="HG147" s="841" t="s">
        <v>353</v>
      </c>
      <c r="HH147" s="841">
        <v>3000</v>
      </c>
      <c r="HI147" s="841" t="s">
        <v>1422</v>
      </c>
      <c r="HJ147" s="841" t="s">
        <v>353</v>
      </c>
      <c r="HK147" s="841">
        <v>2950000</v>
      </c>
      <c r="HL147" s="841" t="s">
        <v>49</v>
      </c>
      <c r="HM147" s="841" t="s">
        <v>1530</v>
      </c>
      <c r="HN147" s="841" t="s">
        <v>27</v>
      </c>
      <c r="HO147" s="841" t="s">
        <v>353</v>
      </c>
      <c r="HP147" s="841">
        <v>147205</v>
      </c>
      <c r="HQ147" s="841" t="s">
        <v>353</v>
      </c>
      <c r="HR147" s="841" t="s">
        <v>353</v>
      </c>
      <c r="HS147" s="841" t="s">
        <v>353</v>
      </c>
      <c r="HT147" s="841" t="s">
        <v>353</v>
      </c>
      <c r="HU147" s="841" t="s">
        <v>353</v>
      </c>
      <c r="HV147" s="841" t="s">
        <v>353</v>
      </c>
      <c r="HW147" s="841">
        <v>5000000</v>
      </c>
      <c r="HX147" s="841" t="s">
        <v>353</v>
      </c>
      <c r="HY147" s="841" t="s">
        <v>353</v>
      </c>
      <c r="HZ147" s="841" t="s">
        <v>353</v>
      </c>
      <c r="IA147" s="841" t="s">
        <v>353</v>
      </c>
      <c r="IB147" s="841" t="s">
        <v>1424</v>
      </c>
      <c r="IC147" s="841" t="s">
        <v>353</v>
      </c>
      <c r="ID147" s="841" t="s">
        <v>353</v>
      </c>
      <c r="IE147" s="841" t="s">
        <v>353</v>
      </c>
      <c r="IF147" s="841" t="s">
        <v>353</v>
      </c>
      <c r="IG147" s="841" t="s">
        <v>353</v>
      </c>
      <c r="IH147" s="841" t="s">
        <v>353</v>
      </c>
      <c r="II147" s="841" t="s">
        <v>353</v>
      </c>
      <c r="IJ147" s="841" t="s">
        <v>353</v>
      </c>
      <c r="IK147" s="841" t="s">
        <v>353</v>
      </c>
      <c r="IL147" s="841">
        <v>2876398</v>
      </c>
      <c r="IM147" s="841" t="s">
        <v>353</v>
      </c>
      <c r="IN147" s="841" t="s">
        <v>353</v>
      </c>
      <c r="IO147" s="841">
        <v>199</v>
      </c>
      <c r="IP147" s="841" t="s">
        <v>353</v>
      </c>
      <c r="IQ147" s="841" t="s">
        <v>353</v>
      </c>
      <c r="IR147" s="841">
        <v>6</v>
      </c>
      <c r="IS147" s="841" t="s">
        <v>33</v>
      </c>
      <c r="IT147" s="841" t="s">
        <v>353</v>
      </c>
      <c r="IU147" s="841" t="s">
        <v>353</v>
      </c>
      <c r="IV147" s="841" t="s">
        <v>353</v>
      </c>
      <c r="IW147" s="841" t="s">
        <v>353</v>
      </c>
      <c r="IX147" s="841" t="s">
        <v>353</v>
      </c>
      <c r="IY147" s="841" t="s">
        <v>1578</v>
      </c>
      <c r="IZ147" s="841" t="s">
        <v>353</v>
      </c>
      <c r="JA147" s="841">
        <v>2950000</v>
      </c>
      <c r="JB147" s="841" t="s">
        <v>353</v>
      </c>
      <c r="JC147" s="841" t="s">
        <v>33</v>
      </c>
      <c r="JD147" s="841" t="s">
        <v>1847</v>
      </c>
      <c r="JE147" s="841" t="s">
        <v>33</v>
      </c>
      <c r="JF147" s="841" t="s">
        <v>2745</v>
      </c>
      <c r="JG147" s="841" t="s">
        <v>2746</v>
      </c>
      <c r="JH147" s="841" t="s">
        <v>2747</v>
      </c>
      <c r="JI147" s="841" t="s">
        <v>2748</v>
      </c>
    </row>
    <row r="148" spans="1:269" x14ac:dyDescent="0.25">
      <c r="A148" s="841" t="s">
        <v>2749</v>
      </c>
      <c r="B148" s="841" t="s">
        <v>353</v>
      </c>
      <c r="C148" s="841" t="s">
        <v>353</v>
      </c>
      <c r="D148" s="841" t="s">
        <v>353</v>
      </c>
      <c r="E148" s="841" t="s">
        <v>353</v>
      </c>
      <c r="F148" s="841" t="s">
        <v>1405</v>
      </c>
      <c r="G148" s="841" t="s">
        <v>2750</v>
      </c>
      <c r="H148" s="841" t="s">
        <v>353</v>
      </c>
      <c r="I148" s="841" t="s">
        <v>353</v>
      </c>
      <c r="J148" s="841" t="s">
        <v>353</v>
      </c>
      <c r="K148" s="841" t="s">
        <v>353</v>
      </c>
      <c r="L148" s="842">
        <v>44608.525000000001</v>
      </c>
      <c r="M148" s="841" t="s">
        <v>353</v>
      </c>
      <c r="N148" s="841" t="s">
        <v>353</v>
      </c>
      <c r="O148" s="841" t="s">
        <v>353</v>
      </c>
      <c r="P148" s="841" t="s">
        <v>33</v>
      </c>
      <c r="Q148" s="841" t="s">
        <v>353</v>
      </c>
      <c r="R148" s="841" t="s">
        <v>353</v>
      </c>
      <c r="S148" s="841" t="s">
        <v>61</v>
      </c>
      <c r="T148" s="841" t="s">
        <v>1390</v>
      </c>
      <c r="U148" s="841" t="s">
        <v>353</v>
      </c>
      <c r="V148" s="841" t="s">
        <v>353</v>
      </c>
      <c r="W148" s="841" t="s">
        <v>353</v>
      </c>
      <c r="X148" s="841" t="s">
        <v>353</v>
      </c>
      <c r="Y148" s="841" t="s">
        <v>353</v>
      </c>
      <c r="Z148" s="841" t="s">
        <v>353</v>
      </c>
      <c r="AA148" s="841" t="s">
        <v>33</v>
      </c>
      <c r="AB148" s="841" t="s">
        <v>353</v>
      </c>
      <c r="AC148" s="841">
        <v>975000</v>
      </c>
      <c r="AD148" s="841" t="s">
        <v>353</v>
      </c>
      <c r="AE148" s="841" t="s">
        <v>33</v>
      </c>
      <c r="AF148" s="841" t="s">
        <v>353</v>
      </c>
      <c r="AG148" s="841" t="s">
        <v>353</v>
      </c>
      <c r="AH148" s="841" t="s">
        <v>353</v>
      </c>
      <c r="AI148" s="841" t="s">
        <v>1406</v>
      </c>
      <c r="AJ148" s="841" t="s">
        <v>353</v>
      </c>
      <c r="AK148" s="841">
        <v>75</v>
      </c>
      <c r="AL148" s="841" t="s">
        <v>353</v>
      </c>
      <c r="AM148" s="841" t="s">
        <v>353</v>
      </c>
      <c r="AN148" s="841" t="s">
        <v>353</v>
      </c>
      <c r="AO148" s="841" t="s">
        <v>353</v>
      </c>
      <c r="AP148" s="841" t="s">
        <v>353</v>
      </c>
      <c r="AQ148" s="841" t="s">
        <v>353</v>
      </c>
      <c r="AR148" s="841" t="s">
        <v>33</v>
      </c>
      <c r="AS148" s="841" t="s">
        <v>353</v>
      </c>
      <c r="AT148" s="841" t="s">
        <v>353</v>
      </c>
      <c r="AU148" s="841" t="s">
        <v>353</v>
      </c>
      <c r="AV148" s="841" t="s">
        <v>353</v>
      </c>
      <c r="AW148" s="843">
        <v>44608</v>
      </c>
      <c r="AX148" s="841" t="s">
        <v>353</v>
      </c>
      <c r="AY148" s="841" t="s">
        <v>353</v>
      </c>
      <c r="AZ148" s="841" t="s">
        <v>353</v>
      </c>
      <c r="BA148" s="841" t="s">
        <v>353</v>
      </c>
      <c r="BB148" s="841" t="s">
        <v>353</v>
      </c>
      <c r="BC148" s="841">
        <v>1898375</v>
      </c>
      <c r="BD148" s="841" t="s">
        <v>353</v>
      </c>
      <c r="BE148" s="841" t="s">
        <v>353</v>
      </c>
      <c r="BF148" s="841" t="s">
        <v>353</v>
      </c>
      <c r="BG148" s="841" t="s">
        <v>353</v>
      </c>
      <c r="BH148" s="841" t="s">
        <v>353</v>
      </c>
      <c r="BI148" s="841" t="s">
        <v>353</v>
      </c>
      <c r="BJ148" s="841" t="s">
        <v>353</v>
      </c>
      <c r="BK148" s="841" t="s">
        <v>353</v>
      </c>
      <c r="BL148" s="841" t="s">
        <v>2751</v>
      </c>
      <c r="BM148" s="842">
        <v>44561.520138888889</v>
      </c>
      <c r="BN148" s="841" t="s">
        <v>353</v>
      </c>
      <c r="BO148" s="841" t="s">
        <v>353</v>
      </c>
      <c r="BP148" s="841" t="s">
        <v>353</v>
      </c>
      <c r="BQ148" s="841" t="s">
        <v>353</v>
      </c>
      <c r="BR148" s="841" t="s">
        <v>353</v>
      </c>
      <c r="BS148" s="841" t="s">
        <v>353</v>
      </c>
      <c r="BT148" s="841">
        <v>2100000</v>
      </c>
      <c r="BU148" s="841" t="s">
        <v>353</v>
      </c>
      <c r="BV148" s="841" t="s">
        <v>1955</v>
      </c>
      <c r="BW148" s="841" t="s">
        <v>353</v>
      </c>
      <c r="BX148" s="841" t="s">
        <v>353</v>
      </c>
      <c r="BY148" s="841" t="s">
        <v>353</v>
      </c>
      <c r="BZ148" s="841" t="s">
        <v>353</v>
      </c>
      <c r="CA148" s="841" t="s">
        <v>353</v>
      </c>
      <c r="CB148" s="841" t="s">
        <v>353</v>
      </c>
      <c r="CC148" s="841" t="s">
        <v>353</v>
      </c>
      <c r="CD148" s="841" t="s">
        <v>353</v>
      </c>
      <c r="CE148" s="841" t="s">
        <v>353</v>
      </c>
      <c r="CF148" s="841" t="s">
        <v>353</v>
      </c>
      <c r="CG148" s="841" t="s">
        <v>353</v>
      </c>
      <c r="CH148" s="841" t="s">
        <v>353</v>
      </c>
      <c r="CI148" s="841" t="s">
        <v>33</v>
      </c>
      <c r="CJ148" s="841" t="s">
        <v>353</v>
      </c>
      <c r="CK148" s="841">
        <v>16</v>
      </c>
      <c r="CL148" s="841" t="s">
        <v>353</v>
      </c>
      <c r="CM148" s="841">
        <v>18</v>
      </c>
      <c r="CN148" s="841" t="s">
        <v>353</v>
      </c>
      <c r="CO148" s="841" t="s">
        <v>353</v>
      </c>
      <c r="CP148" s="841" t="s">
        <v>2752</v>
      </c>
      <c r="CQ148" s="841" t="s">
        <v>353</v>
      </c>
      <c r="CR148" s="841" t="s">
        <v>353</v>
      </c>
      <c r="CS148" s="841" t="s">
        <v>353</v>
      </c>
      <c r="CT148" s="841" t="s">
        <v>353</v>
      </c>
      <c r="CU148" s="841" t="s">
        <v>1391</v>
      </c>
      <c r="CV148" s="841" t="s">
        <v>353</v>
      </c>
      <c r="CW148" s="841" t="s">
        <v>353</v>
      </c>
      <c r="CX148" s="841" t="s">
        <v>353</v>
      </c>
      <c r="CY148" s="841" t="s">
        <v>353</v>
      </c>
      <c r="CZ148" s="841" t="s">
        <v>353</v>
      </c>
      <c r="DA148" s="841" t="s">
        <v>353</v>
      </c>
      <c r="DB148" s="841" t="s">
        <v>353</v>
      </c>
      <c r="DC148" s="841" t="s">
        <v>353</v>
      </c>
      <c r="DD148" s="841" t="s">
        <v>353</v>
      </c>
      <c r="DE148" s="841" t="s">
        <v>353</v>
      </c>
      <c r="DF148" s="841">
        <v>33</v>
      </c>
      <c r="DG148" s="841" t="s">
        <v>353</v>
      </c>
      <c r="DH148" s="841" t="s">
        <v>353</v>
      </c>
      <c r="DI148" s="841" t="s">
        <v>353</v>
      </c>
      <c r="DJ148" s="841" t="s">
        <v>2700</v>
      </c>
      <c r="DK148" s="841" t="s">
        <v>353</v>
      </c>
      <c r="DL148" s="842">
        <v>44551.520138888889</v>
      </c>
      <c r="DM148" s="841" t="s">
        <v>353</v>
      </c>
      <c r="DN148" s="841" t="s">
        <v>33</v>
      </c>
      <c r="DO148" s="841" t="s">
        <v>353</v>
      </c>
      <c r="DP148" s="841" t="s">
        <v>353</v>
      </c>
      <c r="DQ148" s="841" t="s">
        <v>1434</v>
      </c>
      <c r="DR148" s="841" t="s">
        <v>353</v>
      </c>
      <c r="DS148" s="841">
        <v>33</v>
      </c>
      <c r="DT148" s="841" t="s">
        <v>353</v>
      </c>
      <c r="DU148" s="841" t="s">
        <v>353</v>
      </c>
      <c r="DV148" s="841" t="s">
        <v>353</v>
      </c>
      <c r="DW148" s="841">
        <v>1950000</v>
      </c>
      <c r="DX148" s="841" t="s">
        <v>33</v>
      </c>
      <c r="DY148" s="841" t="s">
        <v>353</v>
      </c>
      <c r="DZ148" s="841" t="s">
        <v>353</v>
      </c>
      <c r="EA148" s="841" t="s">
        <v>353</v>
      </c>
      <c r="EB148" s="841" t="s">
        <v>353</v>
      </c>
      <c r="EC148" s="841" t="s">
        <v>353</v>
      </c>
      <c r="ED148" s="841" t="s">
        <v>353</v>
      </c>
      <c r="EE148" s="841" t="s">
        <v>353</v>
      </c>
      <c r="EF148" s="841" t="s">
        <v>353</v>
      </c>
      <c r="EG148" s="841" t="s">
        <v>353</v>
      </c>
      <c r="EH148" s="841" t="s">
        <v>353</v>
      </c>
      <c r="EI148" s="841">
        <v>57915</v>
      </c>
      <c r="EJ148" s="841" t="s">
        <v>353</v>
      </c>
      <c r="EK148" s="841" t="s">
        <v>353</v>
      </c>
      <c r="EL148" s="841" t="s">
        <v>1930</v>
      </c>
      <c r="EM148" s="841" t="s">
        <v>353</v>
      </c>
      <c r="EN148" s="841" t="s">
        <v>353</v>
      </c>
      <c r="EO148" s="841" t="s">
        <v>353</v>
      </c>
      <c r="EP148" s="841" t="s">
        <v>353</v>
      </c>
      <c r="EQ148" s="841" t="s">
        <v>353</v>
      </c>
      <c r="ER148" s="841" t="s">
        <v>353</v>
      </c>
      <c r="ES148" s="841" t="s">
        <v>33</v>
      </c>
      <c r="ET148" s="841" t="s">
        <v>1496</v>
      </c>
      <c r="EU148" s="841" t="s">
        <v>353</v>
      </c>
      <c r="EV148" s="841" t="s">
        <v>353</v>
      </c>
      <c r="EW148" s="841" t="s">
        <v>353</v>
      </c>
      <c r="EX148" s="841" t="s">
        <v>33</v>
      </c>
      <c r="EY148" s="842">
        <v>44608.477083333331</v>
      </c>
      <c r="EZ148" s="841" t="s">
        <v>353</v>
      </c>
      <c r="FA148" s="841" t="s">
        <v>353</v>
      </c>
      <c r="FB148" s="841" t="s">
        <v>353</v>
      </c>
      <c r="FC148" s="841" t="s">
        <v>353</v>
      </c>
      <c r="FD148" s="841" t="s">
        <v>353</v>
      </c>
      <c r="FE148" s="842">
        <v>44608.475694444445</v>
      </c>
      <c r="FF148" s="841" t="s">
        <v>353</v>
      </c>
      <c r="FG148" s="841" t="s">
        <v>353</v>
      </c>
      <c r="FH148" s="841" t="s">
        <v>353</v>
      </c>
      <c r="FI148" s="841" t="s">
        <v>353</v>
      </c>
      <c r="FJ148" s="841" t="s">
        <v>353</v>
      </c>
      <c r="FK148" s="841" t="s">
        <v>353</v>
      </c>
      <c r="FL148" s="841" t="s">
        <v>353</v>
      </c>
      <c r="FM148" s="841" t="s">
        <v>353</v>
      </c>
      <c r="FN148" s="841" t="s">
        <v>353</v>
      </c>
      <c r="FO148" s="841" t="s">
        <v>353</v>
      </c>
      <c r="FP148" s="841" t="s">
        <v>353</v>
      </c>
      <c r="FQ148" s="841" t="s">
        <v>353</v>
      </c>
      <c r="FR148" s="841" t="s">
        <v>353</v>
      </c>
      <c r="FS148" s="841" t="s">
        <v>353</v>
      </c>
      <c r="FT148" s="841" t="s">
        <v>353</v>
      </c>
      <c r="FU148" s="841" t="s">
        <v>1467</v>
      </c>
      <c r="FV148" s="841" t="s">
        <v>353</v>
      </c>
      <c r="FW148" s="841" t="s">
        <v>353</v>
      </c>
      <c r="FX148" s="841" t="s">
        <v>353</v>
      </c>
      <c r="FY148" s="841" t="s">
        <v>353</v>
      </c>
      <c r="FZ148" s="841" t="s">
        <v>353</v>
      </c>
      <c r="GA148" s="841" t="s">
        <v>353</v>
      </c>
      <c r="GB148" s="841">
        <v>1</v>
      </c>
      <c r="GC148" s="841" t="s">
        <v>353</v>
      </c>
      <c r="GD148" s="841" t="s">
        <v>1395</v>
      </c>
      <c r="GE148" s="841" t="s">
        <v>353</v>
      </c>
      <c r="GF148" s="841" t="s">
        <v>353</v>
      </c>
      <c r="GG148" s="841" t="s">
        <v>353</v>
      </c>
      <c r="GH148" s="841">
        <v>975000</v>
      </c>
      <c r="GI148" s="841" t="s">
        <v>353</v>
      </c>
      <c r="GJ148" s="841" t="s">
        <v>353</v>
      </c>
      <c r="GK148" s="841" t="s">
        <v>353</v>
      </c>
      <c r="GL148" s="841" t="s">
        <v>1497</v>
      </c>
      <c r="GM148" s="841" t="s">
        <v>353</v>
      </c>
      <c r="GN148" s="841" t="s">
        <v>353</v>
      </c>
      <c r="GO148" s="841" t="s">
        <v>353</v>
      </c>
      <c r="GP148" s="841" t="s">
        <v>353</v>
      </c>
      <c r="GQ148" s="841" t="s">
        <v>353</v>
      </c>
      <c r="GR148" s="842">
        <v>44606.602777777778</v>
      </c>
      <c r="GS148" s="841" t="s">
        <v>1955</v>
      </c>
      <c r="GT148" s="841" t="s">
        <v>353</v>
      </c>
      <c r="GU148" s="841" t="s">
        <v>353</v>
      </c>
      <c r="GV148" s="841" t="s">
        <v>1419</v>
      </c>
      <c r="GW148" s="841" t="s">
        <v>353</v>
      </c>
      <c r="GX148" s="841" t="s">
        <v>353</v>
      </c>
      <c r="GY148" s="841">
        <v>36</v>
      </c>
      <c r="GZ148" s="841" t="s">
        <v>2753</v>
      </c>
      <c r="HA148" s="841" t="s">
        <v>353</v>
      </c>
      <c r="HB148" s="841" t="s">
        <v>353</v>
      </c>
      <c r="HC148" s="841" t="s">
        <v>1421</v>
      </c>
      <c r="HD148" s="841" t="s">
        <v>2754</v>
      </c>
      <c r="HE148" s="841">
        <v>19500</v>
      </c>
      <c r="HF148" s="841" t="s">
        <v>353</v>
      </c>
      <c r="HG148" s="841" t="s">
        <v>353</v>
      </c>
      <c r="HH148" s="841" t="s">
        <v>353</v>
      </c>
      <c r="HI148" s="841" t="s">
        <v>1422</v>
      </c>
      <c r="HJ148" s="841" t="s">
        <v>353</v>
      </c>
      <c r="HK148" s="841">
        <v>1950000</v>
      </c>
      <c r="HL148" s="841" t="s">
        <v>353</v>
      </c>
      <c r="HM148" s="841" t="s">
        <v>353</v>
      </c>
      <c r="HN148" s="841" t="s">
        <v>353</v>
      </c>
      <c r="HO148" s="841" t="s">
        <v>353</v>
      </c>
      <c r="HP148" s="841">
        <v>19305</v>
      </c>
      <c r="HQ148" s="841" t="s">
        <v>353</v>
      </c>
      <c r="HR148" s="841" t="s">
        <v>353</v>
      </c>
      <c r="HS148" s="841" t="s">
        <v>353</v>
      </c>
      <c r="HT148" s="841" t="s">
        <v>353</v>
      </c>
      <c r="HU148" s="841" t="s">
        <v>353</v>
      </c>
      <c r="HV148" s="841" t="s">
        <v>353</v>
      </c>
      <c r="HW148" s="841">
        <v>2600000</v>
      </c>
      <c r="HX148" s="841" t="s">
        <v>353</v>
      </c>
      <c r="HY148" s="841" t="s">
        <v>353</v>
      </c>
      <c r="HZ148" s="841" t="s">
        <v>353</v>
      </c>
      <c r="IA148" s="841" t="s">
        <v>353</v>
      </c>
      <c r="IB148" s="841" t="s">
        <v>1424</v>
      </c>
      <c r="IC148" s="841" t="s">
        <v>353</v>
      </c>
      <c r="ID148" s="841" t="s">
        <v>353</v>
      </c>
      <c r="IE148" s="841" t="s">
        <v>353</v>
      </c>
      <c r="IF148" s="841" t="s">
        <v>353</v>
      </c>
      <c r="IG148" s="841" t="s">
        <v>353</v>
      </c>
      <c r="IH148" s="841" t="s">
        <v>353</v>
      </c>
      <c r="II148" s="841" t="s">
        <v>353</v>
      </c>
      <c r="IJ148" s="841" t="s">
        <v>353</v>
      </c>
      <c r="IK148" s="841" t="s">
        <v>353</v>
      </c>
      <c r="IL148" s="841">
        <v>1924673</v>
      </c>
      <c r="IM148" s="841" t="s">
        <v>353</v>
      </c>
      <c r="IN148" s="841" t="s">
        <v>353</v>
      </c>
      <c r="IO148" s="841" t="s">
        <v>353</v>
      </c>
      <c r="IP148" s="841" t="s">
        <v>353</v>
      </c>
      <c r="IQ148" s="841" t="s">
        <v>353</v>
      </c>
      <c r="IR148" s="841">
        <v>3</v>
      </c>
      <c r="IS148" s="841" t="s">
        <v>33</v>
      </c>
      <c r="IT148" s="841" t="s">
        <v>353</v>
      </c>
      <c r="IU148" s="841" t="s">
        <v>353</v>
      </c>
      <c r="IV148" s="841" t="s">
        <v>353</v>
      </c>
      <c r="IW148" s="841" t="s">
        <v>353</v>
      </c>
      <c r="IX148" s="841" t="s">
        <v>353</v>
      </c>
      <c r="IY148" s="841" t="s">
        <v>353</v>
      </c>
      <c r="IZ148" s="841" t="s">
        <v>353</v>
      </c>
      <c r="JA148" s="841">
        <v>1950000</v>
      </c>
      <c r="JB148" s="841" t="s">
        <v>353</v>
      </c>
      <c r="JC148" s="841" t="s">
        <v>353</v>
      </c>
      <c r="JD148" s="841" t="s">
        <v>2755</v>
      </c>
      <c r="JE148" s="841" t="s">
        <v>33</v>
      </c>
      <c r="JF148" s="841" t="s">
        <v>2756</v>
      </c>
      <c r="JG148" s="841" t="s">
        <v>2757</v>
      </c>
      <c r="JH148" s="841" t="s">
        <v>2758</v>
      </c>
      <c r="JI148" s="841" t="s">
        <v>2759</v>
      </c>
    </row>
    <row r="149" spans="1:269" x14ac:dyDescent="0.25">
      <c r="A149" s="841" t="s">
        <v>2760</v>
      </c>
      <c r="B149" s="841" t="s">
        <v>353</v>
      </c>
      <c r="C149" s="841" t="s">
        <v>353</v>
      </c>
      <c r="D149" s="841" t="s">
        <v>353</v>
      </c>
      <c r="E149" s="841" t="s">
        <v>353</v>
      </c>
      <c r="F149" s="841" t="s">
        <v>353</v>
      </c>
      <c r="G149" s="841" t="s">
        <v>2598</v>
      </c>
      <c r="H149" s="841" t="s">
        <v>353</v>
      </c>
      <c r="I149" s="841" t="s">
        <v>353</v>
      </c>
      <c r="J149" s="841" t="s">
        <v>353</v>
      </c>
      <c r="K149" s="841" t="s">
        <v>353</v>
      </c>
      <c r="L149" s="842">
        <v>44608.461111111108</v>
      </c>
      <c r="M149" s="841" t="s">
        <v>353</v>
      </c>
      <c r="N149" s="841" t="s">
        <v>353</v>
      </c>
      <c r="O149" s="841" t="s">
        <v>353</v>
      </c>
      <c r="P149" s="841" t="s">
        <v>353</v>
      </c>
      <c r="Q149" s="841" t="s">
        <v>353</v>
      </c>
      <c r="R149" s="841" t="s">
        <v>353</v>
      </c>
      <c r="S149" s="841" t="s">
        <v>1520</v>
      </c>
      <c r="T149" s="841" t="s">
        <v>1390</v>
      </c>
      <c r="U149" s="841" t="s">
        <v>353</v>
      </c>
      <c r="V149" s="841" t="s">
        <v>353</v>
      </c>
      <c r="W149" s="841" t="s">
        <v>1930</v>
      </c>
      <c r="X149" s="841" t="s">
        <v>353</v>
      </c>
      <c r="Y149" s="841" t="s">
        <v>353</v>
      </c>
      <c r="Z149" s="841" t="s">
        <v>353</v>
      </c>
      <c r="AA149" s="841" t="s">
        <v>353</v>
      </c>
      <c r="AB149" s="841" t="s">
        <v>353</v>
      </c>
      <c r="AC149" s="841">
        <v>121000</v>
      </c>
      <c r="AD149" s="841" t="s">
        <v>353</v>
      </c>
      <c r="AE149" s="841" t="s">
        <v>353</v>
      </c>
      <c r="AF149" s="841">
        <v>3019.96</v>
      </c>
      <c r="AG149" s="841" t="s">
        <v>353</v>
      </c>
      <c r="AH149" s="841">
        <v>11000</v>
      </c>
      <c r="AI149" s="841" t="s">
        <v>1406</v>
      </c>
      <c r="AJ149" s="841" t="s">
        <v>353</v>
      </c>
      <c r="AK149" s="841">
        <v>65</v>
      </c>
      <c r="AL149" s="841" t="s">
        <v>353</v>
      </c>
      <c r="AM149" s="841" t="s">
        <v>353</v>
      </c>
      <c r="AN149" s="841" t="s">
        <v>353</v>
      </c>
      <c r="AO149" s="841" t="s">
        <v>353</v>
      </c>
      <c r="AP149" s="841" t="s">
        <v>353</v>
      </c>
      <c r="AQ149" s="841" t="s">
        <v>353</v>
      </c>
      <c r="AR149" s="841" t="s">
        <v>353</v>
      </c>
      <c r="AS149" s="841" t="s">
        <v>353</v>
      </c>
      <c r="AT149" s="841" t="s">
        <v>353</v>
      </c>
      <c r="AU149" s="841" t="s">
        <v>353</v>
      </c>
      <c r="AV149" s="841" t="s">
        <v>353</v>
      </c>
      <c r="AW149" s="841" t="s">
        <v>353</v>
      </c>
      <c r="AX149" s="841" t="s">
        <v>353</v>
      </c>
      <c r="AY149" s="841" t="s">
        <v>353</v>
      </c>
      <c r="AZ149" s="841" t="s">
        <v>353</v>
      </c>
      <c r="BA149" s="841" t="s">
        <v>353</v>
      </c>
      <c r="BB149" s="841" t="s">
        <v>353</v>
      </c>
      <c r="BC149" s="841">
        <v>592900</v>
      </c>
      <c r="BD149" s="841" t="s">
        <v>353</v>
      </c>
      <c r="BE149" s="841" t="s">
        <v>353</v>
      </c>
      <c r="BF149" s="841" t="s">
        <v>353</v>
      </c>
      <c r="BG149" s="841" t="s">
        <v>353</v>
      </c>
      <c r="BH149" s="841" t="s">
        <v>353</v>
      </c>
      <c r="BI149" s="841" t="s">
        <v>353</v>
      </c>
      <c r="BJ149" s="841" t="s">
        <v>353</v>
      </c>
      <c r="BK149" s="841" t="s">
        <v>353</v>
      </c>
      <c r="BL149" s="841" t="s">
        <v>2761</v>
      </c>
      <c r="BM149" s="842">
        <v>44561.416666666664</v>
      </c>
      <c r="BN149" s="841" t="s">
        <v>353</v>
      </c>
      <c r="BO149" s="841" t="s">
        <v>353</v>
      </c>
      <c r="BP149" s="841" t="s">
        <v>353</v>
      </c>
      <c r="BQ149" s="841" t="s">
        <v>353</v>
      </c>
      <c r="BR149" s="841" t="s">
        <v>353</v>
      </c>
      <c r="BS149" s="841" t="s">
        <v>353</v>
      </c>
      <c r="BT149" s="841">
        <v>605000</v>
      </c>
      <c r="BU149" s="841" t="s">
        <v>353</v>
      </c>
      <c r="BV149" s="841" t="s">
        <v>2762</v>
      </c>
      <c r="BW149" s="841" t="s">
        <v>353</v>
      </c>
      <c r="BX149" s="841" t="s">
        <v>353</v>
      </c>
      <c r="BY149" s="841" t="s">
        <v>353</v>
      </c>
      <c r="BZ149" s="841" t="s">
        <v>353</v>
      </c>
      <c r="CA149" s="841" t="s">
        <v>353</v>
      </c>
      <c r="CB149" s="841" t="s">
        <v>353</v>
      </c>
      <c r="CC149" s="841" t="s">
        <v>353</v>
      </c>
      <c r="CD149" s="841" t="s">
        <v>353</v>
      </c>
      <c r="CE149" s="841" t="s">
        <v>353</v>
      </c>
      <c r="CF149" s="841" t="s">
        <v>353</v>
      </c>
      <c r="CG149" s="841" t="s">
        <v>353</v>
      </c>
      <c r="CH149" s="841" t="s">
        <v>353</v>
      </c>
      <c r="CI149" s="841" t="s">
        <v>353</v>
      </c>
      <c r="CJ149" s="841" t="s">
        <v>353</v>
      </c>
      <c r="CK149" s="841">
        <v>3</v>
      </c>
      <c r="CL149" s="841" t="s">
        <v>353</v>
      </c>
      <c r="CM149" s="841">
        <v>5</v>
      </c>
      <c r="CN149" s="841" t="s">
        <v>353</v>
      </c>
      <c r="CO149" s="841" t="s">
        <v>353</v>
      </c>
      <c r="CP149" s="841" t="s">
        <v>2763</v>
      </c>
      <c r="CQ149" s="841" t="s">
        <v>353</v>
      </c>
      <c r="CR149" s="841" t="s">
        <v>353</v>
      </c>
      <c r="CS149" s="841" t="s">
        <v>353</v>
      </c>
      <c r="CT149" s="841" t="s">
        <v>353</v>
      </c>
      <c r="CU149" s="841" t="s">
        <v>1391</v>
      </c>
      <c r="CV149" s="841" t="s">
        <v>353</v>
      </c>
      <c r="CW149" s="841" t="s">
        <v>353</v>
      </c>
      <c r="CX149" s="841" t="s">
        <v>353</v>
      </c>
      <c r="CY149" s="841" t="s">
        <v>353</v>
      </c>
      <c r="CZ149" s="841">
        <v>23</v>
      </c>
      <c r="DA149" s="841" t="s">
        <v>353</v>
      </c>
      <c r="DB149" s="841" t="s">
        <v>353</v>
      </c>
      <c r="DC149" s="841" t="s">
        <v>353</v>
      </c>
      <c r="DD149" s="841" t="s">
        <v>353</v>
      </c>
      <c r="DE149" s="841" t="s">
        <v>353</v>
      </c>
      <c r="DF149" s="841">
        <v>24</v>
      </c>
      <c r="DG149" s="841" t="s">
        <v>353</v>
      </c>
      <c r="DH149" s="841" t="s">
        <v>353</v>
      </c>
      <c r="DI149" s="841" t="s">
        <v>353</v>
      </c>
      <c r="DJ149" s="841" t="s">
        <v>2764</v>
      </c>
      <c r="DK149" s="841" t="s">
        <v>353</v>
      </c>
      <c r="DL149" s="842">
        <v>44550.416666666664</v>
      </c>
      <c r="DM149" s="841" t="s">
        <v>353</v>
      </c>
      <c r="DN149" s="841" t="s">
        <v>353</v>
      </c>
      <c r="DO149" s="841" t="s">
        <v>673</v>
      </c>
      <c r="DP149" s="841" t="s">
        <v>353</v>
      </c>
      <c r="DQ149" s="841" t="s">
        <v>1451</v>
      </c>
      <c r="DR149" s="841">
        <v>925000</v>
      </c>
      <c r="DS149" s="841">
        <v>24</v>
      </c>
      <c r="DT149" s="841" t="s">
        <v>353</v>
      </c>
      <c r="DU149" s="841" t="s">
        <v>353</v>
      </c>
      <c r="DV149" s="841">
        <v>598950</v>
      </c>
      <c r="DW149" s="841">
        <v>605000</v>
      </c>
      <c r="DX149" s="841" t="s">
        <v>353</v>
      </c>
      <c r="DY149" s="841" t="s">
        <v>353</v>
      </c>
      <c r="DZ149" s="841" t="s">
        <v>353</v>
      </c>
      <c r="EA149" s="841" t="s">
        <v>353</v>
      </c>
      <c r="EB149" s="841" t="s">
        <v>353</v>
      </c>
      <c r="EC149" s="841" t="s">
        <v>353</v>
      </c>
      <c r="ED149" s="841" t="s">
        <v>353</v>
      </c>
      <c r="EE149" s="841" t="s">
        <v>353</v>
      </c>
      <c r="EF149" s="841" t="s">
        <v>353</v>
      </c>
      <c r="EG149" s="841" t="s">
        <v>353</v>
      </c>
      <c r="EH149" s="841" t="s">
        <v>353</v>
      </c>
      <c r="EI149" s="841">
        <v>0</v>
      </c>
      <c r="EJ149" s="841" t="s">
        <v>353</v>
      </c>
      <c r="EK149" s="841" t="s">
        <v>353</v>
      </c>
      <c r="EL149" s="841" t="s">
        <v>353</v>
      </c>
      <c r="EM149" s="841">
        <v>6050</v>
      </c>
      <c r="EN149" s="841" t="s">
        <v>353</v>
      </c>
      <c r="EO149" s="841" t="s">
        <v>353</v>
      </c>
      <c r="EP149" s="841" t="s">
        <v>353</v>
      </c>
      <c r="EQ149" s="841" t="s">
        <v>353</v>
      </c>
      <c r="ER149" s="841" t="s">
        <v>353</v>
      </c>
      <c r="ES149" s="841" t="s">
        <v>353</v>
      </c>
      <c r="ET149" s="841" t="s">
        <v>1452</v>
      </c>
      <c r="EU149" s="841" t="s">
        <v>353</v>
      </c>
      <c r="EV149" s="841" t="s">
        <v>353</v>
      </c>
      <c r="EW149" s="841" t="s">
        <v>353</v>
      </c>
      <c r="EX149" s="841" t="s">
        <v>353</v>
      </c>
      <c r="EY149" s="842">
        <v>44608.461111111108</v>
      </c>
      <c r="EZ149" s="841" t="s">
        <v>353</v>
      </c>
      <c r="FA149" s="841" t="s">
        <v>353</v>
      </c>
      <c r="FB149" s="841" t="s">
        <v>353</v>
      </c>
      <c r="FC149" s="841" t="s">
        <v>353</v>
      </c>
      <c r="FD149" s="841" t="s">
        <v>353</v>
      </c>
      <c r="FE149" s="842">
        <v>44601.731944444444</v>
      </c>
      <c r="FF149" s="841" t="s">
        <v>353</v>
      </c>
      <c r="FG149" s="841" t="s">
        <v>353</v>
      </c>
      <c r="FH149" s="841" t="s">
        <v>353</v>
      </c>
      <c r="FI149" s="841" t="s">
        <v>353</v>
      </c>
      <c r="FJ149" s="841" t="s">
        <v>353</v>
      </c>
      <c r="FK149" s="841" t="s">
        <v>353</v>
      </c>
      <c r="FL149" s="841" t="s">
        <v>353</v>
      </c>
      <c r="FM149" s="841" t="s">
        <v>353</v>
      </c>
      <c r="FN149" s="841" t="s">
        <v>353</v>
      </c>
      <c r="FO149" s="841" t="s">
        <v>353</v>
      </c>
      <c r="FP149" s="841" t="s">
        <v>353</v>
      </c>
      <c r="FQ149" s="841" t="s">
        <v>353</v>
      </c>
      <c r="FR149" s="841" t="s">
        <v>353</v>
      </c>
      <c r="FS149" s="841" t="s">
        <v>353</v>
      </c>
      <c r="FT149" s="841" t="s">
        <v>353</v>
      </c>
      <c r="FU149" s="841" t="s">
        <v>1416</v>
      </c>
      <c r="FV149" s="841" t="s">
        <v>353</v>
      </c>
      <c r="FW149" s="841" t="s">
        <v>353</v>
      </c>
      <c r="FX149" s="841" t="s">
        <v>353</v>
      </c>
      <c r="FY149" s="841" t="s">
        <v>353</v>
      </c>
      <c r="FZ149" s="841" t="s">
        <v>353</v>
      </c>
      <c r="GA149" s="841" t="s">
        <v>353</v>
      </c>
      <c r="GB149" s="841">
        <v>1</v>
      </c>
      <c r="GC149" s="841" t="s">
        <v>353</v>
      </c>
      <c r="GD149" s="841" t="s">
        <v>1395</v>
      </c>
      <c r="GE149" s="841" t="s">
        <v>353</v>
      </c>
      <c r="GF149" s="841" t="s">
        <v>353</v>
      </c>
      <c r="GG149" s="841" t="s">
        <v>353</v>
      </c>
      <c r="GH149" s="841">
        <v>121000</v>
      </c>
      <c r="GI149" s="841" t="s">
        <v>353</v>
      </c>
      <c r="GJ149" s="841" t="s">
        <v>353</v>
      </c>
      <c r="GK149" s="841" t="s">
        <v>353</v>
      </c>
      <c r="GL149" s="841" t="s">
        <v>2765</v>
      </c>
      <c r="GM149" s="841" t="s">
        <v>353</v>
      </c>
      <c r="GN149" s="841" t="s">
        <v>353</v>
      </c>
      <c r="GO149" s="841" t="s">
        <v>353</v>
      </c>
      <c r="GP149" s="841" t="s">
        <v>353</v>
      </c>
      <c r="GQ149" s="841" t="s">
        <v>353</v>
      </c>
      <c r="GR149" s="842">
        <v>44608.461111111108</v>
      </c>
      <c r="GS149" s="841" t="s">
        <v>2762</v>
      </c>
      <c r="GT149" s="841" t="s">
        <v>353</v>
      </c>
      <c r="GU149" s="841" t="s">
        <v>353</v>
      </c>
      <c r="GV149" s="841" t="s">
        <v>1076</v>
      </c>
      <c r="GW149" s="841" t="s">
        <v>353</v>
      </c>
      <c r="GX149" s="841" t="s">
        <v>353</v>
      </c>
      <c r="GY149" s="841">
        <v>24</v>
      </c>
      <c r="GZ149" s="841" t="s">
        <v>1529</v>
      </c>
      <c r="HA149" s="841" t="s">
        <v>353</v>
      </c>
      <c r="HB149" s="841" t="s">
        <v>353</v>
      </c>
      <c r="HC149" s="841" t="s">
        <v>1421</v>
      </c>
      <c r="HD149" s="841" t="s">
        <v>2766</v>
      </c>
      <c r="HE149" s="841" t="s">
        <v>353</v>
      </c>
      <c r="HF149" s="841" t="s">
        <v>353</v>
      </c>
      <c r="HG149" s="841" t="s">
        <v>353</v>
      </c>
      <c r="HH149" s="841" t="s">
        <v>353</v>
      </c>
      <c r="HI149" s="841" t="s">
        <v>1422</v>
      </c>
      <c r="HJ149" s="841" t="s">
        <v>353</v>
      </c>
      <c r="HK149" s="841">
        <v>605000</v>
      </c>
      <c r="HL149" s="841" t="s">
        <v>353</v>
      </c>
      <c r="HM149" s="841" t="s">
        <v>1530</v>
      </c>
      <c r="HN149" s="841" t="s">
        <v>353</v>
      </c>
      <c r="HO149" s="841" t="s">
        <v>353</v>
      </c>
      <c r="HP149" s="841">
        <v>36239.5</v>
      </c>
      <c r="HQ149" s="841" t="s">
        <v>353</v>
      </c>
      <c r="HR149" s="841" t="s">
        <v>353</v>
      </c>
      <c r="HS149" s="841">
        <v>605000</v>
      </c>
      <c r="HT149" s="841" t="s">
        <v>353</v>
      </c>
      <c r="HU149" s="841" t="s">
        <v>353</v>
      </c>
      <c r="HV149" s="841" t="s">
        <v>353</v>
      </c>
      <c r="HW149" s="841">
        <v>925000</v>
      </c>
      <c r="HX149" s="841" t="s">
        <v>353</v>
      </c>
      <c r="HY149" s="841" t="s">
        <v>353</v>
      </c>
      <c r="HZ149" s="841" t="s">
        <v>353</v>
      </c>
      <c r="IA149" s="841" t="s">
        <v>353</v>
      </c>
      <c r="IB149" s="841" t="s">
        <v>1455</v>
      </c>
      <c r="IC149" s="841" t="s">
        <v>353</v>
      </c>
      <c r="ID149" s="841" t="s">
        <v>353</v>
      </c>
      <c r="IE149" s="841" t="s">
        <v>353</v>
      </c>
      <c r="IF149" s="841" t="s">
        <v>353</v>
      </c>
      <c r="IG149" s="841" t="s">
        <v>353</v>
      </c>
      <c r="IH149" s="841" t="s">
        <v>353</v>
      </c>
      <c r="II149" s="841" t="s">
        <v>353</v>
      </c>
      <c r="IJ149" s="841" t="s">
        <v>353</v>
      </c>
      <c r="IK149" s="841" t="s">
        <v>353</v>
      </c>
      <c r="IL149" s="841">
        <v>605000</v>
      </c>
      <c r="IM149" s="841" t="s">
        <v>353</v>
      </c>
      <c r="IN149" s="841" t="s">
        <v>353</v>
      </c>
      <c r="IO149" s="841" t="s">
        <v>353</v>
      </c>
      <c r="IP149" s="841" t="s">
        <v>353</v>
      </c>
      <c r="IQ149" s="841" t="s">
        <v>353</v>
      </c>
      <c r="IR149" s="841">
        <v>0</v>
      </c>
      <c r="IS149" s="841" t="s">
        <v>353</v>
      </c>
      <c r="IT149" s="841" t="s">
        <v>353</v>
      </c>
      <c r="IU149" s="841" t="s">
        <v>353</v>
      </c>
      <c r="IV149" s="841" t="s">
        <v>353</v>
      </c>
      <c r="IW149" s="841" t="s">
        <v>353</v>
      </c>
      <c r="IX149" s="841" t="s">
        <v>353</v>
      </c>
      <c r="IY149" s="841" t="s">
        <v>1622</v>
      </c>
      <c r="IZ149" s="841" t="s">
        <v>353</v>
      </c>
      <c r="JA149" s="841">
        <v>605000</v>
      </c>
      <c r="JB149" s="841" t="s">
        <v>353</v>
      </c>
      <c r="JC149" s="841" t="s">
        <v>353</v>
      </c>
      <c r="JD149" s="841" t="s">
        <v>1527</v>
      </c>
      <c r="JE149" s="841" t="s">
        <v>353</v>
      </c>
      <c r="JF149" s="841" t="s">
        <v>2767</v>
      </c>
      <c r="JG149" s="841" t="s">
        <v>2768</v>
      </c>
      <c r="JH149" s="841" t="s">
        <v>2769</v>
      </c>
      <c r="JI149" s="841" t="s">
        <v>2770</v>
      </c>
    </row>
    <row r="150" spans="1:269" x14ac:dyDescent="0.25">
      <c r="A150" s="841" t="s">
        <v>2771</v>
      </c>
      <c r="B150" s="841" t="s">
        <v>353</v>
      </c>
      <c r="C150" s="841" t="s">
        <v>1403</v>
      </c>
      <c r="D150" s="841" t="s">
        <v>353</v>
      </c>
      <c r="E150" s="841" t="s">
        <v>33</v>
      </c>
      <c r="F150" s="841" t="s">
        <v>1405</v>
      </c>
      <c r="G150" s="841" t="s">
        <v>2772</v>
      </c>
      <c r="H150" s="841" t="s">
        <v>353</v>
      </c>
      <c r="I150" s="841" t="s">
        <v>33</v>
      </c>
      <c r="J150" s="841" t="s">
        <v>353</v>
      </c>
      <c r="K150" s="841" t="s">
        <v>2167</v>
      </c>
      <c r="L150" s="842">
        <v>44608.334722222222</v>
      </c>
      <c r="M150" s="841" t="s">
        <v>353</v>
      </c>
      <c r="N150" s="841" t="s">
        <v>33</v>
      </c>
      <c r="O150" s="841" t="s">
        <v>353</v>
      </c>
      <c r="P150" s="841" t="s">
        <v>673</v>
      </c>
      <c r="Q150" s="841" t="s">
        <v>353</v>
      </c>
      <c r="R150" s="841" t="s">
        <v>353</v>
      </c>
      <c r="S150" s="841" t="s">
        <v>61</v>
      </c>
      <c r="T150" s="841" t="s">
        <v>1390</v>
      </c>
      <c r="U150" s="841" t="s">
        <v>353</v>
      </c>
      <c r="V150" s="841" t="s">
        <v>353</v>
      </c>
      <c r="W150" s="841" t="s">
        <v>1405</v>
      </c>
      <c r="X150" s="841" t="s">
        <v>1405</v>
      </c>
      <c r="Y150" s="841" t="s">
        <v>353</v>
      </c>
      <c r="Z150" s="841" t="s">
        <v>353</v>
      </c>
      <c r="AA150" s="841" t="s">
        <v>673</v>
      </c>
      <c r="AB150" s="843">
        <v>44594</v>
      </c>
      <c r="AC150" s="841">
        <v>352000</v>
      </c>
      <c r="AD150" s="841" t="s">
        <v>353</v>
      </c>
      <c r="AE150" s="841" t="s">
        <v>673</v>
      </c>
      <c r="AF150" s="841">
        <v>1463.73</v>
      </c>
      <c r="AG150" s="841" t="s">
        <v>353</v>
      </c>
      <c r="AH150" s="841">
        <v>1800</v>
      </c>
      <c r="AI150" s="841" t="s">
        <v>1406</v>
      </c>
      <c r="AJ150" s="841" t="s">
        <v>2198</v>
      </c>
      <c r="AK150" s="841">
        <v>75</v>
      </c>
      <c r="AL150" s="841" t="s">
        <v>353</v>
      </c>
      <c r="AM150" s="841">
        <v>430000</v>
      </c>
      <c r="AN150" s="841" t="s">
        <v>33</v>
      </c>
      <c r="AO150" s="841" t="s">
        <v>353</v>
      </c>
      <c r="AP150" s="841" t="s">
        <v>353</v>
      </c>
      <c r="AQ150" s="841" t="s">
        <v>353</v>
      </c>
      <c r="AR150" s="841" t="s">
        <v>33</v>
      </c>
      <c r="AS150" s="841" t="s">
        <v>353</v>
      </c>
      <c r="AT150" s="841" t="s">
        <v>353</v>
      </c>
      <c r="AU150" s="841" t="s">
        <v>1405</v>
      </c>
      <c r="AV150" s="841" t="s">
        <v>353</v>
      </c>
      <c r="AW150" s="843">
        <v>44592</v>
      </c>
      <c r="AX150" s="841" t="s">
        <v>353</v>
      </c>
      <c r="AY150" s="841" t="s">
        <v>353</v>
      </c>
      <c r="AZ150" s="841" t="s">
        <v>353</v>
      </c>
      <c r="BA150" s="841" t="s">
        <v>353</v>
      </c>
      <c r="BB150" s="841" t="s">
        <v>353</v>
      </c>
      <c r="BC150" s="841">
        <v>341449</v>
      </c>
      <c r="BD150" s="841" t="s">
        <v>353</v>
      </c>
      <c r="BE150" s="841" t="s">
        <v>353</v>
      </c>
      <c r="BF150" s="841" t="s">
        <v>353</v>
      </c>
      <c r="BG150" s="841" t="s">
        <v>353</v>
      </c>
      <c r="BH150" s="841" t="s">
        <v>353</v>
      </c>
      <c r="BI150" s="841" t="s">
        <v>353</v>
      </c>
      <c r="BJ150" s="841" t="s">
        <v>353</v>
      </c>
      <c r="BK150" s="841" t="s">
        <v>353</v>
      </c>
      <c r="BL150" s="841" t="s">
        <v>2773</v>
      </c>
      <c r="BM150" s="842">
        <v>44603.581250000003</v>
      </c>
      <c r="BN150" s="841" t="s">
        <v>353</v>
      </c>
      <c r="BO150" s="841" t="s">
        <v>353</v>
      </c>
      <c r="BP150" s="841" t="s">
        <v>673</v>
      </c>
      <c r="BQ150" s="841" t="s">
        <v>353</v>
      </c>
      <c r="BR150" s="841" t="s">
        <v>353</v>
      </c>
      <c r="BS150" s="841" t="s">
        <v>353</v>
      </c>
      <c r="BT150" s="841">
        <v>393000</v>
      </c>
      <c r="BU150" s="841" t="s">
        <v>353</v>
      </c>
      <c r="BV150" s="841" t="s">
        <v>2774</v>
      </c>
      <c r="BW150" s="841" t="s">
        <v>1578</v>
      </c>
      <c r="BX150" s="841" t="s">
        <v>2775</v>
      </c>
      <c r="BY150" s="841" t="s">
        <v>353</v>
      </c>
      <c r="BZ150" s="841" t="s">
        <v>353</v>
      </c>
      <c r="CA150" s="841" t="s">
        <v>353</v>
      </c>
      <c r="CB150" s="841" t="s">
        <v>353</v>
      </c>
      <c r="CC150" s="841" t="s">
        <v>353</v>
      </c>
      <c r="CD150" s="841" t="s">
        <v>353</v>
      </c>
      <c r="CE150" s="841" t="s">
        <v>353</v>
      </c>
      <c r="CF150" s="841" t="s">
        <v>353</v>
      </c>
      <c r="CG150" s="841" t="s">
        <v>353</v>
      </c>
      <c r="CH150" s="841" t="s">
        <v>353</v>
      </c>
      <c r="CI150" s="841" t="s">
        <v>33</v>
      </c>
      <c r="CJ150" s="841">
        <v>1080</v>
      </c>
      <c r="CK150" s="841">
        <v>11</v>
      </c>
      <c r="CL150" s="841" t="s">
        <v>353</v>
      </c>
      <c r="CM150" s="841">
        <v>20</v>
      </c>
      <c r="CN150" s="841" t="s">
        <v>353</v>
      </c>
      <c r="CO150" s="841" t="s">
        <v>353</v>
      </c>
      <c r="CP150" s="841" t="s">
        <v>2776</v>
      </c>
      <c r="CQ150" s="841" t="s">
        <v>353</v>
      </c>
      <c r="CR150" s="841" t="s">
        <v>353</v>
      </c>
      <c r="CS150" s="841" t="s">
        <v>1405</v>
      </c>
      <c r="CT150" s="841" t="s">
        <v>353</v>
      </c>
      <c r="CU150" s="841" t="s">
        <v>1391</v>
      </c>
      <c r="CV150" s="841" t="s">
        <v>353</v>
      </c>
      <c r="CW150" s="841" t="s">
        <v>353</v>
      </c>
      <c r="CX150" s="841" t="s">
        <v>353</v>
      </c>
      <c r="CY150" s="841" t="s">
        <v>353</v>
      </c>
      <c r="CZ150" s="841" t="s">
        <v>353</v>
      </c>
      <c r="DA150" s="841" t="s">
        <v>353</v>
      </c>
      <c r="DB150" s="843">
        <v>44565</v>
      </c>
      <c r="DC150" s="841" t="s">
        <v>353</v>
      </c>
      <c r="DD150" s="841" t="s">
        <v>353</v>
      </c>
      <c r="DE150" s="841" t="s">
        <v>353</v>
      </c>
      <c r="DF150" s="841">
        <v>21</v>
      </c>
      <c r="DG150" s="841" t="s">
        <v>353</v>
      </c>
      <c r="DH150" s="841" t="s">
        <v>353</v>
      </c>
      <c r="DI150" s="841" t="s">
        <v>353</v>
      </c>
      <c r="DJ150" s="841" t="s">
        <v>2777</v>
      </c>
      <c r="DK150" s="841" t="s">
        <v>353</v>
      </c>
      <c r="DL150" s="842">
        <v>44547.453472222223</v>
      </c>
      <c r="DM150" s="841" t="s">
        <v>353</v>
      </c>
      <c r="DN150" s="841" t="s">
        <v>33</v>
      </c>
      <c r="DO150" s="841" t="s">
        <v>673</v>
      </c>
      <c r="DP150" s="841" t="s">
        <v>1481</v>
      </c>
      <c r="DQ150" s="841" t="s">
        <v>673</v>
      </c>
      <c r="DR150" s="841">
        <v>525000</v>
      </c>
      <c r="DS150" s="841">
        <v>21</v>
      </c>
      <c r="DT150" s="841" t="s">
        <v>353</v>
      </c>
      <c r="DU150" s="841" t="s">
        <v>353</v>
      </c>
      <c r="DV150" s="841">
        <v>299305.59999999998</v>
      </c>
      <c r="DW150" s="841">
        <v>352000</v>
      </c>
      <c r="DX150" s="841" t="s">
        <v>33</v>
      </c>
      <c r="DY150" s="841" t="s">
        <v>353</v>
      </c>
      <c r="DZ150" s="841">
        <v>0</v>
      </c>
      <c r="EA150" s="841" t="s">
        <v>353</v>
      </c>
      <c r="EB150" s="841" t="s">
        <v>353</v>
      </c>
      <c r="EC150" s="841" t="s">
        <v>353</v>
      </c>
      <c r="ED150" s="841" t="s">
        <v>353</v>
      </c>
      <c r="EE150" s="841" t="s">
        <v>673</v>
      </c>
      <c r="EF150" s="841" t="s">
        <v>353</v>
      </c>
      <c r="EG150" s="841" t="s">
        <v>353</v>
      </c>
      <c r="EH150" s="841" t="s">
        <v>33</v>
      </c>
      <c r="EI150" s="841">
        <v>52694.400000000001</v>
      </c>
      <c r="EJ150" s="841" t="s">
        <v>353</v>
      </c>
      <c r="EK150" s="841" t="s">
        <v>1847</v>
      </c>
      <c r="EL150" s="841" t="s">
        <v>1930</v>
      </c>
      <c r="EM150" s="841">
        <v>0</v>
      </c>
      <c r="EN150" s="841" t="s">
        <v>353</v>
      </c>
      <c r="EO150" s="841" t="s">
        <v>353</v>
      </c>
      <c r="EP150" s="841" t="s">
        <v>353</v>
      </c>
      <c r="EQ150" s="841" t="s">
        <v>353</v>
      </c>
      <c r="ER150" s="841" t="s">
        <v>33</v>
      </c>
      <c r="ES150" s="841" t="s">
        <v>33</v>
      </c>
      <c r="ET150" s="841" t="s">
        <v>1414</v>
      </c>
      <c r="EU150" s="841" t="s">
        <v>2141</v>
      </c>
      <c r="EV150" s="841" t="s">
        <v>353</v>
      </c>
      <c r="EW150" s="841" t="s">
        <v>353</v>
      </c>
      <c r="EX150" s="841" t="s">
        <v>33</v>
      </c>
      <c r="EY150" s="842">
        <v>44608.333333333336</v>
      </c>
      <c r="EZ150" s="841" t="s">
        <v>353</v>
      </c>
      <c r="FA150" s="841" t="s">
        <v>353</v>
      </c>
      <c r="FB150" s="841" t="s">
        <v>353</v>
      </c>
      <c r="FC150" s="841" t="s">
        <v>353</v>
      </c>
      <c r="FD150" s="841">
        <v>480000</v>
      </c>
      <c r="FE150" s="842">
        <v>44547.454861111109</v>
      </c>
      <c r="FF150" s="841" t="s">
        <v>353</v>
      </c>
      <c r="FG150" s="841" t="s">
        <v>353</v>
      </c>
      <c r="FH150" s="841" t="s">
        <v>353</v>
      </c>
      <c r="FI150" s="841" t="s">
        <v>353</v>
      </c>
      <c r="FJ150" s="841" t="s">
        <v>353</v>
      </c>
      <c r="FK150" s="841" t="s">
        <v>353</v>
      </c>
      <c r="FL150" s="841" t="s">
        <v>353</v>
      </c>
      <c r="FM150" s="841" t="s">
        <v>353</v>
      </c>
      <c r="FN150" s="841" t="s">
        <v>353</v>
      </c>
      <c r="FO150" s="841" t="s">
        <v>1648</v>
      </c>
      <c r="FP150" s="841" t="s">
        <v>2175</v>
      </c>
      <c r="FQ150" s="841" t="s">
        <v>353</v>
      </c>
      <c r="FR150" s="841" t="s">
        <v>353</v>
      </c>
      <c r="FS150" s="841" t="s">
        <v>353</v>
      </c>
      <c r="FT150" s="841" t="s">
        <v>353</v>
      </c>
      <c r="FU150" s="841" t="s">
        <v>2176</v>
      </c>
      <c r="FV150" s="841" t="s">
        <v>353</v>
      </c>
      <c r="FW150" s="841" t="s">
        <v>353</v>
      </c>
      <c r="FX150" s="841" t="s">
        <v>353</v>
      </c>
      <c r="FY150" s="841" t="s">
        <v>353</v>
      </c>
      <c r="FZ150" s="841" t="s">
        <v>353</v>
      </c>
      <c r="GA150" s="841" t="s">
        <v>353</v>
      </c>
      <c r="GB150" s="841">
        <v>1</v>
      </c>
      <c r="GC150" s="841" t="s">
        <v>353</v>
      </c>
      <c r="GD150" s="841" t="s">
        <v>1395</v>
      </c>
      <c r="GE150" s="841" t="s">
        <v>353</v>
      </c>
      <c r="GF150" s="841">
        <v>0</v>
      </c>
      <c r="GG150" s="841" t="s">
        <v>349</v>
      </c>
      <c r="GH150" s="841">
        <v>352000</v>
      </c>
      <c r="GI150" s="841" t="s">
        <v>353</v>
      </c>
      <c r="GJ150" s="841">
        <v>480000</v>
      </c>
      <c r="GK150" s="841" t="s">
        <v>353</v>
      </c>
      <c r="GL150" s="841" t="s">
        <v>1468</v>
      </c>
      <c r="GM150" s="841" t="s">
        <v>353</v>
      </c>
      <c r="GN150" s="841" t="s">
        <v>353</v>
      </c>
      <c r="GO150" s="841" t="s">
        <v>353</v>
      </c>
      <c r="GP150" s="841" t="s">
        <v>353</v>
      </c>
      <c r="GQ150" s="841" t="s">
        <v>353</v>
      </c>
      <c r="GR150" s="842">
        <v>44595.642361111109</v>
      </c>
      <c r="GS150" s="841" t="s">
        <v>2778</v>
      </c>
      <c r="GT150" s="841" t="s">
        <v>353</v>
      </c>
      <c r="GU150" s="841" t="s">
        <v>353</v>
      </c>
      <c r="GV150" s="841" t="s">
        <v>1419</v>
      </c>
      <c r="GW150" s="841" t="s">
        <v>353</v>
      </c>
      <c r="GX150" s="841" t="s">
        <v>353</v>
      </c>
      <c r="GY150" s="841">
        <v>24</v>
      </c>
      <c r="GZ150" s="841" t="s">
        <v>1420</v>
      </c>
      <c r="HA150" s="841" t="s">
        <v>353</v>
      </c>
      <c r="HB150" s="841" t="s">
        <v>353</v>
      </c>
      <c r="HC150" s="841" t="s">
        <v>1421</v>
      </c>
      <c r="HD150" s="841" t="s">
        <v>2779</v>
      </c>
      <c r="HE150" s="841">
        <v>3520</v>
      </c>
      <c r="HF150" s="841" t="s">
        <v>353</v>
      </c>
      <c r="HG150" s="841" t="s">
        <v>353</v>
      </c>
      <c r="HH150" s="841">
        <v>840</v>
      </c>
      <c r="HI150" s="841" t="s">
        <v>1422</v>
      </c>
      <c r="HJ150" s="841" t="s">
        <v>353</v>
      </c>
      <c r="HK150" s="841">
        <v>352000</v>
      </c>
      <c r="HL150" s="841" t="s">
        <v>49</v>
      </c>
      <c r="HM150" s="841" t="s">
        <v>1530</v>
      </c>
      <c r="HN150" s="841" t="s">
        <v>27</v>
      </c>
      <c r="HO150" s="841" t="s">
        <v>353</v>
      </c>
      <c r="HP150" s="841">
        <v>17564.8</v>
      </c>
      <c r="HQ150" s="841" t="s">
        <v>353</v>
      </c>
      <c r="HR150" s="841" t="s">
        <v>353</v>
      </c>
      <c r="HS150" s="841">
        <v>299305.59999999998</v>
      </c>
      <c r="HT150" s="841" t="s">
        <v>353</v>
      </c>
      <c r="HU150" s="841" t="s">
        <v>353</v>
      </c>
      <c r="HV150" s="841" t="s">
        <v>353</v>
      </c>
      <c r="HW150" s="841">
        <v>525000</v>
      </c>
      <c r="HX150" s="841" t="s">
        <v>353</v>
      </c>
      <c r="HY150" s="841" t="s">
        <v>353</v>
      </c>
      <c r="HZ150" s="841" t="s">
        <v>353</v>
      </c>
      <c r="IA150" s="841" t="s">
        <v>353</v>
      </c>
      <c r="IB150" s="841" t="s">
        <v>1424</v>
      </c>
      <c r="IC150" s="841" t="s">
        <v>353</v>
      </c>
      <c r="ID150" s="841" t="s">
        <v>353</v>
      </c>
      <c r="IE150" s="841" t="s">
        <v>353</v>
      </c>
      <c r="IF150" s="841" t="s">
        <v>353</v>
      </c>
      <c r="IG150" s="841" t="s">
        <v>353</v>
      </c>
      <c r="IH150" s="841" t="s">
        <v>353</v>
      </c>
      <c r="II150" s="841" t="s">
        <v>353</v>
      </c>
      <c r="IJ150" s="841" t="s">
        <v>353</v>
      </c>
      <c r="IK150" s="841" t="s">
        <v>353</v>
      </c>
      <c r="IL150" s="841">
        <v>347609</v>
      </c>
      <c r="IM150" s="841" t="s">
        <v>353</v>
      </c>
      <c r="IN150" s="841" t="s">
        <v>353</v>
      </c>
      <c r="IO150" s="841">
        <v>0</v>
      </c>
      <c r="IP150" s="841">
        <v>3520</v>
      </c>
      <c r="IQ150" s="841" t="s">
        <v>353</v>
      </c>
      <c r="IR150" s="841">
        <v>3</v>
      </c>
      <c r="IS150" s="841" t="s">
        <v>33</v>
      </c>
      <c r="IT150" s="841" t="s">
        <v>353</v>
      </c>
      <c r="IU150" s="841" t="s">
        <v>33</v>
      </c>
      <c r="IV150" s="841" t="s">
        <v>353</v>
      </c>
      <c r="IW150" s="841" t="s">
        <v>353</v>
      </c>
      <c r="IX150" s="841" t="s">
        <v>353</v>
      </c>
      <c r="IY150" s="841" t="s">
        <v>353</v>
      </c>
      <c r="IZ150" s="841" t="s">
        <v>353</v>
      </c>
      <c r="JA150" s="841">
        <v>352000</v>
      </c>
      <c r="JB150" s="841" t="s">
        <v>353</v>
      </c>
      <c r="JC150" s="841" t="s">
        <v>33</v>
      </c>
      <c r="JD150" s="841" t="s">
        <v>1847</v>
      </c>
      <c r="JE150" s="841" t="s">
        <v>33</v>
      </c>
      <c r="JF150" s="841" t="s">
        <v>353</v>
      </c>
      <c r="JG150" s="841" t="s">
        <v>353</v>
      </c>
      <c r="JH150" s="841" t="s">
        <v>2780</v>
      </c>
      <c r="JI150" s="841" t="s">
        <v>2781</v>
      </c>
    </row>
    <row r="151" spans="1:269" x14ac:dyDescent="0.25">
      <c r="A151" s="841" t="s">
        <v>2782</v>
      </c>
      <c r="B151" s="841" t="s">
        <v>353</v>
      </c>
      <c r="C151" s="841" t="s">
        <v>353</v>
      </c>
      <c r="D151" s="841" t="s">
        <v>353</v>
      </c>
      <c r="E151" s="841" t="s">
        <v>353</v>
      </c>
      <c r="F151" s="841" t="s">
        <v>353</v>
      </c>
      <c r="G151" s="841" t="s">
        <v>1428</v>
      </c>
      <c r="H151" s="841" t="s">
        <v>353</v>
      </c>
      <c r="I151" s="841" t="s">
        <v>353</v>
      </c>
      <c r="J151" s="841" t="s">
        <v>353</v>
      </c>
      <c r="K151" s="841" t="s">
        <v>353</v>
      </c>
      <c r="L151" s="842">
        <v>44608.480555555558</v>
      </c>
      <c r="M151" s="841" t="s">
        <v>353</v>
      </c>
      <c r="N151" s="841" t="s">
        <v>353</v>
      </c>
      <c r="O151" s="841" t="s">
        <v>353</v>
      </c>
      <c r="P151" s="841" t="s">
        <v>353</v>
      </c>
      <c r="Q151" s="841" t="s">
        <v>353</v>
      </c>
      <c r="R151" s="841" t="s">
        <v>353</v>
      </c>
      <c r="S151" s="841" t="s">
        <v>67</v>
      </c>
      <c r="T151" s="841" t="s">
        <v>1390</v>
      </c>
      <c r="U151" s="841" t="s">
        <v>353</v>
      </c>
      <c r="V151" s="841" t="s">
        <v>353</v>
      </c>
      <c r="W151" s="841" t="s">
        <v>353</v>
      </c>
      <c r="X151" s="841" t="s">
        <v>1405</v>
      </c>
      <c r="Y151" s="841" t="s">
        <v>353</v>
      </c>
      <c r="Z151" s="841" t="s">
        <v>353</v>
      </c>
      <c r="AA151" s="841" t="s">
        <v>353</v>
      </c>
      <c r="AB151" s="841" t="s">
        <v>353</v>
      </c>
      <c r="AC151" s="841">
        <v>34400</v>
      </c>
      <c r="AD151" s="841" t="s">
        <v>353</v>
      </c>
      <c r="AE151" s="841" t="s">
        <v>353</v>
      </c>
      <c r="AF151" s="841" t="s">
        <v>353</v>
      </c>
      <c r="AG151" s="841" t="s">
        <v>353</v>
      </c>
      <c r="AH151" s="841">
        <v>2000</v>
      </c>
      <c r="AI151" s="841" t="s">
        <v>1406</v>
      </c>
      <c r="AJ151" s="841" t="s">
        <v>353</v>
      </c>
      <c r="AK151" s="841">
        <v>75</v>
      </c>
      <c r="AL151" s="841" t="s">
        <v>353</v>
      </c>
      <c r="AM151" s="841" t="s">
        <v>353</v>
      </c>
      <c r="AN151" s="841" t="s">
        <v>353</v>
      </c>
      <c r="AO151" s="841" t="s">
        <v>353</v>
      </c>
      <c r="AP151" s="841" t="s">
        <v>353</v>
      </c>
      <c r="AQ151" s="841" t="s">
        <v>353</v>
      </c>
      <c r="AR151" s="841" t="s">
        <v>353</v>
      </c>
      <c r="AS151" s="841" t="s">
        <v>353</v>
      </c>
      <c r="AT151" s="841" t="s">
        <v>353</v>
      </c>
      <c r="AU151" s="841" t="s">
        <v>353</v>
      </c>
      <c r="AV151" s="841" t="s">
        <v>353</v>
      </c>
      <c r="AW151" s="841" t="s">
        <v>353</v>
      </c>
      <c r="AX151" s="841" t="s">
        <v>353</v>
      </c>
      <c r="AY151" s="841" t="s">
        <v>353</v>
      </c>
      <c r="AZ151" s="841" t="s">
        <v>353</v>
      </c>
      <c r="BA151" s="841" t="s">
        <v>353</v>
      </c>
      <c r="BB151" s="841" t="s">
        <v>353</v>
      </c>
      <c r="BC151" s="841">
        <v>168990</v>
      </c>
      <c r="BD151" s="841" t="s">
        <v>353</v>
      </c>
      <c r="BE151" s="841" t="s">
        <v>353</v>
      </c>
      <c r="BF151" s="841" t="s">
        <v>353</v>
      </c>
      <c r="BG151" s="841" t="s">
        <v>353</v>
      </c>
      <c r="BH151" s="841" t="s">
        <v>353</v>
      </c>
      <c r="BI151" s="841" t="s">
        <v>353</v>
      </c>
      <c r="BJ151" s="841" t="s">
        <v>353</v>
      </c>
      <c r="BK151" s="841" t="s">
        <v>353</v>
      </c>
      <c r="BL151" s="841" t="s">
        <v>2783</v>
      </c>
      <c r="BM151" s="842">
        <v>44561.672222222223</v>
      </c>
      <c r="BN151" s="841" t="s">
        <v>353</v>
      </c>
      <c r="BO151" s="841" t="s">
        <v>353</v>
      </c>
      <c r="BP151" s="841" t="s">
        <v>353</v>
      </c>
      <c r="BQ151" s="841" t="s">
        <v>353</v>
      </c>
      <c r="BR151" s="841" t="s">
        <v>353</v>
      </c>
      <c r="BS151" s="841" t="s">
        <v>353</v>
      </c>
      <c r="BT151" s="841">
        <v>172000</v>
      </c>
      <c r="BU151" s="841" t="s">
        <v>353</v>
      </c>
      <c r="BV151" s="841" t="s">
        <v>2784</v>
      </c>
      <c r="BW151" s="841" t="s">
        <v>353</v>
      </c>
      <c r="BX151" s="841" t="s">
        <v>2785</v>
      </c>
      <c r="BY151" s="841" t="s">
        <v>353</v>
      </c>
      <c r="BZ151" s="841" t="s">
        <v>353</v>
      </c>
      <c r="CA151" s="841" t="s">
        <v>353</v>
      </c>
      <c r="CB151" s="841" t="s">
        <v>353</v>
      </c>
      <c r="CC151" s="841" t="s">
        <v>353</v>
      </c>
      <c r="CD151" s="841" t="s">
        <v>353</v>
      </c>
      <c r="CE151" s="841" t="s">
        <v>353</v>
      </c>
      <c r="CF151" s="841" t="s">
        <v>353</v>
      </c>
      <c r="CG151" s="841" t="s">
        <v>353</v>
      </c>
      <c r="CH151" s="841" t="s">
        <v>353</v>
      </c>
      <c r="CI151" s="841" t="s">
        <v>353</v>
      </c>
      <c r="CJ151" s="841" t="s">
        <v>353</v>
      </c>
      <c r="CK151" s="841">
        <v>9</v>
      </c>
      <c r="CL151" s="841" t="s">
        <v>353</v>
      </c>
      <c r="CM151" s="841">
        <v>11</v>
      </c>
      <c r="CN151" s="841" t="s">
        <v>353</v>
      </c>
      <c r="CO151" s="841" t="s">
        <v>353</v>
      </c>
      <c r="CP151" s="841" t="s">
        <v>2786</v>
      </c>
      <c r="CQ151" s="841" t="s">
        <v>353</v>
      </c>
      <c r="CR151" s="841" t="s">
        <v>353</v>
      </c>
      <c r="CS151" s="841" t="s">
        <v>353</v>
      </c>
      <c r="CT151" s="841" t="s">
        <v>353</v>
      </c>
      <c r="CU151" s="841" t="s">
        <v>1391</v>
      </c>
      <c r="CV151" s="841" t="s">
        <v>353</v>
      </c>
      <c r="CW151" s="841" t="s">
        <v>353</v>
      </c>
      <c r="CX151" s="841" t="s">
        <v>353</v>
      </c>
      <c r="CY151" s="841" t="s">
        <v>353</v>
      </c>
      <c r="CZ151" s="841">
        <v>3</v>
      </c>
      <c r="DA151" s="841" t="s">
        <v>353</v>
      </c>
      <c r="DB151" s="841" t="s">
        <v>353</v>
      </c>
      <c r="DC151" s="841" t="s">
        <v>353</v>
      </c>
      <c r="DD151" s="841" t="s">
        <v>353</v>
      </c>
      <c r="DE151" s="841" t="s">
        <v>353</v>
      </c>
      <c r="DF151" s="841">
        <v>24</v>
      </c>
      <c r="DG151" s="841" t="s">
        <v>353</v>
      </c>
      <c r="DH151" s="841" t="s">
        <v>353</v>
      </c>
      <c r="DI151" s="841" t="s">
        <v>353</v>
      </c>
      <c r="DJ151" s="841" t="s">
        <v>2764</v>
      </c>
      <c r="DK151" s="841" t="s">
        <v>353</v>
      </c>
      <c r="DL151" s="842">
        <v>44545.672222222223</v>
      </c>
      <c r="DM151" s="841" t="s">
        <v>353</v>
      </c>
      <c r="DN151" s="841" t="s">
        <v>353</v>
      </c>
      <c r="DO151" s="841" t="s">
        <v>353</v>
      </c>
      <c r="DP151" s="841" t="s">
        <v>353</v>
      </c>
      <c r="DQ151" s="841" t="s">
        <v>1565</v>
      </c>
      <c r="DR151" s="841">
        <v>230000</v>
      </c>
      <c r="DS151" s="841">
        <v>24</v>
      </c>
      <c r="DT151" s="841" t="s">
        <v>353</v>
      </c>
      <c r="DU151" s="841" t="s">
        <v>353</v>
      </c>
      <c r="DV151" s="841" t="s">
        <v>353</v>
      </c>
      <c r="DW151" s="841">
        <v>172000</v>
      </c>
      <c r="DX151" s="841" t="s">
        <v>353</v>
      </c>
      <c r="DY151" s="841" t="s">
        <v>353</v>
      </c>
      <c r="DZ151" s="841" t="s">
        <v>353</v>
      </c>
      <c r="EA151" s="841" t="s">
        <v>353</v>
      </c>
      <c r="EB151" s="841" t="s">
        <v>353</v>
      </c>
      <c r="EC151" s="841" t="s">
        <v>353</v>
      </c>
      <c r="ED151" s="841" t="s">
        <v>353</v>
      </c>
      <c r="EE151" s="841" t="s">
        <v>353</v>
      </c>
      <c r="EF151" s="841" t="s">
        <v>353</v>
      </c>
      <c r="EG151" s="841" t="s">
        <v>353</v>
      </c>
      <c r="EH151" s="841" t="s">
        <v>353</v>
      </c>
      <c r="EI151" s="841">
        <v>0</v>
      </c>
      <c r="EJ151" s="841" t="s">
        <v>353</v>
      </c>
      <c r="EK151" s="841" t="s">
        <v>353</v>
      </c>
      <c r="EL151" s="841" t="s">
        <v>353</v>
      </c>
      <c r="EM151" s="841" t="s">
        <v>353</v>
      </c>
      <c r="EN151" s="841" t="s">
        <v>353</v>
      </c>
      <c r="EO151" s="841" t="s">
        <v>353</v>
      </c>
      <c r="EP151" s="841" t="s">
        <v>353</v>
      </c>
      <c r="EQ151" s="841" t="s">
        <v>353</v>
      </c>
      <c r="ER151" s="841" t="s">
        <v>353</v>
      </c>
      <c r="ES151" s="841" t="s">
        <v>353</v>
      </c>
      <c r="ET151" s="841" t="s">
        <v>1566</v>
      </c>
      <c r="EU151" s="841" t="s">
        <v>353</v>
      </c>
      <c r="EV151" s="841" t="s">
        <v>353</v>
      </c>
      <c r="EW151" s="841" t="s">
        <v>353</v>
      </c>
      <c r="EX151" s="841" t="s">
        <v>353</v>
      </c>
      <c r="EY151" s="842">
        <v>44608.479861111111</v>
      </c>
      <c r="EZ151" s="841" t="s">
        <v>353</v>
      </c>
      <c r="FA151" s="841" t="s">
        <v>353</v>
      </c>
      <c r="FB151" s="841" t="s">
        <v>353</v>
      </c>
      <c r="FC151" s="841" t="s">
        <v>353</v>
      </c>
      <c r="FD151" s="841" t="s">
        <v>353</v>
      </c>
      <c r="FE151" s="842">
        <v>44606.425694444442</v>
      </c>
      <c r="FF151" s="841" t="s">
        <v>353</v>
      </c>
      <c r="FG151" s="841" t="s">
        <v>353</v>
      </c>
      <c r="FH151" s="841" t="s">
        <v>353</v>
      </c>
      <c r="FI151" s="841" t="s">
        <v>353</v>
      </c>
      <c r="FJ151" s="841" t="s">
        <v>353</v>
      </c>
      <c r="FK151" s="841" t="s">
        <v>353</v>
      </c>
      <c r="FL151" s="841" t="s">
        <v>353</v>
      </c>
      <c r="FM151" s="841" t="s">
        <v>353</v>
      </c>
      <c r="FN151" s="841" t="s">
        <v>353</v>
      </c>
      <c r="FO151" s="841" t="s">
        <v>1648</v>
      </c>
      <c r="FP151" s="841" t="s">
        <v>353</v>
      </c>
      <c r="FQ151" s="841" t="s">
        <v>353</v>
      </c>
      <c r="FR151" s="841" t="s">
        <v>353</v>
      </c>
      <c r="FS151" s="841" t="s">
        <v>353</v>
      </c>
      <c r="FT151" s="841" t="s">
        <v>353</v>
      </c>
      <c r="FU151" s="841" t="s">
        <v>1416</v>
      </c>
      <c r="FV151" s="841" t="s">
        <v>353</v>
      </c>
      <c r="FW151" s="841" t="s">
        <v>353</v>
      </c>
      <c r="FX151" s="841" t="s">
        <v>353</v>
      </c>
      <c r="FY151" s="841" t="s">
        <v>353</v>
      </c>
      <c r="FZ151" s="841" t="s">
        <v>353</v>
      </c>
      <c r="GA151" s="841" t="s">
        <v>353</v>
      </c>
      <c r="GB151" s="841">
        <v>1</v>
      </c>
      <c r="GC151" s="841" t="s">
        <v>353</v>
      </c>
      <c r="GD151" s="841" t="s">
        <v>1417</v>
      </c>
      <c r="GE151" s="841" t="s">
        <v>353</v>
      </c>
      <c r="GF151" s="841" t="s">
        <v>353</v>
      </c>
      <c r="GG151" s="841" t="s">
        <v>353</v>
      </c>
      <c r="GH151" s="841">
        <v>34400</v>
      </c>
      <c r="GI151" s="841" t="s">
        <v>353</v>
      </c>
      <c r="GJ151" s="841" t="s">
        <v>353</v>
      </c>
      <c r="GK151" s="841" t="s">
        <v>353</v>
      </c>
      <c r="GL151" s="841" t="s">
        <v>1418</v>
      </c>
      <c r="GM151" s="841" t="s">
        <v>353</v>
      </c>
      <c r="GN151" s="841" t="s">
        <v>353</v>
      </c>
      <c r="GO151" s="841" t="s">
        <v>353</v>
      </c>
      <c r="GP151" s="841" t="s">
        <v>353</v>
      </c>
      <c r="GQ151" s="841" t="s">
        <v>353</v>
      </c>
      <c r="GR151" s="842">
        <v>44608.479861111111</v>
      </c>
      <c r="GS151" s="841" t="s">
        <v>2784</v>
      </c>
      <c r="GT151" s="841" t="s">
        <v>353</v>
      </c>
      <c r="GU151" s="841" t="s">
        <v>353</v>
      </c>
      <c r="GV151" s="841" t="s">
        <v>1076</v>
      </c>
      <c r="GW151" s="841" t="s">
        <v>353</v>
      </c>
      <c r="GX151" s="841" t="s">
        <v>353</v>
      </c>
      <c r="GY151" s="841">
        <v>24</v>
      </c>
      <c r="GZ151" s="841" t="s">
        <v>1420</v>
      </c>
      <c r="HA151" s="841" t="s">
        <v>353</v>
      </c>
      <c r="HB151" s="841" t="s">
        <v>353</v>
      </c>
      <c r="HC151" s="841" t="s">
        <v>1421</v>
      </c>
      <c r="HD151" s="841" t="s">
        <v>2787</v>
      </c>
      <c r="HE151" s="841" t="s">
        <v>353</v>
      </c>
      <c r="HF151" s="841" t="s">
        <v>353</v>
      </c>
      <c r="HG151" s="841" t="s">
        <v>353</v>
      </c>
      <c r="HH151" s="841" t="s">
        <v>353</v>
      </c>
      <c r="HI151" s="841" t="s">
        <v>1422</v>
      </c>
      <c r="HJ151" s="841" t="s">
        <v>353</v>
      </c>
      <c r="HK151" s="841">
        <v>172000</v>
      </c>
      <c r="HL151" s="841" t="s">
        <v>353</v>
      </c>
      <c r="HM151" s="841" t="s">
        <v>1530</v>
      </c>
      <c r="HN151" s="841" t="s">
        <v>353</v>
      </c>
      <c r="HO151" s="841" t="s">
        <v>353</v>
      </c>
      <c r="HP151" s="841">
        <v>9958.7999999999993</v>
      </c>
      <c r="HQ151" s="841" t="s">
        <v>353</v>
      </c>
      <c r="HR151" s="841" t="s">
        <v>353</v>
      </c>
      <c r="HS151" s="841" t="s">
        <v>353</v>
      </c>
      <c r="HT151" s="841" t="s">
        <v>353</v>
      </c>
      <c r="HU151" s="841" t="s">
        <v>353</v>
      </c>
      <c r="HV151" s="841" t="s">
        <v>353</v>
      </c>
      <c r="HW151" s="841">
        <v>230000</v>
      </c>
      <c r="HX151" s="841" t="s">
        <v>353</v>
      </c>
      <c r="HY151" s="841" t="s">
        <v>353</v>
      </c>
      <c r="HZ151" s="841" t="s">
        <v>353</v>
      </c>
      <c r="IA151" s="841" t="s">
        <v>353</v>
      </c>
      <c r="IB151" s="841" t="s">
        <v>1424</v>
      </c>
      <c r="IC151" s="841" t="s">
        <v>353</v>
      </c>
      <c r="ID151" s="841" t="s">
        <v>353</v>
      </c>
      <c r="IE151" s="841" t="s">
        <v>353</v>
      </c>
      <c r="IF151" s="841" t="s">
        <v>353</v>
      </c>
      <c r="IG151" s="841" t="s">
        <v>353</v>
      </c>
      <c r="IH151" s="841" t="s">
        <v>353</v>
      </c>
      <c r="II151" s="841" t="s">
        <v>353</v>
      </c>
      <c r="IJ151" s="841" t="s">
        <v>353</v>
      </c>
      <c r="IK151" s="841" t="s">
        <v>353</v>
      </c>
      <c r="IL151" s="841" t="s">
        <v>353</v>
      </c>
      <c r="IM151" s="841" t="s">
        <v>353</v>
      </c>
      <c r="IN151" s="841" t="s">
        <v>353</v>
      </c>
      <c r="IO151" s="841" t="s">
        <v>353</v>
      </c>
      <c r="IP151" s="841" t="s">
        <v>353</v>
      </c>
      <c r="IQ151" s="841" t="s">
        <v>353</v>
      </c>
      <c r="IR151" s="841">
        <v>0</v>
      </c>
      <c r="IS151" s="841" t="s">
        <v>353</v>
      </c>
      <c r="IT151" s="841" t="s">
        <v>353</v>
      </c>
      <c r="IU151" s="841" t="s">
        <v>353</v>
      </c>
      <c r="IV151" s="841" t="s">
        <v>353</v>
      </c>
      <c r="IW151" s="841" t="s">
        <v>353</v>
      </c>
      <c r="IX151" s="841" t="s">
        <v>353</v>
      </c>
      <c r="IY151" s="841" t="s">
        <v>1622</v>
      </c>
      <c r="IZ151" s="841" t="s">
        <v>353</v>
      </c>
      <c r="JA151" s="841">
        <v>172000</v>
      </c>
      <c r="JB151" s="841" t="s">
        <v>353</v>
      </c>
      <c r="JC151" s="841" t="s">
        <v>353</v>
      </c>
      <c r="JD151" s="841" t="s">
        <v>1413</v>
      </c>
      <c r="JE151" s="841" t="s">
        <v>353</v>
      </c>
      <c r="JF151" s="841" t="s">
        <v>2788</v>
      </c>
      <c r="JG151" s="841" t="s">
        <v>2789</v>
      </c>
      <c r="JH151" s="841" t="s">
        <v>2790</v>
      </c>
      <c r="JI151" s="841" t="s">
        <v>2791</v>
      </c>
    </row>
    <row r="152" spans="1:269" x14ac:dyDescent="0.25">
      <c r="A152" s="841" t="s">
        <v>2792</v>
      </c>
      <c r="B152" s="841" t="s">
        <v>353</v>
      </c>
      <c r="C152" s="841" t="s">
        <v>353</v>
      </c>
      <c r="D152" s="841" t="s">
        <v>353</v>
      </c>
      <c r="E152" s="841" t="s">
        <v>33</v>
      </c>
      <c r="F152" s="841" t="s">
        <v>1405</v>
      </c>
      <c r="G152" s="841" t="s">
        <v>1876</v>
      </c>
      <c r="H152" s="841" t="s">
        <v>353</v>
      </c>
      <c r="I152" s="841" t="s">
        <v>353</v>
      </c>
      <c r="J152" s="841" t="s">
        <v>353</v>
      </c>
      <c r="K152" s="841" t="s">
        <v>2167</v>
      </c>
      <c r="L152" s="842">
        <v>44607.749305555553</v>
      </c>
      <c r="M152" s="841" t="s">
        <v>353</v>
      </c>
      <c r="N152" s="841" t="s">
        <v>353</v>
      </c>
      <c r="O152" s="841" t="s">
        <v>353</v>
      </c>
      <c r="P152" s="841" t="s">
        <v>33</v>
      </c>
      <c r="Q152" s="841" t="s">
        <v>353</v>
      </c>
      <c r="R152" s="841" t="s">
        <v>353</v>
      </c>
      <c r="S152" s="841" t="s">
        <v>64</v>
      </c>
      <c r="T152" s="841" t="s">
        <v>1390</v>
      </c>
      <c r="U152" s="841" t="s">
        <v>353</v>
      </c>
      <c r="V152" s="841" t="s">
        <v>353</v>
      </c>
      <c r="W152" s="841" t="s">
        <v>353</v>
      </c>
      <c r="X152" s="841" t="s">
        <v>1405</v>
      </c>
      <c r="Y152" s="841" t="s">
        <v>353</v>
      </c>
      <c r="Z152" s="841" t="s">
        <v>353</v>
      </c>
      <c r="AA152" s="841" t="s">
        <v>33</v>
      </c>
      <c r="AB152" s="841" t="s">
        <v>353</v>
      </c>
      <c r="AC152" s="841">
        <v>171000</v>
      </c>
      <c r="AD152" s="841" t="s">
        <v>353</v>
      </c>
      <c r="AE152" s="841" t="s">
        <v>33</v>
      </c>
      <c r="AF152" s="841">
        <v>1256.3800000000001</v>
      </c>
      <c r="AG152" s="841" t="s">
        <v>353</v>
      </c>
      <c r="AH152" s="841">
        <v>1400</v>
      </c>
      <c r="AI152" s="841" t="s">
        <v>1521</v>
      </c>
      <c r="AJ152" s="841" t="s">
        <v>353</v>
      </c>
      <c r="AK152" s="841">
        <v>75</v>
      </c>
      <c r="AL152" s="841" t="s">
        <v>353</v>
      </c>
      <c r="AM152" s="841" t="s">
        <v>353</v>
      </c>
      <c r="AN152" s="841" t="s">
        <v>33</v>
      </c>
      <c r="AO152" s="841" t="s">
        <v>353</v>
      </c>
      <c r="AP152" s="841" t="s">
        <v>353</v>
      </c>
      <c r="AQ152" s="841" t="s">
        <v>353</v>
      </c>
      <c r="AR152" s="841" t="s">
        <v>33</v>
      </c>
      <c r="AS152" s="841" t="s">
        <v>353</v>
      </c>
      <c r="AT152" s="841" t="s">
        <v>353</v>
      </c>
      <c r="AU152" s="841" t="s">
        <v>353</v>
      </c>
      <c r="AV152" s="841" t="s">
        <v>353</v>
      </c>
      <c r="AW152" s="843">
        <v>44571</v>
      </c>
      <c r="AX152" s="841" t="s">
        <v>353</v>
      </c>
      <c r="AY152" s="841" t="s">
        <v>353</v>
      </c>
      <c r="AZ152" s="841" t="s">
        <v>353</v>
      </c>
      <c r="BA152" s="841" t="s">
        <v>353</v>
      </c>
      <c r="BB152" s="841" t="s">
        <v>353</v>
      </c>
      <c r="BC152" s="841">
        <v>277500</v>
      </c>
      <c r="BD152" s="841" t="s">
        <v>353</v>
      </c>
      <c r="BE152" s="841" t="s">
        <v>353</v>
      </c>
      <c r="BF152" s="841" t="s">
        <v>353</v>
      </c>
      <c r="BG152" s="841" t="s">
        <v>353</v>
      </c>
      <c r="BH152" s="841" t="s">
        <v>353</v>
      </c>
      <c r="BI152" s="841" t="s">
        <v>353</v>
      </c>
      <c r="BJ152" s="841" t="s">
        <v>353</v>
      </c>
      <c r="BK152" s="841" t="s">
        <v>353</v>
      </c>
      <c r="BL152" s="841" t="s">
        <v>2273</v>
      </c>
      <c r="BM152" s="842">
        <v>44561.489583333336</v>
      </c>
      <c r="BN152" s="841" t="s">
        <v>353</v>
      </c>
      <c r="BO152" s="841" t="s">
        <v>353</v>
      </c>
      <c r="BP152" s="841" t="s">
        <v>353</v>
      </c>
      <c r="BQ152" s="841" t="s">
        <v>353</v>
      </c>
      <c r="BR152" s="841" t="s">
        <v>353</v>
      </c>
      <c r="BS152" s="841" t="s">
        <v>353</v>
      </c>
      <c r="BT152" s="841">
        <v>296000</v>
      </c>
      <c r="BU152" s="841" t="s">
        <v>353</v>
      </c>
      <c r="BV152" s="841" t="s">
        <v>2793</v>
      </c>
      <c r="BW152" s="841" t="s">
        <v>1578</v>
      </c>
      <c r="BX152" s="841" t="s">
        <v>2794</v>
      </c>
      <c r="BY152" s="841" t="s">
        <v>353</v>
      </c>
      <c r="BZ152" s="841" t="s">
        <v>353</v>
      </c>
      <c r="CA152" s="841" t="s">
        <v>353</v>
      </c>
      <c r="CB152" s="841" t="s">
        <v>353</v>
      </c>
      <c r="CC152" s="841" t="s">
        <v>353</v>
      </c>
      <c r="CD152" s="841" t="s">
        <v>353</v>
      </c>
      <c r="CE152" s="841" t="s">
        <v>353</v>
      </c>
      <c r="CF152" s="841" t="s">
        <v>353</v>
      </c>
      <c r="CG152" s="841" t="s">
        <v>353</v>
      </c>
      <c r="CH152" s="841" t="s">
        <v>353</v>
      </c>
      <c r="CI152" s="841" t="s">
        <v>33</v>
      </c>
      <c r="CJ152" s="841">
        <v>840</v>
      </c>
      <c r="CK152" s="841">
        <v>17</v>
      </c>
      <c r="CL152" s="841" t="s">
        <v>353</v>
      </c>
      <c r="CM152" s="841">
        <v>21</v>
      </c>
      <c r="CN152" s="841" t="s">
        <v>353</v>
      </c>
      <c r="CO152" s="841" t="s">
        <v>353</v>
      </c>
      <c r="CP152" s="841" t="s">
        <v>2795</v>
      </c>
      <c r="CQ152" s="841" t="s">
        <v>353</v>
      </c>
      <c r="CR152" s="841" t="s">
        <v>353</v>
      </c>
      <c r="CS152" s="841" t="s">
        <v>353</v>
      </c>
      <c r="CT152" s="841" t="s">
        <v>353</v>
      </c>
      <c r="CU152" s="841" t="s">
        <v>1391</v>
      </c>
      <c r="CV152" s="841" t="s">
        <v>353</v>
      </c>
      <c r="CW152" s="841" t="s">
        <v>353</v>
      </c>
      <c r="CX152" s="841" t="s">
        <v>353</v>
      </c>
      <c r="CY152" s="841" t="s">
        <v>353</v>
      </c>
      <c r="CZ152" s="841">
        <v>2</v>
      </c>
      <c r="DA152" s="841" t="s">
        <v>353</v>
      </c>
      <c r="DB152" s="843">
        <v>44603</v>
      </c>
      <c r="DC152" s="841" t="s">
        <v>353</v>
      </c>
      <c r="DD152" s="841" t="s">
        <v>353</v>
      </c>
      <c r="DE152" s="841" t="s">
        <v>353</v>
      </c>
      <c r="DF152" s="841">
        <v>34</v>
      </c>
      <c r="DG152" s="841" t="s">
        <v>353</v>
      </c>
      <c r="DH152" s="841" t="s">
        <v>353</v>
      </c>
      <c r="DI152" s="841" t="s">
        <v>353</v>
      </c>
      <c r="DJ152" s="841" t="s">
        <v>2796</v>
      </c>
      <c r="DK152" s="841" t="s">
        <v>353</v>
      </c>
      <c r="DL152" s="842">
        <v>44543.489583333336</v>
      </c>
      <c r="DM152" s="841" t="s">
        <v>353</v>
      </c>
      <c r="DN152" s="841" t="s">
        <v>33</v>
      </c>
      <c r="DO152" s="841" t="s">
        <v>353</v>
      </c>
      <c r="DP152" s="841" t="s">
        <v>353</v>
      </c>
      <c r="DQ152" s="841" t="s">
        <v>1392</v>
      </c>
      <c r="DR152" s="841">
        <v>395270</v>
      </c>
      <c r="DS152" s="841">
        <v>34</v>
      </c>
      <c r="DT152" s="841" t="s">
        <v>353</v>
      </c>
      <c r="DU152" s="841" t="s">
        <v>353</v>
      </c>
      <c r="DV152" s="841" t="s">
        <v>353</v>
      </c>
      <c r="DW152" s="841">
        <v>285000</v>
      </c>
      <c r="DX152" s="841" t="s">
        <v>33</v>
      </c>
      <c r="DY152" s="841" t="s">
        <v>353</v>
      </c>
      <c r="DZ152" s="841" t="s">
        <v>353</v>
      </c>
      <c r="EA152" s="841" t="s">
        <v>353</v>
      </c>
      <c r="EB152" s="841" t="s">
        <v>353</v>
      </c>
      <c r="EC152" s="841" t="s">
        <v>353</v>
      </c>
      <c r="ED152" s="841" t="s">
        <v>353</v>
      </c>
      <c r="EE152" s="841" t="s">
        <v>33</v>
      </c>
      <c r="EF152" s="841" t="s">
        <v>353</v>
      </c>
      <c r="EG152" s="841" t="s">
        <v>353</v>
      </c>
      <c r="EH152" s="841" t="s">
        <v>33</v>
      </c>
      <c r="EI152" s="841">
        <v>30153</v>
      </c>
      <c r="EJ152" s="841" t="s">
        <v>353</v>
      </c>
      <c r="EK152" s="841" t="s">
        <v>353</v>
      </c>
      <c r="EL152" s="841" t="s">
        <v>1930</v>
      </c>
      <c r="EM152" s="841" t="s">
        <v>353</v>
      </c>
      <c r="EN152" s="841" t="s">
        <v>353</v>
      </c>
      <c r="EO152" s="841" t="s">
        <v>353</v>
      </c>
      <c r="EP152" s="841" t="s">
        <v>353</v>
      </c>
      <c r="EQ152" s="841" t="s">
        <v>353</v>
      </c>
      <c r="ER152" s="841" t="s">
        <v>353</v>
      </c>
      <c r="ES152" s="841" t="s">
        <v>33</v>
      </c>
      <c r="ET152" s="841" t="s">
        <v>1496</v>
      </c>
      <c r="EU152" s="841" t="s">
        <v>2797</v>
      </c>
      <c r="EV152" s="841" t="s">
        <v>353</v>
      </c>
      <c r="EW152" s="841" t="s">
        <v>353</v>
      </c>
      <c r="EX152" s="841" t="s">
        <v>33</v>
      </c>
      <c r="EY152" s="842">
        <v>44603.588888888888</v>
      </c>
      <c r="EZ152" s="841" t="s">
        <v>353</v>
      </c>
      <c r="FA152" s="841" t="s">
        <v>353</v>
      </c>
      <c r="FB152" s="841" t="s">
        <v>353</v>
      </c>
      <c r="FC152" s="841" t="s">
        <v>353</v>
      </c>
      <c r="FD152" s="841">
        <v>380000</v>
      </c>
      <c r="FE152" s="842">
        <v>44543.490277777775</v>
      </c>
      <c r="FF152" s="841" t="s">
        <v>353</v>
      </c>
      <c r="FG152" s="841" t="s">
        <v>353</v>
      </c>
      <c r="FH152" s="841" t="s">
        <v>353</v>
      </c>
      <c r="FI152" s="841" t="s">
        <v>353</v>
      </c>
      <c r="FJ152" s="841" t="s">
        <v>353</v>
      </c>
      <c r="FK152" s="841" t="s">
        <v>353</v>
      </c>
      <c r="FL152" s="841" t="s">
        <v>353</v>
      </c>
      <c r="FM152" s="841" t="s">
        <v>353</v>
      </c>
      <c r="FN152" s="841" t="s">
        <v>353</v>
      </c>
      <c r="FO152" s="841" t="s">
        <v>1648</v>
      </c>
      <c r="FP152" s="841" t="s">
        <v>2175</v>
      </c>
      <c r="FQ152" s="841" t="s">
        <v>353</v>
      </c>
      <c r="FR152" s="841" t="s">
        <v>353</v>
      </c>
      <c r="FS152" s="841" t="s">
        <v>353</v>
      </c>
      <c r="FT152" s="841" t="s">
        <v>353</v>
      </c>
      <c r="FU152" s="841" t="s">
        <v>1714</v>
      </c>
      <c r="FV152" s="841" t="s">
        <v>353</v>
      </c>
      <c r="FW152" s="841" t="s">
        <v>353</v>
      </c>
      <c r="FX152" s="841" t="s">
        <v>353</v>
      </c>
      <c r="FY152" s="841" t="s">
        <v>353</v>
      </c>
      <c r="FZ152" s="841" t="s">
        <v>353</v>
      </c>
      <c r="GA152" s="841" t="s">
        <v>353</v>
      </c>
      <c r="GB152" s="841">
        <v>1</v>
      </c>
      <c r="GC152" s="841" t="s">
        <v>353</v>
      </c>
      <c r="GD152" s="841" t="s">
        <v>1395</v>
      </c>
      <c r="GE152" s="841" t="s">
        <v>353</v>
      </c>
      <c r="GF152" s="841" t="s">
        <v>353</v>
      </c>
      <c r="GG152" s="841" t="s">
        <v>353</v>
      </c>
      <c r="GH152" s="841">
        <v>171000</v>
      </c>
      <c r="GI152" s="841" t="s">
        <v>353</v>
      </c>
      <c r="GJ152" s="841">
        <v>400000</v>
      </c>
      <c r="GK152" s="841" t="s">
        <v>353</v>
      </c>
      <c r="GL152" s="841" t="s">
        <v>2011</v>
      </c>
      <c r="GM152" s="841" t="s">
        <v>353</v>
      </c>
      <c r="GN152" s="841" t="s">
        <v>353</v>
      </c>
      <c r="GO152" s="841" t="s">
        <v>353</v>
      </c>
      <c r="GP152" s="841" t="s">
        <v>353</v>
      </c>
      <c r="GQ152" s="841" t="s">
        <v>353</v>
      </c>
      <c r="GR152" s="842">
        <v>44540.402777777781</v>
      </c>
      <c r="GS152" s="841" t="s">
        <v>2798</v>
      </c>
      <c r="GT152" s="841" t="s">
        <v>353</v>
      </c>
      <c r="GU152" s="841" t="s">
        <v>353</v>
      </c>
      <c r="GV152" s="841" t="s">
        <v>1419</v>
      </c>
      <c r="GW152" s="841" t="s">
        <v>353</v>
      </c>
      <c r="GX152" s="841" t="s">
        <v>353</v>
      </c>
      <c r="GY152" s="841">
        <v>36</v>
      </c>
      <c r="GZ152" s="841" t="s">
        <v>1420</v>
      </c>
      <c r="HA152" s="841" t="s">
        <v>353</v>
      </c>
      <c r="HB152" s="841" t="s">
        <v>353</v>
      </c>
      <c r="HC152" s="841" t="s">
        <v>1421</v>
      </c>
      <c r="HD152" s="841" t="s">
        <v>2799</v>
      </c>
      <c r="HE152" s="841">
        <v>2850</v>
      </c>
      <c r="HF152" s="841" t="s">
        <v>353</v>
      </c>
      <c r="HG152" s="841" t="s">
        <v>353</v>
      </c>
      <c r="HH152" s="841">
        <v>720</v>
      </c>
      <c r="HI152" s="841" t="s">
        <v>1422</v>
      </c>
      <c r="HJ152" s="841" t="s">
        <v>353</v>
      </c>
      <c r="HK152" s="841">
        <v>285000</v>
      </c>
      <c r="HL152" s="841" t="s">
        <v>353</v>
      </c>
      <c r="HM152" s="841" t="s">
        <v>1423</v>
      </c>
      <c r="HN152" s="841" t="s">
        <v>353</v>
      </c>
      <c r="HO152" s="841" t="s">
        <v>353</v>
      </c>
      <c r="HP152" s="841">
        <v>15076.5</v>
      </c>
      <c r="HQ152" s="841" t="s">
        <v>353</v>
      </c>
      <c r="HR152" s="841" t="s">
        <v>353</v>
      </c>
      <c r="HS152" s="841" t="s">
        <v>353</v>
      </c>
      <c r="HT152" s="841" t="s">
        <v>353</v>
      </c>
      <c r="HU152" s="841" t="s">
        <v>353</v>
      </c>
      <c r="HV152" s="841" t="s">
        <v>353</v>
      </c>
      <c r="HW152" s="841">
        <v>395270</v>
      </c>
      <c r="HX152" s="841" t="s">
        <v>353</v>
      </c>
      <c r="HY152" s="841" t="s">
        <v>353</v>
      </c>
      <c r="HZ152" s="841" t="s">
        <v>353</v>
      </c>
      <c r="IA152" s="841" t="s">
        <v>353</v>
      </c>
      <c r="IB152" s="841" t="s">
        <v>1424</v>
      </c>
      <c r="IC152" s="841" t="s">
        <v>353</v>
      </c>
      <c r="ID152" s="841" t="s">
        <v>353</v>
      </c>
      <c r="IE152" s="841" t="s">
        <v>353</v>
      </c>
      <c r="IF152" s="841" t="s">
        <v>353</v>
      </c>
      <c r="IG152" s="841" t="s">
        <v>353</v>
      </c>
      <c r="IH152" s="841" t="s">
        <v>353</v>
      </c>
      <c r="II152" s="841" t="s">
        <v>353</v>
      </c>
      <c r="IJ152" s="841" t="s">
        <v>353</v>
      </c>
      <c r="IK152" s="841" t="s">
        <v>353</v>
      </c>
      <c r="IL152" s="841">
        <v>282488</v>
      </c>
      <c r="IM152" s="841" t="s">
        <v>353</v>
      </c>
      <c r="IN152" s="841" t="s">
        <v>353</v>
      </c>
      <c r="IO152" s="841">
        <v>199</v>
      </c>
      <c r="IP152" s="841" t="s">
        <v>353</v>
      </c>
      <c r="IQ152" s="841" t="s">
        <v>353</v>
      </c>
      <c r="IR152" s="841">
        <v>2</v>
      </c>
      <c r="IS152" s="841" t="s">
        <v>33</v>
      </c>
      <c r="IT152" s="841" t="s">
        <v>353</v>
      </c>
      <c r="IU152" s="841" t="s">
        <v>353</v>
      </c>
      <c r="IV152" s="841" t="s">
        <v>353</v>
      </c>
      <c r="IW152" s="841" t="s">
        <v>353</v>
      </c>
      <c r="IX152" s="841" t="s">
        <v>353</v>
      </c>
      <c r="IY152" s="841" t="s">
        <v>1622</v>
      </c>
      <c r="IZ152" s="841" t="s">
        <v>353</v>
      </c>
      <c r="JA152" s="841">
        <v>285000</v>
      </c>
      <c r="JB152" s="841" t="s">
        <v>353</v>
      </c>
      <c r="JC152" s="841" t="s">
        <v>33</v>
      </c>
      <c r="JD152" s="841" t="s">
        <v>1456</v>
      </c>
      <c r="JE152" s="841" t="s">
        <v>33</v>
      </c>
      <c r="JF152" s="841" t="s">
        <v>2800</v>
      </c>
      <c r="JG152" s="841" t="s">
        <v>2801</v>
      </c>
      <c r="JH152" s="841" t="s">
        <v>2278</v>
      </c>
      <c r="JI152" s="841" t="s">
        <v>2279</v>
      </c>
    </row>
    <row r="153" spans="1:269" x14ac:dyDescent="0.25">
      <c r="A153" s="841" t="s">
        <v>2802</v>
      </c>
      <c r="B153" s="841" t="s">
        <v>353</v>
      </c>
      <c r="C153" s="841" t="s">
        <v>1403</v>
      </c>
      <c r="D153" s="841" t="s">
        <v>353</v>
      </c>
      <c r="E153" s="841" t="s">
        <v>33</v>
      </c>
      <c r="F153" s="841" t="s">
        <v>1405</v>
      </c>
      <c r="G153" s="841" t="s">
        <v>2683</v>
      </c>
      <c r="H153" s="841" t="s">
        <v>353</v>
      </c>
      <c r="I153" s="841" t="s">
        <v>353</v>
      </c>
      <c r="J153" s="841" t="s">
        <v>353</v>
      </c>
      <c r="K153" s="841" t="s">
        <v>353</v>
      </c>
      <c r="L153" s="842">
        <v>44602.71597222222</v>
      </c>
      <c r="M153" s="841" t="s">
        <v>353</v>
      </c>
      <c r="N153" s="841" t="s">
        <v>33</v>
      </c>
      <c r="O153" s="841" t="s">
        <v>353</v>
      </c>
      <c r="P153" s="841" t="s">
        <v>33</v>
      </c>
      <c r="Q153" s="841" t="s">
        <v>353</v>
      </c>
      <c r="R153" s="841" t="s">
        <v>353</v>
      </c>
      <c r="S153" s="841" t="s">
        <v>1520</v>
      </c>
      <c r="T153" s="841" t="s">
        <v>1390</v>
      </c>
      <c r="U153" s="841" t="s">
        <v>353</v>
      </c>
      <c r="V153" s="841" t="s">
        <v>353</v>
      </c>
      <c r="W153" s="841" t="s">
        <v>353</v>
      </c>
      <c r="X153" s="841" t="s">
        <v>1405</v>
      </c>
      <c r="Y153" s="841" t="s">
        <v>353</v>
      </c>
      <c r="Z153" s="841" t="s">
        <v>353</v>
      </c>
      <c r="AA153" s="841" t="s">
        <v>33</v>
      </c>
      <c r="AB153" s="843">
        <v>44586</v>
      </c>
      <c r="AC153" s="841">
        <v>289800</v>
      </c>
      <c r="AD153" s="841" t="s">
        <v>353</v>
      </c>
      <c r="AE153" s="841" t="s">
        <v>673</v>
      </c>
      <c r="AF153" s="841">
        <v>1608</v>
      </c>
      <c r="AG153" s="841" t="s">
        <v>353</v>
      </c>
      <c r="AH153" s="841">
        <v>1800</v>
      </c>
      <c r="AI153" s="841" t="s">
        <v>1521</v>
      </c>
      <c r="AJ153" s="841" t="s">
        <v>2198</v>
      </c>
      <c r="AK153" s="841">
        <v>75</v>
      </c>
      <c r="AL153" s="841" t="s">
        <v>353</v>
      </c>
      <c r="AM153" s="841">
        <v>420000</v>
      </c>
      <c r="AN153" s="841" t="s">
        <v>33</v>
      </c>
      <c r="AO153" s="841" t="s">
        <v>353</v>
      </c>
      <c r="AP153" s="841" t="s">
        <v>353</v>
      </c>
      <c r="AQ153" s="841" t="s">
        <v>353</v>
      </c>
      <c r="AR153" s="841" t="s">
        <v>673</v>
      </c>
      <c r="AS153" s="841" t="s">
        <v>353</v>
      </c>
      <c r="AT153" s="841" t="s">
        <v>353</v>
      </c>
      <c r="AU153" s="841" t="s">
        <v>353</v>
      </c>
      <c r="AV153" s="841" t="s">
        <v>353</v>
      </c>
      <c r="AW153" s="843">
        <v>44543</v>
      </c>
      <c r="AX153" s="841" t="s">
        <v>353</v>
      </c>
      <c r="AY153" s="841" t="s">
        <v>353</v>
      </c>
      <c r="AZ153" s="841" t="s">
        <v>353</v>
      </c>
      <c r="BA153" s="841" t="s">
        <v>353</v>
      </c>
      <c r="BB153" s="841" t="s">
        <v>353</v>
      </c>
      <c r="BC153" s="841">
        <v>310738</v>
      </c>
      <c r="BD153" s="841" t="s">
        <v>353</v>
      </c>
      <c r="BE153" s="841" t="s">
        <v>353</v>
      </c>
      <c r="BF153" s="841" t="s">
        <v>353</v>
      </c>
      <c r="BG153" s="841" t="s">
        <v>353</v>
      </c>
      <c r="BH153" s="841" t="s">
        <v>353</v>
      </c>
      <c r="BI153" s="841" t="s">
        <v>353</v>
      </c>
      <c r="BJ153" s="841" t="s">
        <v>353</v>
      </c>
      <c r="BK153" s="841" t="s">
        <v>353</v>
      </c>
      <c r="BL153" s="841" t="s">
        <v>2684</v>
      </c>
      <c r="BM153" s="842">
        <v>44561.467361111114</v>
      </c>
      <c r="BN153" s="841" t="s">
        <v>353</v>
      </c>
      <c r="BO153" s="841" t="s">
        <v>2803</v>
      </c>
      <c r="BP153" s="841" t="s">
        <v>33</v>
      </c>
      <c r="BQ153" s="841" t="s">
        <v>353</v>
      </c>
      <c r="BR153" s="841" t="s">
        <v>353</v>
      </c>
      <c r="BS153" s="841" t="s">
        <v>353</v>
      </c>
      <c r="BT153" s="841">
        <v>322000</v>
      </c>
      <c r="BU153" s="841" t="s">
        <v>353</v>
      </c>
      <c r="BV153" s="841" t="s">
        <v>2335</v>
      </c>
      <c r="BW153" s="841" t="s">
        <v>1578</v>
      </c>
      <c r="BX153" s="841" t="s">
        <v>2804</v>
      </c>
      <c r="BY153" s="841" t="s">
        <v>353</v>
      </c>
      <c r="BZ153" s="841" t="s">
        <v>353</v>
      </c>
      <c r="CA153" s="841" t="s">
        <v>353</v>
      </c>
      <c r="CB153" s="841" t="s">
        <v>353</v>
      </c>
      <c r="CC153" s="841" t="s">
        <v>353</v>
      </c>
      <c r="CD153" s="841" t="s">
        <v>353</v>
      </c>
      <c r="CE153" s="841" t="s">
        <v>353</v>
      </c>
      <c r="CF153" s="841" t="s">
        <v>353</v>
      </c>
      <c r="CG153" s="841" t="s">
        <v>353</v>
      </c>
      <c r="CH153" s="841" t="s">
        <v>353</v>
      </c>
      <c r="CI153" s="841" t="s">
        <v>33</v>
      </c>
      <c r="CJ153" s="841">
        <v>1014</v>
      </c>
      <c r="CK153" s="841">
        <v>7</v>
      </c>
      <c r="CL153" s="841" t="s">
        <v>353</v>
      </c>
      <c r="CM153" s="841">
        <v>11</v>
      </c>
      <c r="CN153" s="841" t="s">
        <v>353</v>
      </c>
      <c r="CO153" s="841" t="s">
        <v>353</v>
      </c>
      <c r="CP153" s="841" t="s">
        <v>2805</v>
      </c>
      <c r="CQ153" s="841" t="s">
        <v>353</v>
      </c>
      <c r="CR153" s="841" t="s">
        <v>353</v>
      </c>
      <c r="CS153" s="841" t="s">
        <v>1405</v>
      </c>
      <c r="CT153" s="841" t="s">
        <v>353</v>
      </c>
      <c r="CU153" s="841" t="s">
        <v>1391</v>
      </c>
      <c r="CV153" s="841" t="s">
        <v>353</v>
      </c>
      <c r="CW153" s="841" t="s">
        <v>353</v>
      </c>
      <c r="CX153" s="841" t="s">
        <v>353</v>
      </c>
      <c r="CY153" s="841" t="s">
        <v>353</v>
      </c>
      <c r="CZ153" s="841">
        <v>4</v>
      </c>
      <c r="DA153" s="841" t="s">
        <v>353</v>
      </c>
      <c r="DB153" s="843">
        <v>44574</v>
      </c>
      <c r="DC153" s="841" t="s">
        <v>353</v>
      </c>
      <c r="DD153" s="841" t="s">
        <v>353</v>
      </c>
      <c r="DE153" s="841" t="s">
        <v>353</v>
      </c>
      <c r="DF153" s="841">
        <v>33</v>
      </c>
      <c r="DG153" s="841" t="s">
        <v>353</v>
      </c>
      <c r="DH153" s="841" t="s">
        <v>353</v>
      </c>
      <c r="DI153" s="841" t="s">
        <v>353</v>
      </c>
      <c r="DJ153" s="841" t="s">
        <v>2806</v>
      </c>
      <c r="DK153" s="841" t="s">
        <v>353</v>
      </c>
      <c r="DL153" s="842">
        <v>44543.467361111114</v>
      </c>
      <c r="DM153" s="841" t="s">
        <v>353</v>
      </c>
      <c r="DN153" s="841" t="s">
        <v>33</v>
      </c>
      <c r="DO153" s="841" t="s">
        <v>673</v>
      </c>
      <c r="DP153" s="841" t="s">
        <v>1412</v>
      </c>
      <c r="DQ153" s="841" t="s">
        <v>673</v>
      </c>
      <c r="DR153" s="841">
        <v>430000</v>
      </c>
      <c r="DS153" s="841">
        <v>33</v>
      </c>
      <c r="DT153" s="841" t="s">
        <v>353</v>
      </c>
      <c r="DU153" s="841" t="s">
        <v>353</v>
      </c>
      <c r="DV153" s="841" t="s">
        <v>353</v>
      </c>
      <c r="DW153" s="841">
        <v>322000</v>
      </c>
      <c r="DX153" s="841" t="s">
        <v>673</v>
      </c>
      <c r="DY153" s="841" t="s">
        <v>353</v>
      </c>
      <c r="DZ153" s="841">
        <v>0</v>
      </c>
      <c r="EA153" s="841" t="s">
        <v>353</v>
      </c>
      <c r="EB153" s="841" t="s">
        <v>353</v>
      </c>
      <c r="EC153" s="841" t="s">
        <v>353</v>
      </c>
      <c r="ED153" s="841" t="s">
        <v>353</v>
      </c>
      <c r="EE153" s="841" t="s">
        <v>673</v>
      </c>
      <c r="EF153" s="841" t="s">
        <v>353</v>
      </c>
      <c r="EG153" s="841" t="s">
        <v>353</v>
      </c>
      <c r="EH153" s="841" t="s">
        <v>33</v>
      </c>
      <c r="EI153" s="841">
        <v>57863.4</v>
      </c>
      <c r="EJ153" s="841" t="s">
        <v>353</v>
      </c>
      <c r="EK153" s="841" t="s">
        <v>1527</v>
      </c>
      <c r="EL153" s="841" t="s">
        <v>1435</v>
      </c>
      <c r="EM153" s="841" t="s">
        <v>353</v>
      </c>
      <c r="EN153" s="841" t="s">
        <v>353</v>
      </c>
      <c r="EO153" s="841" t="s">
        <v>353</v>
      </c>
      <c r="EP153" s="841" t="s">
        <v>353</v>
      </c>
      <c r="EQ153" s="841" t="s">
        <v>353</v>
      </c>
      <c r="ER153" s="841" t="s">
        <v>353</v>
      </c>
      <c r="ES153" s="841" t="s">
        <v>33</v>
      </c>
      <c r="ET153" s="841" t="s">
        <v>1711</v>
      </c>
      <c r="EU153" s="841" t="s">
        <v>1770</v>
      </c>
      <c r="EV153" s="841" t="s">
        <v>353</v>
      </c>
      <c r="EW153" s="841" t="s">
        <v>353</v>
      </c>
      <c r="EX153" s="841" t="s">
        <v>33</v>
      </c>
      <c r="EY153" s="842">
        <v>44586.572916666664</v>
      </c>
      <c r="EZ153" s="841" t="s">
        <v>353</v>
      </c>
      <c r="FA153" s="841" t="s">
        <v>353</v>
      </c>
      <c r="FB153" s="841" t="s">
        <v>353</v>
      </c>
      <c r="FC153" s="841" t="s">
        <v>353</v>
      </c>
      <c r="FD153" s="841">
        <v>430000</v>
      </c>
      <c r="FE153" s="842">
        <v>44543.538194444445</v>
      </c>
      <c r="FF153" s="841" t="s">
        <v>353</v>
      </c>
      <c r="FG153" s="841" t="s">
        <v>2807</v>
      </c>
      <c r="FH153" s="841" t="s">
        <v>353</v>
      </c>
      <c r="FI153" s="841" t="s">
        <v>353</v>
      </c>
      <c r="FJ153" s="841" t="s">
        <v>353</v>
      </c>
      <c r="FK153" s="841" t="s">
        <v>353</v>
      </c>
      <c r="FL153" s="841" t="s">
        <v>353</v>
      </c>
      <c r="FM153" s="841" t="s">
        <v>353</v>
      </c>
      <c r="FN153" s="841" t="s">
        <v>353</v>
      </c>
      <c r="FO153" s="841" t="s">
        <v>2808</v>
      </c>
      <c r="FP153" s="841" t="s">
        <v>353</v>
      </c>
      <c r="FQ153" s="841" t="s">
        <v>353</v>
      </c>
      <c r="FR153" s="841" t="s">
        <v>353</v>
      </c>
      <c r="FS153" s="841" t="s">
        <v>353</v>
      </c>
      <c r="FT153" s="841" t="s">
        <v>353</v>
      </c>
      <c r="FU153" s="841" t="s">
        <v>2203</v>
      </c>
      <c r="FV153" s="841" t="s">
        <v>353</v>
      </c>
      <c r="FW153" s="841" t="s">
        <v>353</v>
      </c>
      <c r="FX153" s="841" t="s">
        <v>353</v>
      </c>
      <c r="FY153" s="841" t="s">
        <v>353</v>
      </c>
      <c r="FZ153" s="841" t="s">
        <v>353</v>
      </c>
      <c r="GA153" s="841" t="s">
        <v>353</v>
      </c>
      <c r="GB153" s="841">
        <v>1</v>
      </c>
      <c r="GC153" s="841" t="s">
        <v>353</v>
      </c>
      <c r="GD153" s="841" t="s">
        <v>1395</v>
      </c>
      <c r="GE153" s="841" t="s">
        <v>353</v>
      </c>
      <c r="GF153" s="841">
        <v>0</v>
      </c>
      <c r="GG153" s="841" t="s">
        <v>353</v>
      </c>
      <c r="GH153" s="841">
        <v>289800</v>
      </c>
      <c r="GI153" s="841" t="s">
        <v>353</v>
      </c>
      <c r="GJ153" s="841">
        <v>430000</v>
      </c>
      <c r="GK153" s="841" t="s">
        <v>353</v>
      </c>
      <c r="GL153" s="841" t="s">
        <v>1468</v>
      </c>
      <c r="GM153" s="841" t="s">
        <v>353</v>
      </c>
      <c r="GN153" s="841" t="s">
        <v>353</v>
      </c>
      <c r="GO153" s="841" t="s">
        <v>353</v>
      </c>
      <c r="GP153" s="841" t="s">
        <v>353</v>
      </c>
      <c r="GQ153" s="841" t="s">
        <v>353</v>
      </c>
      <c r="GR153" s="842">
        <v>44586.572916666664</v>
      </c>
      <c r="GS153" s="841" t="s">
        <v>2809</v>
      </c>
      <c r="GT153" s="841" t="s">
        <v>353</v>
      </c>
      <c r="GU153" s="841" t="s">
        <v>353</v>
      </c>
      <c r="GV153" s="841" t="s">
        <v>1419</v>
      </c>
      <c r="GW153" s="841" t="s">
        <v>353</v>
      </c>
      <c r="GX153" s="841" t="s">
        <v>353</v>
      </c>
      <c r="GY153" s="841">
        <v>36</v>
      </c>
      <c r="GZ153" s="841" t="s">
        <v>1716</v>
      </c>
      <c r="HA153" s="841" t="s">
        <v>353</v>
      </c>
      <c r="HB153" s="841" t="s">
        <v>353</v>
      </c>
      <c r="HC153" s="841" t="s">
        <v>1421</v>
      </c>
      <c r="HD153" s="841" t="s">
        <v>2805</v>
      </c>
      <c r="HE153" s="841">
        <v>3220</v>
      </c>
      <c r="HF153" s="841" t="s">
        <v>353</v>
      </c>
      <c r="HG153" s="841" t="s">
        <v>353</v>
      </c>
      <c r="HH153" s="841" t="s">
        <v>353</v>
      </c>
      <c r="HI153" s="841" t="s">
        <v>1422</v>
      </c>
      <c r="HJ153" s="841" t="s">
        <v>2810</v>
      </c>
      <c r="HK153" s="841">
        <v>322000</v>
      </c>
      <c r="HL153" s="841" t="s">
        <v>49</v>
      </c>
      <c r="HM153" s="841" t="s">
        <v>1530</v>
      </c>
      <c r="HN153" s="841" t="s">
        <v>33</v>
      </c>
      <c r="HO153" s="841" t="s">
        <v>353</v>
      </c>
      <c r="HP153" s="841">
        <v>19287.8</v>
      </c>
      <c r="HQ153" s="841" t="s">
        <v>353</v>
      </c>
      <c r="HR153" s="841" t="s">
        <v>353</v>
      </c>
      <c r="HS153" s="841" t="s">
        <v>353</v>
      </c>
      <c r="HT153" s="841" t="s">
        <v>353</v>
      </c>
      <c r="HU153" s="841" t="s">
        <v>353</v>
      </c>
      <c r="HV153" s="841" t="s">
        <v>353</v>
      </c>
      <c r="HW153" s="841">
        <v>430000</v>
      </c>
      <c r="HX153" s="841" t="s">
        <v>353</v>
      </c>
      <c r="HY153" s="841" t="s">
        <v>353</v>
      </c>
      <c r="HZ153" s="841" t="s">
        <v>353</v>
      </c>
      <c r="IA153" s="841" t="s">
        <v>353</v>
      </c>
      <c r="IB153" s="841" t="s">
        <v>1424</v>
      </c>
      <c r="IC153" s="841" t="s">
        <v>353</v>
      </c>
      <c r="ID153" s="841" t="s">
        <v>353</v>
      </c>
      <c r="IE153" s="841" t="s">
        <v>353</v>
      </c>
      <c r="IF153" s="841" t="s">
        <v>353</v>
      </c>
      <c r="IG153" s="841" t="s">
        <v>353</v>
      </c>
      <c r="IH153" s="841" t="s">
        <v>353</v>
      </c>
      <c r="II153" s="841" t="s">
        <v>353</v>
      </c>
      <c r="IJ153" s="841">
        <v>837</v>
      </c>
      <c r="IK153" s="841" t="s">
        <v>353</v>
      </c>
      <c r="IL153" s="841">
        <v>317178</v>
      </c>
      <c r="IM153" s="841" t="s">
        <v>353</v>
      </c>
      <c r="IN153" s="841" t="s">
        <v>353</v>
      </c>
      <c r="IO153" s="841">
        <v>0</v>
      </c>
      <c r="IP153" s="841" t="s">
        <v>353</v>
      </c>
      <c r="IQ153" s="841" t="s">
        <v>353</v>
      </c>
      <c r="IR153" s="841">
        <v>3</v>
      </c>
      <c r="IS153" s="841" t="s">
        <v>33</v>
      </c>
      <c r="IT153" s="841" t="s">
        <v>353</v>
      </c>
      <c r="IU153" s="841" t="s">
        <v>353</v>
      </c>
      <c r="IV153" s="841" t="s">
        <v>353</v>
      </c>
      <c r="IW153" s="841" t="s">
        <v>353</v>
      </c>
      <c r="IX153" s="841" t="s">
        <v>353</v>
      </c>
      <c r="IY153" s="841" t="s">
        <v>353</v>
      </c>
      <c r="IZ153" s="841" t="s">
        <v>353</v>
      </c>
      <c r="JA153" s="841">
        <v>322000</v>
      </c>
      <c r="JB153" s="841" t="s">
        <v>353</v>
      </c>
      <c r="JC153" s="841" t="s">
        <v>33</v>
      </c>
      <c r="JD153" s="841" t="s">
        <v>1527</v>
      </c>
      <c r="JE153" s="841" t="s">
        <v>33</v>
      </c>
      <c r="JF153" s="841" t="s">
        <v>2692</v>
      </c>
      <c r="JG153" s="841" t="s">
        <v>2693</v>
      </c>
      <c r="JH153" s="841" t="s">
        <v>2694</v>
      </c>
      <c r="JI153" s="841" t="s">
        <v>2695</v>
      </c>
    </row>
    <row r="154" spans="1:269" x14ac:dyDescent="0.25">
      <c r="A154" s="841" t="s">
        <v>2811</v>
      </c>
      <c r="B154" s="841" t="s">
        <v>353</v>
      </c>
      <c r="C154" s="841" t="s">
        <v>353</v>
      </c>
      <c r="D154" s="841" t="s">
        <v>353</v>
      </c>
      <c r="E154" s="841" t="s">
        <v>353</v>
      </c>
      <c r="F154" s="841" t="s">
        <v>1405</v>
      </c>
      <c r="G154" s="841" t="s">
        <v>2086</v>
      </c>
      <c r="H154" s="841" t="s">
        <v>353</v>
      </c>
      <c r="I154" s="841" t="s">
        <v>353</v>
      </c>
      <c r="J154" s="841" t="s">
        <v>353</v>
      </c>
      <c r="K154" s="841" t="s">
        <v>353</v>
      </c>
      <c r="L154" s="842">
        <v>44607.73541666667</v>
      </c>
      <c r="M154" s="841" t="s">
        <v>353</v>
      </c>
      <c r="N154" s="841" t="s">
        <v>353</v>
      </c>
      <c r="O154" s="841" t="s">
        <v>353</v>
      </c>
      <c r="P154" s="841" t="s">
        <v>33</v>
      </c>
      <c r="Q154" s="841" t="s">
        <v>353</v>
      </c>
      <c r="R154" s="841" t="s">
        <v>353</v>
      </c>
      <c r="S154" s="841" t="s">
        <v>64</v>
      </c>
      <c r="T154" s="841" t="s">
        <v>1390</v>
      </c>
      <c r="U154" s="841" t="s">
        <v>353</v>
      </c>
      <c r="V154" s="841" t="s">
        <v>353</v>
      </c>
      <c r="W154" s="841" t="s">
        <v>353</v>
      </c>
      <c r="X154" s="841" t="s">
        <v>1405</v>
      </c>
      <c r="Y154" s="841" t="s">
        <v>353</v>
      </c>
      <c r="Z154" s="841" t="s">
        <v>353</v>
      </c>
      <c r="AA154" s="841" t="s">
        <v>33</v>
      </c>
      <c r="AB154" s="841" t="s">
        <v>353</v>
      </c>
      <c r="AC154" s="841">
        <v>281000</v>
      </c>
      <c r="AD154" s="841" t="s">
        <v>353</v>
      </c>
      <c r="AE154" s="841" t="s">
        <v>33</v>
      </c>
      <c r="AF154" s="841">
        <v>2477.48</v>
      </c>
      <c r="AG154" s="841" t="s">
        <v>353</v>
      </c>
      <c r="AH154" s="841">
        <v>3000</v>
      </c>
      <c r="AI154" s="841" t="s">
        <v>1521</v>
      </c>
      <c r="AJ154" s="841" t="s">
        <v>353</v>
      </c>
      <c r="AK154" s="841">
        <v>75</v>
      </c>
      <c r="AL154" s="841" t="s">
        <v>353</v>
      </c>
      <c r="AM154" s="841" t="s">
        <v>353</v>
      </c>
      <c r="AN154" s="841" t="s">
        <v>353</v>
      </c>
      <c r="AO154" s="841" t="s">
        <v>353</v>
      </c>
      <c r="AP154" s="841" t="s">
        <v>353</v>
      </c>
      <c r="AQ154" s="841" t="s">
        <v>353</v>
      </c>
      <c r="AR154" s="841" t="s">
        <v>33</v>
      </c>
      <c r="AS154" s="841" t="s">
        <v>353</v>
      </c>
      <c r="AT154" s="841" t="s">
        <v>353</v>
      </c>
      <c r="AU154" s="841" t="s">
        <v>353</v>
      </c>
      <c r="AV154" s="841" t="s">
        <v>353</v>
      </c>
      <c r="AW154" s="843">
        <v>44538</v>
      </c>
      <c r="AX154" s="841" t="s">
        <v>353</v>
      </c>
      <c r="AY154" s="841" t="s">
        <v>353</v>
      </c>
      <c r="AZ154" s="841" t="s">
        <v>353</v>
      </c>
      <c r="BA154" s="841" t="s">
        <v>353</v>
      </c>
      <c r="BB154" s="841" t="s">
        <v>353</v>
      </c>
      <c r="BC154" s="841">
        <v>552165</v>
      </c>
      <c r="BD154" s="841" t="s">
        <v>353</v>
      </c>
      <c r="BE154" s="841" t="s">
        <v>353</v>
      </c>
      <c r="BF154" s="841" t="s">
        <v>353</v>
      </c>
      <c r="BG154" s="841" t="s">
        <v>353</v>
      </c>
      <c r="BH154" s="841" t="s">
        <v>353</v>
      </c>
      <c r="BI154" s="841" t="s">
        <v>353</v>
      </c>
      <c r="BJ154" s="841" t="s">
        <v>353</v>
      </c>
      <c r="BK154" s="841">
        <v>225000</v>
      </c>
      <c r="BL154" s="841" t="s">
        <v>1992</v>
      </c>
      <c r="BM154" s="842">
        <v>44561.481249999997</v>
      </c>
      <c r="BN154" s="841" t="s">
        <v>353</v>
      </c>
      <c r="BO154" s="841" t="s">
        <v>353</v>
      </c>
      <c r="BP154" s="841" t="s">
        <v>353</v>
      </c>
      <c r="BQ154" s="841" t="s">
        <v>353</v>
      </c>
      <c r="BR154" s="841" t="s">
        <v>353</v>
      </c>
      <c r="BS154" s="841" t="s">
        <v>353</v>
      </c>
      <c r="BT154" s="841">
        <v>562000</v>
      </c>
      <c r="BU154" s="841" t="s">
        <v>353</v>
      </c>
      <c r="BV154" s="841" t="s">
        <v>2812</v>
      </c>
      <c r="BW154" s="841" t="s">
        <v>1578</v>
      </c>
      <c r="BX154" s="841" t="s">
        <v>2813</v>
      </c>
      <c r="BY154" s="841" t="s">
        <v>353</v>
      </c>
      <c r="BZ154" s="841" t="s">
        <v>353</v>
      </c>
      <c r="CA154" s="841" t="s">
        <v>353</v>
      </c>
      <c r="CB154" s="841" t="s">
        <v>353</v>
      </c>
      <c r="CC154" s="841" t="s">
        <v>353</v>
      </c>
      <c r="CD154" s="841" t="s">
        <v>353</v>
      </c>
      <c r="CE154" s="841" t="s">
        <v>353</v>
      </c>
      <c r="CF154" s="841" t="s">
        <v>353</v>
      </c>
      <c r="CG154" s="841" t="s">
        <v>353</v>
      </c>
      <c r="CH154" s="841" t="s">
        <v>353</v>
      </c>
      <c r="CI154" s="841" t="s">
        <v>33</v>
      </c>
      <c r="CJ154" s="841">
        <v>1560</v>
      </c>
      <c r="CK154" s="841">
        <v>20</v>
      </c>
      <c r="CL154" s="841" t="s">
        <v>353</v>
      </c>
      <c r="CM154" s="841">
        <v>23</v>
      </c>
      <c r="CN154" s="841" t="s">
        <v>353</v>
      </c>
      <c r="CO154" s="841" t="s">
        <v>353</v>
      </c>
      <c r="CP154" s="841" t="s">
        <v>2814</v>
      </c>
      <c r="CQ154" s="841" t="s">
        <v>353</v>
      </c>
      <c r="CR154" s="841" t="s">
        <v>353</v>
      </c>
      <c r="CS154" s="841" t="s">
        <v>353</v>
      </c>
      <c r="CT154" s="841" t="s">
        <v>353</v>
      </c>
      <c r="CU154" s="841" t="s">
        <v>1593</v>
      </c>
      <c r="CV154" s="841" t="s">
        <v>353</v>
      </c>
      <c r="CW154" s="841" t="s">
        <v>353</v>
      </c>
      <c r="CX154" s="841" t="s">
        <v>353</v>
      </c>
      <c r="CY154" s="841" t="s">
        <v>353</v>
      </c>
      <c r="CZ154" s="841">
        <v>3</v>
      </c>
      <c r="DA154" s="841" t="s">
        <v>353</v>
      </c>
      <c r="DB154" s="841" t="s">
        <v>353</v>
      </c>
      <c r="DC154" s="841" t="s">
        <v>353</v>
      </c>
      <c r="DD154" s="841" t="s">
        <v>353</v>
      </c>
      <c r="DE154" s="841" t="s">
        <v>353</v>
      </c>
      <c r="DF154" s="841">
        <v>24</v>
      </c>
      <c r="DG154" s="841" t="s">
        <v>353</v>
      </c>
      <c r="DH154" s="841" t="s">
        <v>353</v>
      </c>
      <c r="DI154" s="841" t="s">
        <v>353</v>
      </c>
      <c r="DJ154" s="841" t="s">
        <v>2815</v>
      </c>
      <c r="DK154" s="841" t="s">
        <v>353</v>
      </c>
      <c r="DL154" s="842">
        <v>44538.481249999997</v>
      </c>
      <c r="DM154" s="841" t="s">
        <v>353</v>
      </c>
      <c r="DN154" s="841" t="s">
        <v>33</v>
      </c>
      <c r="DO154" s="841" t="s">
        <v>353</v>
      </c>
      <c r="DP154" s="841" t="s">
        <v>353</v>
      </c>
      <c r="DQ154" s="841" t="s">
        <v>1997</v>
      </c>
      <c r="DR154" s="841" t="s">
        <v>353</v>
      </c>
      <c r="DS154" s="841">
        <v>24</v>
      </c>
      <c r="DT154" s="841" t="s">
        <v>353</v>
      </c>
      <c r="DU154" s="841" t="s">
        <v>353</v>
      </c>
      <c r="DV154" s="841" t="s">
        <v>353</v>
      </c>
      <c r="DW154" s="841">
        <v>562000</v>
      </c>
      <c r="DX154" s="841" t="s">
        <v>33</v>
      </c>
      <c r="DY154" s="841" t="s">
        <v>353</v>
      </c>
      <c r="DZ154" s="841" t="s">
        <v>353</v>
      </c>
      <c r="EA154" s="841" t="s">
        <v>353</v>
      </c>
      <c r="EB154" s="841" t="s">
        <v>353</v>
      </c>
      <c r="EC154" s="841" t="s">
        <v>353</v>
      </c>
      <c r="ED154" s="841" t="s">
        <v>353</v>
      </c>
      <c r="EE154" s="841" t="s">
        <v>353</v>
      </c>
      <c r="EF154" s="841" t="s">
        <v>353</v>
      </c>
      <c r="EG154" s="841" t="s">
        <v>353</v>
      </c>
      <c r="EH154" s="841" t="s">
        <v>353</v>
      </c>
      <c r="EI154" s="841">
        <v>0</v>
      </c>
      <c r="EJ154" s="841" t="s">
        <v>353</v>
      </c>
      <c r="EK154" s="841" t="s">
        <v>353</v>
      </c>
      <c r="EL154" s="841" t="s">
        <v>1930</v>
      </c>
      <c r="EM154" s="841" t="s">
        <v>353</v>
      </c>
      <c r="EN154" s="841" t="s">
        <v>353</v>
      </c>
      <c r="EO154" s="841" t="s">
        <v>353</v>
      </c>
      <c r="EP154" s="841" t="s">
        <v>353</v>
      </c>
      <c r="EQ154" s="841" t="s">
        <v>353</v>
      </c>
      <c r="ER154" s="841" t="s">
        <v>353</v>
      </c>
      <c r="ES154" s="841" t="s">
        <v>33</v>
      </c>
      <c r="ET154" s="841" t="s">
        <v>2816</v>
      </c>
      <c r="EU154" s="841" t="s">
        <v>1972</v>
      </c>
      <c r="EV154" s="841" t="s">
        <v>353</v>
      </c>
      <c r="EW154" s="841" t="s">
        <v>353</v>
      </c>
      <c r="EX154" s="841" t="s">
        <v>33</v>
      </c>
      <c r="EY154" s="842">
        <v>44607.73541666667</v>
      </c>
      <c r="EZ154" s="841" t="s">
        <v>353</v>
      </c>
      <c r="FA154" s="841" t="s">
        <v>353</v>
      </c>
      <c r="FB154" s="841" t="s">
        <v>353</v>
      </c>
      <c r="FC154" s="841" t="s">
        <v>353</v>
      </c>
      <c r="FD154" s="841" t="s">
        <v>353</v>
      </c>
      <c r="FE154" s="842">
        <v>44606.381944444445</v>
      </c>
      <c r="FF154" s="841" t="s">
        <v>353</v>
      </c>
      <c r="FG154" s="841" t="s">
        <v>353</v>
      </c>
      <c r="FH154" s="841" t="s">
        <v>353</v>
      </c>
      <c r="FI154" s="841" t="s">
        <v>353</v>
      </c>
      <c r="FJ154" s="841" t="s">
        <v>353</v>
      </c>
      <c r="FK154" s="841" t="s">
        <v>353</v>
      </c>
      <c r="FL154" s="841" t="s">
        <v>353</v>
      </c>
      <c r="FM154" s="841" t="s">
        <v>353</v>
      </c>
      <c r="FN154" s="841" t="s">
        <v>353</v>
      </c>
      <c r="FO154" s="841" t="s">
        <v>1528</v>
      </c>
      <c r="FP154" s="841" t="s">
        <v>353</v>
      </c>
      <c r="FQ154" s="841" t="s">
        <v>353</v>
      </c>
      <c r="FR154" s="841" t="s">
        <v>353</v>
      </c>
      <c r="FS154" s="841" t="s">
        <v>353</v>
      </c>
      <c r="FT154" s="841" t="s">
        <v>353</v>
      </c>
      <c r="FU154" s="841" t="s">
        <v>1467</v>
      </c>
      <c r="FV154" s="841" t="s">
        <v>353</v>
      </c>
      <c r="FW154" s="841" t="s">
        <v>353</v>
      </c>
      <c r="FX154" s="841" t="s">
        <v>353</v>
      </c>
      <c r="FY154" s="841" t="s">
        <v>353</v>
      </c>
      <c r="FZ154" s="841" t="s">
        <v>353</v>
      </c>
      <c r="GA154" s="841" t="s">
        <v>353</v>
      </c>
      <c r="GB154" s="841">
        <v>1</v>
      </c>
      <c r="GC154" s="841" t="s">
        <v>353</v>
      </c>
      <c r="GD154" s="841" t="s">
        <v>1594</v>
      </c>
      <c r="GE154" s="841" t="s">
        <v>353</v>
      </c>
      <c r="GF154" s="841" t="s">
        <v>353</v>
      </c>
      <c r="GG154" s="841" t="s">
        <v>353</v>
      </c>
      <c r="GH154" s="841">
        <v>281000</v>
      </c>
      <c r="GI154" s="841" t="s">
        <v>353</v>
      </c>
      <c r="GJ154" s="841" t="s">
        <v>353</v>
      </c>
      <c r="GK154" s="841" t="s">
        <v>353</v>
      </c>
      <c r="GL154" s="841" t="s">
        <v>1595</v>
      </c>
      <c r="GM154" s="841" t="s">
        <v>353</v>
      </c>
      <c r="GN154" s="841" t="s">
        <v>353</v>
      </c>
      <c r="GO154" s="841" t="s">
        <v>353</v>
      </c>
      <c r="GP154" s="841" t="s">
        <v>353</v>
      </c>
      <c r="GQ154" s="841" t="s">
        <v>353</v>
      </c>
      <c r="GR154" s="842">
        <v>44607.73541666667</v>
      </c>
      <c r="GS154" s="841" t="s">
        <v>2812</v>
      </c>
      <c r="GT154" s="841" t="s">
        <v>353</v>
      </c>
      <c r="GU154" s="841" t="s">
        <v>353</v>
      </c>
      <c r="GV154" s="841" t="s">
        <v>1076</v>
      </c>
      <c r="GW154" s="841" t="s">
        <v>353</v>
      </c>
      <c r="GX154" s="841" t="s">
        <v>2817</v>
      </c>
      <c r="GY154" s="841">
        <v>24</v>
      </c>
      <c r="GZ154" s="841" t="s">
        <v>1420</v>
      </c>
      <c r="HA154" s="841" t="s">
        <v>353</v>
      </c>
      <c r="HB154" s="841" t="s">
        <v>353</v>
      </c>
      <c r="HC154" s="841" t="s">
        <v>1421</v>
      </c>
      <c r="HD154" s="841" t="s">
        <v>2818</v>
      </c>
      <c r="HE154" s="841">
        <v>5620</v>
      </c>
      <c r="HF154" s="841" t="s">
        <v>353</v>
      </c>
      <c r="HG154" s="841" t="s">
        <v>353</v>
      </c>
      <c r="HH154" s="841">
        <v>2280</v>
      </c>
      <c r="HI154" s="841" t="s">
        <v>1422</v>
      </c>
      <c r="HJ154" s="841" t="s">
        <v>353</v>
      </c>
      <c r="HK154" s="841">
        <v>562000</v>
      </c>
      <c r="HL154" s="841" t="s">
        <v>353</v>
      </c>
      <c r="HM154" s="841" t="s">
        <v>1530</v>
      </c>
      <c r="HN154" s="841" t="s">
        <v>353</v>
      </c>
      <c r="HO154" s="841" t="s">
        <v>353</v>
      </c>
      <c r="HP154" s="841">
        <v>29729.8</v>
      </c>
      <c r="HQ154" s="841" t="s">
        <v>353</v>
      </c>
      <c r="HR154" s="841" t="s">
        <v>353</v>
      </c>
      <c r="HS154" s="841" t="s">
        <v>353</v>
      </c>
      <c r="HT154" s="841" t="s">
        <v>353</v>
      </c>
      <c r="HU154" s="841" t="s">
        <v>353</v>
      </c>
      <c r="HV154" s="841" t="s">
        <v>353</v>
      </c>
      <c r="HW154" s="841">
        <v>750000</v>
      </c>
      <c r="HX154" s="841" t="s">
        <v>353</v>
      </c>
      <c r="HY154" s="841" t="s">
        <v>353</v>
      </c>
      <c r="HZ154" s="841" t="s">
        <v>353</v>
      </c>
      <c r="IA154" s="841" t="s">
        <v>353</v>
      </c>
      <c r="IB154" s="841" t="s">
        <v>1424</v>
      </c>
      <c r="IC154" s="841" t="s">
        <v>353</v>
      </c>
      <c r="ID154" s="841" t="s">
        <v>353</v>
      </c>
      <c r="IE154" s="841" t="s">
        <v>353</v>
      </c>
      <c r="IF154" s="841" t="s">
        <v>353</v>
      </c>
      <c r="IG154" s="841" t="s">
        <v>353</v>
      </c>
      <c r="IH154" s="841" t="s">
        <v>353</v>
      </c>
      <c r="II154" s="841" t="s">
        <v>353</v>
      </c>
      <c r="IJ154" s="841" t="s">
        <v>353</v>
      </c>
      <c r="IK154" s="841" t="s">
        <v>353</v>
      </c>
      <c r="IL154" s="841">
        <v>562000</v>
      </c>
      <c r="IM154" s="841" t="s">
        <v>353</v>
      </c>
      <c r="IN154" s="841" t="s">
        <v>353</v>
      </c>
      <c r="IO154" s="841">
        <v>199</v>
      </c>
      <c r="IP154" s="841" t="s">
        <v>353</v>
      </c>
      <c r="IQ154" s="841" t="s">
        <v>353</v>
      </c>
      <c r="IR154" s="841">
        <v>0</v>
      </c>
      <c r="IS154" s="841" t="s">
        <v>33</v>
      </c>
      <c r="IT154" s="841" t="s">
        <v>353</v>
      </c>
      <c r="IU154" s="841" t="s">
        <v>353</v>
      </c>
      <c r="IV154" s="841" t="s">
        <v>353</v>
      </c>
      <c r="IW154" s="841" t="s">
        <v>353</v>
      </c>
      <c r="IX154" s="841" t="s">
        <v>353</v>
      </c>
      <c r="IY154" s="841" t="s">
        <v>1578</v>
      </c>
      <c r="IZ154" s="841" t="s">
        <v>353</v>
      </c>
      <c r="JA154" s="841">
        <v>562000</v>
      </c>
      <c r="JB154" s="841" t="s">
        <v>353</v>
      </c>
      <c r="JC154" s="841" t="s">
        <v>353</v>
      </c>
      <c r="JD154" s="841" t="s">
        <v>1456</v>
      </c>
      <c r="JE154" s="841" t="s">
        <v>33</v>
      </c>
      <c r="JF154" s="841" t="s">
        <v>2000</v>
      </c>
      <c r="JG154" s="841" t="s">
        <v>2001</v>
      </c>
      <c r="JH154" s="841" t="s">
        <v>2002</v>
      </c>
      <c r="JI154" s="841" t="s">
        <v>2003</v>
      </c>
    </row>
    <row r="155" spans="1:269" x14ac:dyDescent="0.25">
      <c r="A155" s="841" t="s">
        <v>2819</v>
      </c>
      <c r="B155" s="841" t="s">
        <v>353</v>
      </c>
      <c r="C155" s="841" t="s">
        <v>353</v>
      </c>
      <c r="D155" s="841" t="s">
        <v>353</v>
      </c>
      <c r="E155" s="841" t="s">
        <v>353</v>
      </c>
      <c r="F155" s="841" t="s">
        <v>353</v>
      </c>
      <c r="G155" s="841" t="s">
        <v>2598</v>
      </c>
      <c r="H155" s="841" t="s">
        <v>353</v>
      </c>
      <c r="I155" s="841" t="s">
        <v>353</v>
      </c>
      <c r="J155" s="841" t="s">
        <v>353</v>
      </c>
      <c r="K155" s="841" t="s">
        <v>353</v>
      </c>
      <c r="L155" s="842">
        <v>44606.428472222222</v>
      </c>
      <c r="M155" s="841" t="s">
        <v>353</v>
      </c>
      <c r="N155" s="841" t="s">
        <v>353</v>
      </c>
      <c r="O155" s="841" t="s">
        <v>353</v>
      </c>
      <c r="P155" s="841" t="s">
        <v>353</v>
      </c>
      <c r="Q155" s="841" t="s">
        <v>353</v>
      </c>
      <c r="R155" s="841" t="s">
        <v>353</v>
      </c>
      <c r="S155" s="841" t="s">
        <v>1520</v>
      </c>
      <c r="T155" s="841" t="s">
        <v>1390</v>
      </c>
      <c r="U155" s="841" t="s">
        <v>353</v>
      </c>
      <c r="V155" s="841" t="s">
        <v>353</v>
      </c>
      <c r="W155" s="841" t="s">
        <v>1716</v>
      </c>
      <c r="X155" s="841" t="s">
        <v>1405</v>
      </c>
      <c r="Y155" s="841" t="s">
        <v>353</v>
      </c>
      <c r="Z155" s="841" t="s">
        <v>353</v>
      </c>
      <c r="AA155" s="841" t="s">
        <v>353</v>
      </c>
      <c r="AB155" s="841" t="s">
        <v>353</v>
      </c>
      <c r="AC155" s="841">
        <v>329000</v>
      </c>
      <c r="AD155" s="841" t="s">
        <v>353</v>
      </c>
      <c r="AE155" s="841" t="s">
        <v>353</v>
      </c>
      <c r="AF155" s="841" t="s">
        <v>353</v>
      </c>
      <c r="AG155" s="841" t="s">
        <v>353</v>
      </c>
      <c r="AH155" s="841">
        <v>23205</v>
      </c>
      <c r="AI155" s="841" t="s">
        <v>1406</v>
      </c>
      <c r="AJ155" s="841" t="s">
        <v>353</v>
      </c>
      <c r="AK155" s="841">
        <v>70</v>
      </c>
      <c r="AL155" s="841" t="s">
        <v>353</v>
      </c>
      <c r="AM155" s="841" t="s">
        <v>353</v>
      </c>
      <c r="AN155" s="841" t="s">
        <v>353</v>
      </c>
      <c r="AO155" s="841" t="s">
        <v>353</v>
      </c>
      <c r="AP155" s="841" t="s">
        <v>353</v>
      </c>
      <c r="AQ155" s="841" t="s">
        <v>353</v>
      </c>
      <c r="AR155" s="841" t="s">
        <v>353</v>
      </c>
      <c r="AS155" s="841" t="s">
        <v>353</v>
      </c>
      <c r="AT155" s="841" t="s">
        <v>353</v>
      </c>
      <c r="AU155" s="841" t="s">
        <v>353</v>
      </c>
      <c r="AV155" s="841" t="s">
        <v>353</v>
      </c>
      <c r="AW155" s="841" t="s">
        <v>353</v>
      </c>
      <c r="AX155" s="841" t="s">
        <v>353</v>
      </c>
      <c r="AY155" s="841" t="s">
        <v>353</v>
      </c>
      <c r="AZ155" s="841" t="s">
        <v>353</v>
      </c>
      <c r="BA155" s="841" t="s">
        <v>353</v>
      </c>
      <c r="BB155" s="841" t="s">
        <v>353</v>
      </c>
      <c r="BC155" s="841">
        <v>1612100</v>
      </c>
      <c r="BD155" s="841" t="s">
        <v>353</v>
      </c>
      <c r="BE155" s="841" t="s">
        <v>353</v>
      </c>
      <c r="BF155" s="841" t="s">
        <v>353</v>
      </c>
      <c r="BG155" s="841" t="s">
        <v>353</v>
      </c>
      <c r="BH155" s="841" t="s">
        <v>353</v>
      </c>
      <c r="BI155" s="841" t="s">
        <v>353</v>
      </c>
      <c r="BJ155" s="841" t="s">
        <v>353</v>
      </c>
      <c r="BK155" s="841">
        <v>1800000</v>
      </c>
      <c r="BL155" s="841" t="s">
        <v>2820</v>
      </c>
      <c r="BM155" s="842">
        <v>44561.510416666664</v>
      </c>
      <c r="BN155" s="841" t="s">
        <v>353</v>
      </c>
      <c r="BO155" s="841" t="s">
        <v>353</v>
      </c>
      <c r="BP155" s="841" t="s">
        <v>353</v>
      </c>
      <c r="BQ155" s="841" t="s">
        <v>353</v>
      </c>
      <c r="BR155" s="841" t="s">
        <v>353</v>
      </c>
      <c r="BS155" s="841" t="s">
        <v>353</v>
      </c>
      <c r="BT155" s="841">
        <v>1645000</v>
      </c>
      <c r="BU155" s="841" t="s">
        <v>353</v>
      </c>
      <c r="BV155" s="841" t="s">
        <v>2821</v>
      </c>
      <c r="BW155" s="841" t="s">
        <v>353</v>
      </c>
      <c r="BX155" s="841" t="s">
        <v>353</v>
      </c>
      <c r="BY155" s="841" t="s">
        <v>353</v>
      </c>
      <c r="BZ155" s="841" t="s">
        <v>353</v>
      </c>
      <c r="CA155" s="841" t="s">
        <v>353</v>
      </c>
      <c r="CB155" s="841" t="s">
        <v>353</v>
      </c>
      <c r="CC155" s="841" t="s">
        <v>353</v>
      </c>
      <c r="CD155" s="841" t="s">
        <v>353</v>
      </c>
      <c r="CE155" s="841" t="s">
        <v>353</v>
      </c>
      <c r="CF155" s="841" t="s">
        <v>353</v>
      </c>
      <c r="CG155" s="841" t="s">
        <v>353</v>
      </c>
      <c r="CH155" s="841" t="s">
        <v>353</v>
      </c>
      <c r="CI155" s="841" t="s">
        <v>353</v>
      </c>
      <c r="CJ155" s="841" t="s">
        <v>353</v>
      </c>
      <c r="CK155" s="841">
        <v>0</v>
      </c>
      <c r="CL155" s="841" t="s">
        <v>353</v>
      </c>
      <c r="CM155" s="841">
        <v>2</v>
      </c>
      <c r="CN155" s="841" t="s">
        <v>353</v>
      </c>
      <c r="CO155" s="841" t="s">
        <v>353</v>
      </c>
      <c r="CP155" s="841" t="s">
        <v>2822</v>
      </c>
      <c r="CQ155" s="841" t="s">
        <v>353</v>
      </c>
      <c r="CR155" s="841" t="s">
        <v>353</v>
      </c>
      <c r="CS155" s="841" t="s">
        <v>353</v>
      </c>
      <c r="CT155" s="841" t="s">
        <v>353</v>
      </c>
      <c r="CU155" s="841" t="s">
        <v>1391</v>
      </c>
      <c r="CV155" s="841" t="s">
        <v>353</v>
      </c>
      <c r="CW155" s="841" t="s">
        <v>353</v>
      </c>
      <c r="CX155" s="841" t="s">
        <v>353</v>
      </c>
      <c r="CY155" s="841" t="s">
        <v>353</v>
      </c>
      <c r="CZ155" s="841">
        <v>23</v>
      </c>
      <c r="DA155" s="841" t="s">
        <v>353</v>
      </c>
      <c r="DB155" s="841" t="s">
        <v>353</v>
      </c>
      <c r="DC155" s="841" t="s">
        <v>353</v>
      </c>
      <c r="DD155" s="841" t="s">
        <v>353</v>
      </c>
      <c r="DE155" s="841" t="s">
        <v>353</v>
      </c>
      <c r="DF155" s="841">
        <v>24</v>
      </c>
      <c r="DG155" s="841" t="s">
        <v>353</v>
      </c>
      <c r="DH155" s="841" t="s">
        <v>353</v>
      </c>
      <c r="DI155" s="841" t="s">
        <v>353</v>
      </c>
      <c r="DJ155" s="841" t="s">
        <v>2823</v>
      </c>
      <c r="DK155" s="841" t="s">
        <v>353</v>
      </c>
      <c r="DL155" s="842">
        <v>44537.510416666664</v>
      </c>
      <c r="DM155" s="841" t="s">
        <v>353</v>
      </c>
      <c r="DN155" s="841" t="s">
        <v>353</v>
      </c>
      <c r="DO155" s="841" t="s">
        <v>673</v>
      </c>
      <c r="DP155" s="841" t="s">
        <v>1481</v>
      </c>
      <c r="DQ155" s="841" t="s">
        <v>1451</v>
      </c>
      <c r="DR155" s="841" t="s">
        <v>353</v>
      </c>
      <c r="DS155" s="841">
        <v>24</v>
      </c>
      <c r="DT155" s="841" t="s">
        <v>353</v>
      </c>
      <c r="DU155" s="841" t="s">
        <v>353</v>
      </c>
      <c r="DV155" s="841">
        <v>1612100</v>
      </c>
      <c r="DW155" s="841">
        <v>1645000</v>
      </c>
      <c r="DX155" s="841" t="s">
        <v>353</v>
      </c>
      <c r="DY155" s="841" t="s">
        <v>353</v>
      </c>
      <c r="DZ155" s="841" t="s">
        <v>353</v>
      </c>
      <c r="EA155" s="841" t="s">
        <v>353</v>
      </c>
      <c r="EB155" s="841" t="s">
        <v>353</v>
      </c>
      <c r="EC155" s="841" t="s">
        <v>353</v>
      </c>
      <c r="ED155" s="841" t="s">
        <v>353</v>
      </c>
      <c r="EE155" s="841" t="s">
        <v>353</v>
      </c>
      <c r="EF155" s="841" t="s">
        <v>353</v>
      </c>
      <c r="EG155" s="841" t="s">
        <v>353</v>
      </c>
      <c r="EH155" s="841" t="s">
        <v>353</v>
      </c>
      <c r="EI155" s="841">
        <v>0</v>
      </c>
      <c r="EJ155" s="841" t="s">
        <v>353</v>
      </c>
      <c r="EK155" s="841" t="s">
        <v>353</v>
      </c>
      <c r="EL155" s="841" t="s">
        <v>353</v>
      </c>
      <c r="EM155" s="841">
        <v>32900</v>
      </c>
      <c r="EN155" s="841" t="s">
        <v>353</v>
      </c>
      <c r="EO155" s="841" t="s">
        <v>353</v>
      </c>
      <c r="EP155" s="841" t="s">
        <v>353</v>
      </c>
      <c r="EQ155" s="841" t="s">
        <v>353</v>
      </c>
      <c r="ER155" s="841" t="s">
        <v>353</v>
      </c>
      <c r="ES155" s="841" t="s">
        <v>353</v>
      </c>
      <c r="ET155" s="841" t="s">
        <v>1452</v>
      </c>
      <c r="EU155" s="841" t="s">
        <v>353</v>
      </c>
      <c r="EV155" s="841" t="s">
        <v>353</v>
      </c>
      <c r="EW155" s="841" t="s">
        <v>353</v>
      </c>
      <c r="EX155" s="841" t="s">
        <v>353</v>
      </c>
      <c r="EY155" s="842">
        <v>44567.618055555555</v>
      </c>
      <c r="EZ155" s="841" t="s">
        <v>353</v>
      </c>
      <c r="FA155" s="841" t="s">
        <v>353</v>
      </c>
      <c r="FB155" s="841" t="s">
        <v>353</v>
      </c>
      <c r="FC155" s="841" t="s">
        <v>353</v>
      </c>
      <c r="FD155" s="841" t="s">
        <v>353</v>
      </c>
      <c r="FE155" s="842">
        <v>44606.428472222222</v>
      </c>
      <c r="FF155" s="841" t="s">
        <v>353</v>
      </c>
      <c r="FG155" s="841" t="s">
        <v>353</v>
      </c>
      <c r="FH155" s="841" t="s">
        <v>353</v>
      </c>
      <c r="FI155" s="841" t="s">
        <v>353</v>
      </c>
      <c r="FJ155" s="841" t="s">
        <v>353</v>
      </c>
      <c r="FK155" s="841" t="s">
        <v>353</v>
      </c>
      <c r="FL155" s="841" t="s">
        <v>353</v>
      </c>
      <c r="FM155" s="841" t="s">
        <v>353</v>
      </c>
      <c r="FN155" s="841" t="s">
        <v>353</v>
      </c>
      <c r="FO155" s="841" t="s">
        <v>1729</v>
      </c>
      <c r="FP155" s="841" t="s">
        <v>353</v>
      </c>
      <c r="FQ155" s="841" t="s">
        <v>353</v>
      </c>
      <c r="FR155" s="841" t="s">
        <v>353</v>
      </c>
      <c r="FS155" s="841" t="s">
        <v>353</v>
      </c>
      <c r="FT155" s="841" t="s">
        <v>353</v>
      </c>
      <c r="FU155" s="841" t="s">
        <v>1416</v>
      </c>
      <c r="FV155" s="841" t="s">
        <v>353</v>
      </c>
      <c r="FW155" s="841" t="s">
        <v>353</v>
      </c>
      <c r="FX155" s="841" t="s">
        <v>353</v>
      </c>
      <c r="FY155" s="841" t="s">
        <v>353</v>
      </c>
      <c r="FZ155" s="841" t="s">
        <v>353</v>
      </c>
      <c r="GA155" s="841" t="s">
        <v>353</v>
      </c>
      <c r="GB155" s="841">
        <v>1</v>
      </c>
      <c r="GC155" s="841" t="s">
        <v>353</v>
      </c>
      <c r="GD155" s="841" t="s">
        <v>1395</v>
      </c>
      <c r="GE155" s="841" t="s">
        <v>353</v>
      </c>
      <c r="GF155" s="841" t="s">
        <v>353</v>
      </c>
      <c r="GG155" s="841" t="s">
        <v>353</v>
      </c>
      <c r="GH155" s="841">
        <v>329000</v>
      </c>
      <c r="GI155" s="841" t="s">
        <v>353</v>
      </c>
      <c r="GJ155" s="841" t="s">
        <v>353</v>
      </c>
      <c r="GK155" s="841" t="s">
        <v>353</v>
      </c>
      <c r="GL155" s="841" t="s">
        <v>1715</v>
      </c>
      <c r="GM155" s="841" t="s">
        <v>353</v>
      </c>
      <c r="GN155" s="841" t="s">
        <v>353</v>
      </c>
      <c r="GO155" s="841" t="s">
        <v>353</v>
      </c>
      <c r="GP155" s="841" t="s">
        <v>353</v>
      </c>
      <c r="GQ155" s="841" t="s">
        <v>353</v>
      </c>
      <c r="GR155" s="841" t="s">
        <v>353</v>
      </c>
      <c r="GS155" s="841" t="s">
        <v>2821</v>
      </c>
      <c r="GT155" s="841" t="s">
        <v>353</v>
      </c>
      <c r="GU155" s="841" t="s">
        <v>353</v>
      </c>
      <c r="GV155" s="841" t="s">
        <v>1076</v>
      </c>
      <c r="GW155" s="841" t="s">
        <v>353</v>
      </c>
      <c r="GX155" s="841" t="s">
        <v>353</v>
      </c>
      <c r="GY155" s="841">
        <v>24</v>
      </c>
      <c r="GZ155" s="841" t="s">
        <v>1716</v>
      </c>
      <c r="HA155" s="841" t="s">
        <v>353</v>
      </c>
      <c r="HB155" s="841" t="s">
        <v>353</v>
      </c>
      <c r="HC155" s="841" t="s">
        <v>1421</v>
      </c>
      <c r="HD155" s="841" t="s">
        <v>2824</v>
      </c>
      <c r="HE155" s="841" t="s">
        <v>353</v>
      </c>
      <c r="HF155" s="841" t="s">
        <v>353</v>
      </c>
      <c r="HG155" s="841" t="s">
        <v>353</v>
      </c>
      <c r="HH155" s="841" t="s">
        <v>353</v>
      </c>
      <c r="HI155" s="841" t="s">
        <v>1422</v>
      </c>
      <c r="HJ155" s="841" t="s">
        <v>2825</v>
      </c>
      <c r="HK155" s="841">
        <v>1645000</v>
      </c>
      <c r="HL155" s="841" t="s">
        <v>353</v>
      </c>
      <c r="HM155" s="841" t="s">
        <v>1423</v>
      </c>
      <c r="HN155" s="841" t="s">
        <v>353</v>
      </c>
      <c r="HO155" s="841" t="s">
        <v>353</v>
      </c>
      <c r="HP155" s="841">
        <v>98535.5</v>
      </c>
      <c r="HQ155" s="841" t="s">
        <v>353</v>
      </c>
      <c r="HR155" s="841" t="s">
        <v>353</v>
      </c>
      <c r="HS155" s="841">
        <v>1645000</v>
      </c>
      <c r="HT155" s="841" t="s">
        <v>353</v>
      </c>
      <c r="HU155" s="841" t="s">
        <v>353</v>
      </c>
      <c r="HV155" s="841" t="s">
        <v>353</v>
      </c>
      <c r="HW155" s="841">
        <v>2350000</v>
      </c>
      <c r="HX155" s="841" t="s">
        <v>353</v>
      </c>
      <c r="HY155" s="841" t="s">
        <v>353</v>
      </c>
      <c r="HZ155" s="841" t="s">
        <v>353</v>
      </c>
      <c r="IA155" s="841" t="s">
        <v>353</v>
      </c>
      <c r="IB155" s="841" t="s">
        <v>1424</v>
      </c>
      <c r="IC155" s="841" t="s">
        <v>353</v>
      </c>
      <c r="ID155" s="841" t="s">
        <v>353</v>
      </c>
      <c r="IE155" s="841" t="s">
        <v>353</v>
      </c>
      <c r="IF155" s="841" t="s">
        <v>353</v>
      </c>
      <c r="IG155" s="841" t="s">
        <v>353</v>
      </c>
      <c r="IH155" s="841" t="s">
        <v>353</v>
      </c>
      <c r="II155" s="841" t="s">
        <v>353</v>
      </c>
      <c r="IJ155" s="841" t="s">
        <v>353</v>
      </c>
      <c r="IK155" s="841" t="s">
        <v>353</v>
      </c>
      <c r="IL155" s="841">
        <v>1645000</v>
      </c>
      <c r="IM155" s="841" t="s">
        <v>353</v>
      </c>
      <c r="IN155" s="841" t="s">
        <v>353</v>
      </c>
      <c r="IO155" s="841" t="s">
        <v>353</v>
      </c>
      <c r="IP155" s="841" t="s">
        <v>353</v>
      </c>
      <c r="IQ155" s="841" t="s">
        <v>353</v>
      </c>
      <c r="IR155" s="841">
        <v>0</v>
      </c>
      <c r="IS155" s="841" t="s">
        <v>353</v>
      </c>
      <c r="IT155" s="841" t="s">
        <v>353</v>
      </c>
      <c r="IU155" s="841" t="s">
        <v>353</v>
      </c>
      <c r="IV155" s="841" t="s">
        <v>353</v>
      </c>
      <c r="IW155" s="841" t="s">
        <v>353</v>
      </c>
      <c r="IX155" s="841" t="s">
        <v>353</v>
      </c>
      <c r="IY155" s="841" t="s">
        <v>1622</v>
      </c>
      <c r="IZ155" s="841" t="s">
        <v>353</v>
      </c>
      <c r="JA155" s="841">
        <v>1645000</v>
      </c>
      <c r="JB155" s="841" t="s">
        <v>353</v>
      </c>
      <c r="JC155" s="841" t="s">
        <v>353</v>
      </c>
      <c r="JD155" s="841" t="s">
        <v>1527</v>
      </c>
      <c r="JE155" s="841" t="s">
        <v>353</v>
      </c>
      <c r="JF155" s="841" t="s">
        <v>353</v>
      </c>
      <c r="JG155" s="841" t="s">
        <v>353</v>
      </c>
      <c r="JH155" s="841" t="s">
        <v>2826</v>
      </c>
      <c r="JI155" s="841" t="s">
        <v>2827</v>
      </c>
    </row>
    <row r="156" spans="1:269" x14ac:dyDescent="0.25">
      <c r="A156" s="841" t="s">
        <v>2828</v>
      </c>
      <c r="B156" s="841" t="s">
        <v>353</v>
      </c>
      <c r="C156" s="841" t="s">
        <v>1403</v>
      </c>
      <c r="D156" s="841" t="s">
        <v>353</v>
      </c>
      <c r="E156" s="841" t="s">
        <v>353</v>
      </c>
      <c r="F156" s="841" t="s">
        <v>353</v>
      </c>
      <c r="G156" s="841" t="s">
        <v>353</v>
      </c>
      <c r="H156" s="841" t="s">
        <v>353</v>
      </c>
      <c r="I156" s="841" t="s">
        <v>353</v>
      </c>
      <c r="J156" s="841" t="s">
        <v>353</v>
      </c>
      <c r="K156" s="841" t="s">
        <v>353</v>
      </c>
      <c r="L156" s="842">
        <v>44554.439583333333</v>
      </c>
      <c r="M156" s="841" t="s">
        <v>353</v>
      </c>
      <c r="N156" s="841" t="s">
        <v>353</v>
      </c>
      <c r="O156" s="841" t="s">
        <v>353</v>
      </c>
      <c r="P156" s="841" t="s">
        <v>353</v>
      </c>
      <c r="Q156" s="841" t="s">
        <v>353</v>
      </c>
      <c r="R156" s="841" t="s">
        <v>353</v>
      </c>
      <c r="S156" s="841" t="s">
        <v>61</v>
      </c>
      <c r="T156" s="841" t="s">
        <v>1390</v>
      </c>
      <c r="U156" s="841" t="s">
        <v>353</v>
      </c>
      <c r="V156" s="841" t="s">
        <v>353</v>
      </c>
      <c r="W156" s="841" t="s">
        <v>353</v>
      </c>
      <c r="X156" s="841" t="s">
        <v>1405</v>
      </c>
      <c r="Y156" s="841" t="s">
        <v>353</v>
      </c>
      <c r="Z156" s="841" t="s">
        <v>353</v>
      </c>
      <c r="AA156" s="841" t="s">
        <v>353</v>
      </c>
      <c r="AB156" s="841" t="s">
        <v>353</v>
      </c>
      <c r="AC156" s="841">
        <v>40000</v>
      </c>
      <c r="AD156" s="841" t="s">
        <v>353</v>
      </c>
      <c r="AE156" s="841" t="s">
        <v>353</v>
      </c>
      <c r="AF156" s="841" t="s">
        <v>353</v>
      </c>
      <c r="AG156" s="841" t="s">
        <v>353</v>
      </c>
      <c r="AH156" s="841">
        <v>4166</v>
      </c>
      <c r="AI156" s="841" t="s">
        <v>1406</v>
      </c>
      <c r="AJ156" s="841" t="s">
        <v>353</v>
      </c>
      <c r="AK156" s="841" t="s">
        <v>353</v>
      </c>
      <c r="AL156" s="841" t="s">
        <v>353</v>
      </c>
      <c r="AM156" s="841" t="s">
        <v>353</v>
      </c>
      <c r="AN156" s="841" t="s">
        <v>353</v>
      </c>
      <c r="AO156" s="841" t="s">
        <v>353</v>
      </c>
      <c r="AP156" s="841" t="s">
        <v>353</v>
      </c>
      <c r="AQ156" s="841" t="s">
        <v>353</v>
      </c>
      <c r="AR156" s="841" t="s">
        <v>353</v>
      </c>
      <c r="AS156" s="841" t="s">
        <v>353</v>
      </c>
      <c r="AT156" s="841" t="s">
        <v>353</v>
      </c>
      <c r="AU156" s="841" t="s">
        <v>353</v>
      </c>
      <c r="AV156" s="841" t="s">
        <v>353</v>
      </c>
      <c r="AW156" s="841" t="s">
        <v>353</v>
      </c>
      <c r="AX156" s="841" t="s">
        <v>353</v>
      </c>
      <c r="AY156" s="841" t="s">
        <v>353</v>
      </c>
      <c r="AZ156" s="841" t="s">
        <v>353</v>
      </c>
      <c r="BA156" s="841" t="s">
        <v>353</v>
      </c>
      <c r="BB156" s="841" t="s">
        <v>353</v>
      </c>
      <c r="BC156" s="841">
        <v>393000</v>
      </c>
      <c r="BD156" s="841" t="s">
        <v>353</v>
      </c>
      <c r="BE156" s="841" t="s">
        <v>353</v>
      </c>
      <c r="BF156" s="841" t="s">
        <v>353</v>
      </c>
      <c r="BG156" s="841" t="s">
        <v>353</v>
      </c>
      <c r="BH156" s="841" t="s">
        <v>353</v>
      </c>
      <c r="BI156" s="841" t="s">
        <v>353</v>
      </c>
      <c r="BJ156" s="841" t="s">
        <v>353</v>
      </c>
      <c r="BK156" s="841" t="s">
        <v>353</v>
      </c>
      <c r="BL156" s="841" t="s">
        <v>353</v>
      </c>
      <c r="BM156" s="842">
        <v>44561.493055555555</v>
      </c>
      <c r="BN156" s="841" t="s">
        <v>353</v>
      </c>
      <c r="BO156" s="841" t="s">
        <v>353</v>
      </c>
      <c r="BP156" s="841" t="s">
        <v>353</v>
      </c>
      <c r="BQ156" s="841" t="s">
        <v>353</v>
      </c>
      <c r="BR156" s="841" t="s">
        <v>353</v>
      </c>
      <c r="BS156" s="841" t="s">
        <v>353</v>
      </c>
      <c r="BT156" s="841">
        <v>420000</v>
      </c>
      <c r="BU156" s="841" t="s">
        <v>353</v>
      </c>
      <c r="BV156" s="841" t="s">
        <v>2829</v>
      </c>
      <c r="BW156" s="841" t="s">
        <v>353</v>
      </c>
      <c r="BX156" s="841" t="s">
        <v>353</v>
      </c>
      <c r="BY156" s="841" t="s">
        <v>353</v>
      </c>
      <c r="BZ156" s="841" t="s">
        <v>353</v>
      </c>
      <c r="CA156" s="841" t="s">
        <v>353</v>
      </c>
      <c r="CB156" s="841" t="s">
        <v>353</v>
      </c>
      <c r="CC156" s="841" t="s">
        <v>353</v>
      </c>
      <c r="CD156" s="841" t="s">
        <v>353</v>
      </c>
      <c r="CE156" s="841" t="s">
        <v>353</v>
      </c>
      <c r="CF156" s="841" t="s">
        <v>353</v>
      </c>
      <c r="CG156" s="841" t="s">
        <v>353</v>
      </c>
      <c r="CH156" s="841" t="s">
        <v>353</v>
      </c>
      <c r="CI156" s="841" t="s">
        <v>353</v>
      </c>
      <c r="CJ156" s="841" t="s">
        <v>353</v>
      </c>
      <c r="CK156" s="841">
        <v>6</v>
      </c>
      <c r="CL156" s="841" t="s">
        <v>353</v>
      </c>
      <c r="CM156" s="841">
        <v>6</v>
      </c>
      <c r="CN156" s="841" t="s">
        <v>353</v>
      </c>
      <c r="CO156" s="841" t="s">
        <v>353</v>
      </c>
      <c r="CP156" s="841" t="s">
        <v>353</v>
      </c>
      <c r="CQ156" s="841" t="s">
        <v>353</v>
      </c>
      <c r="CR156" s="841" t="s">
        <v>353</v>
      </c>
      <c r="CS156" s="841" t="s">
        <v>353</v>
      </c>
      <c r="CT156" s="841" t="s">
        <v>353</v>
      </c>
      <c r="CU156" s="841" t="s">
        <v>1391</v>
      </c>
      <c r="CV156" s="841" t="s">
        <v>353</v>
      </c>
      <c r="CW156" s="841" t="s">
        <v>353</v>
      </c>
      <c r="CX156" s="841" t="s">
        <v>353</v>
      </c>
      <c r="CY156" s="841" t="s">
        <v>353</v>
      </c>
      <c r="CZ156" s="841">
        <v>4</v>
      </c>
      <c r="DA156" s="841" t="s">
        <v>353</v>
      </c>
      <c r="DB156" s="841" t="s">
        <v>353</v>
      </c>
      <c r="DC156" s="841" t="s">
        <v>353</v>
      </c>
      <c r="DD156" s="841" t="s">
        <v>353</v>
      </c>
      <c r="DE156" s="841" t="s">
        <v>353</v>
      </c>
      <c r="DF156" s="841" t="s">
        <v>353</v>
      </c>
      <c r="DG156" s="841" t="s">
        <v>353</v>
      </c>
      <c r="DH156" s="841" t="s">
        <v>353</v>
      </c>
      <c r="DI156" s="841" t="s">
        <v>353</v>
      </c>
      <c r="DJ156" s="841" t="s">
        <v>2830</v>
      </c>
      <c r="DK156" s="841" t="s">
        <v>353</v>
      </c>
      <c r="DL156" s="842">
        <v>44537.493055555555</v>
      </c>
      <c r="DM156" s="841" t="s">
        <v>353</v>
      </c>
      <c r="DN156" s="841" t="s">
        <v>353</v>
      </c>
      <c r="DO156" s="841" t="s">
        <v>353</v>
      </c>
      <c r="DP156" s="841" t="s">
        <v>353</v>
      </c>
      <c r="DQ156" s="841" t="s">
        <v>673</v>
      </c>
      <c r="DR156" s="841" t="s">
        <v>353</v>
      </c>
      <c r="DS156" s="841" t="s">
        <v>353</v>
      </c>
      <c r="DT156" s="841" t="s">
        <v>353</v>
      </c>
      <c r="DU156" s="841" t="s">
        <v>353</v>
      </c>
      <c r="DV156" s="841" t="s">
        <v>353</v>
      </c>
      <c r="DW156" s="841">
        <v>400000</v>
      </c>
      <c r="DX156" s="841" t="s">
        <v>353</v>
      </c>
      <c r="DY156" s="841" t="s">
        <v>353</v>
      </c>
      <c r="DZ156" s="841" t="s">
        <v>353</v>
      </c>
      <c r="EA156" s="841" t="s">
        <v>2831</v>
      </c>
      <c r="EB156" s="841" t="s">
        <v>353</v>
      </c>
      <c r="EC156" s="841" t="s">
        <v>353</v>
      </c>
      <c r="ED156" s="841" t="s">
        <v>353</v>
      </c>
      <c r="EE156" s="841" t="s">
        <v>353</v>
      </c>
      <c r="EF156" s="841" t="s">
        <v>353</v>
      </c>
      <c r="EG156" s="841" t="s">
        <v>353</v>
      </c>
      <c r="EH156" s="841" t="s">
        <v>353</v>
      </c>
      <c r="EI156" s="841" t="s">
        <v>353</v>
      </c>
      <c r="EJ156" s="841" t="s">
        <v>353</v>
      </c>
      <c r="EK156" s="841" t="s">
        <v>353</v>
      </c>
      <c r="EL156" s="841" t="s">
        <v>353</v>
      </c>
      <c r="EM156" s="841" t="s">
        <v>353</v>
      </c>
      <c r="EN156" s="841" t="s">
        <v>353</v>
      </c>
      <c r="EO156" s="841" t="s">
        <v>353</v>
      </c>
      <c r="EP156" s="841" t="s">
        <v>353</v>
      </c>
      <c r="EQ156" s="841" t="s">
        <v>353</v>
      </c>
      <c r="ER156" s="841" t="s">
        <v>353</v>
      </c>
      <c r="ES156" s="841" t="s">
        <v>353</v>
      </c>
      <c r="ET156" s="841" t="s">
        <v>1711</v>
      </c>
      <c r="EU156" s="841" t="s">
        <v>353</v>
      </c>
      <c r="EV156" s="841" t="s">
        <v>353</v>
      </c>
      <c r="EW156" s="841" t="s">
        <v>353</v>
      </c>
      <c r="EX156" s="841" t="s">
        <v>353</v>
      </c>
      <c r="EY156" s="842">
        <v>44554.439583333333</v>
      </c>
      <c r="EZ156" s="841" t="s">
        <v>353</v>
      </c>
      <c r="FA156" s="841" t="s">
        <v>353</v>
      </c>
      <c r="FB156" s="841" t="s">
        <v>353</v>
      </c>
      <c r="FC156" s="841" t="s">
        <v>353</v>
      </c>
      <c r="FD156" s="841" t="s">
        <v>353</v>
      </c>
      <c r="FE156" s="842">
        <v>44537.493750000001</v>
      </c>
      <c r="FF156" s="841" t="s">
        <v>353</v>
      </c>
      <c r="FG156" s="841" t="s">
        <v>353</v>
      </c>
      <c r="FH156" s="841" t="s">
        <v>353</v>
      </c>
      <c r="FI156" s="841" t="s">
        <v>353</v>
      </c>
      <c r="FJ156" s="841" t="s">
        <v>353</v>
      </c>
      <c r="FK156" s="841" t="s">
        <v>353</v>
      </c>
      <c r="FL156" s="841" t="s">
        <v>353</v>
      </c>
      <c r="FM156" s="841" t="s">
        <v>353</v>
      </c>
      <c r="FN156" s="841" t="s">
        <v>353</v>
      </c>
      <c r="FO156" s="841" t="s">
        <v>2832</v>
      </c>
      <c r="FP156" s="841" t="s">
        <v>353</v>
      </c>
      <c r="FQ156" s="841" t="s">
        <v>353</v>
      </c>
      <c r="FR156" s="841" t="s">
        <v>353</v>
      </c>
      <c r="FS156" s="841" t="s">
        <v>353</v>
      </c>
      <c r="FT156" s="841" t="s">
        <v>353</v>
      </c>
      <c r="FU156" s="841" t="s">
        <v>1394</v>
      </c>
      <c r="FV156" s="841" t="s">
        <v>353</v>
      </c>
      <c r="FW156" s="841" t="s">
        <v>353</v>
      </c>
      <c r="FX156" s="841" t="s">
        <v>353</v>
      </c>
      <c r="FY156" s="841" t="s">
        <v>353</v>
      </c>
      <c r="FZ156" s="841" t="s">
        <v>353</v>
      </c>
      <c r="GA156" s="841" t="s">
        <v>353</v>
      </c>
      <c r="GB156" s="841">
        <v>1</v>
      </c>
      <c r="GC156" s="841" t="s">
        <v>353</v>
      </c>
      <c r="GD156" s="841" t="s">
        <v>1395</v>
      </c>
      <c r="GE156" s="841" t="s">
        <v>353</v>
      </c>
      <c r="GF156" s="841" t="s">
        <v>353</v>
      </c>
      <c r="GG156" s="841" t="s">
        <v>353</v>
      </c>
      <c r="GH156" s="841">
        <v>40000</v>
      </c>
      <c r="GI156" s="841" t="s">
        <v>353</v>
      </c>
      <c r="GJ156" s="841" t="s">
        <v>353</v>
      </c>
      <c r="GK156" s="841" t="s">
        <v>353</v>
      </c>
      <c r="GL156" s="841" t="s">
        <v>1715</v>
      </c>
      <c r="GM156" s="841" t="s">
        <v>353</v>
      </c>
      <c r="GN156" s="841" t="s">
        <v>353</v>
      </c>
      <c r="GO156" s="841" t="s">
        <v>353</v>
      </c>
      <c r="GP156" s="841" t="s">
        <v>353</v>
      </c>
      <c r="GQ156" s="841" t="s">
        <v>353</v>
      </c>
      <c r="GR156" s="842">
        <v>44554.439583333333</v>
      </c>
      <c r="GS156" s="841" t="s">
        <v>353</v>
      </c>
      <c r="GT156" s="841" t="s">
        <v>353</v>
      </c>
      <c r="GU156" s="841" t="s">
        <v>353</v>
      </c>
      <c r="GV156" s="841" t="s">
        <v>1419</v>
      </c>
      <c r="GW156" s="841" t="s">
        <v>353</v>
      </c>
      <c r="GX156" s="841" t="s">
        <v>353</v>
      </c>
      <c r="GY156" s="841" t="s">
        <v>353</v>
      </c>
      <c r="GZ156" s="841" t="s">
        <v>353</v>
      </c>
      <c r="HA156" s="841" t="s">
        <v>353</v>
      </c>
      <c r="HB156" s="841" t="s">
        <v>353</v>
      </c>
      <c r="HC156" s="841" t="s">
        <v>353</v>
      </c>
      <c r="HD156" s="841" t="s">
        <v>2833</v>
      </c>
      <c r="HE156" s="841" t="s">
        <v>353</v>
      </c>
      <c r="HF156" s="841" t="s">
        <v>353</v>
      </c>
      <c r="HG156" s="841" t="s">
        <v>353</v>
      </c>
      <c r="HH156" s="841" t="s">
        <v>353</v>
      </c>
      <c r="HI156" s="841" t="s">
        <v>1422</v>
      </c>
      <c r="HJ156" s="841" t="s">
        <v>2831</v>
      </c>
      <c r="HK156" s="841">
        <v>400000</v>
      </c>
      <c r="HL156" s="841" t="s">
        <v>353</v>
      </c>
      <c r="HM156" s="841" t="s">
        <v>1530</v>
      </c>
      <c r="HN156" s="841" t="s">
        <v>353</v>
      </c>
      <c r="HO156" s="841" t="s">
        <v>353</v>
      </c>
      <c r="HP156" s="841">
        <v>19960</v>
      </c>
      <c r="HQ156" s="841" t="s">
        <v>353</v>
      </c>
      <c r="HR156" s="841" t="s">
        <v>353</v>
      </c>
      <c r="HS156" s="841" t="s">
        <v>353</v>
      </c>
      <c r="HT156" s="841" t="s">
        <v>353</v>
      </c>
      <c r="HU156" s="841" t="s">
        <v>353</v>
      </c>
      <c r="HV156" s="841" t="s">
        <v>353</v>
      </c>
      <c r="HW156" s="841">
        <v>650000</v>
      </c>
      <c r="HX156" s="841" t="s">
        <v>353</v>
      </c>
      <c r="HY156" s="841" t="s">
        <v>353</v>
      </c>
      <c r="HZ156" s="841" t="s">
        <v>353</v>
      </c>
      <c r="IA156" s="841" t="s">
        <v>353</v>
      </c>
      <c r="IB156" s="841" t="s">
        <v>1424</v>
      </c>
      <c r="IC156" s="841" t="s">
        <v>353</v>
      </c>
      <c r="ID156" s="841" t="s">
        <v>353</v>
      </c>
      <c r="IE156" s="841" t="s">
        <v>353</v>
      </c>
      <c r="IF156" s="841" t="s">
        <v>353</v>
      </c>
      <c r="IG156" s="841" t="s">
        <v>353</v>
      </c>
      <c r="IH156" s="841" t="s">
        <v>353</v>
      </c>
      <c r="II156" s="841" t="s">
        <v>353</v>
      </c>
      <c r="IJ156" s="841" t="s">
        <v>353</v>
      </c>
      <c r="IK156" s="841" t="s">
        <v>353</v>
      </c>
      <c r="IL156" s="841" t="s">
        <v>353</v>
      </c>
      <c r="IM156" s="841" t="s">
        <v>353</v>
      </c>
      <c r="IN156" s="841" t="s">
        <v>353</v>
      </c>
      <c r="IO156" s="841" t="s">
        <v>353</v>
      </c>
      <c r="IP156" s="841" t="s">
        <v>353</v>
      </c>
      <c r="IQ156" s="841" t="s">
        <v>353</v>
      </c>
      <c r="IR156" s="841" t="s">
        <v>353</v>
      </c>
      <c r="IS156" s="841" t="s">
        <v>353</v>
      </c>
      <c r="IT156" s="841" t="s">
        <v>353</v>
      </c>
      <c r="IU156" s="841" t="s">
        <v>353</v>
      </c>
      <c r="IV156" s="841" t="s">
        <v>353</v>
      </c>
      <c r="IW156" s="841" t="s">
        <v>353</v>
      </c>
      <c r="IX156" s="841" t="s">
        <v>353</v>
      </c>
      <c r="IY156" s="841" t="s">
        <v>1578</v>
      </c>
      <c r="IZ156" s="841" t="s">
        <v>353</v>
      </c>
      <c r="JA156" s="841">
        <v>400000</v>
      </c>
      <c r="JB156" s="841" t="s">
        <v>353</v>
      </c>
      <c r="JC156" s="841" t="s">
        <v>353</v>
      </c>
      <c r="JD156" s="841" t="s">
        <v>1847</v>
      </c>
      <c r="JE156" s="841" t="s">
        <v>353</v>
      </c>
      <c r="JF156" s="841" t="s">
        <v>353</v>
      </c>
      <c r="JG156" s="841" t="s">
        <v>353</v>
      </c>
      <c r="JH156" s="841" t="s">
        <v>1720</v>
      </c>
      <c r="JI156" s="841" t="s">
        <v>1721</v>
      </c>
    </row>
    <row r="157" spans="1:269" x14ac:dyDescent="0.25">
      <c r="A157" s="841" t="s">
        <v>2834</v>
      </c>
      <c r="B157" s="841" t="s">
        <v>353</v>
      </c>
      <c r="C157" s="841" t="s">
        <v>353</v>
      </c>
      <c r="D157" s="841" t="s">
        <v>353</v>
      </c>
      <c r="E157" s="841" t="s">
        <v>353</v>
      </c>
      <c r="F157" s="841" t="s">
        <v>353</v>
      </c>
      <c r="G157" s="841" t="s">
        <v>353</v>
      </c>
      <c r="H157" s="841" t="s">
        <v>353</v>
      </c>
      <c r="I157" s="841" t="s">
        <v>353</v>
      </c>
      <c r="J157" s="841" t="s">
        <v>353</v>
      </c>
      <c r="K157" s="841" t="s">
        <v>353</v>
      </c>
      <c r="L157" s="842">
        <v>44554.439583333333</v>
      </c>
      <c r="M157" s="841" t="s">
        <v>353</v>
      </c>
      <c r="N157" s="841" t="s">
        <v>353</v>
      </c>
      <c r="O157" s="841" t="s">
        <v>353</v>
      </c>
      <c r="P157" s="841" t="s">
        <v>353</v>
      </c>
      <c r="Q157" s="841" t="s">
        <v>353</v>
      </c>
      <c r="R157" s="841" t="s">
        <v>353</v>
      </c>
      <c r="S157" s="841" t="s">
        <v>353</v>
      </c>
      <c r="T157" s="841" t="s">
        <v>1390</v>
      </c>
      <c r="U157" s="841" t="s">
        <v>353</v>
      </c>
      <c r="V157" s="841" t="s">
        <v>353</v>
      </c>
      <c r="W157" s="841" t="s">
        <v>353</v>
      </c>
      <c r="X157" s="841" t="s">
        <v>353</v>
      </c>
      <c r="Y157" s="841" t="s">
        <v>353</v>
      </c>
      <c r="Z157" s="841" t="s">
        <v>353</v>
      </c>
      <c r="AA157" s="841" t="s">
        <v>353</v>
      </c>
      <c r="AB157" s="841" t="s">
        <v>353</v>
      </c>
      <c r="AC157" s="841" t="s">
        <v>353</v>
      </c>
      <c r="AD157" s="841" t="s">
        <v>353</v>
      </c>
      <c r="AE157" s="841" t="s">
        <v>353</v>
      </c>
      <c r="AF157" s="841" t="s">
        <v>353</v>
      </c>
      <c r="AG157" s="841" t="s">
        <v>353</v>
      </c>
      <c r="AH157" s="841" t="s">
        <v>353</v>
      </c>
      <c r="AI157" s="841" t="s">
        <v>353</v>
      </c>
      <c r="AJ157" s="841" t="s">
        <v>353</v>
      </c>
      <c r="AK157" s="841" t="s">
        <v>353</v>
      </c>
      <c r="AL157" s="841" t="s">
        <v>353</v>
      </c>
      <c r="AM157" s="841" t="s">
        <v>353</v>
      </c>
      <c r="AN157" s="841" t="s">
        <v>353</v>
      </c>
      <c r="AO157" s="841" t="s">
        <v>353</v>
      </c>
      <c r="AP157" s="841" t="s">
        <v>353</v>
      </c>
      <c r="AQ157" s="841" t="s">
        <v>353</v>
      </c>
      <c r="AR157" s="841" t="s">
        <v>353</v>
      </c>
      <c r="AS157" s="841" t="s">
        <v>353</v>
      </c>
      <c r="AT157" s="841" t="s">
        <v>353</v>
      </c>
      <c r="AU157" s="841" t="s">
        <v>353</v>
      </c>
      <c r="AV157" s="841" t="s">
        <v>353</v>
      </c>
      <c r="AW157" s="841" t="s">
        <v>353</v>
      </c>
      <c r="AX157" s="841" t="s">
        <v>353</v>
      </c>
      <c r="AY157" s="841" t="s">
        <v>353</v>
      </c>
      <c r="AZ157" s="841" t="s">
        <v>353</v>
      </c>
      <c r="BA157" s="841" t="s">
        <v>353</v>
      </c>
      <c r="BB157" s="841" t="s">
        <v>353</v>
      </c>
      <c r="BC157" s="841" t="s">
        <v>353</v>
      </c>
      <c r="BD157" s="841" t="s">
        <v>353</v>
      </c>
      <c r="BE157" s="841" t="s">
        <v>353</v>
      </c>
      <c r="BF157" s="841" t="s">
        <v>353</v>
      </c>
      <c r="BG157" s="841" t="s">
        <v>353</v>
      </c>
      <c r="BH157" s="841" t="s">
        <v>353</v>
      </c>
      <c r="BI157" s="841" t="s">
        <v>353</v>
      </c>
      <c r="BJ157" s="841" t="s">
        <v>353</v>
      </c>
      <c r="BK157" s="841" t="s">
        <v>353</v>
      </c>
      <c r="BL157" s="841" t="s">
        <v>353</v>
      </c>
      <c r="BM157" s="842">
        <v>44561.427083333336</v>
      </c>
      <c r="BN157" s="841" t="s">
        <v>353</v>
      </c>
      <c r="BO157" s="841" t="s">
        <v>353</v>
      </c>
      <c r="BP157" s="841" t="s">
        <v>353</v>
      </c>
      <c r="BQ157" s="841" t="s">
        <v>353</v>
      </c>
      <c r="BR157" s="841" t="s">
        <v>353</v>
      </c>
      <c r="BS157" s="841" t="s">
        <v>353</v>
      </c>
      <c r="BT157" s="841">
        <v>412000</v>
      </c>
      <c r="BU157" s="841" t="s">
        <v>353</v>
      </c>
      <c r="BV157" s="841" t="s">
        <v>353</v>
      </c>
      <c r="BW157" s="841" t="s">
        <v>353</v>
      </c>
      <c r="BX157" s="841" t="s">
        <v>353</v>
      </c>
      <c r="BY157" s="841" t="s">
        <v>353</v>
      </c>
      <c r="BZ157" s="841" t="s">
        <v>353</v>
      </c>
      <c r="CA157" s="841" t="s">
        <v>353</v>
      </c>
      <c r="CB157" s="841" t="s">
        <v>353</v>
      </c>
      <c r="CC157" s="841" t="s">
        <v>353</v>
      </c>
      <c r="CD157" s="841" t="s">
        <v>353</v>
      </c>
      <c r="CE157" s="841" t="s">
        <v>353</v>
      </c>
      <c r="CF157" s="841" t="s">
        <v>353</v>
      </c>
      <c r="CG157" s="841" t="s">
        <v>353</v>
      </c>
      <c r="CH157" s="841" t="s">
        <v>353</v>
      </c>
      <c r="CI157" s="841" t="s">
        <v>353</v>
      </c>
      <c r="CJ157" s="841" t="s">
        <v>353</v>
      </c>
      <c r="CK157" s="841">
        <v>6</v>
      </c>
      <c r="CL157" s="841" t="s">
        <v>353</v>
      </c>
      <c r="CM157" s="841">
        <v>6</v>
      </c>
      <c r="CN157" s="841" t="s">
        <v>353</v>
      </c>
      <c r="CO157" s="841" t="s">
        <v>353</v>
      </c>
      <c r="CP157" s="841" t="s">
        <v>353</v>
      </c>
      <c r="CQ157" s="841" t="s">
        <v>353</v>
      </c>
      <c r="CR157" s="841" t="s">
        <v>353</v>
      </c>
      <c r="CS157" s="841" t="s">
        <v>353</v>
      </c>
      <c r="CT157" s="841" t="s">
        <v>353</v>
      </c>
      <c r="CU157" s="841" t="s">
        <v>1391</v>
      </c>
      <c r="CV157" s="841" t="s">
        <v>353</v>
      </c>
      <c r="CW157" s="841" t="s">
        <v>353</v>
      </c>
      <c r="CX157" s="841" t="s">
        <v>353</v>
      </c>
      <c r="CY157" s="841" t="s">
        <v>353</v>
      </c>
      <c r="CZ157" s="841" t="s">
        <v>353</v>
      </c>
      <c r="DA157" s="841" t="s">
        <v>353</v>
      </c>
      <c r="DB157" s="841" t="s">
        <v>353</v>
      </c>
      <c r="DC157" s="841" t="s">
        <v>353</v>
      </c>
      <c r="DD157" s="841" t="s">
        <v>353</v>
      </c>
      <c r="DE157" s="841" t="s">
        <v>353</v>
      </c>
      <c r="DF157" s="841" t="s">
        <v>353</v>
      </c>
      <c r="DG157" s="841" t="s">
        <v>353</v>
      </c>
      <c r="DH157" s="841" t="s">
        <v>353</v>
      </c>
      <c r="DI157" s="841" t="s">
        <v>353</v>
      </c>
      <c r="DJ157" s="841" t="s">
        <v>2830</v>
      </c>
      <c r="DK157" s="841" t="s">
        <v>353</v>
      </c>
      <c r="DL157" s="842">
        <v>44537.427083333336</v>
      </c>
      <c r="DM157" s="841" t="s">
        <v>353</v>
      </c>
      <c r="DN157" s="841" t="s">
        <v>353</v>
      </c>
      <c r="DO157" s="841" t="s">
        <v>353</v>
      </c>
      <c r="DP157" s="841" t="s">
        <v>353</v>
      </c>
      <c r="DQ157" s="841" t="s">
        <v>673</v>
      </c>
      <c r="DR157" s="841" t="s">
        <v>353</v>
      </c>
      <c r="DS157" s="841" t="s">
        <v>353</v>
      </c>
      <c r="DT157" s="841" t="s">
        <v>353</v>
      </c>
      <c r="DU157" s="841" t="s">
        <v>353</v>
      </c>
      <c r="DV157" s="841" t="s">
        <v>353</v>
      </c>
      <c r="DW157" s="841" t="s">
        <v>353</v>
      </c>
      <c r="DX157" s="841" t="s">
        <v>353</v>
      </c>
      <c r="DY157" s="841" t="s">
        <v>353</v>
      </c>
      <c r="DZ157" s="841" t="s">
        <v>353</v>
      </c>
      <c r="EA157" s="841" t="s">
        <v>353</v>
      </c>
      <c r="EB157" s="841" t="s">
        <v>353</v>
      </c>
      <c r="EC157" s="841" t="s">
        <v>353</v>
      </c>
      <c r="ED157" s="841" t="s">
        <v>353</v>
      </c>
      <c r="EE157" s="841" t="s">
        <v>353</v>
      </c>
      <c r="EF157" s="841" t="s">
        <v>353</v>
      </c>
      <c r="EG157" s="841" t="s">
        <v>353</v>
      </c>
      <c r="EH157" s="841" t="s">
        <v>353</v>
      </c>
      <c r="EI157" s="841" t="s">
        <v>353</v>
      </c>
      <c r="EJ157" s="841" t="s">
        <v>353</v>
      </c>
      <c r="EK157" s="841" t="s">
        <v>353</v>
      </c>
      <c r="EL157" s="841" t="s">
        <v>353</v>
      </c>
      <c r="EM157" s="841" t="s">
        <v>353</v>
      </c>
      <c r="EN157" s="841" t="s">
        <v>353</v>
      </c>
      <c r="EO157" s="841" t="s">
        <v>353</v>
      </c>
      <c r="EP157" s="841" t="s">
        <v>353</v>
      </c>
      <c r="EQ157" s="841" t="s">
        <v>353</v>
      </c>
      <c r="ER157" s="841" t="s">
        <v>353</v>
      </c>
      <c r="ES157" s="841" t="s">
        <v>353</v>
      </c>
      <c r="ET157" s="841" t="s">
        <v>1711</v>
      </c>
      <c r="EU157" s="841" t="s">
        <v>353</v>
      </c>
      <c r="EV157" s="841" t="s">
        <v>353</v>
      </c>
      <c r="EW157" s="841" t="s">
        <v>353</v>
      </c>
      <c r="EX157" s="841" t="s">
        <v>353</v>
      </c>
      <c r="EY157" s="842">
        <v>44554.439583333333</v>
      </c>
      <c r="EZ157" s="841" t="s">
        <v>353</v>
      </c>
      <c r="FA157" s="841" t="s">
        <v>353</v>
      </c>
      <c r="FB157" s="841" t="s">
        <v>353</v>
      </c>
      <c r="FC157" s="841" t="s">
        <v>353</v>
      </c>
      <c r="FD157" s="841" t="s">
        <v>353</v>
      </c>
      <c r="FE157" s="842">
        <v>44537.427777777775</v>
      </c>
      <c r="FF157" s="841" t="s">
        <v>353</v>
      </c>
      <c r="FG157" s="841" t="s">
        <v>353</v>
      </c>
      <c r="FH157" s="841" t="s">
        <v>353</v>
      </c>
      <c r="FI157" s="841" t="s">
        <v>353</v>
      </c>
      <c r="FJ157" s="841" t="s">
        <v>353</v>
      </c>
      <c r="FK157" s="841" t="s">
        <v>353</v>
      </c>
      <c r="FL157" s="841" t="s">
        <v>353</v>
      </c>
      <c r="FM157" s="841" t="s">
        <v>353</v>
      </c>
      <c r="FN157" s="841" t="s">
        <v>353</v>
      </c>
      <c r="FO157" s="841" t="s">
        <v>353</v>
      </c>
      <c r="FP157" s="841" t="s">
        <v>353</v>
      </c>
      <c r="FQ157" s="841" t="s">
        <v>353</v>
      </c>
      <c r="FR157" s="841" t="s">
        <v>353</v>
      </c>
      <c r="FS157" s="841" t="s">
        <v>353</v>
      </c>
      <c r="FT157" s="841" t="s">
        <v>353</v>
      </c>
      <c r="FU157" s="841" t="s">
        <v>1394</v>
      </c>
      <c r="FV157" s="841" t="s">
        <v>353</v>
      </c>
      <c r="FW157" s="841" t="s">
        <v>353</v>
      </c>
      <c r="FX157" s="841" t="s">
        <v>353</v>
      </c>
      <c r="FY157" s="841" t="s">
        <v>353</v>
      </c>
      <c r="FZ157" s="841" t="s">
        <v>353</v>
      </c>
      <c r="GA157" s="841" t="s">
        <v>353</v>
      </c>
      <c r="GB157" s="841">
        <v>1</v>
      </c>
      <c r="GC157" s="841" t="s">
        <v>353</v>
      </c>
      <c r="GD157" s="841" t="s">
        <v>1395</v>
      </c>
      <c r="GE157" s="841" t="s">
        <v>353</v>
      </c>
      <c r="GF157" s="841" t="s">
        <v>353</v>
      </c>
      <c r="GG157" s="841" t="s">
        <v>353</v>
      </c>
      <c r="GH157" s="841" t="s">
        <v>353</v>
      </c>
      <c r="GI157" s="841" t="s">
        <v>353</v>
      </c>
      <c r="GJ157" s="841" t="s">
        <v>353</v>
      </c>
      <c r="GK157" s="841" t="s">
        <v>353</v>
      </c>
      <c r="GL157" s="841" t="s">
        <v>1715</v>
      </c>
      <c r="GM157" s="841" t="s">
        <v>353</v>
      </c>
      <c r="GN157" s="841" t="s">
        <v>353</v>
      </c>
      <c r="GO157" s="841" t="s">
        <v>353</v>
      </c>
      <c r="GP157" s="841" t="s">
        <v>353</v>
      </c>
      <c r="GQ157" s="841" t="s">
        <v>353</v>
      </c>
      <c r="GR157" s="842">
        <v>44554.439583333333</v>
      </c>
      <c r="GS157" s="841" t="s">
        <v>353</v>
      </c>
      <c r="GT157" s="841" t="s">
        <v>353</v>
      </c>
      <c r="GU157" s="841" t="s">
        <v>353</v>
      </c>
      <c r="GV157" s="841" t="s">
        <v>1419</v>
      </c>
      <c r="GW157" s="841" t="s">
        <v>353</v>
      </c>
      <c r="GX157" s="841" t="s">
        <v>353</v>
      </c>
      <c r="GY157" s="841" t="s">
        <v>353</v>
      </c>
      <c r="GZ157" s="841" t="s">
        <v>353</v>
      </c>
      <c r="HA157" s="841" t="s">
        <v>353</v>
      </c>
      <c r="HB157" s="841" t="s">
        <v>353</v>
      </c>
      <c r="HC157" s="841" t="s">
        <v>353</v>
      </c>
      <c r="HD157" s="841" t="s">
        <v>2835</v>
      </c>
      <c r="HE157" s="841" t="s">
        <v>353</v>
      </c>
      <c r="HF157" s="841" t="s">
        <v>353</v>
      </c>
      <c r="HG157" s="841" t="s">
        <v>353</v>
      </c>
      <c r="HH157" s="841" t="s">
        <v>353</v>
      </c>
      <c r="HI157" s="841" t="s">
        <v>353</v>
      </c>
      <c r="HJ157" s="841" t="s">
        <v>353</v>
      </c>
      <c r="HK157" s="841" t="s">
        <v>353</v>
      </c>
      <c r="HL157" s="841" t="s">
        <v>353</v>
      </c>
      <c r="HM157" s="841" t="s">
        <v>353</v>
      </c>
      <c r="HN157" s="841" t="s">
        <v>353</v>
      </c>
      <c r="HO157" s="841" t="s">
        <v>353</v>
      </c>
      <c r="HP157" s="841" t="s">
        <v>353</v>
      </c>
      <c r="HQ157" s="841" t="s">
        <v>353</v>
      </c>
      <c r="HR157" s="841" t="s">
        <v>353</v>
      </c>
      <c r="HS157" s="841" t="s">
        <v>353</v>
      </c>
      <c r="HT157" s="841" t="s">
        <v>353</v>
      </c>
      <c r="HU157" s="841" t="s">
        <v>353</v>
      </c>
      <c r="HV157" s="841" t="s">
        <v>353</v>
      </c>
      <c r="HW157" s="841" t="s">
        <v>353</v>
      </c>
      <c r="HX157" s="841" t="s">
        <v>353</v>
      </c>
      <c r="HY157" s="841" t="s">
        <v>353</v>
      </c>
      <c r="HZ157" s="841" t="s">
        <v>353</v>
      </c>
      <c r="IA157" s="841" t="s">
        <v>353</v>
      </c>
      <c r="IB157" s="841" t="s">
        <v>353</v>
      </c>
      <c r="IC157" s="841" t="s">
        <v>353</v>
      </c>
      <c r="ID157" s="841" t="s">
        <v>353</v>
      </c>
      <c r="IE157" s="841" t="s">
        <v>353</v>
      </c>
      <c r="IF157" s="841" t="s">
        <v>353</v>
      </c>
      <c r="IG157" s="841" t="s">
        <v>353</v>
      </c>
      <c r="IH157" s="841" t="s">
        <v>353</v>
      </c>
      <c r="II157" s="841" t="s">
        <v>353</v>
      </c>
      <c r="IJ157" s="841" t="s">
        <v>353</v>
      </c>
      <c r="IK157" s="841" t="s">
        <v>353</v>
      </c>
      <c r="IL157" s="841" t="s">
        <v>353</v>
      </c>
      <c r="IM157" s="841" t="s">
        <v>353</v>
      </c>
      <c r="IN157" s="841" t="s">
        <v>353</v>
      </c>
      <c r="IO157" s="841" t="s">
        <v>353</v>
      </c>
      <c r="IP157" s="841" t="s">
        <v>353</v>
      </c>
      <c r="IQ157" s="841" t="s">
        <v>353</v>
      </c>
      <c r="IR157" s="841" t="s">
        <v>353</v>
      </c>
      <c r="IS157" s="841" t="s">
        <v>353</v>
      </c>
      <c r="IT157" s="841" t="s">
        <v>353</v>
      </c>
      <c r="IU157" s="841" t="s">
        <v>353</v>
      </c>
      <c r="IV157" s="841" t="s">
        <v>353</v>
      </c>
      <c r="IW157" s="841" t="s">
        <v>353</v>
      </c>
      <c r="IX157" s="841" t="s">
        <v>353</v>
      </c>
      <c r="IY157" s="841" t="s">
        <v>353</v>
      </c>
      <c r="IZ157" s="841" t="s">
        <v>353</v>
      </c>
      <c r="JA157" s="841" t="s">
        <v>353</v>
      </c>
      <c r="JB157" s="841" t="s">
        <v>353</v>
      </c>
      <c r="JC157" s="841" t="s">
        <v>353</v>
      </c>
      <c r="JD157" s="841" t="s">
        <v>353</v>
      </c>
      <c r="JE157" s="841" t="s">
        <v>353</v>
      </c>
      <c r="JF157" s="841" t="s">
        <v>1718</v>
      </c>
      <c r="JG157" s="841" t="s">
        <v>1719</v>
      </c>
      <c r="JH157" s="841" t="s">
        <v>1720</v>
      </c>
      <c r="JI157" s="841" t="s">
        <v>1721</v>
      </c>
    </row>
    <row r="158" spans="1:269" x14ac:dyDescent="0.25">
      <c r="A158" s="841" t="s">
        <v>2836</v>
      </c>
      <c r="B158" s="841" t="s">
        <v>353</v>
      </c>
      <c r="C158" s="841" t="s">
        <v>353</v>
      </c>
      <c r="D158" s="841" t="s">
        <v>353</v>
      </c>
      <c r="E158" s="841" t="s">
        <v>353</v>
      </c>
      <c r="F158" s="841" t="s">
        <v>1405</v>
      </c>
      <c r="G158" s="841" t="s">
        <v>2837</v>
      </c>
      <c r="H158" s="841" t="s">
        <v>353</v>
      </c>
      <c r="I158" s="841" t="s">
        <v>353</v>
      </c>
      <c r="J158" s="841" t="s">
        <v>353</v>
      </c>
      <c r="K158" s="841" t="s">
        <v>353</v>
      </c>
      <c r="L158" s="842">
        <v>44606.386111111111</v>
      </c>
      <c r="M158" s="841" t="s">
        <v>353</v>
      </c>
      <c r="N158" s="841" t="s">
        <v>353</v>
      </c>
      <c r="O158" s="841" t="s">
        <v>353</v>
      </c>
      <c r="P158" s="841" t="s">
        <v>33</v>
      </c>
      <c r="Q158" s="841" t="s">
        <v>353</v>
      </c>
      <c r="R158" s="841">
        <v>500</v>
      </c>
      <c r="S158" s="841" t="s">
        <v>1520</v>
      </c>
      <c r="T158" s="841" t="s">
        <v>1390</v>
      </c>
      <c r="U158" s="841" t="s">
        <v>353</v>
      </c>
      <c r="V158" s="841" t="s">
        <v>353</v>
      </c>
      <c r="W158" s="841" t="s">
        <v>1716</v>
      </c>
      <c r="X158" s="841" t="s">
        <v>1435</v>
      </c>
      <c r="Y158" s="841" t="s">
        <v>353</v>
      </c>
      <c r="Z158" s="841" t="s">
        <v>353</v>
      </c>
      <c r="AA158" s="841" t="s">
        <v>33</v>
      </c>
      <c r="AB158" s="841" t="s">
        <v>353</v>
      </c>
      <c r="AC158" s="841">
        <v>412500</v>
      </c>
      <c r="AD158" s="841">
        <v>1450</v>
      </c>
      <c r="AE158" s="841" t="s">
        <v>33</v>
      </c>
      <c r="AF158" s="841" t="s">
        <v>353</v>
      </c>
      <c r="AG158" s="841">
        <v>950</v>
      </c>
      <c r="AH158" s="841">
        <v>800</v>
      </c>
      <c r="AI158" s="841" t="s">
        <v>1406</v>
      </c>
      <c r="AJ158" s="841" t="s">
        <v>353</v>
      </c>
      <c r="AK158" s="841">
        <v>74</v>
      </c>
      <c r="AL158" s="841" t="s">
        <v>353</v>
      </c>
      <c r="AM158" s="841" t="s">
        <v>353</v>
      </c>
      <c r="AN158" s="841" t="s">
        <v>353</v>
      </c>
      <c r="AO158" s="841" t="s">
        <v>353</v>
      </c>
      <c r="AP158" s="841" t="s">
        <v>353</v>
      </c>
      <c r="AQ158" s="841" t="s">
        <v>353</v>
      </c>
      <c r="AR158" s="841" t="s">
        <v>33</v>
      </c>
      <c r="AS158" s="841" t="s">
        <v>353</v>
      </c>
      <c r="AT158" s="841" t="s">
        <v>353</v>
      </c>
      <c r="AU158" s="841" t="s">
        <v>353</v>
      </c>
      <c r="AV158" s="841" t="s">
        <v>353</v>
      </c>
      <c r="AW158" s="843">
        <v>44533</v>
      </c>
      <c r="AX158" s="841" t="s">
        <v>353</v>
      </c>
      <c r="AY158" s="841" t="s">
        <v>353</v>
      </c>
      <c r="AZ158" s="841" t="s">
        <v>353</v>
      </c>
      <c r="BA158" s="841" t="s">
        <v>353</v>
      </c>
      <c r="BB158" s="841" t="s">
        <v>353</v>
      </c>
      <c r="BC158" s="841">
        <v>761104</v>
      </c>
      <c r="BD158" s="841" t="s">
        <v>353</v>
      </c>
      <c r="BE158" s="841" t="s">
        <v>353</v>
      </c>
      <c r="BF158" s="841" t="s">
        <v>353</v>
      </c>
      <c r="BG158" s="841" t="s">
        <v>353</v>
      </c>
      <c r="BH158" s="841" t="s">
        <v>353</v>
      </c>
      <c r="BI158" s="841" t="s">
        <v>353</v>
      </c>
      <c r="BJ158" s="841" t="s">
        <v>353</v>
      </c>
      <c r="BK158" s="841">
        <v>219685</v>
      </c>
      <c r="BL158" s="841" t="s">
        <v>2838</v>
      </c>
      <c r="BM158" s="842">
        <v>44561.711111111108</v>
      </c>
      <c r="BN158" s="841" t="s">
        <v>353</v>
      </c>
      <c r="BO158" s="841" t="s">
        <v>353</v>
      </c>
      <c r="BP158" s="841" t="s">
        <v>353</v>
      </c>
      <c r="BQ158" s="841" t="s">
        <v>353</v>
      </c>
      <c r="BR158" s="841" t="s">
        <v>353</v>
      </c>
      <c r="BS158" s="841" t="s">
        <v>353</v>
      </c>
      <c r="BT158" s="841">
        <v>825000</v>
      </c>
      <c r="BU158" s="841" t="s">
        <v>353</v>
      </c>
      <c r="BV158" s="841" t="s">
        <v>1993</v>
      </c>
      <c r="BW158" s="841" t="s">
        <v>353</v>
      </c>
      <c r="BX158" s="841" t="s">
        <v>2839</v>
      </c>
      <c r="BY158" s="841" t="s">
        <v>353</v>
      </c>
      <c r="BZ158" s="841" t="s">
        <v>353</v>
      </c>
      <c r="CA158" s="841" t="s">
        <v>353</v>
      </c>
      <c r="CB158" s="841" t="s">
        <v>353</v>
      </c>
      <c r="CC158" s="841" t="s">
        <v>353</v>
      </c>
      <c r="CD158" s="841" t="s">
        <v>353</v>
      </c>
      <c r="CE158" s="841" t="s">
        <v>353</v>
      </c>
      <c r="CF158" s="841" t="s">
        <v>353</v>
      </c>
      <c r="CG158" s="841" t="s">
        <v>353</v>
      </c>
      <c r="CH158" s="841" t="s">
        <v>353</v>
      </c>
      <c r="CI158" s="841" t="s">
        <v>33</v>
      </c>
      <c r="CJ158" s="841" t="s">
        <v>353</v>
      </c>
      <c r="CK158" s="841" t="s">
        <v>353</v>
      </c>
      <c r="CL158" s="841" t="s">
        <v>353</v>
      </c>
      <c r="CM158" s="841" t="s">
        <v>353</v>
      </c>
      <c r="CN158" s="841" t="s">
        <v>353</v>
      </c>
      <c r="CO158" s="841" t="s">
        <v>353</v>
      </c>
      <c r="CP158" s="841" t="s">
        <v>2840</v>
      </c>
      <c r="CQ158" s="841" t="s">
        <v>353</v>
      </c>
      <c r="CR158" s="841" t="s">
        <v>353</v>
      </c>
      <c r="CS158" s="841" t="s">
        <v>353</v>
      </c>
      <c r="CT158" s="841" t="s">
        <v>353</v>
      </c>
      <c r="CU158" s="841" t="s">
        <v>1391</v>
      </c>
      <c r="CV158" s="841" t="s">
        <v>353</v>
      </c>
      <c r="CW158" s="841" t="s">
        <v>353</v>
      </c>
      <c r="CX158" s="841" t="s">
        <v>353</v>
      </c>
      <c r="CY158" s="841" t="s">
        <v>353</v>
      </c>
      <c r="CZ158" s="841">
        <v>4</v>
      </c>
      <c r="DA158" s="841" t="s">
        <v>353</v>
      </c>
      <c r="DB158" s="841" t="s">
        <v>353</v>
      </c>
      <c r="DC158" s="841" t="s">
        <v>353</v>
      </c>
      <c r="DD158" s="841" t="s">
        <v>353</v>
      </c>
      <c r="DE158" s="841" t="s">
        <v>353</v>
      </c>
      <c r="DF158" s="841">
        <v>30</v>
      </c>
      <c r="DG158" s="841" t="s">
        <v>353</v>
      </c>
      <c r="DH158" s="841" t="s">
        <v>353</v>
      </c>
      <c r="DI158" s="841" t="s">
        <v>353</v>
      </c>
      <c r="DJ158" s="841" t="s">
        <v>2841</v>
      </c>
      <c r="DK158" s="841" t="s">
        <v>353</v>
      </c>
      <c r="DL158" s="842">
        <v>44533.711111111108</v>
      </c>
      <c r="DM158" s="841" t="s">
        <v>353</v>
      </c>
      <c r="DN158" s="841" t="s">
        <v>33</v>
      </c>
      <c r="DO158" s="841" t="s">
        <v>673</v>
      </c>
      <c r="DP158" s="841" t="s">
        <v>1481</v>
      </c>
      <c r="DQ158" s="841" t="s">
        <v>1451</v>
      </c>
      <c r="DR158" s="841" t="s">
        <v>353</v>
      </c>
      <c r="DS158" s="841">
        <v>30</v>
      </c>
      <c r="DT158" s="841" t="s">
        <v>353</v>
      </c>
      <c r="DU158" s="841" t="s">
        <v>353</v>
      </c>
      <c r="DV158" s="841">
        <v>487245</v>
      </c>
      <c r="DW158" s="841">
        <v>825000</v>
      </c>
      <c r="DX158" s="841" t="s">
        <v>33</v>
      </c>
      <c r="DY158" s="841" t="s">
        <v>353</v>
      </c>
      <c r="DZ158" s="841" t="s">
        <v>353</v>
      </c>
      <c r="EA158" s="841" t="s">
        <v>353</v>
      </c>
      <c r="EB158" s="841" t="s">
        <v>353</v>
      </c>
      <c r="EC158" s="841" t="s">
        <v>353</v>
      </c>
      <c r="ED158" s="841" t="s">
        <v>353</v>
      </c>
      <c r="EE158" s="841" t="s">
        <v>353</v>
      </c>
      <c r="EF158" s="841" t="s">
        <v>353</v>
      </c>
      <c r="EG158" s="841" t="s">
        <v>353</v>
      </c>
      <c r="EH158" s="841" t="s">
        <v>353</v>
      </c>
      <c r="EI158" s="841">
        <v>321255</v>
      </c>
      <c r="EJ158" s="841" t="s">
        <v>353</v>
      </c>
      <c r="EK158" s="841" t="s">
        <v>353</v>
      </c>
      <c r="EL158" s="841" t="s">
        <v>1435</v>
      </c>
      <c r="EM158" s="841">
        <v>16500</v>
      </c>
      <c r="EN158" s="841" t="s">
        <v>353</v>
      </c>
      <c r="EO158" s="841" t="s">
        <v>353</v>
      </c>
      <c r="EP158" s="841" t="s">
        <v>353</v>
      </c>
      <c r="EQ158" s="841" t="s">
        <v>353</v>
      </c>
      <c r="ER158" s="841" t="s">
        <v>353</v>
      </c>
      <c r="ES158" s="841" t="s">
        <v>33</v>
      </c>
      <c r="ET158" s="841" t="s">
        <v>1452</v>
      </c>
      <c r="EU158" s="841" t="s">
        <v>353</v>
      </c>
      <c r="EV158" s="841" t="s">
        <v>353</v>
      </c>
      <c r="EW158" s="841" t="s">
        <v>353</v>
      </c>
      <c r="EX158" s="841" t="s">
        <v>33</v>
      </c>
      <c r="EY158" s="841" t="s">
        <v>353</v>
      </c>
      <c r="EZ158" s="841" t="s">
        <v>353</v>
      </c>
      <c r="FA158" s="841" t="s">
        <v>353</v>
      </c>
      <c r="FB158" s="841" t="s">
        <v>353</v>
      </c>
      <c r="FC158" s="841" t="s">
        <v>353</v>
      </c>
      <c r="FD158" s="841" t="s">
        <v>353</v>
      </c>
      <c r="FE158" s="842">
        <v>44606.386111111111</v>
      </c>
      <c r="FF158" s="841" t="s">
        <v>353</v>
      </c>
      <c r="FG158" s="841" t="s">
        <v>353</v>
      </c>
      <c r="FH158" s="841" t="s">
        <v>353</v>
      </c>
      <c r="FI158" s="841" t="s">
        <v>353</v>
      </c>
      <c r="FJ158" s="841" t="s">
        <v>353</v>
      </c>
      <c r="FK158" s="841" t="s">
        <v>353</v>
      </c>
      <c r="FL158" s="841" t="s">
        <v>353</v>
      </c>
      <c r="FM158" s="841" t="s">
        <v>353</v>
      </c>
      <c r="FN158" s="841" t="s">
        <v>353</v>
      </c>
      <c r="FO158" s="841" t="s">
        <v>1729</v>
      </c>
      <c r="FP158" s="841" t="s">
        <v>353</v>
      </c>
      <c r="FQ158" s="841" t="s">
        <v>353</v>
      </c>
      <c r="FR158" s="841" t="s">
        <v>353</v>
      </c>
      <c r="FS158" s="841" t="s">
        <v>353</v>
      </c>
      <c r="FT158" s="841" t="s">
        <v>353</v>
      </c>
      <c r="FU158" s="841" t="s">
        <v>1467</v>
      </c>
      <c r="FV158" s="841" t="s">
        <v>353</v>
      </c>
      <c r="FW158" s="841" t="s">
        <v>353</v>
      </c>
      <c r="FX158" s="841" t="s">
        <v>353</v>
      </c>
      <c r="FY158" s="841" t="s">
        <v>353</v>
      </c>
      <c r="FZ158" s="841" t="s">
        <v>353</v>
      </c>
      <c r="GA158" s="841" t="s">
        <v>353</v>
      </c>
      <c r="GB158" s="841">
        <v>1</v>
      </c>
      <c r="GC158" s="841" t="s">
        <v>353</v>
      </c>
      <c r="GD158" s="841" t="s">
        <v>1417</v>
      </c>
      <c r="GE158" s="841" t="s">
        <v>353</v>
      </c>
      <c r="GF158" s="841" t="s">
        <v>353</v>
      </c>
      <c r="GG158" s="841" t="s">
        <v>353</v>
      </c>
      <c r="GH158" s="841">
        <v>412500</v>
      </c>
      <c r="GI158" s="841" t="s">
        <v>353</v>
      </c>
      <c r="GJ158" s="841" t="s">
        <v>353</v>
      </c>
      <c r="GK158" s="841" t="s">
        <v>353</v>
      </c>
      <c r="GL158" s="841" t="s">
        <v>1453</v>
      </c>
      <c r="GM158" s="841" t="s">
        <v>353</v>
      </c>
      <c r="GN158" s="841" t="s">
        <v>353</v>
      </c>
      <c r="GO158" s="841" t="s">
        <v>353</v>
      </c>
      <c r="GP158" s="841" t="s">
        <v>353</v>
      </c>
      <c r="GQ158" s="841" t="s">
        <v>353</v>
      </c>
      <c r="GR158" s="841" t="s">
        <v>353</v>
      </c>
      <c r="GS158" s="841" t="s">
        <v>2842</v>
      </c>
      <c r="GT158" s="841">
        <v>260000</v>
      </c>
      <c r="GU158" s="841" t="s">
        <v>353</v>
      </c>
      <c r="GV158" s="841" t="s">
        <v>1076</v>
      </c>
      <c r="GW158" s="841" t="s">
        <v>353</v>
      </c>
      <c r="GX158" s="841" t="s">
        <v>2843</v>
      </c>
      <c r="GY158" s="841">
        <v>36</v>
      </c>
      <c r="GZ158" s="841" t="s">
        <v>1716</v>
      </c>
      <c r="HA158" s="841" t="s">
        <v>353</v>
      </c>
      <c r="HB158" s="841">
        <v>400000</v>
      </c>
      <c r="HC158" s="841" t="s">
        <v>1421</v>
      </c>
      <c r="HD158" s="841" t="s">
        <v>2844</v>
      </c>
      <c r="HE158" s="841">
        <v>8250</v>
      </c>
      <c r="HF158" s="841" t="s">
        <v>353</v>
      </c>
      <c r="HG158" s="841">
        <v>160000</v>
      </c>
      <c r="HH158" s="841" t="s">
        <v>353</v>
      </c>
      <c r="HI158" s="841" t="s">
        <v>1544</v>
      </c>
      <c r="HJ158" s="841" t="s">
        <v>2845</v>
      </c>
      <c r="HK158" s="841">
        <v>825000</v>
      </c>
      <c r="HL158" s="841" t="s">
        <v>353</v>
      </c>
      <c r="HM158" s="841" t="s">
        <v>1530</v>
      </c>
      <c r="HN158" s="841" t="s">
        <v>353</v>
      </c>
      <c r="HO158" s="841" t="s">
        <v>353</v>
      </c>
      <c r="HP158" s="841">
        <v>53542.5</v>
      </c>
      <c r="HQ158" s="841" t="s">
        <v>353</v>
      </c>
      <c r="HR158" s="841" t="s">
        <v>353</v>
      </c>
      <c r="HS158" s="841">
        <v>503745</v>
      </c>
      <c r="HT158" s="841" t="s">
        <v>353</v>
      </c>
      <c r="HU158" s="841" t="s">
        <v>353</v>
      </c>
      <c r="HV158" s="841" t="s">
        <v>353</v>
      </c>
      <c r="HW158" s="841">
        <v>295000</v>
      </c>
      <c r="HX158" s="841" t="s">
        <v>353</v>
      </c>
      <c r="HY158" s="841" t="s">
        <v>353</v>
      </c>
      <c r="HZ158" s="841">
        <v>160000</v>
      </c>
      <c r="IA158" s="841" t="s">
        <v>353</v>
      </c>
      <c r="IB158" s="841" t="s">
        <v>1424</v>
      </c>
      <c r="IC158" s="841" t="s">
        <v>353</v>
      </c>
      <c r="ID158" s="841" t="s">
        <v>353</v>
      </c>
      <c r="IE158" s="841" t="s">
        <v>353</v>
      </c>
      <c r="IF158" s="841" t="s">
        <v>353</v>
      </c>
      <c r="IG158" s="841">
        <v>400000</v>
      </c>
      <c r="IH158" s="841" t="s">
        <v>353</v>
      </c>
      <c r="II158" s="841" t="s">
        <v>353</v>
      </c>
      <c r="IJ158" s="841" t="s">
        <v>353</v>
      </c>
      <c r="IK158" s="841">
        <v>260000</v>
      </c>
      <c r="IL158" s="841">
        <v>777604</v>
      </c>
      <c r="IM158" s="841" t="s">
        <v>353</v>
      </c>
      <c r="IN158" s="841" t="s">
        <v>353</v>
      </c>
      <c r="IO158" s="841" t="s">
        <v>353</v>
      </c>
      <c r="IP158" s="841" t="s">
        <v>353</v>
      </c>
      <c r="IQ158" s="841" t="s">
        <v>353</v>
      </c>
      <c r="IR158" s="841">
        <v>6</v>
      </c>
      <c r="IS158" s="841" t="s">
        <v>33</v>
      </c>
      <c r="IT158" s="841" t="s">
        <v>353</v>
      </c>
      <c r="IU158" s="841" t="s">
        <v>353</v>
      </c>
      <c r="IV158" s="841" t="s">
        <v>353</v>
      </c>
      <c r="IW158" s="841" t="s">
        <v>2846</v>
      </c>
      <c r="IX158" s="841" t="s">
        <v>353</v>
      </c>
      <c r="IY158" s="841" t="s">
        <v>1578</v>
      </c>
      <c r="IZ158" s="841" t="s">
        <v>2847</v>
      </c>
      <c r="JA158" s="841">
        <v>825000</v>
      </c>
      <c r="JB158" s="841" t="s">
        <v>2848</v>
      </c>
      <c r="JC158" s="841" t="s">
        <v>353</v>
      </c>
      <c r="JD158" s="841" t="s">
        <v>2197</v>
      </c>
      <c r="JE158" s="841" t="s">
        <v>33</v>
      </c>
      <c r="JF158" s="841" t="s">
        <v>2849</v>
      </c>
      <c r="JG158" s="841" t="s">
        <v>2850</v>
      </c>
      <c r="JH158" s="841" t="s">
        <v>2851</v>
      </c>
      <c r="JI158" s="841" t="s">
        <v>2852</v>
      </c>
    </row>
    <row r="159" spans="1:269" x14ac:dyDescent="0.25">
      <c r="A159" s="841" t="s">
        <v>2853</v>
      </c>
      <c r="B159" s="841" t="s">
        <v>353</v>
      </c>
      <c r="C159" s="841" t="s">
        <v>353</v>
      </c>
      <c r="D159" s="841" t="s">
        <v>353</v>
      </c>
      <c r="E159" s="841" t="s">
        <v>353</v>
      </c>
      <c r="F159" s="841" t="s">
        <v>1405</v>
      </c>
      <c r="G159" s="841" t="s">
        <v>2854</v>
      </c>
      <c r="H159" s="841" t="s">
        <v>353</v>
      </c>
      <c r="I159" s="841" t="s">
        <v>353</v>
      </c>
      <c r="J159" s="841" t="s">
        <v>353</v>
      </c>
      <c r="K159" s="841" t="s">
        <v>353</v>
      </c>
      <c r="L159" s="842">
        <v>44606.385416666664</v>
      </c>
      <c r="M159" s="841" t="s">
        <v>353</v>
      </c>
      <c r="N159" s="841" t="s">
        <v>353</v>
      </c>
      <c r="O159" s="841" t="s">
        <v>353</v>
      </c>
      <c r="P159" s="841" t="s">
        <v>33</v>
      </c>
      <c r="Q159" s="841" t="s">
        <v>353</v>
      </c>
      <c r="R159" s="841" t="s">
        <v>353</v>
      </c>
      <c r="S159" s="841" t="s">
        <v>1520</v>
      </c>
      <c r="T159" s="841" t="s">
        <v>1390</v>
      </c>
      <c r="U159" s="841" t="s">
        <v>353</v>
      </c>
      <c r="V159" s="841" t="s">
        <v>353</v>
      </c>
      <c r="W159" s="841" t="s">
        <v>1716</v>
      </c>
      <c r="X159" s="841" t="s">
        <v>1405</v>
      </c>
      <c r="Y159" s="841" t="s">
        <v>353</v>
      </c>
      <c r="Z159" s="841" t="s">
        <v>353</v>
      </c>
      <c r="AA159" s="841" t="s">
        <v>33</v>
      </c>
      <c r="AB159" s="841" t="s">
        <v>353</v>
      </c>
      <c r="AC159" s="841">
        <v>150000</v>
      </c>
      <c r="AD159" s="841" t="s">
        <v>353</v>
      </c>
      <c r="AE159" s="841" t="s">
        <v>33</v>
      </c>
      <c r="AF159" s="841" t="s">
        <v>353</v>
      </c>
      <c r="AG159" s="841" t="s">
        <v>353</v>
      </c>
      <c r="AH159" s="841">
        <v>1807</v>
      </c>
      <c r="AI159" s="841" t="s">
        <v>1406</v>
      </c>
      <c r="AJ159" s="841" t="s">
        <v>353</v>
      </c>
      <c r="AK159" s="841">
        <v>75</v>
      </c>
      <c r="AL159" s="841" t="s">
        <v>353</v>
      </c>
      <c r="AM159" s="841" t="s">
        <v>353</v>
      </c>
      <c r="AN159" s="841" t="s">
        <v>353</v>
      </c>
      <c r="AO159" s="841" t="s">
        <v>353</v>
      </c>
      <c r="AP159" s="841" t="s">
        <v>353</v>
      </c>
      <c r="AQ159" s="841" t="s">
        <v>353</v>
      </c>
      <c r="AR159" s="841" t="s">
        <v>33</v>
      </c>
      <c r="AS159" s="841" t="s">
        <v>353</v>
      </c>
      <c r="AT159" s="841" t="s">
        <v>353</v>
      </c>
      <c r="AU159" s="841" t="s">
        <v>353</v>
      </c>
      <c r="AV159" s="841" t="s">
        <v>353</v>
      </c>
      <c r="AW159" s="843">
        <v>44533</v>
      </c>
      <c r="AX159" s="841" t="s">
        <v>353</v>
      </c>
      <c r="AY159" s="841" t="s">
        <v>353</v>
      </c>
      <c r="AZ159" s="841" t="s">
        <v>353</v>
      </c>
      <c r="BA159" s="841" t="s">
        <v>353</v>
      </c>
      <c r="BB159" s="841" t="s">
        <v>353</v>
      </c>
      <c r="BC159" s="841">
        <v>289131</v>
      </c>
      <c r="BD159" s="841" t="s">
        <v>353</v>
      </c>
      <c r="BE159" s="841" t="s">
        <v>353</v>
      </c>
      <c r="BF159" s="841" t="s">
        <v>353</v>
      </c>
      <c r="BG159" s="841" t="s">
        <v>353</v>
      </c>
      <c r="BH159" s="841" t="s">
        <v>353</v>
      </c>
      <c r="BI159" s="841" t="s">
        <v>353</v>
      </c>
      <c r="BJ159" s="841" t="s">
        <v>353</v>
      </c>
      <c r="BK159" s="841">
        <v>289556</v>
      </c>
      <c r="BL159" s="841" t="s">
        <v>2838</v>
      </c>
      <c r="BM159" s="842">
        <v>44561.69027777778</v>
      </c>
      <c r="BN159" s="841" t="s">
        <v>353</v>
      </c>
      <c r="BO159" s="841" t="s">
        <v>353</v>
      </c>
      <c r="BP159" s="841" t="s">
        <v>353</v>
      </c>
      <c r="BQ159" s="841" t="s">
        <v>353</v>
      </c>
      <c r="BR159" s="841" t="s">
        <v>353</v>
      </c>
      <c r="BS159" s="841" t="s">
        <v>353</v>
      </c>
      <c r="BT159" s="841">
        <v>300000</v>
      </c>
      <c r="BU159" s="841" t="s">
        <v>353</v>
      </c>
      <c r="BV159" s="841" t="s">
        <v>2855</v>
      </c>
      <c r="BW159" s="841" t="s">
        <v>1578</v>
      </c>
      <c r="BX159" s="841" t="s">
        <v>2839</v>
      </c>
      <c r="BY159" s="841" t="s">
        <v>353</v>
      </c>
      <c r="BZ159" s="841" t="s">
        <v>353</v>
      </c>
      <c r="CA159" s="841" t="s">
        <v>353</v>
      </c>
      <c r="CB159" s="841" t="s">
        <v>353</v>
      </c>
      <c r="CC159" s="841" t="s">
        <v>353</v>
      </c>
      <c r="CD159" s="841" t="s">
        <v>353</v>
      </c>
      <c r="CE159" s="841" t="s">
        <v>353</v>
      </c>
      <c r="CF159" s="841" t="s">
        <v>353</v>
      </c>
      <c r="CG159" s="841" t="s">
        <v>353</v>
      </c>
      <c r="CH159" s="841" t="s">
        <v>353</v>
      </c>
      <c r="CI159" s="841" t="s">
        <v>33</v>
      </c>
      <c r="CJ159" s="841" t="s">
        <v>353</v>
      </c>
      <c r="CK159" s="841" t="s">
        <v>353</v>
      </c>
      <c r="CL159" s="841" t="s">
        <v>353</v>
      </c>
      <c r="CM159" s="841" t="s">
        <v>353</v>
      </c>
      <c r="CN159" s="841" t="s">
        <v>353</v>
      </c>
      <c r="CO159" s="841" t="s">
        <v>353</v>
      </c>
      <c r="CP159" s="841" t="s">
        <v>2856</v>
      </c>
      <c r="CQ159" s="841" t="s">
        <v>353</v>
      </c>
      <c r="CR159" s="841" t="s">
        <v>353</v>
      </c>
      <c r="CS159" s="841" t="s">
        <v>353</v>
      </c>
      <c r="CT159" s="841" t="s">
        <v>353</v>
      </c>
      <c r="CU159" s="841" t="s">
        <v>1391</v>
      </c>
      <c r="CV159" s="841" t="s">
        <v>353</v>
      </c>
      <c r="CW159" s="841" t="s">
        <v>353</v>
      </c>
      <c r="CX159" s="841" t="s">
        <v>353</v>
      </c>
      <c r="CY159" s="841" t="s">
        <v>353</v>
      </c>
      <c r="CZ159" s="841">
        <v>2</v>
      </c>
      <c r="DA159" s="841" t="s">
        <v>353</v>
      </c>
      <c r="DB159" s="841" t="s">
        <v>353</v>
      </c>
      <c r="DC159" s="841" t="s">
        <v>353</v>
      </c>
      <c r="DD159" s="841" t="s">
        <v>353</v>
      </c>
      <c r="DE159" s="841" t="s">
        <v>353</v>
      </c>
      <c r="DF159" s="841">
        <v>33</v>
      </c>
      <c r="DG159" s="841" t="s">
        <v>353</v>
      </c>
      <c r="DH159" s="841" t="s">
        <v>353</v>
      </c>
      <c r="DI159" s="841" t="s">
        <v>353</v>
      </c>
      <c r="DJ159" s="841" t="s">
        <v>2841</v>
      </c>
      <c r="DK159" s="841" t="s">
        <v>353</v>
      </c>
      <c r="DL159" s="842">
        <v>44533.69027777778</v>
      </c>
      <c r="DM159" s="841" t="s">
        <v>353</v>
      </c>
      <c r="DN159" s="841" t="s">
        <v>33</v>
      </c>
      <c r="DO159" s="841" t="s">
        <v>353</v>
      </c>
      <c r="DP159" s="841" t="s">
        <v>353</v>
      </c>
      <c r="DQ159" s="841" t="s">
        <v>1451</v>
      </c>
      <c r="DR159" s="841" t="s">
        <v>353</v>
      </c>
      <c r="DS159" s="841">
        <v>33</v>
      </c>
      <c r="DT159" s="841" t="s">
        <v>353</v>
      </c>
      <c r="DU159" s="841" t="s">
        <v>353</v>
      </c>
      <c r="DV159" s="841">
        <v>235590</v>
      </c>
      <c r="DW159" s="841">
        <v>300000</v>
      </c>
      <c r="DX159" s="841" t="s">
        <v>33</v>
      </c>
      <c r="DY159" s="841" t="s">
        <v>353</v>
      </c>
      <c r="DZ159" s="841" t="s">
        <v>353</v>
      </c>
      <c r="EA159" s="841" t="s">
        <v>353</v>
      </c>
      <c r="EB159" s="841" t="s">
        <v>353</v>
      </c>
      <c r="EC159" s="841" t="s">
        <v>353</v>
      </c>
      <c r="ED159" s="841" t="s">
        <v>353</v>
      </c>
      <c r="EE159" s="841" t="s">
        <v>353</v>
      </c>
      <c r="EF159" s="841" t="s">
        <v>353</v>
      </c>
      <c r="EG159" s="841" t="s">
        <v>353</v>
      </c>
      <c r="EH159" s="841" t="s">
        <v>353</v>
      </c>
      <c r="EI159" s="841">
        <v>58410</v>
      </c>
      <c r="EJ159" s="841" t="s">
        <v>353</v>
      </c>
      <c r="EK159" s="841" t="s">
        <v>353</v>
      </c>
      <c r="EL159" s="841" t="s">
        <v>1435</v>
      </c>
      <c r="EM159" s="841">
        <v>6000</v>
      </c>
      <c r="EN159" s="841" t="s">
        <v>353</v>
      </c>
      <c r="EO159" s="841" t="s">
        <v>353</v>
      </c>
      <c r="EP159" s="841" t="s">
        <v>353</v>
      </c>
      <c r="EQ159" s="841" t="s">
        <v>353</v>
      </c>
      <c r="ER159" s="841" t="s">
        <v>353</v>
      </c>
      <c r="ES159" s="841" t="s">
        <v>33</v>
      </c>
      <c r="ET159" s="841" t="s">
        <v>1452</v>
      </c>
      <c r="EU159" s="841" t="s">
        <v>353</v>
      </c>
      <c r="EV159" s="841" t="s">
        <v>353</v>
      </c>
      <c r="EW159" s="841" t="s">
        <v>353</v>
      </c>
      <c r="EX159" s="841" t="s">
        <v>33</v>
      </c>
      <c r="EY159" s="841" t="s">
        <v>353</v>
      </c>
      <c r="EZ159" s="841" t="s">
        <v>353</v>
      </c>
      <c r="FA159" s="841" t="s">
        <v>353</v>
      </c>
      <c r="FB159" s="841" t="s">
        <v>353</v>
      </c>
      <c r="FC159" s="841" t="s">
        <v>353</v>
      </c>
      <c r="FD159" s="841" t="s">
        <v>353</v>
      </c>
      <c r="FE159" s="842">
        <v>44606.385416666664</v>
      </c>
      <c r="FF159" s="841" t="s">
        <v>353</v>
      </c>
      <c r="FG159" s="841" t="s">
        <v>353</v>
      </c>
      <c r="FH159" s="841" t="s">
        <v>353</v>
      </c>
      <c r="FI159" s="841" t="s">
        <v>353</v>
      </c>
      <c r="FJ159" s="841" t="s">
        <v>353</v>
      </c>
      <c r="FK159" s="841" t="s">
        <v>353</v>
      </c>
      <c r="FL159" s="841" t="s">
        <v>353</v>
      </c>
      <c r="FM159" s="841" t="s">
        <v>353</v>
      </c>
      <c r="FN159" s="841" t="s">
        <v>353</v>
      </c>
      <c r="FO159" s="841" t="s">
        <v>1729</v>
      </c>
      <c r="FP159" s="841" t="s">
        <v>353</v>
      </c>
      <c r="FQ159" s="841" t="s">
        <v>353</v>
      </c>
      <c r="FR159" s="841" t="s">
        <v>353</v>
      </c>
      <c r="FS159" s="841" t="s">
        <v>353</v>
      </c>
      <c r="FT159" s="841" t="s">
        <v>353</v>
      </c>
      <c r="FU159" s="841" t="s">
        <v>1467</v>
      </c>
      <c r="FV159" s="841" t="s">
        <v>353</v>
      </c>
      <c r="FW159" s="841" t="s">
        <v>353</v>
      </c>
      <c r="FX159" s="841" t="s">
        <v>353</v>
      </c>
      <c r="FY159" s="841" t="s">
        <v>353</v>
      </c>
      <c r="FZ159" s="841" t="s">
        <v>353</v>
      </c>
      <c r="GA159" s="841" t="s">
        <v>353</v>
      </c>
      <c r="GB159" s="841">
        <v>1</v>
      </c>
      <c r="GC159" s="841" t="s">
        <v>353</v>
      </c>
      <c r="GD159" s="841" t="s">
        <v>1417</v>
      </c>
      <c r="GE159" s="841" t="s">
        <v>353</v>
      </c>
      <c r="GF159" s="841" t="s">
        <v>353</v>
      </c>
      <c r="GG159" s="841" t="s">
        <v>353</v>
      </c>
      <c r="GH159" s="841">
        <v>150000</v>
      </c>
      <c r="GI159" s="841" t="s">
        <v>353</v>
      </c>
      <c r="GJ159" s="841" t="s">
        <v>353</v>
      </c>
      <c r="GK159" s="841" t="s">
        <v>353</v>
      </c>
      <c r="GL159" s="841" t="s">
        <v>1453</v>
      </c>
      <c r="GM159" s="841" t="s">
        <v>353</v>
      </c>
      <c r="GN159" s="841" t="s">
        <v>353</v>
      </c>
      <c r="GO159" s="841" t="s">
        <v>353</v>
      </c>
      <c r="GP159" s="841" t="s">
        <v>353</v>
      </c>
      <c r="GQ159" s="841" t="s">
        <v>353</v>
      </c>
      <c r="GR159" s="841" t="s">
        <v>353</v>
      </c>
      <c r="GS159" s="841" t="s">
        <v>2857</v>
      </c>
      <c r="GT159" s="841" t="s">
        <v>353</v>
      </c>
      <c r="GU159" s="841" t="s">
        <v>353</v>
      </c>
      <c r="GV159" s="841" t="s">
        <v>1076</v>
      </c>
      <c r="GW159" s="841" t="s">
        <v>353</v>
      </c>
      <c r="GX159" s="841" t="s">
        <v>2843</v>
      </c>
      <c r="GY159" s="841">
        <v>36</v>
      </c>
      <c r="GZ159" s="841" t="s">
        <v>1716</v>
      </c>
      <c r="HA159" s="841" t="s">
        <v>353</v>
      </c>
      <c r="HB159" s="841" t="s">
        <v>353</v>
      </c>
      <c r="HC159" s="841" t="s">
        <v>1421</v>
      </c>
      <c r="HD159" s="841" t="s">
        <v>2858</v>
      </c>
      <c r="HE159" s="841">
        <v>3000</v>
      </c>
      <c r="HF159" s="841" t="s">
        <v>353</v>
      </c>
      <c r="HG159" s="841" t="s">
        <v>353</v>
      </c>
      <c r="HH159" s="841" t="s">
        <v>353</v>
      </c>
      <c r="HI159" s="841" t="s">
        <v>1422</v>
      </c>
      <c r="HJ159" s="841" t="s">
        <v>2859</v>
      </c>
      <c r="HK159" s="841">
        <v>300000</v>
      </c>
      <c r="HL159" s="841" t="s">
        <v>353</v>
      </c>
      <c r="HM159" s="841" t="s">
        <v>1530</v>
      </c>
      <c r="HN159" s="841" t="s">
        <v>353</v>
      </c>
      <c r="HO159" s="841" t="s">
        <v>353</v>
      </c>
      <c r="HP159" s="841">
        <v>19470</v>
      </c>
      <c r="HQ159" s="841" t="s">
        <v>353</v>
      </c>
      <c r="HR159" s="841" t="s">
        <v>353</v>
      </c>
      <c r="HS159" s="841">
        <v>241590</v>
      </c>
      <c r="HT159" s="841" t="s">
        <v>353</v>
      </c>
      <c r="HU159" s="841" t="s">
        <v>353</v>
      </c>
      <c r="HV159" s="841" t="s">
        <v>353</v>
      </c>
      <c r="HW159" s="841">
        <v>400000</v>
      </c>
      <c r="HX159" s="841" t="s">
        <v>353</v>
      </c>
      <c r="HY159" s="841" t="s">
        <v>353</v>
      </c>
      <c r="HZ159" s="841" t="s">
        <v>353</v>
      </c>
      <c r="IA159" s="841" t="s">
        <v>353</v>
      </c>
      <c r="IB159" s="841" t="s">
        <v>1424</v>
      </c>
      <c r="IC159" s="841" t="s">
        <v>353</v>
      </c>
      <c r="ID159" s="841" t="s">
        <v>353</v>
      </c>
      <c r="IE159" s="841" t="s">
        <v>353</v>
      </c>
      <c r="IF159" s="841" t="s">
        <v>353</v>
      </c>
      <c r="IG159" s="841" t="s">
        <v>353</v>
      </c>
      <c r="IH159" s="841" t="s">
        <v>353</v>
      </c>
      <c r="II159" s="841" t="s">
        <v>353</v>
      </c>
      <c r="IJ159" s="841" t="s">
        <v>353</v>
      </c>
      <c r="IK159" s="841" t="s">
        <v>353</v>
      </c>
      <c r="IL159" s="841">
        <v>300000</v>
      </c>
      <c r="IM159" s="841" t="s">
        <v>353</v>
      </c>
      <c r="IN159" s="841" t="s">
        <v>353</v>
      </c>
      <c r="IO159" s="841" t="s">
        <v>353</v>
      </c>
      <c r="IP159" s="841">
        <v>65</v>
      </c>
      <c r="IQ159" s="841" t="s">
        <v>353</v>
      </c>
      <c r="IR159" s="841">
        <v>3</v>
      </c>
      <c r="IS159" s="841" t="s">
        <v>33</v>
      </c>
      <c r="IT159" s="841" t="s">
        <v>353</v>
      </c>
      <c r="IU159" s="841" t="s">
        <v>353</v>
      </c>
      <c r="IV159" s="841" t="s">
        <v>353</v>
      </c>
      <c r="IW159" s="841" t="s">
        <v>353</v>
      </c>
      <c r="IX159" s="841" t="s">
        <v>353</v>
      </c>
      <c r="IY159" s="841" t="s">
        <v>1578</v>
      </c>
      <c r="IZ159" s="841" t="s">
        <v>353</v>
      </c>
      <c r="JA159" s="841">
        <v>300000</v>
      </c>
      <c r="JB159" s="841" t="s">
        <v>353</v>
      </c>
      <c r="JC159" s="841" t="s">
        <v>353</v>
      </c>
      <c r="JD159" s="841" t="s">
        <v>2197</v>
      </c>
      <c r="JE159" s="841" t="s">
        <v>33</v>
      </c>
      <c r="JF159" s="841" t="s">
        <v>2849</v>
      </c>
      <c r="JG159" s="841" t="s">
        <v>2850</v>
      </c>
      <c r="JH159" s="841" t="s">
        <v>2851</v>
      </c>
      <c r="JI159" s="841" t="s">
        <v>2852</v>
      </c>
    </row>
    <row r="160" spans="1:269" x14ac:dyDescent="0.25">
      <c r="A160" s="841" t="s">
        <v>2860</v>
      </c>
      <c r="B160" s="841" t="s">
        <v>353</v>
      </c>
      <c r="C160" s="841" t="s">
        <v>353</v>
      </c>
      <c r="D160" s="841" t="s">
        <v>353</v>
      </c>
      <c r="E160" s="841" t="s">
        <v>353</v>
      </c>
      <c r="F160" s="841" t="s">
        <v>1405</v>
      </c>
      <c r="G160" s="841" t="s">
        <v>2861</v>
      </c>
      <c r="H160" s="841" t="s">
        <v>353</v>
      </c>
      <c r="I160" s="841" t="s">
        <v>353</v>
      </c>
      <c r="J160" s="841" t="s">
        <v>353</v>
      </c>
      <c r="K160" s="841" t="s">
        <v>353</v>
      </c>
      <c r="L160" s="842">
        <v>44606.384722222225</v>
      </c>
      <c r="M160" s="841" t="s">
        <v>353</v>
      </c>
      <c r="N160" s="841" t="s">
        <v>353</v>
      </c>
      <c r="O160" s="841" t="s">
        <v>353</v>
      </c>
      <c r="P160" s="841" t="s">
        <v>33</v>
      </c>
      <c r="Q160" s="841" t="s">
        <v>353</v>
      </c>
      <c r="R160" s="841" t="s">
        <v>353</v>
      </c>
      <c r="S160" s="841" t="s">
        <v>1520</v>
      </c>
      <c r="T160" s="841" t="s">
        <v>1390</v>
      </c>
      <c r="U160" s="841" t="s">
        <v>353</v>
      </c>
      <c r="V160" s="841" t="s">
        <v>353</v>
      </c>
      <c r="W160" s="841" t="s">
        <v>1716</v>
      </c>
      <c r="X160" s="841" t="s">
        <v>1435</v>
      </c>
      <c r="Y160" s="841" t="s">
        <v>353</v>
      </c>
      <c r="Z160" s="841" t="s">
        <v>353</v>
      </c>
      <c r="AA160" s="841" t="s">
        <v>33</v>
      </c>
      <c r="AB160" s="841" t="s">
        <v>353</v>
      </c>
      <c r="AC160" s="841">
        <v>93500</v>
      </c>
      <c r="AD160" s="841" t="s">
        <v>353</v>
      </c>
      <c r="AE160" s="841" t="s">
        <v>33</v>
      </c>
      <c r="AF160" s="841" t="s">
        <v>353</v>
      </c>
      <c r="AG160" s="841" t="s">
        <v>353</v>
      </c>
      <c r="AH160" s="841">
        <v>995</v>
      </c>
      <c r="AI160" s="841" t="s">
        <v>1406</v>
      </c>
      <c r="AJ160" s="841" t="s">
        <v>353</v>
      </c>
      <c r="AK160" s="841">
        <v>75</v>
      </c>
      <c r="AL160" s="841" t="s">
        <v>353</v>
      </c>
      <c r="AM160" s="841" t="s">
        <v>353</v>
      </c>
      <c r="AN160" s="841" t="s">
        <v>353</v>
      </c>
      <c r="AO160" s="841" t="s">
        <v>353</v>
      </c>
      <c r="AP160" s="841" t="s">
        <v>353</v>
      </c>
      <c r="AQ160" s="841" t="s">
        <v>353</v>
      </c>
      <c r="AR160" s="841" t="s">
        <v>33</v>
      </c>
      <c r="AS160" s="841" t="s">
        <v>353</v>
      </c>
      <c r="AT160" s="841" t="s">
        <v>353</v>
      </c>
      <c r="AU160" s="841" t="s">
        <v>353</v>
      </c>
      <c r="AV160" s="841" t="s">
        <v>353</v>
      </c>
      <c r="AW160" s="843">
        <v>44533</v>
      </c>
      <c r="AX160" s="841" t="s">
        <v>353</v>
      </c>
      <c r="AY160" s="841" t="s">
        <v>353</v>
      </c>
      <c r="AZ160" s="841" t="s">
        <v>353</v>
      </c>
      <c r="BA160" s="841" t="s">
        <v>353</v>
      </c>
      <c r="BB160" s="841" t="s">
        <v>353</v>
      </c>
      <c r="BC160" s="841">
        <v>175082</v>
      </c>
      <c r="BD160" s="841" t="s">
        <v>353</v>
      </c>
      <c r="BE160" s="841" t="s">
        <v>353</v>
      </c>
      <c r="BF160" s="841" t="s">
        <v>353</v>
      </c>
      <c r="BG160" s="841" t="s">
        <v>353</v>
      </c>
      <c r="BH160" s="841" t="s">
        <v>353</v>
      </c>
      <c r="BI160" s="841" t="s">
        <v>353</v>
      </c>
      <c r="BJ160" s="841" t="s">
        <v>353</v>
      </c>
      <c r="BK160" s="841">
        <v>183750</v>
      </c>
      <c r="BL160" s="841" t="s">
        <v>2838</v>
      </c>
      <c r="BM160" s="842">
        <v>44561.671527777777</v>
      </c>
      <c r="BN160" s="841" t="s">
        <v>353</v>
      </c>
      <c r="BO160" s="841" t="s">
        <v>353</v>
      </c>
      <c r="BP160" s="841" t="s">
        <v>353</v>
      </c>
      <c r="BQ160" s="841" t="s">
        <v>353</v>
      </c>
      <c r="BR160" s="841" t="s">
        <v>353</v>
      </c>
      <c r="BS160" s="841" t="s">
        <v>353</v>
      </c>
      <c r="BT160" s="841">
        <v>187000</v>
      </c>
      <c r="BU160" s="841" t="s">
        <v>353</v>
      </c>
      <c r="BV160" s="841" t="s">
        <v>1968</v>
      </c>
      <c r="BW160" s="841" t="s">
        <v>1578</v>
      </c>
      <c r="BX160" s="841" t="s">
        <v>2839</v>
      </c>
      <c r="BY160" s="841" t="s">
        <v>353</v>
      </c>
      <c r="BZ160" s="841" t="s">
        <v>353</v>
      </c>
      <c r="CA160" s="841" t="s">
        <v>353</v>
      </c>
      <c r="CB160" s="841" t="s">
        <v>353</v>
      </c>
      <c r="CC160" s="841" t="s">
        <v>353</v>
      </c>
      <c r="CD160" s="841" t="s">
        <v>353</v>
      </c>
      <c r="CE160" s="841" t="s">
        <v>353</v>
      </c>
      <c r="CF160" s="841" t="s">
        <v>353</v>
      </c>
      <c r="CG160" s="841" t="s">
        <v>353</v>
      </c>
      <c r="CH160" s="841" t="s">
        <v>353</v>
      </c>
      <c r="CI160" s="841" t="s">
        <v>33</v>
      </c>
      <c r="CJ160" s="841" t="s">
        <v>353</v>
      </c>
      <c r="CK160" s="841" t="s">
        <v>353</v>
      </c>
      <c r="CL160" s="841" t="s">
        <v>353</v>
      </c>
      <c r="CM160" s="841" t="s">
        <v>353</v>
      </c>
      <c r="CN160" s="841" t="s">
        <v>353</v>
      </c>
      <c r="CO160" s="841" t="s">
        <v>353</v>
      </c>
      <c r="CP160" s="841" t="s">
        <v>2862</v>
      </c>
      <c r="CQ160" s="841" t="s">
        <v>353</v>
      </c>
      <c r="CR160" s="841" t="s">
        <v>353</v>
      </c>
      <c r="CS160" s="841" t="s">
        <v>353</v>
      </c>
      <c r="CT160" s="841" t="s">
        <v>353</v>
      </c>
      <c r="CU160" s="841" t="s">
        <v>1391</v>
      </c>
      <c r="CV160" s="841" t="s">
        <v>353</v>
      </c>
      <c r="CW160" s="841" t="s">
        <v>353</v>
      </c>
      <c r="CX160" s="841" t="s">
        <v>353</v>
      </c>
      <c r="CY160" s="841" t="s">
        <v>353</v>
      </c>
      <c r="CZ160" s="841">
        <v>2</v>
      </c>
      <c r="DA160" s="841" t="s">
        <v>353</v>
      </c>
      <c r="DB160" s="841" t="s">
        <v>353</v>
      </c>
      <c r="DC160" s="841" t="s">
        <v>353</v>
      </c>
      <c r="DD160" s="841" t="s">
        <v>353</v>
      </c>
      <c r="DE160" s="841" t="s">
        <v>353</v>
      </c>
      <c r="DF160" s="841">
        <v>33</v>
      </c>
      <c r="DG160" s="841" t="s">
        <v>353</v>
      </c>
      <c r="DH160" s="841" t="s">
        <v>353</v>
      </c>
      <c r="DI160" s="841" t="s">
        <v>353</v>
      </c>
      <c r="DJ160" s="841" t="s">
        <v>2841</v>
      </c>
      <c r="DK160" s="841" t="s">
        <v>353</v>
      </c>
      <c r="DL160" s="842">
        <v>44533.671527777777</v>
      </c>
      <c r="DM160" s="841" t="s">
        <v>353</v>
      </c>
      <c r="DN160" s="841" t="s">
        <v>33</v>
      </c>
      <c r="DO160" s="841" t="s">
        <v>353</v>
      </c>
      <c r="DP160" s="841" t="s">
        <v>353</v>
      </c>
      <c r="DQ160" s="841" t="s">
        <v>1451</v>
      </c>
      <c r="DR160" s="841" t="s">
        <v>353</v>
      </c>
      <c r="DS160" s="841">
        <v>33</v>
      </c>
      <c r="DT160" s="841" t="s">
        <v>353</v>
      </c>
      <c r="DU160" s="841" t="s">
        <v>353</v>
      </c>
      <c r="DV160" s="841">
        <v>146851.1</v>
      </c>
      <c r="DW160" s="841">
        <v>187000</v>
      </c>
      <c r="DX160" s="841" t="s">
        <v>33</v>
      </c>
      <c r="DY160" s="841" t="s">
        <v>353</v>
      </c>
      <c r="DZ160" s="841" t="s">
        <v>353</v>
      </c>
      <c r="EA160" s="841" t="s">
        <v>353</v>
      </c>
      <c r="EB160" s="841" t="s">
        <v>353</v>
      </c>
      <c r="EC160" s="841" t="s">
        <v>353</v>
      </c>
      <c r="ED160" s="841" t="s">
        <v>353</v>
      </c>
      <c r="EE160" s="841" t="s">
        <v>353</v>
      </c>
      <c r="EF160" s="841" t="s">
        <v>353</v>
      </c>
      <c r="EG160" s="841" t="s">
        <v>353</v>
      </c>
      <c r="EH160" s="841" t="s">
        <v>353</v>
      </c>
      <c r="EI160" s="841">
        <v>36408.9</v>
      </c>
      <c r="EJ160" s="841" t="s">
        <v>353</v>
      </c>
      <c r="EK160" s="841" t="s">
        <v>353</v>
      </c>
      <c r="EL160" s="841" t="s">
        <v>1435</v>
      </c>
      <c r="EM160" s="841">
        <v>3740</v>
      </c>
      <c r="EN160" s="841" t="s">
        <v>353</v>
      </c>
      <c r="EO160" s="841" t="s">
        <v>353</v>
      </c>
      <c r="EP160" s="841" t="s">
        <v>353</v>
      </c>
      <c r="EQ160" s="841" t="s">
        <v>353</v>
      </c>
      <c r="ER160" s="841" t="s">
        <v>353</v>
      </c>
      <c r="ES160" s="841" t="s">
        <v>33</v>
      </c>
      <c r="ET160" s="841" t="s">
        <v>1452</v>
      </c>
      <c r="EU160" s="841" t="s">
        <v>353</v>
      </c>
      <c r="EV160" s="841" t="s">
        <v>353</v>
      </c>
      <c r="EW160" s="841" t="s">
        <v>353</v>
      </c>
      <c r="EX160" s="841" t="s">
        <v>33</v>
      </c>
      <c r="EY160" s="841" t="s">
        <v>353</v>
      </c>
      <c r="EZ160" s="841" t="s">
        <v>353</v>
      </c>
      <c r="FA160" s="841" t="s">
        <v>353</v>
      </c>
      <c r="FB160" s="841" t="s">
        <v>353</v>
      </c>
      <c r="FC160" s="841" t="s">
        <v>353</v>
      </c>
      <c r="FD160" s="841" t="s">
        <v>353</v>
      </c>
      <c r="FE160" s="842">
        <v>44606.384722222225</v>
      </c>
      <c r="FF160" s="841" t="s">
        <v>353</v>
      </c>
      <c r="FG160" s="841" t="s">
        <v>353</v>
      </c>
      <c r="FH160" s="841" t="s">
        <v>353</v>
      </c>
      <c r="FI160" s="841" t="s">
        <v>353</v>
      </c>
      <c r="FJ160" s="841" t="s">
        <v>353</v>
      </c>
      <c r="FK160" s="841" t="s">
        <v>353</v>
      </c>
      <c r="FL160" s="841" t="s">
        <v>353</v>
      </c>
      <c r="FM160" s="841" t="s">
        <v>353</v>
      </c>
      <c r="FN160" s="841" t="s">
        <v>353</v>
      </c>
      <c r="FO160" s="841" t="s">
        <v>1989</v>
      </c>
      <c r="FP160" s="841" t="s">
        <v>353</v>
      </c>
      <c r="FQ160" s="841" t="s">
        <v>353</v>
      </c>
      <c r="FR160" s="841" t="s">
        <v>353</v>
      </c>
      <c r="FS160" s="841" t="s">
        <v>353</v>
      </c>
      <c r="FT160" s="841" t="s">
        <v>353</v>
      </c>
      <c r="FU160" s="841" t="s">
        <v>1467</v>
      </c>
      <c r="FV160" s="841" t="s">
        <v>353</v>
      </c>
      <c r="FW160" s="841" t="s">
        <v>353</v>
      </c>
      <c r="FX160" s="841" t="s">
        <v>353</v>
      </c>
      <c r="FY160" s="841" t="s">
        <v>353</v>
      </c>
      <c r="FZ160" s="841" t="s">
        <v>353</v>
      </c>
      <c r="GA160" s="841" t="s">
        <v>353</v>
      </c>
      <c r="GB160" s="841">
        <v>1</v>
      </c>
      <c r="GC160" s="841" t="s">
        <v>353</v>
      </c>
      <c r="GD160" s="841" t="s">
        <v>1417</v>
      </c>
      <c r="GE160" s="841" t="s">
        <v>353</v>
      </c>
      <c r="GF160" s="841" t="s">
        <v>353</v>
      </c>
      <c r="GG160" s="841" t="s">
        <v>353</v>
      </c>
      <c r="GH160" s="841">
        <v>93500</v>
      </c>
      <c r="GI160" s="841" t="s">
        <v>353</v>
      </c>
      <c r="GJ160" s="841" t="s">
        <v>353</v>
      </c>
      <c r="GK160" s="841" t="s">
        <v>353</v>
      </c>
      <c r="GL160" s="841" t="s">
        <v>1453</v>
      </c>
      <c r="GM160" s="841" t="s">
        <v>353</v>
      </c>
      <c r="GN160" s="841" t="s">
        <v>353</v>
      </c>
      <c r="GO160" s="841" t="s">
        <v>353</v>
      </c>
      <c r="GP160" s="841" t="s">
        <v>353</v>
      </c>
      <c r="GQ160" s="841" t="s">
        <v>353</v>
      </c>
      <c r="GR160" s="841" t="s">
        <v>353</v>
      </c>
      <c r="GS160" s="841" t="s">
        <v>2863</v>
      </c>
      <c r="GT160" s="841" t="s">
        <v>353</v>
      </c>
      <c r="GU160" s="841" t="s">
        <v>353</v>
      </c>
      <c r="GV160" s="841" t="s">
        <v>1076</v>
      </c>
      <c r="GW160" s="841" t="s">
        <v>353</v>
      </c>
      <c r="GX160" s="841" t="s">
        <v>2843</v>
      </c>
      <c r="GY160" s="841">
        <v>36</v>
      </c>
      <c r="GZ160" s="841" t="s">
        <v>1716</v>
      </c>
      <c r="HA160" s="841" t="s">
        <v>353</v>
      </c>
      <c r="HB160" s="841" t="s">
        <v>353</v>
      </c>
      <c r="HC160" s="841" t="s">
        <v>1421</v>
      </c>
      <c r="HD160" s="841" t="s">
        <v>2864</v>
      </c>
      <c r="HE160" s="841">
        <v>1870</v>
      </c>
      <c r="HF160" s="841" t="s">
        <v>353</v>
      </c>
      <c r="HG160" s="841" t="s">
        <v>353</v>
      </c>
      <c r="HH160" s="841" t="s">
        <v>353</v>
      </c>
      <c r="HI160" s="841" t="s">
        <v>1422</v>
      </c>
      <c r="HJ160" s="841" t="s">
        <v>2865</v>
      </c>
      <c r="HK160" s="841">
        <v>187000</v>
      </c>
      <c r="HL160" s="841" t="s">
        <v>353</v>
      </c>
      <c r="HM160" s="841" t="s">
        <v>1530</v>
      </c>
      <c r="HN160" s="841" t="s">
        <v>353</v>
      </c>
      <c r="HO160" s="841" t="s">
        <v>353</v>
      </c>
      <c r="HP160" s="841">
        <v>12136.3</v>
      </c>
      <c r="HQ160" s="841" t="s">
        <v>353</v>
      </c>
      <c r="HR160" s="841" t="s">
        <v>353</v>
      </c>
      <c r="HS160" s="841">
        <v>150591.1</v>
      </c>
      <c r="HT160" s="841" t="s">
        <v>353</v>
      </c>
      <c r="HU160" s="841" t="s">
        <v>353</v>
      </c>
      <c r="HV160" s="841" t="s">
        <v>353</v>
      </c>
      <c r="HW160" s="841">
        <v>250000</v>
      </c>
      <c r="HX160" s="841" t="s">
        <v>353</v>
      </c>
      <c r="HY160" s="841" t="s">
        <v>353</v>
      </c>
      <c r="HZ160" s="841" t="s">
        <v>353</v>
      </c>
      <c r="IA160" s="841" t="s">
        <v>353</v>
      </c>
      <c r="IB160" s="841" t="s">
        <v>1424</v>
      </c>
      <c r="IC160" s="841" t="s">
        <v>353</v>
      </c>
      <c r="ID160" s="841" t="s">
        <v>353</v>
      </c>
      <c r="IE160" s="841" t="s">
        <v>353</v>
      </c>
      <c r="IF160" s="841" t="s">
        <v>353</v>
      </c>
      <c r="IG160" s="841" t="s">
        <v>353</v>
      </c>
      <c r="IH160" s="841" t="s">
        <v>353</v>
      </c>
      <c r="II160" s="841" t="s">
        <v>353</v>
      </c>
      <c r="IJ160" s="841" t="s">
        <v>353</v>
      </c>
      <c r="IK160" s="841" t="s">
        <v>353</v>
      </c>
      <c r="IL160" s="841">
        <v>178823</v>
      </c>
      <c r="IM160" s="841" t="s">
        <v>353</v>
      </c>
      <c r="IN160" s="841" t="s">
        <v>353</v>
      </c>
      <c r="IO160" s="841" t="s">
        <v>353</v>
      </c>
      <c r="IP160" s="841" t="s">
        <v>353</v>
      </c>
      <c r="IQ160" s="841" t="s">
        <v>353</v>
      </c>
      <c r="IR160" s="841">
        <v>3</v>
      </c>
      <c r="IS160" s="841" t="s">
        <v>33</v>
      </c>
      <c r="IT160" s="841" t="s">
        <v>353</v>
      </c>
      <c r="IU160" s="841" t="s">
        <v>353</v>
      </c>
      <c r="IV160" s="841" t="s">
        <v>353</v>
      </c>
      <c r="IW160" s="841" t="s">
        <v>353</v>
      </c>
      <c r="IX160" s="841" t="s">
        <v>353</v>
      </c>
      <c r="IY160" s="841" t="s">
        <v>1578</v>
      </c>
      <c r="IZ160" s="841" t="s">
        <v>353</v>
      </c>
      <c r="JA160" s="841">
        <v>187000</v>
      </c>
      <c r="JB160" s="841" t="s">
        <v>353</v>
      </c>
      <c r="JC160" s="841" t="s">
        <v>353</v>
      </c>
      <c r="JD160" s="841" t="s">
        <v>2197</v>
      </c>
      <c r="JE160" s="841" t="s">
        <v>33</v>
      </c>
      <c r="JF160" s="841" t="s">
        <v>2849</v>
      </c>
      <c r="JG160" s="841" t="s">
        <v>2850</v>
      </c>
      <c r="JH160" s="841" t="s">
        <v>2851</v>
      </c>
      <c r="JI160" s="841" t="s">
        <v>2852</v>
      </c>
    </row>
    <row r="161" spans="1:269" x14ac:dyDescent="0.25">
      <c r="A161" s="841" t="s">
        <v>2866</v>
      </c>
      <c r="B161" s="841" t="s">
        <v>353</v>
      </c>
      <c r="C161" s="841" t="s">
        <v>353</v>
      </c>
      <c r="D161" s="841" t="s">
        <v>353</v>
      </c>
      <c r="E161" s="841" t="s">
        <v>353</v>
      </c>
      <c r="F161" s="841" t="s">
        <v>1405</v>
      </c>
      <c r="G161" s="841" t="s">
        <v>2867</v>
      </c>
      <c r="H161" s="841" t="s">
        <v>353</v>
      </c>
      <c r="I161" s="841" t="s">
        <v>353</v>
      </c>
      <c r="J161" s="841" t="s">
        <v>353</v>
      </c>
      <c r="K161" s="841" t="s">
        <v>353</v>
      </c>
      <c r="L161" s="842">
        <v>44606.383333333331</v>
      </c>
      <c r="M161" s="841">
        <v>136445</v>
      </c>
      <c r="N161" s="841" t="s">
        <v>353</v>
      </c>
      <c r="O161" s="841" t="s">
        <v>353</v>
      </c>
      <c r="P161" s="841" t="s">
        <v>33</v>
      </c>
      <c r="Q161" s="841" t="s">
        <v>353</v>
      </c>
      <c r="R161" s="841">
        <v>1000</v>
      </c>
      <c r="S161" s="841" t="s">
        <v>1520</v>
      </c>
      <c r="T161" s="841" t="s">
        <v>1390</v>
      </c>
      <c r="U161" s="841" t="s">
        <v>353</v>
      </c>
      <c r="V161" s="841">
        <v>170414</v>
      </c>
      <c r="W161" s="841" t="s">
        <v>1716</v>
      </c>
      <c r="X161" s="841" t="s">
        <v>1405</v>
      </c>
      <c r="Y161" s="841" t="s">
        <v>353</v>
      </c>
      <c r="Z161" s="841" t="s">
        <v>353</v>
      </c>
      <c r="AA161" s="841" t="s">
        <v>33</v>
      </c>
      <c r="AB161" s="841" t="s">
        <v>353</v>
      </c>
      <c r="AC161" s="841">
        <v>296000</v>
      </c>
      <c r="AD161" s="841">
        <v>750</v>
      </c>
      <c r="AE161" s="841" t="s">
        <v>33</v>
      </c>
      <c r="AF161" s="841" t="s">
        <v>353</v>
      </c>
      <c r="AG161" s="841">
        <v>760</v>
      </c>
      <c r="AH161" s="841">
        <v>800</v>
      </c>
      <c r="AI161" s="841" t="s">
        <v>1406</v>
      </c>
      <c r="AJ161" s="841" t="s">
        <v>353</v>
      </c>
      <c r="AK161" s="841">
        <v>75</v>
      </c>
      <c r="AL161" s="841" t="s">
        <v>353</v>
      </c>
      <c r="AM161" s="841" t="s">
        <v>353</v>
      </c>
      <c r="AN161" s="841" t="s">
        <v>353</v>
      </c>
      <c r="AO161" s="841" t="s">
        <v>353</v>
      </c>
      <c r="AP161" s="841" t="s">
        <v>353</v>
      </c>
      <c r="AQ161" s="841" t="s">
        <v>353</v>
      </c>
      <c r="AR161" s="841" t="s">
        <v>33</v>
      </c>
      <c r="AS161" s="841" t="s">
        <v>353</v>
      </c>
      <c r="AT161" s="841" t="s">
        <v>353</v>
      </c>
      <c r="AU161" s="841" t="s">
        <v>353</v>
      </c>
      <c r="AV161" s="841" t="s">
        <v>353</v>
      </c>
      <c r="AW161" s="843">
        <v>44533</v>
      </c>
      <c r="AX161" s="841" t="s">
        <v>353</v>
      </c>
      <c r="AY161" s="841" t="s">
        <v>353</v>
      </c>
      <c r="AZ161" s="841" t="s">
        <v>353</v>
      </c>
      <c r="BA161" s="841" t="s">
        <v>353</v>
      </c>
      <c r="BB161" s="841" t="s">
        <v>353</v>
      </c>
      <c r="BC161" s="841">
        <v>560948</v>
      </c>
      <c r="BD161" s="841" t="s">
        <v>353</v>
      </c>
      <c r="BE161" s="841" t="s">
        <v>353</v>
      </c>
      <c r="BF161" s="841" t="s">
        <v>353</v>
      </c>
      <c r="BG161" s="841" t="s">
        <v>353</v>
      </c>
      <c r="BH161" s="841" t="s">
        <v>353</v>
      </c>
      <c r="BI161" s="841" t="s">
        <v>353</v>
      </c>
      <c r="BJ161" s="841" t="s">
        <v>353</v>
      </c>
      <c r="BK161" s="841" t="s">
        <v>353</v>
      </c>
      <c r="BL161" s="841" t="s">
        <v>2838</v>
      </c>
      <c r="BM161" s="842">
        <v>44561.60833333333</v>
      </c>
      <c r="BN161" s="841" t="s">
        <v>353</v>
      </c>
      <c r="BO161" s="841" t="s">
        <v>353</v>
      </c>
      <c r="BP161" s="841" t="s">
        <v>353</v>
      </c>
      <c r="BQ161" s="841" t="s">
        <v>353</v>
      </c>
      <c r="BR161" s="841" t="s">
        <v>353</v>
      </c>
      <c r="BS161" s="841" t="s">
        <v>353</v>
      </c>
      <c r="BT161" s="841">
        <v>592000</v>
      </c>
      <c r="BU161" s="841" t="s">
        <v>353</v>
      </c>
      <c r="BV161" s="841" t="s">
        <v>2342</v>
      </c>
      <c r="BW161" s="841" t="s">
        <v>353</v>
      </c>
      <c r="BX161" s="841" t="s">
        <v>2839</v>
      </c>
      <c r="BY161" s="841" t="s">
        <v>353</v>
      </c>
      <c r="BZ161" s="841" t="s">
        <v>353</v>
      </c>
      <c r="CA161" s="841" t="s">
        <v>353</v>
      </c>
      <c r="CB161" s="841" t="s">
        <v>353</v>
      </c>
      <c r="CC161" s="841" t="s">
        <v>353</v>
      </c>
      <c r="CD161" s="841" t="s">
        <v>353</v>
      </c>
      <c r="CE161" s="841" t="s">
        <v>353</v>
      </c>
      <c r="CF161" s="841" t="s">
        <v>353</v>
      </c>
      <c r="CG161" s="841" t="s">
        <v>353</v>
      </c>
      <c r="CH161" s="841" t="s">
        <v>353</v>
      </c>
      <c r="CI161" s="841" t="s">
        <v>33</v>
      </c>
      <c r="CJ161" s="841" t="s">
        <v>353</v>
      </c>
      <c r="CK161" s="841" t="s">
        <v>353</v>
      </c>
      <c r="CL161" s="841" t="s">
        <v>353</v>
      </c>
      <c r="CM161" s="841" t="s">
        <v>353</v>
      </c>
      <c r="CN161" s="841" t="s">
        <v>353</v>
      </c>
      <c r="CO161" s="841" t="s">
        <v>353</v>
      </c>
      <c r="CP161" s="841" t="s">
        <v>2868</v>
      </c>
      <c r="CQ161" s="841" t="s">
        <v>353</v>
      </c>
      <c r="CR161" s="841" t="s">
        <v>353</v>
      </c>
      <c r="CS161" s="841" t="s">
        <v>353</v>
      </c>
      <c r="CT161" s="841" t="s">
        <v>353</v>
      </c>
      <c r="CU161" s="841" t="s">
        <v>1391</v>
      </c>
      <c r="CV161" s="841" t="s">
        <v>353</v>
      </c>
      <c r="CW161" s="841" t="s">
        <v>353</v>
      </c>
      <c r="CX161" s="841" t="s">
        <v>353</v>
      </c>
      <c r="CY161" s="841" t="s">
        <v>353</v>
      </c>
      <c r="CZ161" s="841">
        <v>2</v>
      </c>
      <c r="DA161" s="841" t="s">
        <v>353</v>
      </c>
      <c r="DB161" s="841" t="s">
        <v>353</v>
      </c>
      <c r="DC161" s="841" t="s">
        <v>353</v>
      </c>
      <c r="DD161" s="841" t="s">
        <v>353</v>
      </c>
      <c r="DE161" s="841" t="s">
        <v>353</v>
      </c>
      <c r="DF161" s="841">
        <v>30</v>
      </c>
      <c r="DG161" s="841" t="s">
        <v>353</v>
      </c>
      <c r="DH161" s="841" t="s">
        <v>353</v>
      </c>
      <c r="DI161" s="841" t="s">
        <v>353</v>
      </c>
      <c r="DJ161" s="841" t="s">
        <v>2841</v>
      </c>
      <c r="DK161" s="841" t="s">
        <v>353</v>
      </c>
      <c r="DL161" s="842">
        <v>44533.60833333333</v>
      </c>
      <c r="DM161" s="841" t="s">
        <v>353</v>
      </c>
      <c r="DN161" s="841" t="s">
        <v>33</v>
      </c>
      <c r="DO161" s="841" t="s">
        <v>353</v>
      </c>
      <c r="DP161" s="841" t="s">
        <v>353</v>
      </c>
      <c r="DQ161" s="841" t="s">
        <v>1451</v>
      </c>
      <c r="DR161" s="841" t="s">
        <v>353</v>
      </c>
      <c r="DS161" s="841">
        <v>30</v>
      </c>
      <c r="DT161" s="841" t="s">
        <v>353</v>
      </c>
      <c r="DU161" s="841" t="s">
        <v>353</v>
      </c>
      <c r="DV161" s="841">
        <v>349635.2</v>
      </c>
      <c r="DW161" s="841">
        <v>592000</v>
      </c>
      <c r="DX161" s="841" t="s">
        <v>33</v>
      </c>
      <c r="DY161" s="841" t="s">
        <v>353</v>
      </c>
      <c r="DZ161" s="841" t="s">
        <v>353</v>
      </c>
      <c r="EA161" s="841" t="s">
        <v>353</v>
      </c>
      <c r="EB161" s="841" t="s">
        <v>353</v>
      </c>
      <c r="EC161" s="841" t="s">
        <v>353</v>
      </c>
      <c r="ED161" s="841" t="s">
        <v>353</v>
      </c>
      <c r="EE161" s="841" t="s">
        <v>353</v>
      </c>
      <c r="EF161" s="841" t="s">
        <v>353</v>
      </c>
      <c r="EG161" s="841" t="s">
        <v>353</v>
      </c>
      <c r="EH161" s="841" t="s">
        <v>353</v>
      </c>
      <c r="EI161" s="841">
        <v>230524.79999999999</v>
      </c>
      <c r="EJ161" s="841" t="s">
        <v>353</v>
      </c>
      <c r="EK161" s="841" t="s">
        <v>353</v>
      </c>
      <c r="EL161" s="841" t="s">
        <v>1435</v>
      </c>
      <c r="EM161" s="841">
        <v>11840</v>
      </c>
      <c r="EN161" s="841" t="s">
        <v>353</v>
      </c>
      <c r="EO161" s="841" t="s">
        <v>353</v>
      </c>
      <c r="EP161" s="841" t="s">
        <v>353</v>
      </c>
      <c r="EQ161" s="841" t="s">
        <v>353</v>
      </c>
      <c r="ER161" s="841" t="s">
        <v>353</v>
      </c>
      <c r="ES161" s="841" t="s">
        <v>33</v>
      </c>
      <c r="ET161" s="841" t="s">
        <v>1452</v>
      </c>
      <c r="EU161" s="841" t="s">
        <v>353</v>
      </c>
      <c r="EV161" s="841" t="s">
        <v>353</v>
      </c>
      <c r="EW161" s="841" t="s">
        <v>353</v>
      </c>
      <c r="EX161" s="841" t="s">
        <v>33</v>
      </c>
      <c r="EY161" s="841" t="s">
        <v>353</v>
      </c>
      <c r="EZ161" s="841" t="s">
        <v>353</v>
      </c>
      <c r="FA161" s="841" t="s">
        <v>353</v>
      </c>
      <c r="FB161" s="841" t="s">
        <v>353</v>
      </c>
      <c r="FC161" s="841" t="s">
        <v>353</v>
      </c>
      <c r="FD161" s="841" t="s">
        <v>353</v>
      </c>
      <c r="FE161" s="842">
        <v>44606.383333333331</v>
      </c>
      <c r="FF161" s="841" t="s">
        <v>353</v>
      </c>
      <c r="FG161" s="841" t="s">
        <v>353</v>
      </c>
      <c r="FH161" s="841" t="s">
        <v>353</v>
      </c>
      <c r="FI161" s="841" t="s">
        <v>353</v>
      </c>
      <c r="FJ161" s="841" t="s">
        <v>353</v>
      </c>
      <c r="FK161" s="841" t="s">
        <v>353</v>
      </c>
      <c r="FL161" s="841" t="s">
        <v>353</v>
      </c>
      <c r="FM161" s="841" t="s">
        <v>353</v>
      </c>
      <c r="FN161" s="841" t="s">
        <v>353</v>
      </c>
      <c r="FO161" s="841" t="s">
        <v>1729</v>
      </c>
      <c r="FP161" s="841" t="s">
        <v>353</v>
      </c>
      <c r="FQ161" s="841" t="s">
        <v>353</v>
      </c>
      <c r="FR161" s="841" t="s">
        <v>353</v>
      </c>
      <c r="FS161" s="841" t="s">
        <v>353</v>
      </c>
      <c r="FT161" s="841" t="s">
        <v>353</v>
      </c>
      <c r="FU161" s="841" t="s">
        <v>1467</v>
      </c>
      <c r="FV161" s="841" t="s">
        <v>353</v>
      </c>
      <c r="FW161" s="841" t="s">
        <v>353</v>
      </c>
      <c r="FX161" s="841" t="s">
        <v>353</v>
      </c>
      <c r="FY161" s="841" t="s">
        <v>353</v>
      </c>
      <c r="FZ161" s="841" t="s">
        <v>353</v>
      </c>
      <c r="GA161" s="841" t="s">
        <v>353</v>
      </c>
      <c r="GB161" s="841">
        <v>1</v>
      </c>
      <c r="GC161" s="841" t="s">
        <v>353</v>
      </c>
      <c r="GD161" s="841" t="s">
        <v>1417</v>
      </c>
      <c r="GE161" s="841" t="s">
        <v>353</v>
      </c>
      <c r="GF161" s="841" t="s">
        <v>353</v>
      </c>
      <c r="GG161" s="841" t="s">
        <v>353</v>
      </c>
      <c r="GH161" s="841">
        <v>296000</v>
      </c>
      <c r="GI161" s="841" t="s">
        <v>353</v>
      </c>
      <c r="GJ161" s="841" t="s">
        <v>353</v>
      </c>
      <c r="GK161" s="841" t="s">
        <v>353</v>
      </c>
      <c r="GL161" s="841" t="s">
        <v>1453</v>
      </c>
      <c r="GM161" s="841" t="s">
        <v>353</v>
      </c>
      <c r="GN161" s="841" t="s">
        <v>353</v>
      </c>
      <c r="GO161" s="841" t="s">
        <v>353</v>
      </c>
      <c r="GP161" s="841" t="s">
        <v>353</v>
      </c>
      <c r="GQ161" s="841" t="s">
        <v>353</v>
      </c>
      <c r="GR161" s="841" t="s">
        <v>353</v>
      </c>
      <c r="GS161" s="841" t="s">
        <v>2869</v>
      </c>
      <c r="GT161" s="841">
        <v>175000</v>
      </c>
      <c r="GU161" s="841" t="s">
        <v>353</v>
      </c>
      <c r="GV161" s="841" t="s">
        <v>1076</v>
      </c>
      <c r="GW161" s="841" t="s">
        <v>353</v>
      </c>
      <c r="GX161" s="841" t="s">
        <v>2843</v>
      </c>
      <c r="GY161" s="841">
        <v>36</v>
      </c>
      <c r="GZ161" s="841" t="s">
        <v>1716</v>
      </c>
      <c r="HA161" s="841" t="s">
        <v>353</v>
      </c>
      <c r="HB161" s="841">
        <v>180000</v>
      </c>
      <c r="HC161" s="841" t="s">
        <v>1421</v>
      </c>
      <c r="HD161" s="841" t="s">
        <v>2870</v>
      </c>
      <c r="HE161" s="841">
        <v>5920</v>
      </c>
      <c r="HF161" s="841" t="s">
        <v>353</v>
      </c>
      <c r="HG161" s="841">
        <v>240000</v>
      </c>
      <c r="HH161" s="841" t="s">
        <v>353</v>
      </c>
      <c r="HI161" s="841" t="s">
        <v>1544</v>
      </c>
      <c r="HJ161" s="841" t="s">
        <v>2871</v>
      </c>
      <c r="HK161" s="841">
        <v>592000</v>
      </c>
      <c r="HL161" s="841" t="s">
        <v>353</v>
      </c>
      <c r="HM161" s="841" t="s">
        <v>1530</v>
      </c>
      <c r="HN161" s="841" t="s">
        <v>353</v>
      </c>
      <c r="HO161" s="841" t="s">
        <v>2843</v>
      </c>
      <c r="HP161" s="841">
        <v>38420.800000000003</v>
      </c>
      <c r="HQ161" s="841" t="s">
        <v>353</v>
      </c>
      <c r="HR161" s="841" t="s">
        <v>353</v>
      </c>
      <c r="HS161" s="841">
        <v>361475.2</v>
      </c>
      <c r="HT161" s="841" t="s">
        <v>353</v>
      </c>
      <c r="HU161" s="841" t="s">
        <v>353</v>
      </c>
      <c r="HV161" s="841" t="s">
        <v>353</v>
      </c>
      <c r="HW161" s="841">
        <v>195000</v>
      </c>
      <c r="HX161" s="841" t="s">
        <v>353</v>
      </c>
      <c r="HY161" s="841" t="s">
        <v>2843</v>
      </c>
      <c r="HZ161" s="841">
        <v>240000</v>
      </c>
      <c r="IA161" s="841" t="s">
        <v>353</v>
      </c>
      <c r="IB161" s="841" t="s">
        <v>1424</v>
      </c>
      <c r="IC161" s="841" t="s">
        <v>353</v>
      </c>
      <c r="ID161" s="841" t="s">
        <v>353</v>
      </c>
      <c r="IE161" s="841" t="s">
        <v>353</v>
      </c>
      <c r="IF161" s="841" t="s">
        <v>353</v>
      </c>
      <c r="IG161" s="841">
        <v>180000</v>
      </c>
      <c r="IH161" s="841" t="s">
        <v>353</v>
      </c>
      <c r="II161" s="841" t="s">
        <v>353</v>
      </c>
      <c r="IJ161" s="841" t="s">
        <v>353</v>
      </c>
      <c r="IK161" s="841">
        <v>175000</v>
      </c>
      <c r="IL161" s="841">
        <v>572790</v>
      </c>
      <c r="IM161" s="841" t="s">
        <v>353</v>
      </c>
      <c r="IN161" s="841" t="s">
        <v>353</v>
      </c>
      <c r="IO161" s="841" t="s">
        <v>353</v>
      </c>
      <c r="IP161" s="841" t="s">
        <v>353</v>
      </c>
      <c r="IQ161" s="841" t="s">
        <v>353</v>
      </c>
      <c r="IR161" s="841">
        <v>6</v>
      </c>
      <c r="IS161" s="841" t="s">
        <v>33</v>
      </c>
      <c r="IT161" s="841" t="s">
        <v>353</v>
      </c>
      <c r="IU161" s="841" t="s">
        <v>353</v>
      </c>
      <c r="IV161" s="841" t="s">
        <v>353</v>
      </c>
      <c r="IW161" s="841" t="s">
        <v>2872</v>
      </c>
      <c r="IX161" s="841" t="s">
        <v>353</v>
      </c>
      <c r="IY161" s="841" t="s">
        <v>1578</v>
      </c>
      <c r="IZ161" s="841" t="s">
        <v>2873</v>
      </c>
      <c r="JA161" s="841">
        <v>592000</v>
      </c>
      <c r="JB161" s="841" t="s">
        <v>2874</v>
      </c>
      <c r="JC161" s="841" t="s">
        <v>353</v>
      </c>
      <c r="JD161" s="841" t="s">
        <v>2197</v>
      </c>
      <c r="JE161" s="841" t="s">
        <v>33</v>
      </c>
      <c r="JF161" s="841" t="s">
        <v>2849</v>
      </c>
      <c r="JG161" s="841" t="s">
        <v>2850</v>
      </c>
      <c r="JH161" s="841" t="s">
        <v>2851</v>
      </c>
      <c r="JI161" s="841" t="s">
        <v>2852</v>
      </c>
    </row>
    <row r="162" spans="1:269" x14ac:dyDescent="0.25">
      <c r="A162" s="841" t="s">
        <v>2875</v>
      </c>
      <c r="B162" s="841" t="s">
        <v>353</v>
      </c>
      <c r="C162" s="841" t="s">
        <v>353</v>
      </c>
      <c r="D162" s="841" t="s">
        <v>353</v>
      </c>
      <c r="E162" s="841" t="s">
        <v>353</v>
      </c>
      <c r="F162" s="841" t="s">
        <v>353</v>
      </c>
      <c r="G162" s="841" t="s">
        <v>2086</v>
      </c>
      <c r="H162" s="841" t="s">
        <v>353</v>
      </c>
      <c r="I162" s="841" t="s">
        <v>353</v>
      </c>
      <c r="J162" s="841" t="s">
        <v>353</v>
      </c>
      <c r="K162" s="841" t="s">
        <v>353</v>
      </c>
      <c r="L162" s="842">
        <v>44608.372916666667</v>
      </c>
      <c r="M162" s="841" t="s">
        <v>353</v>
      </c>
      <c r="N162" s="841" t="s">
        <v>353</v>
      </c>
      <c r="O162" s="841" t="s">
        <v>353</v>
      </c>
      <c r="P162" s="841" t="s">
        <v>353</v>
      </c>
      <c r="Q162" s="841" t="s">
        <v>353</v>
      </c>
      <c r="R162" s="841" t="s">
        <v>353</v>
      </c>
      <c r="S162" s="841" t="s">
        <v>64</v>
      </c>
      <c r="T162" s="841" t="s">
        <v>1390</v>
      </c>
      <c r="U162" s="841" t="s">
        <v>353</v>
      </c>
      <c r="V162" s="841" t="s">
        <v>353</v>
      </c>
      <c r="W162" s="841" t="s">
        <v>353</v>
      </c>
      <c r="X162" s="841" t="s">
        <v>1405</v>
      </c>
      <c r="Y162" s="841" t="s">
        <v>353</v>
      </c>
      <c r="Z162" s="841" t="s">
        <v>353</v>
      </c>
      <c r="AA162" s="841" t="s">
        <v>353</v>
      </c>
      <c r="AB162" s="841" t="s">
        <v>353</v>
      </c>
      <c r="AC162" s="841">
        <v>30000</v>
      </c>
      <c r="AD162" s="841" t="s">
        <v>353</v>
      </c>
      <c r="AE162" s="841" t="s">
        <v>353</v>
      </c>
      <c r="AF162" s="841" t="s">
        <v>353</v>
      </c>
      <c r="AG162" s="841" t="s">
        <v>353</v>
      </c>
      <c r="AH162" s="841">
        <v>500</v>
      </c>
      <c r="AI162" s="841" t="s">
        <v>1406</v>
      </c>
      <c r="AJ162" s="841" t="s">
        <v>353</v>
      </c>
      <c r="AK162" s="841">
        <v>75</v>
      </c>
      <c r="AL162" s="841" t="s">
        <v>353</v>
      </c>
      <c r="AM162" s="841" t="s">
        <v>353</v>
      </c>
      <c r="AN162" s="841" t="s">
        <v>353</v>
      </c>
      <c r="AO162" s="841" t="s">
        <v>353</v>
      </c>
      <c r="AP162" s="841" t="s">
        <v>353</v>
      </c>
      <c r="AQ162" s="841" t="s">
        <v>353</v>
      </c>
      <c r="AR162" s="841" t="s">
        <v>353</v>
      </c>
      <c r="AS162" s="841" t="s">
        <v>353</v>
      </c>
      <c r="AT162" s="841" t="s">
        <v>353</v>
      </c>
      <c r="AU162" s="841" t="s">
        <v>353</v>
      </c>
      <c r="AV162" s="841" t="s">
        <v>353</v>
      </c>
      <c r="AW162" s="841" t="s">
        <v>353</v>
      </c>
      <c r="AX162" s="841" t="s">
        <v>353</v>
      </c>
      <c r="AY162" s="841" t="s">
        <v>353</v>
      </c>
      <c r="AZ162" s="841" t="s">
        <v>353</v>
      </c>
      <c r="BA162" s="841" t="s">
        <v>353</v>
      </c>
      <c r="BB162" s="841" t="s">
        <v>353</v>
      </c>
      <c r="BC162" s="841">
        <v>147375</v>
      </c>
      <c r="BD162" s="841" t="s">
        <v>353</v>
      </c>
      <c r="BE162" s="841" t="s">
        <v>353</v>
      </c>
      <c r="BF162" s="841" t="s">
        <v>353</v>
      </c>
      <c r="BG162" s="841" t="s">
        <v>353</v>
      </c>
      <c r="BH162" s="841" t="s">
        <v>353</v>
      </c>
      <c r="BI162" s="841" t="s">
        <v>353</v>
      </c>
      <c r="BJ162" s="841" t="s">
        <v>353</v>
      </c>
      <c r="BK162" s="841" t="s">
        <v>353</v>
      </c>
      <c r="BL162" s="841" t="s">
        <v>1735</v>
      </c>
      <c r="BM162" s="842">
        <v>44561.598611111112</v>
      </c>
      <c r="BN162" s="841" t="s">
        <v>353</v>
      </c>
      <c r="BO162" s="841" t="s">
        <v>353</v>
      </c>
      <c r="BP162" s="841" t="s">
        <v>353</v>
      </c>
      <c r="BQ162" s="841" t="s">
        <v>353</v>
      </c>
      <c r="BR162" s="841" t="s">
        <v>353</v>
      </c>
      <c r="BS162" s="841" t="s">
        <v>353</v>
      </c>
      <c r="BT162" s="841">
        <v>150000</v>
      </c>
      <c r="BU162" s="841" t="s">
        <v>353</v>
      </c>
      <c r="BV162" s="841" t="s">
        <v>2876</v>
      </c>
      <c r="BW162" s="841" t="s">
        <v>353</v>
      </c>
      <c r="BX162" s="841" t="s">
        <v>2877</v>
      </c>
      <c r="BY162" s="841" t="s">
        <v>353</v>
      </c>
      <c r="BZ162" s="841" t="s">
        <v>353</v>
      </c>
      <c r="CA162" s="841" t="s">
        <v>353</v>
      </c>
      <c r="CB162" s="841" t="s">
        <v>353</v>
      </c>
      <c r="CC162" s="841" t="s">
        <v>353</v>
      </c>
      <c r="CD162" s="841" t="s">
        <v>353</v>
      </c>
      <c r="CE162" s="841" t="s">
        <v>353</v>
      </c>
      <c r="CF162" s="841" t="s">
        <v>353</v>
      </c>
      <c r="CG162" s="841" t="s">
        <v>353</v>
      </c>
      <c r="CH162" s="841" t="s">
        <v>353</v>
      </c>
      <c r="CI162" s="841" t="s">
        <v>353</v>
      </c>
      <c r="CJ162" s="841" t="s">
        <v>353</v>
      </c>
      <c r="CK162" s="841">
        <v>9</v>
      </c>
      <c r="CL162" s="841" t="s">
        <v>353</v>
      </c>
      <c r="CM162" s="841">
        <v>13</v>
      </c>
      <c r="CN162" s="841" t="s">
        <v>353</v>
      </c>
      <c r="CO162" s="841" t="s">
        <v>353</v>
      </c>
      <c r="CP162" s="841" t="s">
        <v>2878</v>
      </c>
      <c r="CQ162" s="841" t="s">
        <v>353</v>
      </c>
      <c r="CR162" s="841" t="s">
        <v>353</v>
      </c>
      <c r="CS162" s="841" t="s">
        <v>353</v>
      </c>
      <c r="CT162" s="841" t="s">
        <v>353</v>
      </c>
      <c r="CU162" s="841" t="s">
        <v>1391</v>
      </c>
      <c r="CV162" s="841" t="s">
        <v>353</v>
      </c>
      <c r="CW162" s="841" t="s">
        <v>353</v>
      </c>
      <c r="CX162" s="841" t="s">
        <v>353</v>
      </c>
      <c r="CY162" s="841" t="s">
        <v>353</v>
      </c>
      <c r="CZ162" s="841">
        <v>4</v>
      </c>
      <c r="DA162" s="841" t="s">
        <v>353</v>
      </c>
      <c r="DB162" s="841" t="s">
        <v>353</v>
      </c>
      <c r="DC162" s="841" t="s">
        <v>353</v>
      </c>
      <c r="DD162" s="841" t="s">
        <v>353</v>
      </c>
      <c r="DE162" s="841" t="s">
        <v>353</v>
      </c>
      <c r="DF162" s="841" t="s">
        <v>353</v>
      </c>
      <c r="DG162" s="841" t="s">
        <v>353</v>
      </c>
      <c r="DH162" s="841" t="s">
        <v>353</v>
      </c>
      <c r="DI162" s="841" t="s">
        <v>353</v>
      </c>
      <c r="DJ162" s="841" t="s">
        <v>2879</v>
      </c>
      <c r="DK162" s="841" t="s">
        <v>353</v>
      </c>
      <c r="DL162" s="842">
        <v>44533.598611111112</v>
      </c>
      <c r="DM162" s="841" t="s">
        <v>353</v>
      </c>
      <c r="DN162" s="841" t="s">
        <v>353</v>
      </c>
      <c r="DO162" s="841" t="s">
        <v>33</v>
      </c>
      <c r="DP162" s="841" t="s">
        <v>353</v>
      </c>
      <c r="DQ162" s="841" t="s">
        <v>1581</v>
      </c>
      <c r="DR162" s="841" t="s">
        <v>353</v>
      </c>
      <c r="DS162" s="841">
        <v>24</v>
      </c>
      <c r="DT162" s="841" t="s">
        <v>353</v>
      </c>
      <c r="DU162" s="841" t="s">
        <v>353</v>
      </c>
      <c r="DV162" s="841" t="s">
        <v>353</v>
      </c>
      <c r="DW162" s="841">
        <v>150000</v>
      </c>
      <c r="DX162" s="841" t="s">
        <v>353</v>
      </c>
      <c r="DY162" s="841" t="s">
        <v>353</v>
      </c>
      <c r="DZ162" s="841" t="s">
        <v>353</v>
      </c>
      <c r="EA162" s="841" t="s">
        <v>353</v>
      </c>
      <c r="EB162" s="841" t="s">
        <v>353</v>
      </c>
      <c r="EC162" s="841" t="s">
        <v>353</v>
      </c>
      <c r="ED162" s="841" t="s">
        <v>353</v>
      </c>
      <c r="EE162" s="841" t="s">
        <v>353</v>
      </c>
      <c r="EF162" s="841" t="s">
        <v>353</v>
      </c>
      <c r="EG162" s="841" t="s">
        <v>353</v>
      </c>
      <c r="EH162" s="841" t="s">
        <v>353</v>
      </c>
      <c r="EI162" s="841">
        <v>0</v>
      </c>
      <c r="EJ162" s="841" t="s">
        <v>353</v>
      </c>
      <c r="EK162" s="841" t="s">
        <v>353</v>
      </c>
      <c r="EL162" s="841" t="s">
        <v>353</v>
      </c>
      <c r="EM162" s="841" t="s">
        <v>353</v>
      </c>
      <c r="EN162" s="841" t="s">
        <v>353</v>
      </c>
      <c r="EO162" s="841" t="s">
        <v>353</v>
      </c>
      <c r="EP162" s="841" t="s">
        <v>353</v>
      </c>
      <c r="EQ162" s="841" t="s">
        <v>353</v>
      </c>
      <c r="ER162" s="841" t="s">
        <v>353</v>
      </c>
      <c r="ES162" s="841" t="s">
        <v>353</v>
      </c>
      <c r="ET162" s="841" t="s">
        <v>2265</v>
      </c>
      <c r="EU162" s="841" t="s">
        <v>353</v>
      </c>
      <c r="EV162" s="841" t="s">
        <v>353</v>
      </c>
      <c r="EW162" s="841" t="s">
        <v>353</v>
      </c>
      <c r="EX162" s="841" t="s">
        <v>353</v>
      </c>
      <c r="EY162" s="842">
        <v>44608.37222222222</v>
      </c>
      <c r="EZ162" s="841" t="s">
        <v>353</v>
      </c>
      <c r="FA162" s="841" t="s">
        <v>353</v>
      </c>
      <c r="FB162" s="841" t="s">
        <v>353</v>
      </c>
      <c r="FC162" s="841" t="s">
        <v>353</v>
      </c>
      <c r="FD162" s="841" t="s">
        <v>353</v>
      </c>
      <c r="FE162" s="842">
        <v>44600.706250000003</v>
      </c>
      <c r="FF162" s="841" t="s">
        <v>353</v>
      </c>
      <c r="FG162" s="841" t="s">
        <v>353</v>
      </c>
      <c r="FH162" s="841" t="s">
        <v>353</v>
      </c>
      <c r="FI162" s="841" t="s">
        <v>353</v>
      </c>
      <c r="FJ162" s="841" t="s">
        <v>353</v>
      </c>
      <c r="FK162" s="841" t="s">
        <v>353</v>
      </c>
      <c r="FL162" s="841" t="s">
        <v>353</v>
      </c>
      <c r="FM162" s="841" t="s">
        <v>353</v>
      </c>
      <c r="FN162" s="841" t="s">
        <v>353</v>
      </c>
      <c r="FO162" s="841" t="s">
        <v>2880</v>
      </c>
      <c r="FP162" s="841" t="s">
        <v>353</v>
      </c>
      <c r="FQ162" s="841" t="s">
        <v>353</v>
      </c>
      <c r="FR162" s="841" t="s">
        <v>353</v>
      </c>
      <c r="FS162" s="841" t="s">
        <v>353</v>
      </c>
      <c r="FT162" s="841" t="s">
        <v>353</v>
      </c>
      <c r="FU162" s="841" t="s">
        <v>1416</v>
      </c>
      <c r="FV162" s="841" t="s">
        <v>353</v>
      </c>
      <c r="FW162" s="841" t="s">
        <v>353</v>
      </c>
      <c r="FX162" s="841" t="s">
        <v>353</v>
      </c>
      <c r="FY162" s="841" t="s">
        <v>353</v>
      </c>
      <c r="FZ162" s="841" t="s">
        <v>353</v>
      </c>
      <c r="GA162" s="841" t="s">
        <v>353</v>
      </c>
      <c r="GB162" s="841">
        <v>1</v>
      </c>
      <c r="GC162" s="841" t="s">
        <v>353</v>
      </c>
      <c r="GD162" s="841" t="s">
        <v>1395</v>
      </c>
      <c r="GE162" s="841" t="s">
        <v>353</v>
      </c>
      <c r="GF162" s="841" t="s">
        <v>353</v>
      </c>
      <c r="GG162" s="841" t="s">
        <v>353</v>
      </c>
      <c r="GH162" s="841">
        <v>30000</v>
      </c>
      <c r="GI162" s="841" t="s">
        <v>353</v>
      </c>
      <c r="GJ162" s="841" t="s">
        <v>353</v>
      </c>
      <c r="GK162" s="841" t="s">
        <v>353</v>
      </c>
      <c r="GL162" s="841" t="s">
        <v>1737</v>
      </c>
      <c r="GM162" s="841" t="s">
        <v>353</v>
      </c>
      <c r="GN162" s="841" t="s">
        <v>353</v>
      </c>
      <c r="GO162" s="841" t="s">
        <v>353</v>
      </c>
      <c r="GP162" s="841" t="s">
        <v>353</v>
      </c>
      <c r="GQ162" s="841" t="s">
        <v>353</v>
      </c>
      <c r="GR162" s="842">
        <v>44608.37222222222</v>
      </c>
      <c r="GS162" s="841" t="s">
        <v>353</v>
      </c>
      <c r="GT162" s="841" t="s">
        <v>353</v>
      </c>
      <c r="GU162" s="841" t="s">
        <v>353</v>
      </c>
      <c r="GV162" s="841" t="s">
        <v>1076</v>
      </c>
      <c r="GW162" s="841" t="s">
        <v>353</v>
      </c>
      <c r="GX162" s="841" t="s">
        <v>2881</v>
      </c>
      <c r="GY162" s="841">
        <v>24</v>
      </c>
      <c r="GZ162" s="841" t="s">
        <v>1420</v>
      </c>
      <c r="HA162" s="841" t="s">
        <v>353</v>
      </c>
      <c r="HB162" s="841" t="s">
        <v>353</v>
      </c>
      <c r="HC162" s="841" t="s">
        <v>1421</v>
      </c>
      <c r="HD162" s="841" t="s">
        <v>2882</v>
      </c>
      <c r="HE162" s="841" t="s">
        <v>353</v>
      </c>
      <c r="HF162" s="841" t="s">
        <v>353</v>
      </c>
      <c r="HG162" s="841" t="s">
        <v>353</v>
      </c>
      <c r="HH162" s="841" t="s">
        <v>353</v>
      </c>
      <c r="HI162" s="841" t="s">
        <v>1422</v>
      </c>
      <c r="HJ162" s="841" t="s">
        <v>2883</v>
      </c>
      <c r="HK162" s="841">
        <v>150000</v>
      </c>
      <c r="HL162" s="841" t="s">
        <v>353</v>
      </c>
      <c r="HM162" s="841" t="s">
        <v>1530</v>
      </c>
      <c r="HN162" s="841" t="s">
        <v>353</v>
      </c>
      <c r="HO162" s="841" t="s">
        <v>353</v>
      </c>
      <c r="HP162" s="841">
        <v>7935</v>
      </c>
      <c r="HQ162" s="841" t="s">
        <v>353</v>
      </c>
      <c r="HR162" s="841" t="s">
        <v>353</v>
      </c>
      <c r="HS162" s="841" t="s">
        <v>353</v>
      </c>
      <c r="HT162" s="841" t="s">
        <v>353</v>
      </c>
      <c r="HU162" s="841" t="s">
        <v>353</v>
      </c>
      <c r="HV162" s="841" t="s">
        <v>353</v>
      </c>
      <c r="HW162" s="841">
        <v>200000</v>
      </c>
      <c r="HX162" s="841" t="s">
        <v>353</v>
      </c>
      <c r="HY162" s="841" t="s">
        <v>353</v>
      </c>
      <c r="HZ162" s="841" t="s">
        <v>353</v>
      </c>
      <c r="IA162" s="841" t="s">
        <v>353</v>
      </c>
      <c r="IB162" s="841" t="s">
        <v>1424</v>
      </c>
      <c r="IC162" s="841" t="s">
        <v>353</v>
      </c>
      <c r="ID162" s="841" t="s">
        <v>353</v>
      </c>
      <c r="IE162" s="841" t="s">
        <v>353</v>
      </c>
      <c r="IF162" s="841" t="s">
        <v>353</v>
      </c>
      <c r="IG162" s="841" t="s">
        <v>353</v>
      </c>
      <c r="IH162" s="841" t="s">
        <v>353</v>
      </c>
      <c r="II162" s="841" t="s">
        <v>353</v>
      </c>
      <c r="IJ162" s="841" t="s">
        <v>353</v>
      </c>
      <c r="IK162" s="841" t="s">
        <v>353</v>
      </c>
      <c r="IL162" s="841" t="s">
        <v>353</v>
      </c>
      <c r="IM162" s="841" t="s">
        <v>353</v>
      </c>
      <c r="IN162" s="841" t="s">
        <v>353</v>
      </c>
      <c r="IO162" s="841" t="s">
        <v>353</v>
      </c>
      <c r="IP162" s="841" t="s">
        <v>353</v>
      </c>
      <c r="IQ162" s="841" t="s">
        <v>353</v>
      </c>
      <c r="IR162" s="841">
        <v>0</v>
      </c>
      <c r="IS162" s="841" t="s">
        <v>353</v>
      </c>
      <c r="IT162" s="841" t="s">
        <v>353</v>
      </c>
      <c r="IU162" s="841" t="s">
        <v>353</v>
      </c>
      <c r="IV162" s="841" t="s">
        <v>353</v>
      </c>
      <c r="IW162" s="841" t="s">
        <v>353</v>
      </c>
      <c r="IX162" s="841" t="s">
        <v>353</v>
      </c>
      <c r="IY162" s="841" t="s">
        <v>1622</v>
      </c>
      <c r="IZ162" s="841" t="s">
        <v>353</v>
      </c>
      <c r="JA162" s="841">
        <v>150000</v>
      </c>
      <c r="JB162" s="841" t="s">
        <v>353</v>
      </c>
      <c r="JC162" s="841" t="s">
        <v>353</v>
      </c>
      <c r="JD162" s="841" t="s">
        <v>1456</v>
      </c>
      <c r="JE162" s="841" t="s">
        <v>353</v>
      </c>
      <c r="JF162" s="841" t="s">
        <v>2884</v>
      </c>
      <c r="JG162" s="841" t="s">
        <v>2885</v>
      </c>
      <c r="JH162" s="841" t="s">
        <v>1741</v>
      </c>
      <c r="JI162" s="841" t="s">
        <v>1742</v>
      </c>
    </row>
    <row r="163" spans="1:269" x14ac:dyDescent="0.25">
      <c r="A163" s="841" t="s">
        <v>2886</v>
      </c>
      <c r="B163" s="841" t="s">
        <v>353</v>
      </c>
      <c r="C163" s="841" t="s">
        <v>353</v>
      </c>
      <c r="D163" s="841" t="s">
        <v>353</v>
      </c>
      <c r="E163" s="841" t="s">
        <v>353</v>
      </c>
      <c r="F163" s="841" t="s">
        <v>1405</v>
      </c>
      <c r="G163" s="841" t="s">
        <v>2887</v>
      </c>
      <c r="H163" s="841" t="s">
        <v>353</v>
      </c>
      <c r="I163" s="841" t="s">
        <v>353</v>
      </c>
      <c r="J163" s="841" t="s">
        <v>353</v>
      </c>
      <c r="K163" s="841" t="s">
        <v>353</v>
      </c>
      <c r="L163" s="842">
        <v>44606.385416666664</v>
      </c>
      <c r="M163" s="841" t="s">
        <v>353</v>
      </c>
      <c r="N163" s="841" t="s">
        <v>353</v>
      </c>
      <c r="O163" s="841" t="s">
        <v>353</v>
      </c>
      <c r="P163" s="841" t="s">
        <v>33</v>
      </c>
      <c r="Q163" s="841" t="s">
        <v>353</v>
      </c>
      <c r="R163" s="841">
        <v>640</v>
      </c>
      <c r="S163" s="841" t="s">
        <v>1520</v>
      </c>
      <c r="T163" s="841" t="s">
        <v>1390</v>
      </c>
      <c r="U163" s="841" t="s">
        <v>353</v>
      </c>
      <c r="V163" s="841" t="s">
        <v>353</v>
      </c>
      <c r="W163" s="841" t="s">
        <v>1716</v>
      </c>
      <c r="X163" s="841" t="s">
        <v>1405</v>
      </c>
      <c r="Y163" s="841" t="s">
        <v>353</v>
      </c>
      <c r="Z163" s="841" t="s">
        <v>353</v>
      </c>
      <c r="AA163" s="841" t="s">
        <v>33</v>
      </c>
      <c r="AB163" s="841" t="s">
        <v>353</v>
      </c>
      <c r="AC163" s="841">
        <v>106500</v>
      </c>
      <c r="AD163" s="841">
        <v>475</v>
      </c>
      <c r="AE163" s="841" t="s">
        <v>33</v>
      </c>
      <c r="AF163" s="841" t="s">
        <v>353</v>
      </c>
      <c r="AG163" s="841" t="s">
        <v>353</v>
      </c>
      <c r="AH163" s="841">
        <v>635</v>
      </c>
      <c r="AI163" s="841" t="s">
        <v>1406</v>
      </c>
      <c r="AJ163" s="841" t="s">
        <v>353</v>
      </c>
      <c r="AK163" s="841">
        <v>70</v>
      </c>
      <c r="AL163" s="841" t="s">
        <v>353</v>
      </c>
      <c r="AM163" s="841" t="s">
        <v>353</v>
      </c>
      <c r="AN163" s="841" t="s">
        <v>353</v>
      </c>
      <c r="AO163" s="841" t="s">
        <v>353</v>
      </c>
      <c r="AP163" s="841" t="s">
        <v>353</v>
      </c>
      <c r="AQ163" s="841" t="s">
        <v>353</v>
      </c>
      <c r="AR163" s="841" t="s">
        <v>33</v>
      </c>
      <c r="AS163" s="841" t="s">
        <v>353</v>
      </c>
      <c r="AT163" s="841" t="s">
        <v>353</v>
      </c>
      <c r="AU163" s="841" t="s">
        <v>353</v>
      </c>
      <c r="AV163" s="841" t="s">
        <v>353</v>
      </c>
      <c r="AW163" s="843">
        <v>44533</v>
      </c>
      <c r="AX163" s="841" t="s">
        <v>353</v>
      </c>
      <c r="AY163" s="841" t="s">
        <v>353</v>
      </c>
      <c r="AZ163" s="841" t="s">
        <v>353</v>
      </c>
      <c r="BA163" s="841" t="s">
        <v>353</v>
      </c>
      <c r="BB163" s="841" t="s">
        <v>353</v>
      </c>
      <c r="BC163" s="841">
        <v>208740</v>
      </c>
      <c r="BD163" s="841" t="s">
        <v>353</v>
      </c>
      <c r="BE163" s="841" t="s">
        <v>353</v>
      </c>
      <c r="BF163" s="841" t="s">
        <v>353</v>
      </c>
      <c r="BG163" s="841" t="s">
        <v>353</v>
      </c>
      <c r="BH163" s="841" t="s">
        <v>353</v>
      </c>
      <c r="BI163" s="841" t="s">
        <v>353</v>
      </c>
      <c r="BJ163" s="841" t="s">
        <v>353</v>
      </c>
      <c r="BK163" s="841">
        <v>248748</v>
      </c>
      <c r="BL163" s="841" t="s">
        <v>2838</v>
      </c>
      <c r="BM163" s="842">
        <v>44561.570833333331</v>
      </c>
      <c r="BN163" s="841" t="s">
        <v>353</v>
      </c>
      <c r="BO163" s="841" t="s">
        <v>353</v>
      </c>
      <c r="BP163" s="841" t="s">
        <v>353</v>
      </c>
      <c r="BQ163" s="841" t="s">
        <v>353</v>
      </c>
      <c r="BR163" s="841" t="s">
        <v>353</v>
      </c>
      <c r="BS163" s="841" t="s">
        <v>353</v>
      </c>
      <c r="BT163" s="841">
        <v>213000</v>
      </c>
      <c r="BU163" s="841" t="s">
        <v>353</v>
      </c>
      <c r="BV163" s="841" t="s">
        <v>2888</v>
      </c>
      <c r="BW163" s="841" t="s">
        <v>353</v>
      </c>
      <c r="BX163" s="841" t="s">
        <v>353</v>
      </c>
      <c r="BY163" s="841" t="s">
        <v>353</v>
      </c>
      <c r="BZ163" s="841" t="s">
        <v>353</v>
      </c>
      <c r="CA163" s="841" t="s">
        <v>353</v>
      </c>
      <c r="CB163" s="841" t="s">
        <v>353</v>
      </c>
      <c r="CC163" s="841" t="s">
        <v>353</v>
      </c>
      <c r="CD163" s="841" t="s">
        <v>353</v>
      </c>
      <c r="CE163" s="841" t="s">
        <v>353</v>
      </c>
      <c r="CF163" s="841" t="s">
        <v>353</v>
      </c>
      <c r="CG163" s="841" t="s">
        <v>353</v>
      </c>
      <c r="CH163" s="841" t="s">
        <v>353</v>
      </c>
      <c r="CI163" s="841" t="s">
        <v>33</v>
      </c>
      <c r="CJ163" s="841" t="s">
        <v>353</v>
      </c>
      <c r="CK163" s="841" t="s">
        <v>353</v>
      </c>
      <c r="CL163" s="841" t="s">
        <v>353</v>
      </c>
      <c r="CM163" s="841" t="s">
        <v>353</v>
      </c>
      <c r="CN163" s="841" t="s">
        <v>353</v>
      </c>
      <c r="CO163" s="841" t="s">
        <v>353</v>
      </c>
      <c r="CP163" s="841" t="s">
        <v>2889</v>
      </c>
      <c r="CQ163" s="841" t="s">
        <v>353</v>
      </c>
      <c r="CR163" s="841" t="s">
        <v>353</v>
      </c>
      <c r="CS163" s="841" t="s">
        <v>353</v>
      </c>
      <c r="CT163" s="841" t="s">
        <v>353</v>
      </c>
      <c r="CU163" s="841" t="s">
        <v>1391</v>
      </c>
      <c r="CV163" s="841" t="s">
        <v>353</v>
      </c>
      <c r="CW163" s="841" t="s">
        <v>353</v>
      </c>
      <c r="CX163" s="841" t="s">
        <v>353</v>
      </c>
      <c r="CY163" s="841" t="s">
        <v>353</v>
      </c>
      <c r="CZ163" s="841">
        <v>3</v>
      </c>
      <c r="DA163" s="841" t="s">
        <v>353</v>
      </c>
      <c r="DB163" s="841" t="s">
        <v>353</v>
      </c>
      <c r="DC163" s="841" t="s">
        <v>353</v>
      </c>
      <c r="DD163" s="841" t="s">
        <v>353</v>
      </c>
      <c r="DE163" s="841" t="s">
        <v>353</v>
      </c>
      <c r="DF163" s="841">
        <v>36</v>
      </c>
      <c r="DG163" s="841" t="s">
        <v>353</v>
      </c>
      <c r="DH163" s="841" t="s">
        <v>353</v>
      </c>
      <c r="DI163" s="841" t="s">
        <v>353</v>
      </c>
      <c r="DJ163" s="841" t="s">
        <v>2841</v>
      </c>
      <c r="DK163" s="841" t="s">
        <v>353</v>
      </c>
      <c r="DL163" s="842">
        <v>44533.570833333331</v>
      </c>
      <c r="DM163" s="841" t="s">
        <v>353</v>
      </c>
      <c r="DN163" s="841" t="s">
        <v>33</v>
      </c>
      <c r="DO163" s="841" t="s">
        <v>353</v>
      </c>
      <c r="DP163" s="841" t="s">
        <v>1481</v>
      </c>
      <c r="DQ163" s="841" t="s">
        <v>1451</v>
      </c>
      <c r="DR163" s="841" t="s">
        <v>353</v>
      </c>
      <c r="DS163" s="841">
        <v>36</v>
      </c>
      <c r="DT163" s="841" t="s">
        <v>353</v>
      </c>
      <c r="DU163" s="841" t="s">
        <v>353</v>
      </c>
      <c r="DV163" s="841">
        <v>208740</v>
      </c>
      <c r="DW163" s="841">
        <v>213000</v>
      </c>
      <c r="DX163" s="841" t="s">
        <v>33</v>
      </c>
      <c r="DY163" s="841" t="s">
        <v>353</v>
      </c>
      <c r="DZ163" s="841" t="s">
        <v>353</v>
      </c>
      <c r="EA163" s="841" t="s">
        <v>353</v>
      </c>
      <c r="EB163" s="841" t="s">
        <v>353</v>
      </c>
      <c r="EC163" s="841" t="s">
        <v>353</v>
      </c>
      <c r="ED163" s="841" t="s">
        <v>353</v>
      </c>
      <c r="EE163" s="841" t="s">
        <v>353</v>
      </c>
      <c r="EF163" s="841" t="s">
        <v>353</v>
      </c>
      <c r="EG163" s="841" t="s">
        <v>353</v>
      </c>
      <c r="EH163" s="841" t="s">
        <v>353</v>
      </c>
      <c r="EI163" s="841">
        <v>0</v>
      </c>
      <c r="EJ163" s="841" t="s">
        <v>353</v>
      </c>
      <c r="EK163" s="841" t="s">
        <v>353</v>
      </c>
      <c r="EL163" s="841" t="s">
        <v>1435</v>
      </c>
      <c r="EM163" s="841">
        <v>4260</v>
      </c>
      <c r="EN163" s="841" t="s">
        <v>353</v>
      </c>
      <c r="EO163" s="841" t="s">
        <v>353</v>
      </c>
      <c r="EP163" s="841" t="s">
        <v>353</v>
      </c>
      <c r="EQ163" s="841" t="s">
        <v>353</v>
      </c>
      <c r="ER163" s="841" t="s">
        <v>353</v>
      </c>
      <c r="ES163" s="841" t="s">
        <v>33</v>
      </c>
      <c r="ET163" s="841" t="s">
        <v>1452</v>
      </c>
      <c r="EU163" s="841" t="s">
        <v>353</v>
      </c>
      <c r="EV163" s="841" t="s">
        <v>353</v>
      </c>
      <c r="EW163" s="841" t="s">
        <v>353</v>
      </c>
      <c r="EX163" s="841" t="s">
        <v>33</v>
      </c>
      <c r="EY163" s="841" t="s">
        <v>353</v>
      </c>
      <c r="EZ163" s="841" t="s">
        <v>353</v>
      </c>
      <c r="FA163" s="841" t="s">
        <v>353</v>
      </c>
      <c r="FB163" s="841" t="s">
        <v>353</v>
      </c>
      <c r="FC163" s="841" t="s">
        <v>353</v>
      </c>
      <c r="FD163" s="841" t="s">
        <v>353</v>
      </c>
      <c r="FE163" s="842">
        <v>44606.385416666664</v>
      </c>
      <c r="FF163" s="841" t="s">
        <v>353</v>
      </c>
      <c r="FG163" s="841" t="s">
        <v>353</v>
      </c>
      <c r="FH163" s="841" t="s">
        <v>353</v>
      </c>
      <c r="FI163" s="841" t="s">
        <v>353</v>
      </c>
      <c r="FJ163" s="841" t="s">
        <v>353</v>
      </c>
      <c r="FK163" s="841" t="s">
        <v>353</v>
      </c>
      <c r="FL163" s="841" t="s">
        <v>353</v>
      </c>
      <c r="FM163" s="841" t="s">
        <v>353</v>
      </c>
      <c r="FN163" s="841" t="s">
        <v>353</v>
      </c>
      <c r="FO163" s="841" t="s">
        <v>1729</v>
      </c>
      <c r="FP163" s="841" t="s">
        <v>353</v>
      </c>
      <c r="FQ163" s="841" t="s">
        <v>353</v>
      </c>
      <c r="FR163" s="841" t="s">
        <v>353</v>
      </c>
      <c r="FS163" s="841" t="s">
        <v>353</v>
      </c>
      <c r="FT163" s="841" t="s">
        <v>353</v>
      </c>
      <c r="FU163" s="841" t="s">
        <v>1467</v>
      </c>
      <c r="FV163" s="841" t="s">
        <v>353</v>
      </c>
      <c r="FW163" s="841" t="s">
        <v>353</v>
      </c>
      <c r="FX163" s="841" t="s">
        <v>353</v>
      </c>
      <c r="FY163" s="841" t="s">
        <v>353</v>
      </c>
      <c r="FZ163" s="841" t="s">
        <v>353</v>
      </c>
      <c r="GA163" s="841" t="s">
        <v>353</v>
      </c>
      <c r="GB163" s="841">
        <v>1</v>
      </c>
      <c r="GC163" s="841" t="s">
        <v>353</v>
      </c>
      <c r="GD163" s="841" t="s">
        <v>1417</v>
      </c>
      <c r="GE163" s="841" t="s">
        <v>353</v>
      </c>
      <c r="GF163" s="841" t="s">
        <v>353</v>
      </c>
      <c r="GG163" s="841" t="s">
        <v>353</v>
      </c>
      <c r="GH163" s="841">
        <v>106500</v>
      </c>
      <c r="GI163" s="841" t="s">
        <v>353</v>
      </c>
      <c r="GJ163" s="841" t="s">
        <v>353</v>
      </c>
      <c r="GK163" s="841" t="s">
        <v>353</v>
      </c>
      <c r="GL163" s="841" t="s">
        <v>1453</v>
      </c>
      <c r="GM163" s="841" t="s">
        <v>353</v>
      </c>
      <c r="GN163" s="841" t="s">
        <v>353</v>
      </c>
      <c r="GO163" s="841" t="s">
        <v>353</v>
      </c>
      <c r="GP163" s="841" t="s">
        <v>353</v>
      </c>
      <c r="GQ163" s="841" t="s">
        <v>2890</v>
      </c>
      <c r="GR163" s="841" t="s">
        <v>353</v>
      </c>
      <c r="GS163" s="841" t="s">
        <v>2888</v>
      </c>
      <c r="GT163" s="841" t="s">
        <v>353</v>
      </c>
      <c r="GU163" s="841" t="s">
        <v>353</v>
      </c>
      <c r="GV163" s="841" t="s">
        <v>1076</v>
      </c>
      <c r="GW163" s="841" t="s">
        <v>353</v>
      </c>
      <c r="GX163" s="841" t="s">
        <v>2843</v>
      </c>
      <c r="GY163" s="841">
        <v>36</v>
      </c>
      <c r="GZ163" s="841" t="s">
        <v>1716</v>
      </c>
      <c r="HA163" s="841" t="s">
        <v>353</v>
      </c>
      <c r="HB163" s="841">
        <v>85000</v>
      </c>
      <c r="HC163" s="841" t="s">
        <v>1421</v>
      </c>
      <c r="HD163" s="841" t="s">
        <v>2891</v>
      </c>
      <c r="HE163" s="841">
        <v>2130</v>
      </c>
      <c r="HF163" s="841" t="s">
        <v>353</v>
      </c>
      <c r="HG163" s="841">
        <v>110000</v>
      </c>
      <c r="HH163" s="841" t="s">
        <v>353</v>
      </c>
      <c r="HI163" s="841" t="s">
        <v>1603</v>
      </c>
      <c r="HJ163" s="841" t="s">
        <v>353</v>
      </c>
      <c r="HK163" s="841">
        <v>213000</v>
      </c>
      <c r="HL163" s="841" t="s">
        <v>353</v>
      </c>
      <c r="HM163" s="841" t="s">
        <v>1530</v>
      </c>
      <c r="HN163" s="841" t="s">
        <v>33</v>
      </c>
      <c r="HO163" s="841" t="s">
        <v>353</v>
      </c>
      <c r="HP163" s="841">
        <v>13823.7</v>
      </c>
      <c r="HQ163" s="841" t="s">
        <v>353</v>
      </c>
      <c r="HR163" s="841" t="s">
        <v>353</v>
      </c>
      <c r="HS163" s="841">
        <v>213000</v>
      </c>
      <c r="HT163" s="841" t="s">
        <v>353</v>
      </c>
      <c r="HU163" s="841" t="s">
        <v>353</v>
      </c>
      <c r="HV163" s="841" t="s">
        <v>353</v>
      </c>
      <c r="HW163" s="841">
        <v>110000</v>
      </c>
      <c r="HX163" s="841" t="s">
        <v>353</v>
      </c>
      <c r="HY163" s="841" t="s">
        <v>353</v>
      </c>
      <c r="HZ163" s="841">
        <v>110000</v>
      </c>
      <c r="IA163" s="841" t="s">
        <v>353</v>
      </c>
      <c r="IB163" s="841" t="s">
        <v>1424</v>
      </c>
      <c r="IC163" s="841" t="s">
        <v>353</v>
      </c>
      <c r="ID163" s="841" t="s">
        <v>353</v>
      </c>
      <c r="IE163" s="841" t="s">
        <v>353</v>
      </c>
      <c r="IF163" s="841" t="s">
        <v>353</v>
      </c>
      <c r="IG163" s="841">
        <v>85000</v>
      </c>
      <c r="IH163" s="841" t="s">
        <v>353</v>
      </c>
      <c r="II163" s="841" t="s">
        <v>353</v>
      </c>
      <c r="IJ163" s="841" t="s">
        <v>353</v>
      </c>
      <c r="IK163" s="841" t="s">
        <v>353</v>
      </c>
      <c r="IL163" s="841">
        <v>213000</v>
      </c>
      <c r="IM163" s="841" t="s">
        <v>353</v>
      </c>
      <c r="IN163" s="841" t="s">
        <v>353</v>
      </c>
      <c r="IO163" s="841" t="s">
        <v>353</v>
      </c>
      <c r="IP163" s="841" t="s">
        <v>353</v>
      </c>
      <c r="IQ163" s="841" t="s">
        <v>353</v>
      </c>
      <c r="IR163" s="841">
        <v>0</v>
      </c>
      <c r="IS163" s="841" t="s">
        <v>33</v>
      </c>
      <c r="IT163" s="841" t="s">
        <v>353</v>
      </c>
      <c r="IU163" s="841" t="s">
        <v>353</v>
      </c>
      <c r="IV163" s="841" t="s">
        <v>353</v>
      </c>
      <c r="IW163" s="841" t="s">
        <v>2892</v>
      </c>
      <c r="IX163" s="841" t="s">
        <v>353</v>
      </c>
      <c r="IY163" s="841" t="s">
        <v>1578</v>
      </c>
      <c r="IZ163" s="841" t="s">
        <v>2893</v>
      </c>
      <c r="JA163" s="841">
        <v>213000</v>
      </c>
      <c r="JB163" s="841" t="s">
        <v>353</v>
      </c>
      <c r="JC163" s="841" t="s">
        <v>353</v>
      </c>
      <c r="JD163" s="841" t="s">
        <v>2197</v>
      </c>
      <c r="JE163" s="841" t="s">
        <v>33</v>
      </c>
      <c r="JF163" s="841" t="s">
        <v>2849</v>
      </c>
      <c r="JG163" s="841" t="s">
        <v>2850</v>
      </c>
      <c r="JH163" s="841" t="s">
        <v>2851</v>
      </c>
      <c r="JI163" s="841" t="s">
        <v>2852</v>
      </c>
    </row>
    <row r="164" spans="1:269" x14ac:dyDescent="0.25">
      <c r="A164" s="841" t="s">
        <v>2894</v>
      </c>
      <c r="B164" s="841" t="s">
        <v>353</v>
      </c>
      <c r="C164" s="841" t="s">
        <v>353</v>
      </c>
      <c r="D164" s="841" t="s">
        <v>353</v>
      </c>
      <c r="E164" s="841" t="s">
        <v>353</v>
      </c>
      <c r="F164" s="841" t="s">
        <v>1405</v>
      </c>
      <c r="G164" s="841" t="s">
        <v>2837</v>
      </c>
      <c r="H164" s="841" t="s">
        <v>353</v>
      </c>
      <c r="I164" s="841" t="s">
        <v>353</v>
      </c>
      <c r="J164" s="841" t="s">
        <v>353</v>
      </c>
      <c r="K164" s="841" t="s">
        <v>353</v>
      </c>
      <c r="L164" s="842">
        <v>44606.383333333331</v>
      </c>
      <c r="M164" s="841" t="s">
        <v>353</v>
      </c>
      <c r="N164" s="841" t="s">
        <v>353</v>
      </c>
      <c r="O164" s="841" t="s">
        <v>353</v>
      </c>
      <c r="P164" s="841" t="s">
        <v>33</v>
      </c>
      <c r="Q164" s="841" t="s">
        <v>353</v>
      </c>
      <c r="R164" s="841" t="s">
        <v>353</v>
      </c>
      <c r="S164" s="841" t="s">
        <v>1520</v>
      </c>
      <c r="T164" s="841" t="s">
        <v>1390</v>
      </c>
      <c r="U164" s="841" t="s">
        <v>353</v>
      </c>
      <c r="V164" s="841" t="s">
        <v>353</v>
      </c>
      <c r="W164" s="841" t="s">
        <v>1716</v>
      </c>
      <c r="X164" s="841" t="s">
        <v>1435</v>
      </c>
      <c r="Y164" s="841" t="s">
        <v>353</v>
      </c>
      <c r="Z164" s="841" t="s">
        <v>353</v>
      </c>
      <c r="AA164" s="841" t="s">
        <v>33</v>
      </c>
      <c r="AB164" s="841" t="s">
        <v>353</v>
      </c>
      <c r="AC164" s="841">
        <v>147500</v>
      </c>
      <c r="AD164" s="841" t="s">
        <v>353</v>
      </c>
      <c r="AE164" s="841" t="s">
        <v>33</v>
      </c>
      <c r="AF164" s="841" t="s">
        <v>353</v>
      </c>
      <c r="AG164" s="841" t="s">
        <v>353</v>
      </c>
      <c r="AH164" s="841">
        <v>1350</v>
      </c>
      <c r="AI164" s="841" t="s">
        <v>1406</v>
      </c>
      <c r="AJ164" s="841" t="s">
        <v>353</v>
      </c>
      <c r="AK164" s="841">
        <v>74</v>
      </c>
      <c r="AL164" s="841" t="s">
        <v>353</v>
      </c>
      <c r="AM164" s="841" t="s">
        <v>353</v>
      </c>
      <c r="AN164" s="841" t="s">
        <v>353</v>
      </c>
      <c r="AO164" s="841" t="s">
        <v>353</v>
      </c>
      <c r="AP164" s="841" t="s">
        <v>353</v>
      </c>
      <c r="AQ164" s="841" t="s">
        <v>353</v>
      </c>
      <c r="AR164" s="841" t="s">
        <v>33</v>
      </c>
      <c r="AS164" s="841" t="s">
        <v>353</v>
      </c>
      <c r="AT164" s="841" t="s">
        <v>353</v>
      </c>
      <c r="AU164" s="841" t="s">
        <v>353</v>
      </c>
      <c r="AV164" s="841" t="s">
        <v>353</v>
      </c>
      <c r="AW164" s="843">
        <v>44533</v>
      </c>
      <c r="AX164" s="841" t="s">
        <v>353</v>
      </c>
      <c r="AY164" s="841" t="s">
        <v>353</v>
      </c>
      <c r="AZ164" s="841" t="s">
        <v>353</v>
      </c>
      <c r="BA164" s="841" t="s">
        <v>353</v>
      </c>
      <c r="BB164" s="841" t="s">
        <v>353</v>
      </c>
      <c r="BC164" s="841">
        <v>272150</v>
      </c>
      <c r="BD164" s="841" t="s">
        <v>353</v>
      </c>
      <c r="BE164" s="841" t="s">
        <v>353</v>
      </c>
      <c r="BF164" s="841" t="s">
        <v>353</v>
      </c>
      <c r="BG164" s="841" t="s">
        <v>353</v>
      </c>
      <c r="BH164" s="841" t="s">
        <v>353</v>
      </c>
      <c r="BI164" s="841" t="s">
        <v>353</v>
      </c>
      <c r="BJ164" s="841" t="s">
        <v>353</v>
      </c>
      <c r="BK164" s="841">
        <v>319530</v>
      </c>
      <c r="BL164" s="841" t="s">
        <v>2895</v>
      </c>
      <c r="BM164" s="842">
        <v>44561.520833333336</v>
      </c>
      <c r="BN164" s="841" t="s">
        <v>353</v>
      </c>
      <c r="BO164" s="841" t="s">
        <v>353</v>
      </c>
      <c r="BP164" s="841" t="s">
        <v>353</v>
      </c>
      <c r="BQ164" s="841" t="s">
        <v>353</v>
      </c>
      <c r="BR164" s="841" t="s">
        <v>353</v>
      </c>
      <c r="BS164" s="841" t="s">
        <v>353</v>
      </c>
      <c r="BT164" s="841">
        <v>295000</v>
      </c>
      <c r="BU164" s="841" t="s">
        <v>353</v>
      </c>
      <c r="BV164" s="841" t="s">
        <v>1662</v>
      </c>
      <c r="BW164" s="841" t="s">
        <v>353</v>
      </c>
      <c r="BX164" s="841" t="s">
        <v>2896</v>
      </c>
      <c r="BY164" s="841" t="s">
        <v>353</v>
      </c>
      <c r="BZ164" s="841" t="s">
        <v>353</v>
      </c>
      <c r="CA164" s="841" t="s">
        <v>353</v>
      </c>
      <c r="CB164" s="841" t="s">
        <v>353</v>
      </c>
      <c r="CC164" s="841" t="s">
        <v>353</v>
      </c>
      <c r="CD164" s="841" t="s">
        <v>353</v>
      </c>
      <c r="CE164" s="841" t="s">
        <v>353</v>
      </c>
      <c r="CF164" s="841" t="s">
        <v>353</v>
      </c>
      <c r="CG164" s="841" t="s">
        <v>353</v>
      </c>
      <c r="CH164" s="841" t="s">
        <v>353</v>
      </c>
      <c r="CI164" s="841" t="s">
        <v>33</v>
      </c>
      <c r="CJ164" s="841" t="s">
        <v>353</v>
      </c>
      <c r="CK164" s="841" t="s">
        <v>353</v>
      </c>
      <c r="CL164" s="841" t="s">
        <v>353</v>
      </c>
      <c r="CM164" s="841" t="s">
        <v>353</v>
      </c>
      <c r="CN164" s="841" t="s">
        <v>353</v>
      </c>
      <c r="CO164" s="841" t="s">
        <v>353</v>
      </c>
      <c r="CP164" s="841" t="s">
        <v>2897</v>
      </c>
      <c r="CQ164" s="841" t="s">
        <v>353</v>
      </c>
      <c r="CR164" s="841" t="s">
        <v>353</v>
      </c>
      <c r="CS164" s="841" t="s">
        <v>353</v>
      </c>
      <c r="CT164" s="841" t="s">
        <v>353</v>
      </c>
      <c r="CU164" s="841" t="s">
        <v>1391</v>
      </c>
      <c r="CV164" s="841" t="s">
        <v>353</v>
      </c>
      <c r="CW164" s="841" t="s">
        <v>353</v>
      </c>
      <c r="CX164" s="841" t="s">
        <v>353</v>
      </c>
      <c r="CY164" s="841" t="s">
        <v>353</v>
      </c>
      <c r="CZ164" s="841">
        <v>2</v>
      </c>
      <c r="DA164" s="841" t="s">
        <v>353</v>
      </c>
      <c r="DB164" s="841" t="s">
        <v>353</v>
      </c>
      <c r="DC164" s="841" t="s">
        <v>353</v>
      </c>
      <c r="DD164" s="841" t="s">
        <v>353</v>
      </c>
      <c r="DE164" s="841" t="s">
        <v>353</v>
      </c>
      <c r="DF164" s="841">
        <v>30</v>
      </c>
      <c r="DG164" s="841" t="s">
        <v>353</v>
      </c>
      <c r="DH164" s="841" t="s">
        <v>353</v>
      </c>
      <c r="DI164" s="841" t="s">
        <v>353</v>
      </c>
      <c r="DJ164" s="841" t="s">
        <v>2841</v>
      </c>
      <c r="DK164" s="841" t="s">
        <v>353</v>
      </c>
      <c r="DL164" s="842">
        <v>44533.520833333336</v>
      </c>
      <c r="DM164" s="841" t="s">
        <v>353</v>
      </c>
      <c r="DN164" s="841" t="s">
        <v>33</v>
      </c>
      <c r="DO164" s="841" t="s">
        <v>353</v>
      </c>
      <c r="DP164" s="841" t="s">
        <v>353</v>
      </c>
      <c r="DQ164" s="841" t="s">
        <v>1451</v>
      </c>
      <c r="DR164" s="841" t="s">
        <v>353</v>
      </c>
      <c r="DS164" s="841">
        <v>30</v>
      </c>
      <c r="DT164" s="841" t="s">
        <v>353</v>
      </c>
      <c r="DU164" s="841" t="s">
        <v>353</v>
      </c>
      <c r="DV164" s="841">
        <v>174227</v>
      </c>
      <c r="DW164" s="841">
        <v>295000</v>
      </c>
      <c r="DX164" s="841" t="s">
        <v>33</v>
      </c>
      <c r="DY164" s="841" t="s">
        <v>353</v>
      </c>
      <c r="DZ164" s="841" t="s">
        <v>353</v>
      </c>
      <c r="EA164" s="841" t="s">
        <v>353</v>
      </c>
      <c r="EB164" s="841" t="s">
        <v>353</v>
      </c>
      <c r="EC164" s="841" t="s">
        <v>353</v>
      </c>
      <c r="ED164" s="841" t="s">
        <v>353</v>
      </c>
      <c r="EE164" s="841" t="s">
        <v>353</v>
      </c>
      <c r="EF164" s="841" t="s">
        <v>353</v>
      </c>
      <c r="EG164" s="841" t="s">
        <v>353</v>
      </c>
      <c r="EH164" s="841" t="s">
        <v>353</v>
      </c>
      <c r="EI164" s="841">
        <v>114873</v>
      </c>
      <c r="EJ164" s="841" t="s">
        <v>353</v>
      </c>
      <c r="EK164" s="841" t="s">
        <v>353</v>
      </c>
      <c r="EL164" s="841" t="s">
        <v>1435</v>
      </c>
      <c r="EM164" s="841">
        <v>5900</v>
      </c>
      <c r="EN164" s="841" t="s">
        <v>353</v>
      </c>
      <c r="EO164" s="841" t="s">
        <v>353</v>
      </c>
      <c r="EP164" s="841" t="s">
        <v>353</v>
      </c>
      <c r="EQ164" s="841" t="s">
        <v>353</v>
      </c>
      <c r="ER164" s="841" t="s">
        <v>353</v>
      </c>
      <c r="ES164" s="841" t="s">
        <v>33</v>
      </c>
      <c r="ET164" s="841" t="s">
        <v>1452</v>
      </c>
      <c r="EU164" s="841" t="s">
        <v>353</v>
      </c>
      <c r="EV164" s="841" t="s">
        <v>353</v>
      </c>
      <c r="EW164" s="841" t="s">
        <v>353</v>
      </c>
      <c r="EX164" s="841" t="s">
        <v>33</v>
      </c>
      <c r="EY164" s="841" t="s">
        <v>353</v>
      </c>
      <c r="EZ164" s="841" t="s">
        <v>353</v>
      </c>
      <c r="FA164" s="841" t="s">
        <v>353</v>
      </c>
      <c r="FB164" s="841" t="s">
        <v>353</v>
      </c>
      <c r="FC164" s="841" t="s">
        <v>353</v>
      </c>
      <c r="FD164" s="841" t="s">
        <v>353</v>
      </c>
      <c r="FE164" s="842">
        <v>44606.383333333331</v>
      </c>
      <c r="FF164" s="841" t="s">
        <v>353</v>
      </c>
      <c r="FG164" s="841" t="s">
        <v>353</v>
      </c>
      <c r="FH164" s="841" t="s">
        <v>353</v>
      </c>
      <c r="FI164" s="841" t="s">
        <v>353</v>
      </c>
      <c r="FJ164" s="841" t="s">
        <v>353</v>
      </c>
      <c r="FK164" s="841" t="s">
        <v>353</v>
      </c>
      <c r="FL164" s="841" t="s">
        <v>353</v>
      </c>
      <c r="FM164" s="841" t="s">
        <v>353</v>
      </c>
      <c r="FN164" s="841" t="s">
        <v>353</v>
      </c>
      <c r="FO164" s="841" t="s">
        <v>1729</v>
      </c>
      <c r="FP164" s="841" t="s">
        <v>353</v>
      </c>
      <c r="FQ164" s="841" t="s">
        <v>353</v>
      </c>
      <c r="FR164" s="841" t="s">
        <v>353</v>
      </c>
      <c r="FS164" s="841" t="s">
        <v>353</v>
      </c>
      <c r="FT164" s="841" t="s">
        <v>353</v>
      </c>
      <c r="FU164" s="841" t="s">
        <v>1467</v>
      </c>
      <c r="FV164" s="841" t="s">
        <v>353</v>
      </c>
      <c r="FW164" s="841" t="s">
        <v>353</v>
      </c>
      <c r="FX164" s="841" t="s">
        <v>353</v>
      </c>
      <c r="FY164" s="841" t="s">
        <v>353</v>
      </c>
      <c r="FZ164" s="841" t="s">
        <v>353</v>
      </c>
      <c r="GA164" s="841" t="s">
        <v>353</v>
      </c>
      <c r="GB164" s="841">
        <v>1</v>
      </c>
      <c r="GC164" s="841" t="s">
        <v>353</v>
      </c>
      <c r="GD164" s="841" t="s">
        <v>1417</v>
      </c>
      <c r="GE164" s="841" t="s">
        <v>353</v>
      </c>
      <c r="GF164" s="841" t="s">
        <v>353</v>
      </c>
      <c r="GG164" s="841" t="s">
        <v>353</v>
      </c>
      <c r="GH164" s="841">
        <v>147500</v>
      </c>
      <c r="GI164" s="841" t="s">
        <v>353</v>
      </c>
      <c r="GJ164" s="841" t="s">
        <v>353</v>
      </c>
      <c r="GK164" s="841" t="s">
        <v>353</v>
      </c>
      <c r="GL164" s="841" t="s">
        <v>1453</v>
      </c>
      <c r="GM164" s="841" t="s">
        <v>353</v>
      </c>
      <c r="GN164" s="841" t="s">
        <v>353</v>
      </c>
      <c r="GO164" s="841" t="s">
        <v>353</v>
      </c>
      <c r="GP164" s="841" t="s">
        <v>353</v>
      </c>
      <c r="GQ164" s="841" t="s">
        <v>353</v>
      </c>
      <c r="GR164" s="841" t="s">
        <v>353</v>
      </c>
      <c r="GS164" s="841" t="s">
        <v>2898</v>
      </c>
      <c r="GT164" s="841" t="s">
        <v>353</v>
      </c>
      <c r="GU164" s="841" t="s">
        <v>353</v>
      </c>
      <c r="GV164" s="841" t="s">
        <v>1076</v>
      </c>
      <c r="GW164" s="841" t="s">
        <v>353</v>
      </c>
      <c r="GX164" s="841" t="s">
        <v>2843</v>
      </c>
      <c r="GY164" s="841">
        <v>36</v>
      </c>
      <c r="GZ164" s="841" t="s">
        <v>1716</v>
      </c>
      <c r="HA164" s="841" t="s">
        <v>353</v>
      </c>
      <c r="HB164" s="841" t="s">
        <v>353</v>
      </c>
      <c r="HC164" s="841" t="s">
        <v>1421</v>
      </c>
      <c r="HD164" s="841" t="s">
        <v>2899</v>
      </c>
      <c r="HE164" s="841">
        <v>2950</v>
      </c>
      <c r="HF164" s="841" t="s">
        <v>353</v>
      </c>
      <c r="HG164" s="841" t="s">
        <v>353</v>
      </c>
      <c r="HH164" s="841" t="s">
        <v>353</v>
      </c>
      <c r="HI164" s="841" t="s">
        <v>1422</v>
      </c>
      <c r="HJ164" s="841" t="s">
        <v>2900</v>
      </c>
      <c r="HK164" s="841">
        <v>295000</v>
      </c>
      <c r="HL164" s="841" t="s">
        <v>353</v>
      </c>
      <c r="HM164" s="841" t="s">
        <v>1530</v>
      </c>
      <c r="HN164" s="841" t="s">
        <v>353</v>
      </c>
      <c r="HO164" s="841" t="s">
        <v>353</v>
      </c>
      <c r="HP164" s="841">
        <v>19145.5</v>
      </c>
      <c r="HQ164" s="841" t="s">
        <v>353</v>
      </c>
      <c r="HR164" s="841" t="s">
        <v>353</v>
      </c>
      <c r="HS164" s="841">
        <v>180127</v>
      </c>
      <c r="HT164" s="841" t="s">
        <v>353</v>
      </c>
      <c r="HU164" s="841" t="s">
        <v>353</v>
      </c>
      <c r="HV164" s="841" t="s">
        <v>353</v>
      </c>
      <c r="HW164" s="841">
        <v>400000</v>
      </c>
      <c r="HX164" s="841" t="s">
        <v>353</v>
      </c>
      <c r="HY164" s="841" t="s">
        <v>353</v>
      </c>
      <c r="HZ164" s="841" t="s">
        <v>353</v>
      </c>
      <c r="IA164" s="841" t="s">
        <v>353</v>
      </c>
      <c r="IB164" s="841" t="s">
        <v>1424</v>
      </c>
      <c r="IC164" s="841" t="s">
        <v>353</v>
      </c>
      <c r="ID164" s="841" t="s">
        <v>353</v>
      </c>
      <c r="IE164" s="841" t="s">
        <v>353</v>
      </c>
      <c r="IF164" s="841" t="s">
        <v>353</v>
      </c>
      <c r="IG164" s="841" t="s">
        <v>353</v>
      </c>
      <c r="IH164" s="841" t="s">
        <v>353</v>
      </c>
      <c r="II164" s="841" t="s">
        <v>353</v>
      </c>
      <c r="IJ164" s="841" t="s">
        <v>353</v>
      </c>
      <c r="IK164" s="841" t="s">
        <v>353</v>
      </c>
      <c r="IL164" s="841">
        <v>278050</v>
      </c>
      <c r="IM164" s="841" t="s">
        <v>353</v>
      </c>
      <c r="IN164" s="841" t="s">
        <v>353</v>
      </c>
      <c r="IO164" s="841" t="s">
        <v>353</v>
      </c>
      <c r="IP164" s="841" t="s">
        <v>353</v>
      </c>
      <c r="IQ164" s="841" t="s">
        <v>353</v>
      </c>
      <c r="IR164" s="841">
        <v>6</v>
      </c>
      <c r="IS164" s="841" t="s">
        <v>33</v>
      </c>
      <c r="IT164" s="841" t="s">
        <v>353</v>
      </c>
      <c r="IU164" s="841" t="s">
        <v>353</v>
      </c>
      <c r="IV164" s="841" t="s">
        <v>353</v>
      </c>
      <c r="IW164" s="841" t="s">
        <v>353</v>
      </c>
      <c r="IX164" s="841" t="s">
        <v>353</v>
      </c>
      <c r="IY164" s="841" t="s">
        <v>1578</v>
      </c>
      <c r="IZ164" s="841" t="s">
        <v>353</v>
      </c>
      <c r="JA164" s="841">
        <v>295000</v>
      </c>
      <c r="JB164" s="841" t="s">
        <v>353</v>
      </c>
      <c r="JC164" s="841" t="s">
        <v>353</v>
      </c>
      <c r="JD164" s="841" t="s">
        <v>2197</v>
      </c>
      <c r="JE164" s="841" t="s">
        <v>33</v>
      </c>
      <c r="JF164" s="841" t="s">
        <v>2849</v>
      </c>
      <c r="JG164" s="841" t="s">
        <v>2850</v>
      </c>
      <c r="JH164" s="841" t="s">
        <v>2851</v>
      </c>
      <c r="JI164" s="841" t="s">
        <v>2852</v>
      </c>
    </row>
    <row r="165" spans="1:269" x14ac:dyDescent="0.25">
      <c r="A165" s="841" t="s">
        <v>2901</v>
      </c>
      <c r="B165" s="841" t="s">
        <v>353</v>
      </c>
      <c r="C165" s="841" t="s">
        <v>1403</v>
      </c>
      <c r="D165" s="841" t="s">
        <v>353</v>
      </c>
      <c r="E165" s="841" t="s">
        <v>353</v>
      </c>
      <c r="F165" s="841" t="s">
        <v>2902</v>
      </c>
      <c r="G165" s="841" t="s">
        <v>2683</v>
      </c>
      <c r="H165" s="841" t="s">
        <v>353</v>
      </c>
      <c r="I165" s="841" t="s">
        <v>353</v>
      </c>
      <c r="J165" s="841" t="s">
        <v>353</v>
      </c>
      <c r="K165" s="841" t="s">
        <v>353</v>
      </c>
      <c r="L165" s="842">
        <v>44571.737500000003</v>
      </c>
      <c r="M165" s="841" t="s">
        <v>353</v>
      </c>
      <c r="N165" s="841" t="s">
        <v>353</v>
      </c>
      <c r="O165" s="841" t="s">
        <v>353</v>
      </c>
      <c r="P165" s="841" t="s">
        <v>673</v>
      </c>
      <c r="Q165" s="841" t="s">
        <v>353</v>
      </c>
      <c r="R165" s="841" t="s">
        <v>353</v>
      </c>
      <c r="S165" s="841" t="s">
        <v>1520</v>
      </c>
      <c r="T165" s="841" t="s">
        <v>1390</v>
      </c>
      <c r="U165" s="841" t="s">
        <v>353</v>
      </c>
      <c r="V165" s="841" t="s">
        <v>353</v>
      </c>
      <c r="W165" s="841" t="s">
        <v>1405</v>
      </c>
      <c r="X165" s="841" t="s">
        <v>1405</v>
      </c>
      <c r="Y165" s="841" t="s">
        <v>353</v>
      </c>
      <c r="Z165" s="841" t="s">
        <v>353</v>
      </c>
      <c r="AA165" s="841" t="s">
        <v>673</v>
      </c>
      <c r="AB165" s="841" t="s">
        <v>353</v>
      </c>
      <c r="AC165" s="841">
        <v>260000</v>
      </c>
      <c r="AD165" s="841" t="s">
        <v>353</v>
      </c>
      <c r="AE165" s="841" t="s">
        <v>673</v>
      </c>
      <c r="AF165" s="841" t="s">
        <v>353</v>
      </c>
      <c r="AG165" s="841" t="s">
        <v>353</v>
      </c>
      <c r="AH165" s="841">
        <v>3500</v>
      </c>
      <c r="AI165" s="841" t="s">
        <v>1521</v>
      </c>
      <c r="AJ165" s="841" t="s">
        <v>353</v>
      </c>
      <c r="AK165" s="841">
        <v>43</v>
      </c>
      <c r="AL165" s="841" t="s">
        <v>353</v>
      </c>
      <c r="AM165" s="841" t="s">
        <v>353</v>
      </c>
      <c r="AN165" s="841" t="s">
        <v>353</v>
      </c>
      <c r="AO165" s="841" t="s">
        <v>353</v>
      </c>
      <c r="AP165" s="841" t="s">
        <v>353</v>
      </c>
      <c r="AQ165" s="841" t="s">
        <v>353</v>
      </c>
      <c r="AR165" s="841" t="s">
        <v>33</v>
      </c>
      <c r="AS165" s="841" t="s">
        <v>353</v>
      </c>
      <c r="AT165" s="841" t="s">
        <v>353</v>
      </c>
      <c r="AU165" s="841" t="s">
        <v>1405</v>
      </c>
      <c r="AV165" s="841" t="s">
        <v>353</v>
      </c>
      <c r="AW165" s="843">
        <v>44531</v>
      </c>
      <c r="AX165" s="841" t="s">
        <v>353</v>
      </c>
      <c r="AY165" s="841" t="s">
        <v>353</v>
      </c>
      <c r="AZ165" s="841" t="s">
        <v>353</v>
      </c>
      <c r="BA165" s="841" t="s">
        <v>353</v>
      </c>
      <c r="BB165" s="841" t="s">
        <v>353</v>
      </c>
      <c r="BC165" s="841">
        <v>501813</v>
      </c>
      <c r="BD165" s="841" t="s">
        <v>353</v>
      </c>
      <c r="BE165" s="841" t="s">
        <v>353</v>
      </c>
      <c r="BF165" s="841" t="s">
        <v>353</v>
      </c>
      <c r="BG165" s="841" t="s">
        <v>353</v>
      </c>
      <c r="BH165" s="841" t="s">
        <v>353</v>
      </c>
      <c r="BI165" s="841" t="s">
        <v>353</v>
      </c>
      <c r="BJ165" s="841" t="s">
        <v>353</v>
      </c>
      <c r="BK165" s="841">
        <v>500000</v>
      </c>
      <c r="BL165" s="841" t="s">
        <v>2903</v>
      </c>
      <c r="BM165" s="842">
        <v>44561.390972222223</v>
      </c>
      <c r="BN165" s="841" t="s">
        <v>353</v>
      </c>
      <c r="BO165" s="841" t="s">
        <v>353</v>
      </c>
      <c r="BP165" s="841" t="s">
        <v>353</v>
      </c>
      <c r="BQ165" s="841" t="s">
        <v>353</v>
      </c>
      <c r="BR165" s="841" t="s">
        <v>353</v>
      </c>
      <c r="BS165" s="841" t="s">
        <v>353</v>
      </c>
      <c r="BT165" s="841">
        <v>500000</v>
      </c>
      <c r="BU165" s="841" t="s">
        <v>353</v>
      </c>
      <c r="BV165" s="841" t="s">
        <v>2904</v>
      </c>
      <c r="BW165" s="841" t="s">
        <v>1578</v>
      </c>
      <c r="BX165" s="841" t="s">
        <v>2905</v>
      </c>
      <c r="BY165" s="841" t="s">
        <v>353</v>
      </c>
      <c r="BZ165" s="841" t="s">
        <v>353</v>
      </c>
      <c r="CA165" s="841" t="s">
        <v>353</v>
      </c>
      <c r="CB165" s="841" t="s">
        <v>353</v>
      </c>
      <c r="CC165" s="841" t="s">
        <v>353</v>
      </c>
      <c r="CD165" s="841" t="s">
        <v>353</v>
      </c>
      <c r="CE165" s="841" t="s">
        <v>353</v>
      </c>
      <c r="CF165" s="841" t="s">
        <v>353</v>
      </c>
      <c r="CG165" s="841" t="s">
        <v>353</v>
      </c>
      <c r="CH165" s="841" t="s">
        <v>353</v>
      </c>
      <c r="CI165" s="841" t="s">
        <v>33</v>
      </c>
      <c r="CJ165" s="841" t="s">
        <v>353</v>
      </c>
      <c r="CK165" s="841">
        <v>5</v>
      </c>
      <c r="CL165" s="841" t="s">
        <v>353</v>
      </c>
      <c r="CM165" s="841">
        <v>8</v>
      </c>
      <c r="CN165" s="841" t="s">
        <v>353</v>
      </c>
      <c r="CO165" s="841" t="s">
        <v>353</v>
      </c>
      <c r="CP165" s="841" t="s">
        <v>2906</v>
      </c>
      <c r="CQ165" s="841" t="s">
        <v>353</v>
      </c>
      <c r="CR165" s="841" t="s">
        <v>353</v>
      </c>
      <c r="CS165" s="841" t="s">
        <v>1405</v>
      </c>
      <c r="CT165" s="841" t="s">
        <v>353</v>
      </c>
      <c r="CU165" s="841" t="s">
        <v>1391</v>
      </c>
      <c r="CV165" s="841" t="s">
        <v>353</v>
      </c>
      <c r="CW165" s="841" t="s">
        <v>353</v>
      </c>
      <c r="CX165" s="841" t="s">
        <v>353</v>
      </c>
      <c r="CY165" s="841" t="s">
        <v>353</v>
      </c>
      <c r="CZ165" s="841">
        <v>5</v>
      </c>
      <c r="DA165" s="841" t="s">
        <v>353</v>
      </c>
      <c r="DB165" s="841" t="s">
        <v>353</v>
      </c>
      <c r="DC165" s="841" t="s">
        <v>353</v>
      </c>
      <c r="DD165" s="841" t="s">
        <v>353</v>
      </c>
      <c r="DE165" s="841" t="s">
        <v>353</v>
      </c>
      <c r="DF165" s="841">
        <v>30</v>
      </c>
      <c r="DG165" s="841" t="s">
        <v>353</v>
      </c>
      <c r="DH165" s="841" t="s">
        <v>353</v>
      </c>
      <c r="DI165" s="841" t="s">
        <v>353</v>
      </c>
      <c r="DJ165" s="841" t="s">
        <v>2907</v>
      </c>
      <c r="DK165" s="841" t="s">
        <v>353</v>
      </c>
      <c r="DL165" s="842">
        <v>44531.390972222223</v>
      </c>
      <c r="DM165" s="841" t="s">
        <v>353</v>
      </c>
      <c r="DN165" s="841" t="s">
        <v>33</v>
      </c>
      <c r="DO165" s="841" t="s">
        <v>673</v>
      </c>
      <c r="DP165" s="841" t="s">
        <v>1481</v>
      </c>
      <c r="DQ165" s="841" t="s">
        <v>673</v>
      </c>
      <c r="DR165" s="841" t="s">
        <v>353</v>
      </c>
      <c r="DS165" s="841">
        <v>33</v>
      </c>
      <c r="DT165" s="841" t="s">
        <v>353</v>
      </c>
      <c r="DU165" s="841" t="s">
        <v>353</v>
      </c>
      <c r="DV165" s="841">
        <v>426556</v>
      </c>
      <c r="DW165" s="841">
        <v>520000</v>
      </c>
      <c r="DX165" s="841" t="s">
        <v>33</v>
      </c>
      <c r="DY165" s="841" t="s">
        <v>353</v>
      </c>
      <c r="DZ165" s="841" t="s">
        <v>353</v>
      </c>
      <c r="EA165" s="841" t="s">
        <v>353</v>
      </c>
      <c r="EB165" s="841" t="s">
        <v>353</v>
      </c>
      <c r="EC165" s="841" t="s">
        <v>353</v>
      </c>
      <c r="ED165" s="841" t="s">
        <v>353</v>
      </c>
      <c r="EE165" s="841" t="s">
        <v>353</v>
      </c>
      <c r="EF165" s="841" t="s">
        <v>353</v>
      </c>
      <c r="EG165" s="841" t="s">
        <v>353</v>
      </c>
      <c r="EH165" s="841" t="s">
        <v>353</v>
      </c>
      <c r="EI165" s="841">
        <v>93444</v>
      </c>
      <c r="EJ165" s="841" t="s">
        <v>353</v>
      </c>
      <c r="EK165" s="841" t="s">
        <v>1527</v>
      </c>
      <c r="EL165" s="841" t="s">
        <v>1930</v>
      </c>
      <c r="EM165" s="841">
        <v>0</v>
      </c>
      <c r="EN165" s="841" t="s">
        <v>353</v>
      </c>
      <c r="EO165" s="841" t="s">
        <v>353</v>
      </c>
      <c r="EP165" s="841" t="s">
        <v>353</v>
      </c>
      <c r="EQ165" s="841" t="s">
        <v>353</v>
      </c>
      <c r="ER165" s="841" t="s">
        <v>353</v>
      </c>
      <c r="ES165" s="841" t="s">
        <v>33</v>
      </c>
      <c r="ET165" s="841" t="s">
        <v>1711</v>
      </c>
      <c r="EU165" s="841" t="s">
        <v>353</v>
      </c>
      <c r="EV165" s="841" t="s">
        <v>353</v>
      </c>
      <c r="EW165" s="841" t="s">
        <v>353</v>
      </c>
      <c r="EX165" s="841" t="s">
        <v>33</v>
      </c>
      <c r="EY165" s="842">
        <v>44571.736805555556</v>
      </c>
      <c r="EZ165" s="841" t="s">
        <v>353</v>
      </c>
      <c r="FA165" s="841" t="s">
        <v>353</v>
      </c>
      <c r="FB165" s="841" t="s">
        <v>353</v>
      </c>
      <c r="FC165" s="841" t="s">
        <v>353</v>
      </c>
      <c r="FD165" s="841" t="s">
        <v>353</v>
      </c>
      <c r="FE165" s="842">
        <v>44531.390972222223</v>
      </c>
      <c r="FF165" s="841" t="s">
        <v>353</v>
      </c>
      <c r="FG165" s="841" t="s">
        <v>2908</v>
      </c>
      <c r="FH165" s="841" t="s">
        <v>353</v>
      </c>
      <c r="FI165" s="841" t="s">
        <v>353</v>
      </c>
      <c r="FJ165" s="841" t="s">
        <v>353</v>
      </c>
      <c r="FK165" s="841" t="s">
        <v>353</v>
      </c>
      <c r="FL165" s="841" t="s">
        <v>353</v>
      </c>
      <c r="FM165" s="841" t="s">
        <v>353</v>
      </c>
      <c r="FN165" s="841" t="s">
        <v>353</v>
      </c>
      <c r="FO165" s="841" t="s">
        <v>1528</v>
      </c>
      <c r="FP165" s="841" t="s">
        <v>353</v>
      </c>
      <c r="FQ165" s="841" t="s">
        <v>353</v>
      </c>
      <c r="FR165" s="841" t="s">
        <v>353</v>
      </c>
      <c r="FS165" s="841" t="s">
        <v>353</v>
      </c>
      <c r="FT165" s="841" t="s">
        <v>353</v>
      </c>
      <c r="FU165" s="841" t="s">
        <v>1467</v>
      </c>
      <c r="FV165" s="841" t="s">
        <v>353</v>
      </c>
      <c r="FW165" s="841" t="s">
        <v>353</v>
      </c>
      <c r="FX165" s="841" t="s">
        <v>353</v>
      </c>
      <c r="FY165" s="841" t="s">
        <v>353</v>
      </c>
      <c r="FZ165" s="841" t="s">
        <v>353</v>
      </c>
      <c r="GA165" s="841" t="s">
        <v>353</v>
      </c>
      <c r="GB165" s="841">
        <v>1</v>
      </c>
      <c r="GC165" s="841" t="s">
        <v>353</v>
      </c>
      <c r="GD165" s="841" t="s">
        <v>1417</v>
      </c>
      <c r="GE165" s="841" t="s">
        <v>353</v>
      </c>
      <c r="GF165" s="841" t="s">
        <v>353</v>
      </c>
      <c r="GG165" s="841" t="s">
        <v>353</v>
      </c>
      <c r="GH165" s="841">
        <v>260000</v>
      </c>
      <c r="GI165" s="841" t="s">
        <v>353</v>
      </c>
      <c r="GJ165" s="841" t="s">
        <v>353</v>
      </c>
      <c r="GK165" s="841" t="s">
        <v>353</v>
      </c>
      <c r="GL165" s="841" t="s">
        <v>2116</v>
      </c>
      <c r="GM165" s="841" t="s">
        <v>353</v>
      </c>
      <c r="GN165" s="841" t="s">
        <v>353</v>
      </c>
      <c r="GO165" s="841" t="s">
        <v>353</v>
      </c>
      <c r="GP165" s="841" t="s">
        <v>353</v>
      </c>
      <c r="GQ165" s="841" t="s">
        <v>353</v>
      </c>
      <c r="GR165" s="842">
        <v>44571.736805555556</v>
      </c>
      <c r="GS165" s="841" t="s">
        <v>353</v>
      </c>
      <c r="GT165" s="841" t="s">
        <v>353</v>
      </c>
      <c r="GU165" s="841" t="s">
        <v>353</v>
      </c>
      <c r="GV165" s="841" t="s">
        <v>1419</v>
      </c>
      <c r="GW165" s="841" t="s">
        <v>353</v>
      </c>
      <c r="GX165" s="841" t="s">
        <v>353</v>
      </c>
      <c r="GY165" s="841">
        <v>36</v>
      </c>
      <c r="GZ165" s="841" t="s">
        <v>1529</v>
      </c>
      <c r="HA165" s="841" t="s">
        <v>353</v>
      </c>
      <c r="HB165" s="841" t="s">
        <v>353</v>
      </c>
      <c r="HC165" s="841" t="s">
        <v>1421</v>
      </c>
      <c r="HD165" s="841" t="s">
        <v>2906</v>
      </c>
      <c r="HE165" s="841">
        <v>27045200</v>
      </c>
      <c r="HF165" s="841" t="s">
        <v>353</v>
      </c>
      <c r="HG165" s="841" t="s">
        <v>353</v>
      </c>
      <c r="HH165" s="841" t="s">
        <v>353</v>
      </c>
      <c r="HI165" s="841" t="s">
        <v>1422</v>
      </c>
      <c r="HJ165" s="841" t="s">
        <v>2909</v>
      </c>
      <c r="HK165" s="841">
        <v>520000</v>
      </c>
      <c r="HL165" s="841" t="s">
        <v>353</v>
      </c>
      <c r="HM165" s="841" t="s">
        <v>1530</v>
      </c>
      <c r="HN165" s="841" t="s">
        <v>33</v>
      </c>
      <c r="HO165" s="841" t="s">
        <v>353</v>
      </c>
      <c r="HP165" s="841">
        <v>31148</v>
      </c>
      <c r="HQ165" s="841" t="s">
        <v>353</v>
      </c>
      <c r="HR165" s="841" t="s">
        <v>353</v>
      </c>
      <c r="HS165" s="841">
        <v>426556</v>
      </c>
      <c r="HT165" s="841" t="s">
        <v>353</v>
      </c>
      <c r="HU165" s="841" t="s">
        <v>353</v>
      </c>
      <c r="HV165" s="841" t="s">
        <v>353</v>
      </c>
      <c r="HW165" s="841">
        <v>1200000</v>
      </c>
      <c r="HX165" s="841" t="s">
        <v>353</v>
      </c>
      <c r="HY165" s="841" t="s">
        <v>353</v>
      </c>
      <c r="HZ165" s="841" t="s">
        <v>353</v>
      </c>
      <c r="IA165" s="841" t="s">
        <v>353</v>
      </c>
      <c r="IB165" s="841" t="s">
        <v>1424</v>
      </c>
      <c r="IC165" s="841" t="s">
        <v>353</v>
      </c>
      <c r="ID165" s="841" t="s">
        <v>353</v>
      </c>
      <c r="IE165" s="841" t="s">
        <v>353</v>
      </c>
      <c r="IF165" s="841" t="s">
        <v>353</v>
      </c>
      <c r="IG165" s="841" t="s">
        <v>353</v>
      </c>
      <c r="IH165" s="841" t="s">
        <v>353</v>
      </c>
      <c r="II165" s="841" t="s">
        <v>353</v>
      </c>
      <c r="IJ165" s="841" t="s">
        <v>353</v>
      </c>
      <c r="IK165" s="841" t="s">
        <v>353</v>
      </c>
      <c r="IL165" s="841">
        <v>623844</v>
      </c>
      <c r="IM165" s="841" t="s">
        <v>353</v>
      </c>
      <c r="IN165" s="841" t="s">
        <v>353</v>
      </c>
      <c r="IO165" s="841">
        <v>0</v>
      </c>
      <c r="IP165" s="841">
        <v>0</v>
      </c>
      <c r="IQ165" s="841" t="s">
        <v>353</v>
      </c>
      <c r="IR165" s="841">
        <v>3</v>
      </c>
      <c r="IS165" s="841" t="s">
        <v>33</v>
      </c>
      <c r="IT165" s="841" t="s">
        <v>353</v>
      </c>
      <c r="IU165" s="841" t="s">
        <v>353</v>
      </c>
      <c r="IV165" s="841" t="s">
        <v>353</v>
      </c>
      <c r="IW165" s="841" t="s">
        <v>353</v>
      </c>
      <c r="IX165" s="841" t="s">
        <v>353</v>
      </c>
      <c r="IY165" s="841" t="s">
        <v>1578</v>
      </c>
      <c r="IZ165" s="841" t="s">
        <v>353</v>
      </c>
      <c r="JA165" s="841">
        <v>520000</v>
      </c>
      <c r="JB165" s="841" t="s">
        <v>353</v>
      </c>
      <c r="JC165" s="841" t="s">
        <v>353</v>
      </c>
      <c r="JD165" s="841" t="s">
        <v>1527</v>
      </c>
      <c r="JE165" s="841" t="s">
        <v>33</v>
      </c>
      <c r="JF165" s="841" t="s">
        <v>353</v>
      </c>
      <c r="JG165" s="841" t="s">
        <v>353</v>
      </c>
      <c r="JH165" s="841" t="s">
        <v>2910</v>
      </c>
      <c r="JI165" s="841" t="s">
        <v>2911</v>
      </c>
    </row>
    <row r="166" spans="1:269" x14ac:dyDescent="0.25">
      <c r="A166" s="841" t="s">
        <v>2912</v>
      </c>
      <c r="B166" s="841" t="s">
        <v>353</v>
      </c>
      <c r="C166" s="841" t="s">
        <v>353</v>
      </c>
      <c r="D166" s="841" t="s">
        <v>353</v>
      </c>
      <c r="E166" s="841" t="s">
        <v>353</v>
      </c>
      <c r="F166" s="841" t="s">
        <v>353</v>
      </c>
      <c r="G166" s="841" t="s">
        <v>2913</v>
      </c>
      <c r="H166" s="841" t="s">
        <v>353</v>
      </c>
      <c r="I166" s="841" t="s">
        <v>353</v>
      </c>
      <c r="J166" s="841" t="s">
        <v>353</v>
      </c>
      <c r="K166" s="841" t="s">
        <v>353</v>
      </c>
      <c r="L166" s="842">
        <v>44601.746527777781</v>
      </c>
      <c r="M166" s="841" t="s">
        <v>353</v>
      </c>
      <c r="N166" s="841" t="s">
        <v>353</v>
      </c>
      <c r="O166" s="841" t="s">
        <v>353</v>
      </c>
      <c r="P166" s="841" t="s">
        <v>353</v>
      </c>
      <c r="Q166" s="841" t="s">
        <v>353</v>
      </c>
      <c r="R166" s="841" t="s">
        <v>353</v>
      </c>
      <c r="S166" s="841" t="s">
        <v>67</v>
      </c>
      <c r="T166" s="841" t="s">
        <v>1390</v>
      </c>
      <c r="U166" s="841" t="s">
        <v>353</v>
      </c>
      <c r="V166" s="841" t="s">
        <v>353</v>
      </c>
      <c r="W166" s="841" t="s">
        <v>1420</v>
      </c>
      <c r="X166" s="841" t="s">
        <v>1405</v>
      </c>
      <c r="Y166" s="841" t="s">
        <v>353</v>
      </c>
      <c r="Z166" s="841" t="s">
        <v>353</v>
      </c>
      <c r="AA166" s="841" t="s">
        <v>353</v>
      </c>
      <c r="AB166" s="841" t="s">
        <v>353</v>
      </c>
      <c r="AC166" s="841">
        <v>600000</v>
      </c>
      <c r="AD166" s="841" t="s">
        <v>353</v>
      </c>
      <c r="AE166" s="841" t="s">
        <v>353</v>
      </c>
      <c r="AF166" s="841" t="s">
        <v>353</v>
      </c>
      <c r="AG166" s="841" t="s">
        <v>353</v>
      </c>
      <c r="AH166" s="841">
        <v>15000</v>
      </c>
      <c r="AI166" s="841" t="s">
        <v>1406</v>
      </c>
      <c r="AJ166" s="841" t="s">
        <v>353</v>
      </c>
      <c r="AK166" s="841">
        <v>60</v>
      </c>
      <c r="AL166" s="841" t="s">
        <v>353</v>
      </c>
      <c r="AM166" s="841" t="s">
        <v>353</v>
      </c>
      <c r="AN166" s="841" t="s">
        <v>353</v>
      </c>
      <c r="AO166" s="841" t="s">
        <v>353</v>
      </c>
      <c r="AP166" s="841" t="s">
        <v>353</v>
      </c>
      <c r="AQ166" s="841" t="s">
        <v>353</v>
      </c>
      <c r="AR166" s="841" t="s">
        <v>353</v>
      </c>
      <c r="AS166" s="841" t="s">
        <v>353</v>
      </c>
      <c r="AT166" s="841" t="s">
        <v>353</v>
      </c>
      <c r="AU166" s="841" t="s">
        <v>353</v>
      </c>
      <c r="AV166" s="841" t="s">
        <v>353</v>
      </c>
      <c r="AW166" s="841" t="s">
        <v>353</v>
      </c>
      <c r="AX166" s="841" t="s">
        <v>353</v>
      </c>
      <c r="AY166" s="841" t="s">
        <v>353</v>
      </c>
      <c r="AZ166" s="841" t="s">
        <v>353</v>
      </c>
      <c r="BA166" s="841" t="s">
        <v>353</v>
      </c>
      <c r="BB166" s="841" t="s">
        <v>353</v>
      </c>
      <c r="BC166" s="841">
        <v>2860650</v>
      </c>
      <c r="BD166" s="841" t="s">
        <v>353</v>
      </c>
      <c r="BE166" s="841" t="s">
        <v>353</v>
      </c>
      <c r="BF166" s="841" t="s">
        <v>353</v>
      </c>
      <c r="BG166" s="841" t="s">
        <v>353</v>
      </c>
      <c r="BH166" s="841" t="s">
        <v>353</v>
      </c>
      <c r="BI166" s="841" t="s">
        <v>353</v>
      </c>
      <c r="BJ166" s="841" t="s">
        <v>353</v>
      </c>
      <c r="BK166" s="841" t="s">
        <v>353</v>
      </c>
      <c r="BL166" s="841" t="s">
        <v>2914</v>
      </c>
      <c r="BM166" s="842">
        <v>44530.45</v>
      </c>
      <c r="BN166" s="841" t="s">
        <v>353</v>
      </c>
      <c r="BO166" s="841" t="s">
        <v>353</v>
      </c>
      <c r="BP166" s="841" t="s">
        <v>353</v>
      </c>
      <c r="BQ166" s="841" t="s">
        <v>353</v>
      </c>
      <c r="BR166" s="841" t="s">
        <v>353</v>
      </c>
      <c r="BS166" s="841" t="s">
        <v>353</v>
      </c>
      <c r="BT166" s="841">
        <v>3000000</v>
      </c>
      <c r="BU166" s="841" t="s">
        <v>353</v>
      </c>
      <c r="BV166" s="841" t="s">
        <v>2915</v>
      </c>
      <c r="BW166" s="841" t="s">
        <v>353</v>
      </c>
      <c r="BX166" s="841" t="s">
        <v>353</v>
      </c>
      <c r="BY166" s="841" t="s">
        <v>353</v>
      </c>
      <c r="BZ166" s="841" t="s">
        <v>353</v>
      </c>
      <c r="CA166" s="841" t="s">
        <v>353</v>
      </c>
      <c r="CB166" s="841" t="s">
        <v>353</v>
      </c>
      <c r="CC166" s="841" t="s">
        <v>353</v>
      </c>
      <c r="CD166" s="841" t="s">
        <v>353</v>
      </c>
      <c r="CE166" s="841" t="s">
        <v>353</v>
      </c>
      <c r="CF166" s="841" t="s">
        <v>353</v>
      </c>
      <c r="CG166" s="841" t="s">
        <v>353</v>
      </c>
      <c r="CH166" s="841" t="s">
        <v>353</v>
      </c>
      <c r="CI166" s="841" t="s">
        <v>353</v>
      </c>
      <c r="CJ166" s="841" t="s">
        <v>353</v>
      </c>
      <c r="CK166" s="841">
        <v>1</v>
      </c>
      <c r="CL166" s="841" t="s">
        <v>353</v>
      </c>
      <c r="CM166" s="841">
        <v>1</v>
      </c>
      <c r="CN166" s="841" t="s">
        <v>353</v>
      </c>
      <c r="CO166" s="841" t="s">
        <v>353</v>
      </c>
      <c r="CP166" s="841" t="s">
        <v>2916</v>
      </c>
      <c r="CQ166" s="841" t="s">
        <v>353</v>
      </c>
      <c r="CR166" s="841" t="s">
        <v>353</v>
      </c>
      <c r="CS166" s="841" t="s">
        <v>353</v>
      </c>
      <c r="CT166" s="841" t="s">
        <v>353</v>
      </c>
      <c r="CU166" s="841" t="s">
        <v>1391</v>
      </c>
      <c r="CV166" s="841" t="s">
        <v>353</v>
      </c>
      <c r="CW166" s="841" t="s">
        <v>353</v>
      </c>
      <c r="CX166" s="841" t="s">
        <v>353</v>
      </c>
      <c r="CY166" s="841" t="s">
        <v>353</v>
      </c>
      <c r="CZ166" s="841">
        <v>6</v>
      </c>
      <c r="DA166" s="841" t="s">
        <v>353</v>
      </c>
      <c r="DB166" s="841" t="s">
        <v>353</v>
      </c>
      <c r="DC166" s="841" t="s">
        <v>353</v>
      </c>
      <c r="DD166" s="841" t="s">
        <v>353</v>
      </c>
      <c r="DE166" s="841" t="s">
        <v>353</v>
      </c>
      <c r="DF166" s="841">
        <v>18</v>
      </c>
      <c r="DG166" s="841" t="s">
        <v>353</v>
      </c>
      <c r="DH166" s="841" t="s">
        <v>353</v>
      </c>
      <c r="DI166" s="841" t="s">
        <v>353</v>
      </c>
      <c r="DJ166" s="841" t="s">
        <v>2917</v>
      </c>
      <c r="DK166" s="841" t="s">
        <v>353</v>
      </c>
      <c r="DL166" s="842">
        <v>44529.45</v>
      </c>
      <c r="DM166" s="841" t="s">
        <v>353</v>
      </c>
      <c r="DN166" s="841" t="s">
        <v>353</v>
      </c>
      <c r="DO166" s="841" t="s">
        <v>353</v>
      </c>
      <c r="DP166" s="841" t="s">
        <v>353</v>
      </c>
      <c r="DQ166" s="841" t="s">
        <v>1434</v>
      </c>
      <c r="DR166" s="841" t="s">
        <v>353</v>
      </c>
      <c r="DS166" s="841">
        <v>18</v>
      </c>
      <c r="DT166" s="841" t="s">
        <v>353</v>
      </c>
      <c r="DU166" s="841" t="s">
        <v>353</v>
      </c>
      <c r="DV166" s="841">
        <v>1905300</v>
      </c>
      <c r="DW166" s="841">
        <v>3000000</v>
      </c>
      <c r="DX166" s="841" t="s">
        <v>353</v>
      </c>
      <c r="DY166" s="841" t="s">
        <v>353</v>
      </c>
      <c r="DZ166" s="841" t="s">
        <v>353</v>
      </c>
      <c r="EA166" s="841" t="s">
        <v>353</v>
      </c>
      <c r="EB166" s="841" t="s">
        <v>353</v>
      </c>
      <c r="EC166" s="841" t="s">
        <v>353</v>
      </c>
      <c r="ED166" s="841" t="s">
        <v>353</v>
      </c>
      <c r="EE166" s="841" t="s">
        <v>353</v>
      </c>
      <c r="EF166" s="841" t="s">
        <v>353</v>
      </c>
      <c r="EG166" s="841" t="s">
        <v>353</v>
      </c>
      <c r="EH166" s="841" t="s">
        <v>353</v>
      </c>
      <c r="EI166" s="841">
        <v>1042200</v>
      </c>
      <c r="EJ166" s="841" t="s">
        <v>353</v>
      </c>
      <c r="EK166" s="841" t="s">
        <v>353</v>
      </c>
      <c r="EL166" s="841" t="s">
        <v>1435</v>
      </c>
      <c r="EM166" s="841">
        <v>52500</v>
      </c>
      <c r="EN166" s="841" t="s">
        <v>353</v>
      </c>
      <c r="EO166" s="841" t="s">
        <v>353</v>
      </c>
      <c r="EP166" s="841" t="s">
        <v>353</v>
      </c>
      <c r="EQ166" s="841" t="s">
        <v>353</v>
      </c>
      <c r="ER166" s="841" t="s">
        <v>353</v>
      </c>
      <c r="ES166" s="841" t="s">
        <v>353</v>
      </c>
      <c r="ET166" s="841" t="s">
        <v>1436</v>
      </c>
      <c r="EU166" s="841" t="s">
        <v>353</v>
      </c>
      <c r="EV166" s="841" t="s">
        <v>353</v>
      </c>
      <c r="EW166" s="841" t="s">
        <v>353</v>
      </c>
      <c r="EX166" s="841" t="s">
        <v>353</v>
      </c>
      <c r="EY166" s="842">
        <v>44529.664583333331</v>
      </c>
      <c r="EZ166" s="841" t="s">
        <v>353</v>
      </c>
      <c r="FA166" s="841" t="s">
        <v>353</v>
      </c>
      <c r="FB166" s="841" t="s">
        <v>353</v>
      </c>
      <c r="FC166" s="841" t="s">
        <v>353</v>
      </c>
      <c r="FD166" s="841" t="s">
        <v>353</v>
      </c>
      <c r="FE166" s="842">
        <v>44601.746527777781</v>
      </c>
      <c r="FF166" s="841" t="s">
        <v>353</v>
      </c>
      <c r="FG166" s="841" t="s">
        <v>353</v>
      </c>
      <c r="FH166" s="841" t="s">
        <v>353</v>
      </c>
      <c r="FI166" s="841" t="s">
        <v>353</v>
      </c>
      <c r="FJ166" s="841" t="s">
        <v>353</v>
      </c>
      <c r="FK166" s="841" t="s">
        <v>353</v>
      </c>
      <c r="FL166" s="841" t="s">
        <v>353</v>
      </c>
      <c r="FM166" s="841" t="s">
        <v>353</v>
      </c>
      <c r="FN166" s="841" t="s">
        <v>353</v>
      </c>
      <c r="FO166" s="841" t="s">
        <v>1729</v>
      </c>
      <c r="FP166" s="841" t="s">
        <v>353</v>
      </c>
      <c r="FQ166" s="841" t="s">
        <v>353</v>
      </c>
      <c r="FR166" s="841" t="s">
        <v>353</v>
      </c>
      <c r="FS166" s="841" t="s">
        <v>353</v>
      </c>
      <c r="FT166" s="841" t="s">
        <v>353</v>
      </c>
      <c r="FU166" s="841" t="s">
        <v>1416</v>
      </c>
      <c r="FV166" s="841" t="s">
        <v>353</v>
      </c>
      <c r="FW166" s="841" t="s">
        <v>353</v>
      </c>
      <c r="FX166" s="841" t="s">
        <v>353</v>
      </c>
      <c r="FY166" s="841" t="s">
        <v>353</v>
      </c>
      <c r="FZ166" s="841" t="s">
        <v>353</v>
      </c>
      <c r="GA166" s="841" t="s">
        <v>353</v>
      </c>
      <c r="GB166" s="841">
        <v>1</v>
      </c>
      <c r="GC166" s="841" t="s">
        <v>353</v>
      </c>
      <c r="GD166" s="841" t="s">
        <v>1395</v>
      </c>
      <c r="GE166" s="841" t="s">
        <v>353</v>
      </c>
      <c r="GF166" s="841" t="s">
        <v>353</v>
      </c>
      <c r="GG166" s="841" t="s">
        <v>353</v>
      </c>
      <c r="GH166" s="841">
        <v>600000</v>
      </c>
      <c r="GI166" s="841" t="s">
        <v>353</v>
      </c>
      <c r="GJ166" s="841" t="s">
        <v>353</v>
      </c>
      <c r="GK166" s="841" t="s">
        <v>353</v>
      </c>
      <c r="GL166" s="841" t="s">
        <v>1468</v>
      </c>
      <c r="GM166" s="841" t="s">
        <v>353</v>
      </c>
      <c r="GN166" s="841" t="s">
        <v>353</v>
      </c>
      <c r="GO166" s="841" t="s">
        <v>353</v>
      </c>
      <c r="GP166" s="841" t="s">
        <v>353</v>
      </c>
      <c r="GQ166" s="841" t="s">
        <v>353</v>
      </c>
      <c r="GR166" s="842">
        <v>44529.664583333331</v>
      </c>
      <c r="GS166" s="841" t="s">
        <v>2503</v>
      </c>
      <c r="GT166" s="841" t="s">
        <v>353</v>
      </c>
      <c r="GU166" s="841" t="s">
        <v>353</v>
      </c>
      <c r="GV166" s="841" t="s">
        <v>1076</v>
      </c>
      <c r="GW166" s="841" t="s">
        <v>353</v>
      </c>
      <c r="GX166" s="841" t="s">
        <v>353</v>
      </c>
      <c r="GY166" s="841">
        <v>24</v>
      </c>
      <c r="GZ166" s="841" t="s">
        <v>1420</v>
      </c>
      <c r="HA166" s="841" t="s">
        <v>353</v>
      </c>
      <c r="HB166" s="841" t="s">
        <v>353</v>
      </c>
      <c r="HC166" s="841" t="s">
        <v>1421</v>
      </c>
      <c r="HD166" s="841" t="s">
        <v>2918</v>
      </c>
      <c r="HE166" s="841" t="s">
        <v>353</v>
      </c>
      <c r="HF166" s="841" t="s">
        <v>353</v>
      </c>
      <c r="HG166" s="841" t="s">
        <v>353</v>
      </c>
      <c r="HH166" s="841" t="s">
        <v>353</v>
      </c>
      <c r="HI166" s="841" t="s">
        <v>1422</v>
      </c>
      <c r="HJ166" s="841" t="s">
        <v>2919</v>
      </c>
      <c r="HK166" s="841">
        <v>3000000</v>
      </c>
      <c r="HL166" s="841" t="s">
        <v>353</v>
      </c>
      <c r="HM166" s="841" t="s">
        <v>1530</v>
      </c>
      <c r="HN166" s="841" t="s">
        <v>353</v>
      </c>
      <c r="HO166" s="841" t="s">
        <v>353</v>
      </c>
      <c r="HP166" s="841">
        <v>173700</v>
      </c>
      <c r="HQ166" s="841" t="s">
        <v>353</v>
      </c>
      <c r="HR166" s="841" t="s">
        <v>353</v>
      </c>
      <c r="HS166" s="841">
        <v>1957800</v>
      </c>
      <c r="HT166" s="841" t="s">
        <v>353</v>
      </c>
      <c r="HU166" s="841" t="s">
        <v>353</v>
      </c>
      <c r="HV166" s="841" t="s">
        <v>353</v>
      </c>
      <c r="HW166" s="841">
        <v>5000000</v>
      </c>
      <c r="HX166" s="841" t="s">
        <v>353</v>
      </c>
      <c r="HY166" s="841" t="s">
        <v>353</v>
      </c>
      <c r="HZ166" s="841" t="s">
        <v>353</v>
      </c>
      <c r="IA166" s="841" t="s">
        <v>353</v>
      </c>
      <c r="IB166" s="841" t="s">
        <v>1424</v>
      </c>
      <c r="IC166" s="841" t="s">
        <v>353</v>
      </c>
      <c r="ID166" s="841" t="s">
        <v>353</v>
      </c>
      <c r="IE166" s="841" t="s">
        <v>353</v>
      </c>
      <c r="IF166" s="841" t="s">
        <v>353</v>
      </c>
      <c r="IG166" s="841" t="s">
        <v>353</v>
      </c>
      <c r="IH166" s="841" t="s">
        <v>353</v>
      </c>
      <c r="II166" s="841" t="s">
        <v>353</v>
      </c>
      <c r="IJ166" s="841" t="s">
        <v>353</v>
      </c>
      <c r="IK166" s="841" t="s">
        <v>353</v>
      </c>
      <c r="IL166" s="841" t="s">
        <v>353</v>
      </c>
      <c r="IM166" s="841" t="s">
        <v>353</v>
      </c>
      <c r="IN166" s="841" t="s">
        <v>353</v>
      </c>
      <c r="IO166" s="841" t="s">
        <v>353</v>
      </c>
      <c r="IP166" s="841" t="s">
        <v>353</v>
      </c>
      <c r="IQ166" s="841" t="s">
        <v>353</v>
      </c>
      <c r="IR166" s="841">
        <v>6</v>
      </c>
      <c r="IS166" s="841" t="s">
        <v>353</v>
      </c>
      <c r="IT166" s="841" t="s">
        <v>353</v>
      </c>
      <c r="IU166" s="841" t="s">
        <v>353</v>
      </c>
      <c r="IV166" s="841" t="s">
        <v>353</v>
      </c>
      <c r="IW166" s="841" t="s">
        <v>353</v>
      </c>
      <c r="IX166" s="841" t="s">
        <v>353</v>
      </c>
      <c r="IY166" s="841" t="s">
        <v>1578</v>
      </c>
      <c r="IZ166" s="841" t="s">
        <v>353</v>
      </c>
      <c r="JA166" s="841">
        <v>3000000</v>
      </c>
      <c r="JB166" s="841" t="s">
        <v>353</v>
      </c>
      <c r="JC166" s="841" t="s">
        <v>353</v>
      </c>
      <c r="JD166" s="841" t="s">
        <v>1413</v>
      </c>
      <c r="JE166" s="841" t="s">
        <v>353</v>
      </c>
      <c r="JF166" s="841" t="s">
        <v>1694</v>
      </c>
      <c r="JG166" s="841" t="s">
        <v>1695</v>
      </c>
      <c r="JH166" s="841" t="s">
        <v>2920</v>
      </c>
      <c r="JI166" s="841" t="s">
        <v>2921</v>
      </c>
    </row>
    <row r="167" spans="1:269" x14ac:dyDescent="0.25">
      <c r="A167" s="841" t="s">
        <v>2922</v>
      </c>
      <c r="B167" s="841" t="s">
        <v>353</v>
      </c>
      <c r="C167" s="841" t="s">
        <v>353</v>
      </c>
      <c r="D167" s="841" t="s">
        <v>353</v>
      </c>
      <c r="E167" s="841" t="s">
        <v>353</v>
      </c>
      <c r="F167" s="841" t="s">
        <v>1435</v>
      </c>
      <c r="G167" s="841" t="s">
        <v>2772</v>
      </c>
      <c r="H167" s="841" t="s">
        <v>353</v>
      </c>
      <c r="I167" s="841" t="s">
        <v>353</v>
      </c>
      <c r="J167" s="841" t="s">
        <v>353</v>
      </c>
      <c r="K167" s="841" t="s">
        <v>353</v>
      </c>
      <c r="L167" s="842">
        <v>44608.419444444444</v>
      </c>
      <c r="M167" s="841" t="s">
        <v>353</v>
      </c>
      <c r="N167" s="841" t="s">
        <v>353</v>
      </c>
      <c r="O167" s="841" t="s">
        <v>353</v>
      </c>
      <c r="P167" s="841" t="s">
        <v>33</v>
      </c>
      <c r="Q167" s="841" t="s">
        <v>353</v>
      </c>
      <c r="R167" s="841" t="s">
        <v>353</v>
      </c>
      <c r="S167" s="841" t="s">
        <v>61</v>
      </c>
      <c r="T167" s="841" t="s">
        <v>1390</v>
      </c>
      <c r="U167" s="841" t="s">
        <v>353</v>
      </c>
      <c r="V167" s="841" t="s">
        <v>353</v>
      </c>
      <c r="W167" s="841" t="s">
        <v>1420</v>
      </c>
      <c r="X167" s="841" t="s">
        <v>1405</v>
      </c>
      <c r="Y167" s="841" t="s">
        <v>353</v>
      </c>
      <c r="Z167" s="841" t="s">
        <v>353</v>
      </c>
      <c r="AA167" s="841" t="s">
        <v>33</v>
      </c>
      <c r="AB167" s="841" t="s">
        <v>353</v>
      </c>
      <c r="AC167" s="841">
        <v>268500</v>
      </c>
      <c r="AD167" s="841" t="s">
        <v>353</v>
      </c>
      <c r="AE167" s="841" t="s">
        <v>33</v>
      </c>
      <c r="AF167" s="841" t="s">
        <v>353</v>
      </c>
      <c r="AG167" s="841" t="s">
        <v>353</v>
      </c>
      <c r="AH167" s="841">
        <v>2500</v>
      </c>
      <c r="AI167" s="841" t="s">
        <v>1406</v>
      </c>
      <c r="AJ167" s="841" t="s">
        <v>353</v>
      </c>
      <c r="AK167" s="841">
        <v>75</v>
      </c>
      <c r="AL167" s="841" t="s">
        <v>353</v>
      </c>
      <c r="AM167" s="841" t="s">
        <v>353</v>
      </c>
      <c r="AN167" s="841" t="s">
        <v>353</v>
      </c>
      <c r="AO167" s="841" t="s">
        <v>353</v>
      </c>
      <c r="AP167" s="841" t="s">
        <v>353</v>
      </c>
      <c r="AQ167" s="841" t="s">
        <v>353</v>
      </c>
      <c r="AR167" s="841" t="s">
        <v>33</v>
      </c>
      <c r="AS167" s="841" t="s">
        <v>353</v>
      </c>
      <c r="AT167" s="841" t="s">
        <v>353</v>
      </c>
      <c r="AU167" s="841" t="s">
        <v>353</v>
      </c>
      <c r="AV167" s="841" t="s">
        <v>353</v>
      </c>
      <c r="AW167" s="843">
        <v>44595</v>
      </c>
      <c r="AX167" s="841" t="s">
        <v>353</v>
      </c>
      <c r="AY167" s="841" t="s">
        <v>353</v>
      </c>
      <c r="AZ167" s="841" t="s">
        <v>353</v>
      </c>
      <c r="BA167" s="841" t="s">
        <v>353</v>
      </c>
      <c r="BB167" s="841" t="s">
        <v>353</v>
      </c>
      <c r="BC167" s="841">
        <v>520903</v>
      </c>
      <c r="BD167" s="841" t="s">
        <v>353</v>
      </c>
      <c r="BE167" s="841" t="s">
        <v>353</v>
      </c>
      <c r="BF167" s="841" t="s">
        <v>353</v>
      </c>
      <c r="BG167" s="841" t="s">
        <v>353</v>
      </c>
      <c r="BH167" s="841" t="s">
        <v>353</v>
      </c>
      <c r="BI167" s="841" t="s">
        <v>353</v>
      </c>
      <c r="BJ167" s="841" t="s">
        <v>353</v>
      </c>
      <c r="BK167" s="841" t="s">
        <v>353</v>
      </c>
      <c r="BL167" s="841" t="s">
        <v>2923</v>
      </c>
      <c r="BM167" s="842">
        <v>44567.65347222222</v>
      </c>
      <c r="BN167" s="841" t="s">
        <v>353</v>
      </c>
      <c r="BO167" s="841" t="s">
        <v>353</v>
      </c>
      <c r="BP167" s="841" t="s">
        <v>353</v>
      </c>
      <c r="BQ167" s="841" t="s">
        <v>353</v>
      </c>
      <c r="BR167" s="841" t="s">
        <v>353</v>
      </c>
      <c r="BS167" s="841" t="s">
        <v>353</v>
      </c>
      <c r="BT167" s="841">
        <v>537000</v>
      </c>
      <c r="BU167" s="841" t="s">
        <v>353</v>
      </c>
      <c r="BV167" s="841" t="s">
        <v>2924</v>
      </c>
      <c r="BW167" s="841" t="s">
        <v>353</v>
      </c>
      <c r="BX167" s="841" t="s">
        <v>353</v>
      </c>
      <c r="BY167" s="841" t="s">
        <v>353</v>
      </c>
      <c r="BZ167" s="841" t="s">
        <v>353</v>
      </c>
      <c r="CA167" s="841" t="s">
        <v>353</v>
      </c>
      <c r="CB167" s="841" t="s">
        <v>353</v>
      </c>
      <c r="CC167" s="841" t="s">
        <v>353</v>
      </c>
      <c r="CD167" s="841" t="s">
        <v>353</v>
      </c>
      <c r="CE167" s="841" t="s">
        <v>353</v>
      </c>
      <c r="CF167" s="841" t="s">
        <v>353</v>
      </c>
      <c r="CG167" s="841" t="s">
        <v>353</v>
      </c>
      <c r="CH167" s="841" t="s">
        <v>353</v>
      </c>
      <c r="CI167" s="841" t="s">
        <v>33</v>
      </c>
      <c r="CJ167" s="841" t="s">
        <v>353</v>
      </c>
      <c r="CK167" s="841">
        <v>1</v>
      </c>
      <c r="CL167" s="841" t="s">
        <v>353</v>
      </c>
      <c r="CM167" s="841">
        <v>3</v>
      </c>
      <c r="CN167" s="841" t="s">
        <v>353</v>
      </c>
      <c r="CO167" s="841" t="s">
        <v>353</v>
      </c>
      <c r="CP167" s="841" t="s">
        <v>2925</v>
      </c>
      <c r="CQ167" s="841" t="s">
        <v>353</v>
      </c>
      <c r="CR167" s="841" t="s">
        <v>353</v>
      </c>
      <c r="CS167" s="841" t="s">
        <v>353</v>
      </c>
      <c r="CT167" s="841" t="s">
        <v>353</v>
      </c>
      <c r="CU167" s="841" t="s">
        <v>1391</v>
      </c>
      <c r="CV167" s="841" t="s">
        <v>353</v>
      </c>
      <c r="CW167" s="841" t="s">
        <v>353</v>
      </c>
      <c r="CX167" s="841" t="s">
        <v>353</v>
      </c>
      <c r="CY167" s="841" t="s">
        <v>353</v>
      </c>
      <c r="CZ167" s="841">
        <v>2</v>
      </c>
      <c r="DA167" s="841" t="s">
        <v>353</v>
      </c>
      <c r="DB167" s="841" t="s">
        <v>353</v>
      </c>
      <c r="DC167" s="841" t="s">
        <v>353</v>
      </c>
      <c r="DD167" s="841" t="s">
        <v>353</v>
      </c>
      <c r="DE167" s="841" t="s">
        <v>353</v>
      </c>
      <c r="DF167" s="841">
        <v>21</v>
      </c>
      <c r="DG167" s="841" t="s">
        <v>353</v>
      </c>
      <c r="DH167" s="841" t="s">
        <v>353</v>
      </c>
      <c r="DI167" s="841" t="s">
        <v>353</v>
      </c>
      <c r="DJ167" s="841" t="s">
        <v>2926</v>
      </c>
      <c r="DK167" s="841" t="s">
        <v>353</v>
      </c>
      <c r="DL167" s="842">
        <v>44529.388888888891</v>
      </c>
      <c r="DM167" s="841" t="s">
        <v>353</v>
      </c>
      <c r="DN167" s="841" t="s">
        <v>33</v>
      </c>
      <c r="DO167" s="841" t="s">
        <v>353</v>
      </c>
      <c r="DP167" s="841" t="s">
        <v>1481</v>
      </c>
      <c r="DQ167" s="841" t="s">
        <v>1451</v>
      </c>
      <c r="DR167" s="841" t="s">
        <v>353</v>
      </c>
      <c r="DS167" s="841">
        <v>21</v>
      </c>
      <c r="DT167" s="841" t="s">
        <v>353</v>
      </c>
      <c r="DU167" s="841" t="s">
        <v>353</v>
      </c>
      <c r="DV167" s="841">
        <v>447213.6</v>
      </c>
      <c r="DW167" s="841">
        <v>537000</v>
      </c>
      <c r="DX167" s="841" t="s">
        <v>33</v>
      </c>
      <c r="DY167" s="841" t="s">
        <v>353</v>
      </c>
      <c r="DZ167" s="841" t="s">
        <v>353</v>
      </c>
      <c r="EA167" s="841" t="s">
        <v>353</v>
      </c>
      <c r="EB167" s="841" t="s">
        <v>353</v>
      </c>
      <c r="EC167" s="841" t="s">
        <v>353</v>
      </c>
      <c r="ED167" s="841" t="s">
        <v>353</v>
      </c>
      <c r="EE167" s="841" t="s">
        <v>353</v>
      </c>
      <c r="EF167" s="841" t="s">
        <v>353</v>
      </c>
      <c r="EG167" s="841" t="s">
        <v>353</v>
      </c>
      <c r="EH167" s="841" t="s">
        <v>353</v>
      </c>
      <c r="EI167" s="841">
        <v>80388.899999999994</v>
      </c>
      <c r="EJ167" s="841" t="s">
        <v>353</v>
      </c>
      <c r="EK167" s="841" t="s">
        <v>353</v>
      </c>
      <c r="EL167" s="841" t="s">
        <v>1435</v>
      </c>
      <c r="EM167" s="841">
        <v>9397.5</v>
      </c>
      <c r="EN167" s="841" t="s">
        <v>353</v>
      </c>
      <c r="EO167" s="841" t="s">
        <v>353</v>
      </c>
      <c r="EP167" s="841" t="s">
        <v>353</v>
      </c>
      <c r="EQ167" s="841" t="s">
        <v>353</v>
      </c>
      <c r="ER167" s="841" t="s">
        <v>353</v>
      </c>
      <c r="ES167" s="841" t="s">
        <v>33</v>
      </c>
      <c r="ET167" s="841" t="s">
        <v>1452</v>
      </c>
      <c r="EU167" s="841" t="s">
        <v>353</v>
      </c>
      <c r="EV167" s="841" t="s">
        <v>353</v>
      </c>
      <c r="EW167" s="841" t="s">
        <v>353</v>
      </c>
      <c r="EX167" s="841" t="s">
        <v>33</v>
      </c>
      <c r="EY167" s="842">
        <v>44608.419444444444</v>
      </c>
      <c r="EZ167" s="841" t="s">
        <v>353</v>
      </c>
      <c r="FA167" s="841" t="s">
        <v>353</v>
      </c>
      <c r="FB167" s="841" t="s">
        <v>353</v>
      </c>
      <c r="FC167" s="841" t="s">
        <v>353</v>
      </c>
      <c r="FD167" s="841" t="s">
        <v>353</v>
      </c>
      <c r="FE167" s="842">
        <v>44606.381249999999</v>
      </c>
      <c r="FF167" s="841" t="s">
        <v>353</v>
      </c>
      <c r="FG167" s="841" t="s">
        <v>353</v>
      </c>
      <c r="FH167" s="841" t="s">
        <v>353</v>
      </c>
      <c r="FI167" s="841" t="s">
        <v>353</v>
      </c>
      <c r="FJ167" s="841" t="s">
        <v>353</v>
      </c>
      <c r="FK167" s="841" t="s">
        <v>353</v>
      </c>
      <c r="FL167" s="841" t="s">
        <v>353</v>
      </c>
      <c r="FM167" s="841" t="s">
        <v>2927</v>
      </c>
      <c r="FN167" s="841" t="s">
        <v>353</v>
      </c>
      <c r="FO167" s="841" t="s">
        <v>1729</v>
      </c>
      <c r="FP167" s="841" t="s">
        <v>353</v>
      </c>
      <c r="FQ167" s="841" t="s">
        <v>353</v>
      </c>
      <c r="FR167" s="841" t="s">
        <v>353</v>
      </c>
      <c r="FS167" s="841" t="s">
        <v>353</v>
      </c>
      <c r="FT167" s="841" t="s">
        <v>353</v>
      </c>
      <c r="FU167" s="841" t="s">
        <v>1467</v>
      </c>
      <c r="FV167" s="841" t="s">
        <v>353</v>
      </c>
      <c r="FW167" s="841" t="s">
        <v>353</v>
      </c>
      <c r="FX167" s="841" t="s">
        <v>353</v>
      </c>
      <c r="FY167" s="841" t="s">
        <v>353</v>
      </c>
      <c r="FZ167" s="841" t="s">
        <v>353</v>
      </c>
      <c r="GA167" s="841" t="s">
        <v>353</v>
      </c>
      <c r="GB167" s="841">
        <v>1</v>
      </c>
      <c r="GC167" s="841" t="s">
        <v>353</v>
      </c>
      <c r="GD167" s="841" t="s">
        <v>1417</v>
      </c>
      <c r="GE167" s="841" t="s">
        <v>353</v>
      </c>
      <c r="GF167" s="841" t="s">
        <v>353</v>
      </c>
      <c r="GG167" s="841" t="s">
        <v>353</v>
      </c>
      <c r="GH167" s="841">
        <v>268500</v>
      </c>
      <c r="GI167" s="841" t="s">
        <v>353</v>
      </c>
      <c r="GJ167" s="841" t="s">
        <v>353</v>
      </c>
      <c r="GK167" s="841" t="s">
        <v>353</v>
      </c>
      <c r="GL167" s="841" t="s">
        <v>1418</v>
      </c>
      <c r="GM167" s="841" t="s">
        <v>353</v>
      </c>
      <c r="GN167" s="841" t="s">
        <v>353</v>
      </c>
      <c r="GO167" s="841" t="s">
        <v>353</v>
      </c>
      <c r="GP167" s="841" t="s">
        <v>353</v>
      </c>
      <c r="GQ167" s="841" t="s">
        <v>353</v>
      </c>
      <c r="GR167" s="842">
        <v>44608.419444444444</v>
      </c>
      <c r="GS167" s="841" t="s">
        <v>2928</v>
      </c>
      <c r="GT167" s="841" t="s">
        <v>353</v>
      </c>
      <c r="GU167" s="841" t="s">
        <v>353</v>
      </c>
      <c r="GV167" s="841" t="s">
        <v>1076</v>
      </c>
      <c r="GW167" s="841" t="s">
        <v>353</v>
      </c>
      <c r="GX167" s="841" t="s">
        <v>353</v>
      </c>
      <c r="GY167" s="841">
        <v>24</v>
      </c>
      <c r="GZ167" s="841" t="s">
        <v>1420</v>
      </c>
      <c r="HA167" s="841" t="s">
        <v>353</v>
      </c>
      <c r="HB167" s="841" t="s">
        <v>353</v>
      </c>
      <c r="HC167" s="841" t="s">
        <v>1421</v>
      </c>
      <c r="HD167" s="841" t="s">
        <v>2929</v>
      </c>
      <c r="HE167" s="841">
        <v>10740</v>
      </c>
      <c r="HF167" s="841" t="s">
        <v>353</v>
      </c>
      <c r="HG167" s="841" t="s">
        <v>353</v>
      </c>
      <c r="HH167" s="841" t="s">
        <v>353</v>
      </c>
      <c r="HI167" s="841" t="s">
        <v>1422</v>
      </c>
      <c r="HJ167" s="841" t="s">
        <v>2230</v>
      </c>
      <c r="HK167" s="841">
        <v>537000</v>
      </c>
      <c r="HL167" s="841" t="s">
        <v>353</v>
      </c>
      <c r="HM167" s="841" t="s">
        <v>1530</v>
      </c>
      <c r="HN167" s="841" t="s">
        <v>353</v>
      </c>
      <c r="HO167" s="841" t="s">
        <v>353</v>
      </c>
      <c r="HP167" s="841">
        <v>26796.3</v>
      </c>
      <c r="HQ167" s="841" t="s">
        <v>353</v>
      </c>
      <c r="HR167" s="841" t="s">
        <v>353</v>
      </c>
      <c r="HS167" s="841">
        <v>456611.1</v>
      </c>
      <c r="HT167" s="841" t="s">
        <v>353</v>
      </c>
      <c r="HU167" s="841" t="s">
        <v>353</v>
      </c>
      <c r="HV167" s="841" t="s">
        <v>353</v>
      </c>
      <c r="HW167" s="841">
        <v>716000</v>
      </c>
      <c r="HX167" s="841" t="s">
        <v>353</v>
      </c>
      <c r="HY167" s="841" t="s">
        <v>353</v>
      </c>
      <c r="HZ167" s="841" t="s">
        <v>353</v>
      </c>
      <c r="IA167" s="841" t="s">
        <v>353</v>
      </c>
      <c r="IB167" s="841" t="s">
        <v>1424</v>
      </c>
      <c r="IC167" s="841" t="s">
        <v>353</v>
      </c>
      <c r="ID167" s="841" t="s">
        <v>353</v>
      </c>
      <c r="IE167" s="841" t="s">
        <v>353</v>
      </c>
      <c r="IF167" s="841" t="s">
        <v>353</v>
      </c>
      <c r="IG167" s="841" t="s">
        <v>353</v>
      </c>
      <c r="IH167" s="841" t="s">
        <v>353</v>
      </c>
      <c r="II167" s="841" t="s">
        <v>353</v>
      </c>
      <c r="IJ167" s="841" t="s">
        <v>353</v>
      </c>
      <c r="IK167" s="841" t="s">
        <v>353</v>
      </c>
      <c r="IL167" s="841">
        <v>529898</v>
      </c>
      <c r="IM167" s="841" t="s">
        <v>353</v>
      </c>
      <c r="IN167" s="841" t="s">
        <v>353</v>
      </c>
      <c r="IO167" s="841" t="s">
        <v>353</v>
      </c>
      <c r="IP167" s="841" t="s">
        <v>353</v>
      </c>
      <c r="IQ167" s="841" t="s">
        <v>353</v>
      </c>
      <c r="IR167" s="841">
        <v>3</v>
      </c>
      <c r="IS167" s="841" t="s">
        <v>33</v>
      </c>
      <c r="IT167" s="841" t="s">
        <v>353</v>
      </c>
      <c r="IU167" s="841" t="s">
        <v>353</v>
      </c>
      <c r="IV167" s="841" t="s">
        <v>353</v>
      </c>
      <c r="IW167" s="841" t="s">
        <v>353</v>
      </c>
      <c r="IX167" s="841" t="s">
        <v>353</v>
      </c>
      <c r="IY167" s="841" t="s">
        <v>1578</v>
      </c>
      <c r="IZ167" s="841" t="s">
        <v>353</v>
      </c>
      <c r="JA167" s="841">
        <v>537000</v>
      </c>
      <c r="JB167" s="841" t="s">
        <v>353</v>
      </c>
      <c r="JC167" s="841" t="s">
        <v>353</v>
      </c>
      <c r="JD167" s="841" t="s">
        <v>1847</v>
      </c>
      <c r="JE167" s="841" t="s">
        <v>33</v>
      </c>
      <c r="JF167" s="841" t="s">
        <v>2930</v>
      </c>
      <c r="JG167" s="841" t="s">
        <v>2931</v>
      </c>
      <c r="JH167" s="841" t="s">
        <v>2932</v>
      </c>
      <c r="JI167" s="841" t="s">
        <v>2933</v>
      </c>
    </row>
    <row r="168" spans="1:269" x14ac:dyDescent="0.25">
      <c r="A168" s="841" t="s">
        <v>2934</v>
      </c>
      <c r="B168" s="841" t="s">
        <v>353</v>
      </c>
      <c r="C168" s="841" t="s">
        <v>353</v>
      </c>
      <c r="D168" s="841" t="s">
        <v>353</v>
      </c>
      <c r="E168" s="841" t="s">
        <v>353</v>
      </c>
      <c r="F168" s="841" t="s">
        <v>1435</v>
      </c>
      <c r="G168" s="841" t="s">
        <v>2935</v>
      </c>
      <c r="H168" s="841" t="s">
        <v>353</v>
      </c>
      <c r="I168" s="841" t="s">
        <v>353</v>
      </c>
      <c r="J168" s="841" t="s">
        <v>353</v>
      </c>
      <c r="K168" s="841" t="s">
        <v>353</v>
      </c>
      <c r="L168" s="842">
        <v>44608.459027777775</v>
      </c>
      <c r="M168" s="841" t="s">
        <v>353</v>
      </c>
      <c r="N168" s="841" t="s">
        <v>353</v>
      </c>
      <c r="O168" s="841" t="s">
        <v>353</v>
      </c>
      <c r="P168" s="841" t="s">
        <v>33</v>
      </c>
      <c r="Q168" s="841" t="s">
        <v>353</v>
      </c>
      <c r="R168" s="841" t="s">
        <v>353</v>
      </c>
      <c r="S168" s="841" t="s">
        <v>64</v>
      </c>
      <c r="T168" s="841" t="s">
        <v>1390</v>
      </c>
      <c r="U168" s="841" t="s">
        <v>353</v>
      </c>
      <c r="V168" s="841" t="s">
        <v>353</v>
      </c>
      <c r="W168" s="841" t="s">
        <v>353</v>
      </c>
      <c r="X168" s="841" t="s">
        <v>1405</v>
      </c>
      <c r="Y168" s="841" t="s">
        <v>353</v>
      </c>
      <c r="Z168" s="841" t="s">
        <v>353</v>
      </c>
      <c r="AA168" s="841" t="s">
        <v>33</v>
      </c>
      <c r="AB168" s="841" t="s">
        <v>353</v>
      </c>
      <c r="AC168" s="841">
        <v>455000</v>
      </c>
      <c r="AD168" s="841" t="s">
        <v>353</v>
      </c>
      <c r="AE168" s="841" t="s">
        <v>33</v>
      </c>
      <c r="AF168" s="841">
        <v>4012</v>
      </c>
      <c r="AG168" s="841" t="s">
        <v>353</v>
      </c>
      <c r="AH168" s="841">
        <v>4500</v>
      </c>
      <c r="AI168" s="841" t="s">
        <v>1521</v>
      </c>
      <c r="AJ168" s="841" t="s">
        <v>353</v>
      </c>
      <c r="AK168" s="841">
        <v>70</v>
      </c>
      <c r="AL168" s="841" t="s">
        <v>353</v>
      </c>
      <c r="AM168" s="841" t="s">
        <v>353</v>
      </c>
      <c r="AN168" s="841" t="s">
        <v>353</v>
      </c>
      <c r="AO168" s="841" t="s">
        <v>353</v>
      </c>
      <c r="AP168" s="841" t="s">
        <v>353</v>
      </c>
      <c r="AQ168" s="841" t="s">
        <v>353</v>
      </c>
      <c r="AR168" s="841" t="s">
        <v>33</v>
      </c>
      <c r="AS168" s="841" t="s">
        <v>353</v>
      </c>
      <c r="AT168" s="841" t="s">
        <v>353</v>
      </c>
      <c r="AU168" s="841" t="s">
        <v>353</v>
      </c>
      <c r="AV168" s="841" t="s">
        <v>353</v>
      </c>
      <c r="AW168" s="843">
        <v>44529</v>
      </c>
      <c r="AX168" s="841" t="s">
        <v>353</v>
      </c>
      <c r="AY168" s="841" t="s">
        <v>353</v>
      </c>
      <c r="AZ168" s="841" t="s">
        <v>353</v>
      </c>
      <c r="BA168" s="841" t="s">
        <v>353</v>
      </c>
      <c r="BB168" s="841" t="s">
        <v>353</v>
      </c>
      <c r="BC168" s="841">
        <v>882039</v>
      </c>
      <c r="BD168" s="841" t="s">
        <v>353</v>
      </c>
      <c r="BE168" s="841" t="s">
        <v>353</v>
      </c>
      <c r="BF168" s="841" t="s">
        <v>353</v>
      </c>
      <c r="BG168" s="841" t="s">
        <v>353</v>
      </c>
      <c r="BH168" s="841" t="s">
        <v>353</v>
      </c>
      <c r="BI168" s="841" t="s">
        <v>353</v>
      </c>
      <c r="BJ168" s="841" t="s">
        <v>353</v>
      </c>
      <c r="BK168" s="841" t="s">
        <v>353</v>
      </c>
      <c r="BL168" s="841" t="s">
        <v>2936</v>
      </c>
      <c r="BM168" s="842">
        <v>44530.51458333333</v>
      </c>
      <c r="BN168" s="841" t="s">
        <v>353</v>
      </c>
      <c r="BO168" s="841" t="s">
        <v>353</v>
      </c>
      <c r="BP168" s="841" t="s">
        <v>353</v>
      </c>
      <c r="BQ168" s="841" t="s">
        <v>353</v>
      </c>
      <c r="BR168" s="841" t="s">
        <v>353</v>
      </c>
      <c r="BS168" s="841" t="s">
        <v>353</v>
      </c>
      <c r="BT168" s="841">
        <v>975000</v>
      </c>
      <c r="BU168" s="841" t="s">
        <v>353</v>
      </c>
      <c r="BV168" s="841" t="s">
        <v>2937</v>
      </c>
      <c r="BW168" s="841" t="s">
        <v>1578</v>
      </c>
      <c r="BX168" s="841" t="s">
        <v>2938</v>
      </c>
      <c r="BY168" s="841" t="s">
        <v>353</v>
      </c>
      <c r="BZ168" s="841" t="s">
        <v>353</v>
      </c>
      <c r="CA168" s="841" t="s">
        <v>353</v>
      </c>
      <c r="CB168" s="841" t="s">
        <v>353</v>
      </c>
      <c r="CC168" s="841" t="s">
        <v>353</v>
      </c>
      <c r="CD168" s="841" t="s">
        <v>353</v>
      </c>
      <c r="CE168" s="841" t="s">
        <v>353</v>
      </c>
      <c r="CF168" s="841" t="s">
        <v>353</v>
      </c>
      <c r="CG168" s="841" t="s">
        <v>353</v>
      </c>
      <c r="CH168" s="841" t="s">
        <v>353</v>
      </c>
      <c r="CI168" s="841" t="s">
        <v>33</v>
      </c>
      <c r="CJ168" s="841">
        <v>1320</v>
      </c>
      <c r="CK168" s="841">
        <v>34</v>
      </c>
      <c r="CL168" s="841" t="s">
        <v>353</v>
      </c>
      <c r="CM168" s="841">
        <v>40</v>
      </c>
      <c r="CN168" s="841" t="s">
        <v>353</v>
      </c>
      <c r="CO168" s="841" t="s">
        <v>353</v>
      </c>
      <c r="CP168" s="841" t="s">
        <v>2939</v>
      </c>
      <c r="CQ168" s="841" t="s">
        <v>353</v>
      </c>
      <c r="CR168" s="841" t="s">
        <v>353</v>
      </c>
      <c r="CS168" s="841" t="s">
        <v>353</v>
      </c>
      <c r="CT168" s="841" t="s">
        <v>353</v>
      </c>
      <c r="CU168" s="841" t="s">
        <v>1391</v>
      </c>
      <c r="CV168" s="841" t="s">
        <v>353</v>
      </c>
      <c r="CW168" s="841" t="s">
        <v>353</v>
      </c>
      <c r="CX168" s="841" t="s">
        <v>353</v>
      </c>
      <c r="CY168" s="841" t="s">
        <v>353</v>
      </c>
      <c r="CZ168" s="841">
        <v>2</v>
      </c>
      <c r="DA168" s="841" t="s">
        <v>353</v>
      </c>
      <c r="DB168" s="841" t="s">
        <v>353</v>
      </c>
      <c r="DC168" s="841" t="s">
        <v>353</v>
      </c>
      <c r="DD168" s="841" t="s">
        <v>353</v>
      </c>
      <c r="DE168" s="841" t="s">
        <v>353</v>
      </c>
      <c r="DF168" s="841">
        <v>24</v>
      </c>
      <c r="DG168" s="841" t="s">
        <v>353</v>
      </c>
      <c r="DH168" s="841" t="s">
        <v>353</v>
      </c>
      <c r="DI168" s="841" t="s">
        <v>353</v>
      </c>
      <c r="DJ168" s="841" t="s">
        <v>2940</v>
      </c>
      <c r="DK168" s="841" t="s">
        <v>353</v>
      </c>
      <c r="DL168" s="842">
        <v>44524.51458333333</v>
      </c>
      <c r="DM168" s="841" t="s">
        <v>353</v>
      </c>
      <c r="DN168" s="841" t="s">
        <v>33</v>
      </c>
      <c r="DO168" s="841" t="s">
        <v>353</v>
      </c>
      <c r="DP168" s="841" t="s">
        <v>353</v>
      </c>
      <c r="DQ168" s="841" t="s">
        <v>1434</v>
      </c>
      <c r="DR168" s="841">
        <v>1300000</v>
      </c>
      <c r="DS168" s="841">
        <v>24</v>
      </c>
      <c r="DT168" s="841" t="s">
        <v>353</v>
      </c>
      <c r="DU168" s="841" t="s">
        <v>353</v>
      </c>
      <c r="DV168" s="841" t="s">
        <v>353</v>
      </c>
      <c r="DW168" s="841">
        <v>910000</v>
      </c>
      <c r="DX168" s="841" t="s">
        <v>33</v>
      </c>
      <c r="DY168" s="841" t="s">
        <v>353</v>
      </c>
      <c r="DZ168" s="841" t="s">
        <v>353</v>
      </c>
      <c r="EA168" s="841" t="s">
        <v>353</v>
      </c>
      <c r="EB168" s="841" t="s">
        <v>353</v>
      </c>
      <c r="EC168" s="841" t="s">
        <v>353</v>
      </c>
      <c r="ED168" s="841" t="s">
        <v>353</v>
      </c>
      <c r="EE168" s="841" t="s">
        <v>353</v>
      </c>
      <c r="EF168" s="841" t="s">
        <v>353</v>
      </c>
      <c r="EG168" s="841" t="s">
        <v>353</v>
      </c>
      <c r="EH168" s="841" t="s">
        <v>353</v>
      </c>
      <c r="EI168" s="841">
        <v>0</v>
      </c>
      <c r="EJ168" s="841" t="s">
        <v>353</v>
      </c>
      <c r="EK168" s="841" t="s">
        <v>353</v>
      </c>
      <c r="EL168" s="841" t="s">
        <v>1405</v>
      </c>
      <c r="EM168" s="841" t="s">
        <v>353</v>
      </c>
      <c r="EN168" s="841" t="s">
        <v>353</v>
      </c>
      <c r="EO168" s="841" t="s">
        <v>353</v>
      </c>
      <c r="EP168" s="841" t="s">
        <v>353</v>
      </c>
      <c r="EQ168" s="841" t="s">
        <v>353</v>
      </c>
      <c r="ER168" s="841" t="s">
        <v>353</v>
      </c>
      <c r="ES168" s="841" t="s">
        <v>27</v>
      </c>
      <c r="ET168" s="841" t="s">
        <v>1436</v>
      </c>
      <c r="EU168" s="841" t="s">
        <v>2797</v>
      </c>
      <c r="EV168" s="841" t="s">
        <v>353</v>
      </c>
      <c r="EW168" s="841" t="s">
        <v>353</v>
      </c>
      <c r="EX168" s="841" t="s">
        <v>33</v>
      </c>
      <c r="EY168" s="842">
        <v>44608.454861111109</v>
      </c>
      <c r="EZ168" s="841" t="s">
        <v>353</v>
      </c>
      <c r="FA168" s="841" t="s">
        <v>353</v>
      </c>
      <c r="FB168" s="841" t="s">
        <v>353</v>
      </c>
      <c r="FC168" s="841" t="s">
        <v>353</v>
      </c>
      <c r="FD168" s="841" t="s">
        <v>353</v>
      </c>
      <c r="FE168" s="842">
        <v>44606.381944444445</v>
      </c>
      <c r="FF168" s="841" t="s">
        <v>353</v>
      </c>
      <c r="FG168" s="841" t="s">
        <v>353</v>
      </c>
      <c r="FH168" s="841" t="s">
        <v>353</v>
      </c>
      <c r="FI168" s="841" t="s">
        <v>353</v>
      </c>
      <c r="FJ168" s="841" t="s">
        <v>353</v>
      </c>
      <c r="FK168" s="841" t="s">
        <v>353</v>
      </c>
      <c r="FL168" s="841" t="s">
        <v>353</v>
      </c>
      <c r="FM168" s="841" t="s">
        <v>353</v>
      </c>
      <c r="FN168" s="841" t="s">
        <v>353</v>
      </c>
      <c r="FO168" s="841" t="s">
        <v>1648</v>
      </c>
      <c r="FP168" s="841" t="s">
        <v>353</v>
      </c>
      <c r="FQ168" s="841" t="s">
        <v>353</v>
      </c>
      <c r="FR168" s="841" t="s">
        <v>353</v>
      </c>
      <c r="FS168" s="841" t="s">
        <v>353</v>
      </c>
      <c r="FT168" s="841" t="s">
        <v>353</v>
      </c>
      <c r="FU168" s="841" t="s">
        <v>1467</v>
      </c>
      <c r="FV168" s="841" t="s">
        <v>353</v>
      </c>
      <c r="FW168" s="841" t="s">
        <v>353</v>
      </c>
      <c r="FX168" s="841" t="s">
        <v>353</v>
      </c>
      <c r="FY168" s="841" t="s">
        <v>353</v>
      </c>
      <c r="FZ168" s="841" t="s">
        <v>353</v>
      </c>
      <c r="GA168" s="841" t="s">
        <v>353</v>
      </c>
      <c r="GB168" s="841">
        <v>1</v>
      </c>
      <c r="GC168" s="841" t="s">
        <v>353</v>
      </c>
      <c r="GD168" s="841" t="s">
        <v>1417</v>
      </c>
      <c r="GE168" s="841" t="s">
        <v>353</v>
      </c>
      <c r="GF168" s="841" t="s">
        <v>353</v>
      </c>
      <c r="GG168" s="841" t="s">
        <v>353</v>
      </c>
      <c r="GH168" s="841">
        <v>455000</v>
      </c>
      <c r="GI168" s="841" t="s">
        <v>353</v>
      </c>
      <c r="GJ168" s="841" t="s">
        <v>353</v>
      </c>
      <c r="GK168" s="841" t="s">
        <v>353</v>
      </c>
      <c r="GL168" s="841" t="s">
        <v>1437</v>
      </c>
      <c r="GM168" s="841" t="s">
        <v>353</v>
      </c>
      <c r="GN168" s="841" t="s">
        <v>353</v>
      </c>
      <c r="GO168" s="841" t="s">
        <v>353</v>
      </c>
      <c r="GP168" s="841" t="s">
        <v>353</v>
      </c>
      <c r="GQ168" s="841" t="s">
        <v>353</v>
      </c>
      <c r="GR168" s="842">
        <v>44608.454861111109</v>
      </c>
      <c r="GS168" s="841" t="s">
        <v>353</v>
      </c>
      <c r="GT168" s="841" t="s">
        <v>353</v>
      </c>
      <c r="GU168" s="841" t="s">
        <v>353</v>
      </c>
      <c r="GV168" s="841" t="s">
        <v>1076</v>
      </c>
      <c r="GW168" s="841" t="s">
        <v>353</v>
      </c>
      <c r="GX168" s="841" t="s">
        <v>353</v>
      </c>
      <c r="GY168" s="841">
        <v>24</v>
      </c>
      <c r="GZ168" s="841" t="s">
        <v>1420</v>
      </c>
      <c r="HA168" s="841" t="s">
        <v>353</v>
      </c>
      <c r="HB168" s="841" t="s">
        <v>353</v>
      </c>
      <c r="HC168" s="841" t="s">
        <v>1421</v>
      </c>
      <c r="HD168" s="841" t="s">
        <v>2941</v>
      </c>
      <c r="HE168" s="841">
        <v>9100</v>
      </c>
      <c r="HF168" s="841" t="s">
        <v>353</v>
      </c>
      <c r="HG168" s="841" t="s">
        <v>353</v>
      </c>
      <c r="HH168" s="841">
        <v>1200</v>
      </c>
      <c r="HI168" s="841" t="s">
        <v>1422</v>
      </c>
      <c r="HJ168" s="841" t="s">
        <v>2942</v>
      </c>
      <c r="HK168" s="841">
        <v>910000</v>
      </c>
      <c r="HL168" s="841" t="s">
        <v>353</v>
      </c>
      <c r="HM168" s="841" t="s">
        <v>1423</v>
      </c>
      <c r="HN168" s="841" t="s">
        <v>353</v>
      </c>
      <c r="HO168" s="841" t="s">
        <v>353</v>
      </c>
      <c r="HP168" s="841">
        <v>48139</v>
      </c>
      <c r="HQ168" s="841" t="s">
        <v>353</v>
      </c>
      <c r="HR168" s="841" t="s">
        <v>353</v>
      </c>
      <c r="HS168" s="841" t="s">
        <v>353</v>
      </c>
      <c r="HT168" s="841" t="s">
        <v>353</v>
      </c>
      <c r="HU168" s="841" t="s">
        <v>353</v>
      </c>
      <c r="HV168" s="841" t="s">
        <v>353</v>
      </c>
      <c r="HW168" s="841">
        <v>1300000</v>
      </c>
      <c r="HX168" s="841" t="s">
        <v>353</v>
      </c>
      <c r="HY168" s="841" t="s">
        <v>353</v>
      </c>
      <c r="HZ168" s="841" t="s">
        <v>353</v>
      </c>
      <c r="IA168" s="841" t="s">
        <v>353</v>
      </c>
      <c r="IB168" s="841" t="s">
        <v>1424</v>
      </c>
      <c r="IC168" s="841" t="s">
        <v>353</v>
      </c>
      <c r="ID168" s="841" t="s">
        <v>353</v>
      </c>
      <c r="IE168" s="841" t="s">
        <v>353</v>
      </c>
      <c r="IF168" s="841" t="s">
        <v>353</v>
      </c>
      <c r="IG168" s="841" t="s">
        <v>353</v>
      </c>
      <c r="IH168" s="841" t="s">
        <v>353</v>
      </c>
      <c r="II168" s="841" t="s">
        <v>353</v>
      </c>
      <c r="IJ168" s="841" t="s">
        <v>353</v>
      </c>
      <c r="IK168" s="841" t="s">
        <v>353</v>
      </c>
      <c r="IL168" s="841">
        <v>897964</v>
      </c>
      <c r="IM168" s="841" t="s">
        <v>353</v>
      </c>
      <c r="IN168" s="841" t="s">
        <v>353</v>
      </c>
      <c r="IO168" s="841">
        <v>199</v>
      </c>
      <c r="IP168" s="841" t="s">
        <v>353</v>
      </c>
      <c r="IQ168" s="841" t="s">
        <v>353</v>
      </c>
      <c r="IR168" s="841">
        <v>0</v>
      </c>
      <c r="IS168" s="841" t="s">
        <v>33</v>
      </c>
      <c r="IT168" s="841" t="s">
        <v>353</v>
      </c>
      <c r="IU168" s="841" t="s">
        <v>353</v>
      </c>
      <c r="IV168" s="841" t="s">
        <v>353</v>
      </c>
      <c r="IW168" s="841" t="s">
        <v>353</v>
      </c>
      <c r="IX168" s="841" t="s">
        <v>353</v>
      </c>
      <c r="IY168" s="841" t="s">
        <v>1622</v>
      </c>
      <c r="IZ168" s="841" t="s">
        <v>353</v>
      </c>
      <c r="JA168" s="841">
        <v>910000</v>
      </c>
      <c r="JB168" s="841" t="s">
        <v>353</v>
      </c>
      <c r="JC168" s="841" t="s">
        <v>353</v>
      </c>
      <c r="JD168" s="841" t="s">
        <v>1456</v>
      </c>
      <c r="JE168" s="841" t="s">
        <v>33</v>
      </c>
      <c r="JF168" s="841" t="s">
        <v>2943</v>
      </c>
      <c r="JG168" s="841" t="s">
        <v>2944</v>
      </c>
      <c r="JH168" s="841" t="s">
        <v>2945</v>
      </c>
      <c r="JI168" s="841" t="s">
        <v>2946</v>
      </c>
    </row>
    <row r="169" spans="1:269" x14ac:dyDescent="0.25">
      <c r="A169" s="841" t="s">
        <v>2947</v>
      </c>
      <c r="B169" s="841" t="s">
        <v>353</v>
      </c>
      <c r="C169" s="841" t="s">
        <v>353</v>
      </c>
      <c r="D169" s="841" t="s">
        <v>353</v>
      </c>
      <c r="E169" s="841" t="s">
        <v>353</v>
      </c>
      <c r="F169" s="841" t="s">
        <v>1405</v>
      </c>
      <c r="G169" s="841" t="s">
        <v>2598</v>
      </c>
      <c r="H169" s="841" t="s">
        <v>353</v>
      </c>
      <c r="I169" s="841" t="s">
        <v>353</v>
      </c>
      <c r="J169" s="841" t="s">
        <v>353</v>
      </c>
      <c r="K169" s="841" t="s">
        <v>353</v>
      </c>
      <c r="L169" s="842">
        <v>44582.382638888892</v>
      </c>
      <c r="M169" s="841" t="s">
        <v>353</v>
      </c>
      <c r="N169" s="841" t="s">
        <v>353</v>
      </c>
      <c r="O169" s="841" t="s">
        <v>353</v>
      </c>
      <c r="P169" s="841" t="s">
        <v>33</v>
      </c>
      <c r="Q169" s="841" t="s">
        <v>353</v>
      </c>
      <c r="R169" s="841">
        <v>1600</v>
      </c>
      <c r="S169" s="841" t="s">
        <v>1520</v>
      </c>
      <c r="T169" s="841" t="s">
        <v>1390</v>
      </c>
      <c r="U169" s="841">
        <v>291199</v>
      </c>
      <c r="V169" s="841">
        <v>271363</v>
      </c>
      <c r="W169" s="841" t="s">
        <v>1716</v>
      </c>
      <c r="X169" s="841" t="s">
        <v>1435</v>
      </c>
      <c r="Y169" s="841" t="s">
        <v>353</v>
      </c>
      <c r="Z169" s="841" t="s">
        <v>353</v>
      </c>
      <c r="AA169" s="841" t="s">
        <v>33</v>
      </c>
      <c r="AB169" s="841" t="s">
        <v>353</v>
      </c>
      <c r="AC169" s="841">
        <v>505500</v>
      </c>
      <c r="AD169" s="841">
        <v>1750</v>
      </c>
      <c r="AE169" s="841" t="s">
        <v>33</v>
      </c>
      <c r="AF169" s="841" t="s">
        <v>353</v>
      </c>
      <c r="AG169" s="841" t="s">
        <v>353</v>
      </c>
      <c r="AH169" s="841">
        <v>2056</v>
      </c>
      <c r="AI169" s="841" t="s">
        <v>1521</v>
      </c>
      <c r="AJ169" s="841" t="s">
        <v>353</v>
      </c>
      <c r="AK169" s="841">
        <v>65</v>
      </c>
      <c r="AL169" s="841" t="s">
        <v>353</v>
      </c>
      <c r="AM169" s="841" t="s">
        <v>353</v>
      </c>
      <c r="AN169" s="841" t="s">
        <v>353</v>
      </c>
      <c r="AO169" s="841" t="s">
        <v>353</v>
      </c>
      <c r="AP169" s="841" t="s">
        <v>353</v>
      </c>
      <c r="AQ169" s="841" t="s">
        <v>353</v>
      </c>
      <c r="AR169" s="841" t="s">
        <v>33</v>
      </c>
      <c r="AS169" s="841" t="s">
        <v>353</v>
      </c>
      <c r="AT169" s="841" t="s">
        <v>353</v>
      </c>
      <c r="AU169" s="841" t="s">
        <v>353</v>
      </c>
      <c r="AV169" s="841" t="s">
        <v>353</v>
      </c>
      <c r="AW169" s="843">
        <v>44533</v>
      </c>
      <c r="AX169" s="841" t="s">
        <v>353</v>
      </c>
      <c r="AY169" s="841" t="s">
        <v>353</v>
      </c>
      <c r="AZ169" s="841" t="s">
        <v>353</v>
      </c>
      <c r="BA169" s="841" t="s">
        <v>353</v>
      </c>
      <c r="BB169" s="841" t="s">
        <v>353</v>
      </c>
      <c r="BC169" s="841">
        <v>932698</v>
      </c>
      <c r="BD169" s="841" t="s">
        <v>353</v>
      </c>
      <c r="BE169" s="841" t="s">
        <v>353</v>
      </c>
      <c r="BF169" s="841" t="s">
        <v>353</v>
      </c>
      <c r="BG169" s="841" t="s">
        <v>353</v>
      </c>
      <c r="BH169" s="841" t="s">
        <v>353</v>
      </c>
      <c r="BI169" s="841" t="s">
        <v>353</v>
      </c>
      <c r="BJ169" s="841" t="s">
        <v>353</v>
      </c>
      <c r="BK169" s="841">
        <v>371189</v>
      </c>
      <c r="BL169" s="841" t="s">
        <v>2838</v>
      </c>
      <c r="BM169" s="842">
        <v>44530.574305555558</v>
      </c>
      <c r="BN169" s="841" t="s">
        <v>353</v>
      </c>
      <c r="BO169" s="841" t="s">
        <v>353</v>
      </c>
      <c r="BP169" s="841" t="s">
        <v>353</v>
      </c>
      <c r="BQ169" s="841" t="s">
        <v>353</v>
      </c>
      <c r="BR169" s="841" t="s">
        <v>353</v>
      </c>
      <c r="BS169" s="841" t="s">
        <v>353</v>
      </c>
      <c r="BT169" s="841">
        <v>1011000</v>
      </c>
      <c r="BU169" s="841" t="s">
        <v>353</v>
      </c>
      <c r="BV169" s="841" t="s">
        <v>2503</v>
      </c>
      <c r="BW169" s="841" t="s">
        <v>353</v>
      </c>
      <c r="BX169" s="841" t="s">
        <v>2948</v>
      </c>
      <c r="BY169" s="841" t="s">
        <v>353</v>
      </c>
      <c r="BZ169" s="841" t="s">
        <v>353</v>
      </c>
      <c r="CA169" s="841" t="s">
        <v>353</v>
      </c>
      <c r="CB169" s="841" t="s">
        <v>353</v>
      </c>
      <c r="CC169" s="841" t="s">
        <v>353</v>
      </c>
      <c r="CD169" s="841" t="s">
        <v>353</v>
      </c>
      <c r="CE169" s="841" t="s">
        <v>353</v>
      </c>
      <c r="CF169" s="841" t="s">
        <v>353</v>
      </c>
      <c r="CG169" s="841" t="s">
        <v>353</v>
      </c>
      <c r="CH169" s="841" t="s">
        <v>353</v>
      </c>
      <c r="CI169" s="841" t="s">
        <v>33</v>
      </c>
      <c r="CJ169" s="841" t="s">
        <v>353</v>
      </c>
      <c r="CK169" s="841">
        <v>0</v>
      </c>
      <c r="CL169" s="841" t="s">
        <v>353</v>
      </c>
      <c r="CM169" s="841">
        <v>2</v>
      </c>
      <c r="CN169" s="841" t="s">
        <v>353</v>
      </c>
      <c r="CO169" s="841" t="s">
        <v>353</v>
      </c>
      <c r="CP169" s="841" t="s">
        <v>2949</v>
      </c>
      <c r="CQ169" s="841" t="s">
        <v>353</v>
      </c>
      <c r="CR169" s="841" t="s">
        <v>353</v>
      </c>
      <c r="CS169" s="841" t="s">
        <v>353</v>
      </c>
      <c r="CT169" s="841" t="s">
        <v>353</v>
      </c>
      <c r="CU169" s="841" t="s">
        <v>1391</v>
      </c>
      <c r="CV169" s="841" t="s">
        <v>353</v>
      </c>
      <c r="CW169" s="841" t="s">
        <v>353</v>
      </c>
      <c r="CX169" s="841" t="s">
        <v>353</v>
      </c>
      <c r="CY169" s="841" t="s">
        <v>353</v>
      </c>
      <c r="CZ169" s="841">
        <v>4</v>
      </c>
      <c r="DA169" s="841" t="s">
        <v>353</v>
      </c>
      <c r="DB169" s="841" t="s">
        <v>353</v>
      </c>
      <c r="DC169" s="841" t="s">
        <v>353</v>
      </c>
      <c r="DD169" s="841" t="s">
        <v>353</v>
      </c>
      <c r="DE169" s="841" t="s">
        <v>353</v>
      </c>
      <c r="DF169" s="841">
        <v>30</v>
      </c>
      <c r="DG169" s="841" t="s">
        <v>353</v>
      </c>
      <c r="DH169" s="841" t="s">
        <v>353</v>
      </c>
      <c r="DI169" s="841" t="s">
        <v>353</v>
      </c>
      <c r="DJ169" s="841" t="s">
        <v>2841</v>
      </c>
      <c r="DK169" s="841" t="s">
        <v>353</v>
      </c>
      <c r="DL169" s="842">
        <v>44522.574305555558</v>
      </c>
      <c r="DM169" s="841" t="s">
        <v>353</v>
      </c>
      <c r="DN169" s="841" t="s">
        <v>33</v>
      </c>
      <c r="DO169" s="841" t="s">
        <v>673</v>
      </c>
      <c r="DP169" s="841" t="s">
        <v>353</v>
      </c>
      <c r="DQ169" s="841" t="s">
        <v>1451</v>
      </c>
      <c r="DR169" s="841" t="s">
        <v>353</v>
      </c>
      <c r="DS169" s="841">
        <v>30</v>
      </c>
      <c r="DT169" s="841" t="s">
        <v>353</v>
      </c>
      <c r="DU169" s="841" t="s">
        <v>353</v>
      </c>
      <c r="DV169" s="841">
        <v>597096.6</v>
      </c>
      <c r="DW169" s="841">
        <v>1011000</v>
      </c>
      <c r="DX169" s="841" t="s">
        <v>33</v>
      </c>
      <c r="DY169" s="841" t="s">
        <v>353</v>
      </c>
      <c r="DZ169" s="841" t="s">
        <v>353</v>
      </c>
      <c r="EA169" s="841" t="s">
        <v>353</v>
      </c>
      <c r="EB169" s="841" t="s">
        <v>353</v>
      </c>
      <c r="EC169" s="841" t="s">
        <v>353</v>
      </c>
      <c r="ED169" s="841" t="s">
        <v>353</v>
      </c>
      <c r="EE169" s="841" t="s">
        <v>353</v>
      </c>
      <c r="EF169" s="841" t="s">
        <v>353</v>
      </c>
      <c r="EG169" s="841" t="s">
        <v>353</v>
      </c>
      <c r="EH169" s="841" t="s">
        <v>353</v>
      </c>
      <c r="EI169" s="841">
        <v>393683.4</v>
      </c>
      <c r="EJ169" s="841" t="s">
        <v>353</v>
      </c>
      <c r="EK169" s="841" t="s">
        <v>353</v>
      </c>
      <c r="EL169" s="841" t="s">
        <v>1435</v>
      </c>
      <c r="EM169" s="841">
        <v>20220</v>
      </c>
      <c r="EN169" s="841" t="s">
        <v>353</v>
      </c>
      <c r="EO169" s="841" t="s">
        <v>353</v>
      </c>
      <c r="EP169" s="841" t="s">
        <v>353</v>
      </c>
      <c r="EQ169" s="841" t="s">
        <v>1530</v>
      </c>
      <c r="ER169" s="841" t="s">
        <v>353</v>
      </c>
      <c r="ES169" s="841" t="s">
        <v>33</v>
      </c>
      <c r="ET169" s="841" t="s">
        <v>1512</v>
      </c>
      <c r="EU169" s="841" t="s">
        <v>353</v>
      </c>
      <c r="EV169" s="841" t="s">
        <v>353</v>
      </c>
      <c r="EW169" s="841" t="s">
        <v>353</v>
      </c>
      <c r="EX169" s="841" t="s">
        <v>33</v>
      </c>
      <c r="EY169" s="842">
        <v>44539.552083333336</v>
      </c>
      <c r="EZ169" s="841" t="s">
        <v>353</v>
      </c>
      <c r="FA169" s="841" t="s">
        <v>353</v>
      </c>
      <c r="FB169" s="841" t="s">
        <v>353</v>
      </c>
      <c r="FC169" s="841" t="s">
        <v>353</v>
      </c>
      <c r="FD169" s="841" t="s">
        <v>353</v>
      </c>
      <c r="FE169" s="842">
        <v>44522.575694444444</v>
      </c>
      <c r="FF169" s="841" t="s">
        <v>353</v>
      </c>
      <c r="FG169" s="841" t="s">
        <v>353</v>
      </c>
      <c r="FH169" s="841" t="s">
        <v>353</v>
      </c>
      <c r="FI169" s="841" t="s">
        <v>353</v>
      </c>
      <c r="FJ169" s="841" t="s">
        <v>353</v>
      </c>
      <c r="FK169" s="841" t="s">
        <v>353</v>
      </c>
      <c r="FL169" s="841" t="s">
        <v>353</v>
      </c>
      <c r="FM169" s="841" t="s">
        <v>353</v>
      </c>
      <c r="FN169" s="841" t="s">
        <v>353</v>
      </c>
      <c r="FO169" s="841" t="s">
        <v>1729</v>
      </c>
      <c r="FP169" s="841" t="s">
        <v>353</v>
      </c>
      <c r="FQ169" s="841" t="s">
        <v>353</v>
      </c>
      <c r="FR169" s="841" t="s">
        <v>353</v>
      </c>
      <c r="FS169" s="841" t="s">
        <v>353</v>
      </c>
      <c r="FT169" s="841" t="s">
        <v>353</v>
      </c>
      <c r="FU169" s="841" t="s">
        <v>1467</v>
      </c>
      <c r="FV169" s="841" t="s">
        <v>353</v>
      </c>
      <c r="FW169" s="841" t="s">
        <v>353</v>
      </c>
      <c r="FX169" s="841" t="s">
        <v>353</v>
      </c>
      <c r="FY169" s="841" t="s">
        <v>353</v>
      </c>
      <c r="FZ169" s="841" t="s">
        <v>353</v>
      </c>
      <c r="GA169" s="841" t="s">
        <v>353</v>
      </c>
      <c r="GB169" s="841">
        <v>1</v>
      </c>
      <c r="GC169" s="841" t="s">
        <v>353</v>
      </c>
      <c r="GD169" s="841" t="s">
        <v>1417</v>
      </c>
      <c r="GE169" s="841" t="s">
        <v>353</v>
      </c>
      <c r="GF169" s="841" t="s">
        <v>353</v>
      </c>
      <c r="GG169" s="841" t="s">
        <v>353</v>
      </c>
      <c r="GH169" s="841">
        <v>505500</v>
      </c>
      <c r="GI169" s="841" t="s">
        <v>353</v>
      </c>
      <c r="GJ169" s="841" t="s">
        <v>353</v>
      </c>
      <c r="GK169" s="841" t="s">
        <v>353</v>
      </c>
      <c r="GL169" s="841" t="s">
        <v>1453</v>
      </c>
      <c r="GM169" s="841" t="s">
        <v>353</v>
      </c>
      <c r="GN169" s="841" t="s">
        <v>353</v>
      </c>
      <c r="GO169" s="841" t="s">
        <v>353</v>
      </c>
      <c r="GP169" s="841" t="s">
        <v>353</v>
      </c>
      <c r="GQ169" s="841" t="s">
        <v>353</v>
      </c>
      <c r="GR169" s="841" t="s">
        <v>353</v>
      </c>
      <c r="GS169" s="841" t="s">
        <v>2950</v>
      </c>
      <c r="GT169" s="841" t="s">
        <v>353</v>
      </c>
      <c r="GU169" s="841" t="s">
        <v>353</v>
      </c>
      <c r="GV169" s="841" t="s">
        <v>1419</v>
      </c>
      <c r="GW169" s="841" t="s">
        <v>353</v>
      </c>
      <c r="GX169" s="841" t="s">
        <v>2843</v>
      </c>
      <c r="GY169" s="841">
        <v>36</v>
      </c>
      <c r="GZ169" s="841" t="s">
        <v>1716</v>
      </c>
      <c r="HA169" s="841" t="s">
        <v>353</v>
      </c>
      <c r="HB169" s="841">
        <v>575000</v>
      </c>
      <c r="HC169" s="841" t="s">
        <v>1421</v>
      </c>
      <c r="HD169" s="841" t="s">
        <v>2951</v>
      </c>
      <c r="HE169" s="841">
        <v>10110</v>
      </c>
      <c r="HF169" s="841" t="s">
        <v>353</v>
      </c>
      <c r="HG169" s="841">
        <v>4000000</v>
      </c>
      <c r="HH169" s="841" t="s">
        <v>353</v>
      </c>
      <c r="HI169" s="841" t="s">
        <v>1422</v>
      </c>
      <c r="HJ169" s="841" t="s">
        <v>2952</v>
      </c>
      <c r="HK169" s="841">
        <v>1011000</v>
      </c>
      <c r="HL169" s="841" t="s">
        <v>353</v>
      </c>
      <c r="HM169" s="841" t="s">
        <v>1530</v>
      </c>
      <c r="HN169" s="841" t="s">
        <v>353</v>
      </c>
      <c r="HO169" s="841" t="s">
        <v>2953</v>
      </c>
      <c r="HP169" s="841">
        <v>65613.899999999994</v>
      </c>
      <c r="HQ169" s="841" t="s">
        <v>353</v>
      </c>
      <c r="HR169" s="841" t="s">
        <v>353</v>
      </c>
      <c r="HS169" s="841">
        <v>617316.6</v>
      </c>
      <c r="HT169" s="841" t="s">
        <v>353</v>
      </c>
      <c r="HU169" s="841" t="s">
        <v>2843</v>
      </c>
      <c r="HV169" s="841" t="s">
        <v>353</v>
      </c>
      <c r="HW169" s="841">
        <v>575000</v>
      </c>
      <c r="HX169" s="841" t="s">
        <v>353</v>
      </c>
      <c r="HY169" s="841" t="s">
        <v>353</v>
      </c>
      <c r="HZ169" s="841">
        <v>400000</v>
      </c>
      <c r="IA169" s="841" t="s">
        <v>353</v>
      </c>
      <c r="IB169" s="841" t="s">
        <v>1604</v>
      </c>
      <c r="IC169" s="841" t="s">
        <v>353</v>
      </c>
      <c r="ID169" s="841" t="s">
        <v>353</v>
      </c>
      <c r="IE169" s="841" t="s">
        <v>353</v>
      </c>
      <c r="IF169" s="841" t="s">
        <v>353</v>
      </c>
      <c r="IG169" s="841">
        <v>575000</v>
      </c>
      <c r="IH169" s="841" t="s">
        <v>353</v>
      </c>
      <c r="II169" s="841" t="s">
        <v>353</v>
      </c>
      <c r="IJ169" s="841" t="s">
        <v>353</v>
      </c>
      <c r="IK169" s="841" t="s">
        <v>353</v>
      </c>
      <c r="IL169" s="841">
        <v>952918</v>
      </c>
      <c r="IM169" s="841" t="s">
        <v>353</v>
      </c>
      <c r="IN169" s="841" t="s">
        <v>353</v>
      </c>
      <c r="IO169" s="841" t="s">
        <v>353</v>
      </c>
      <c r="IP169" s="841" t="s">
        <v>353</v>
      </c>
      <c r="IQ169" s="841" t="s">
        <v>353</v>
      </c>
      <c r="IR169" s="841">
        <v>6</v>
      </c>
      <c r="IS169" s="841" t="s">
        <v>33</v>
      </c>
      <c r="IT169" s="841" t="s">
        <v>353</v>
      </c>
      <c r="IU169" s="841" t="s">
        <v>353</v>
      </c>
      <c r="IV169" s="841" t="s">
        <v>353</v>
      </c>
      <c r="IW169" s="841" t="s">
        <v>2954</v>
      </c>
      <c r="IX169" s="841" t="s">
        <v>353</v>
      </c>
      <c r="IY169" s="841" t="s">
        <v>1578</v>
      </c>
      <c r="IZ169" s="841" t="s">
        <v>2955</v>
      </c>
      <c r="JA169" s="841">
        <v>1011000</v>
      </c>
      <c r="JB169" s="841" t="s">
        <v>353</v>
      </c>
      <c r="JC169" s="841" t="s">
        <v>353</v>
      </c>
      <c r="JD169" s="841" t="s">
        <v>2197</v>
      </c>
      <c r="JE169" s="841" t="s">
        <v>33</v>
      </c>
      <c r="JF169" s="841" t="s">
        <v>2849</v>
      </c>
      <c r="JG169" s="841" t="s">
        <v>2850</v>
      </c>
      <c r="JH169" s="841" t="s">
        <v>2851</v>
      </c>
      <c r="JI169" s="841" t="s">
        <v>2852</v>
      </c>
    </row>
    <row r="170" spans="1:269" x14ac:dyDescent="0.25">
      <c r="A170" s="841" t="s">
        <v>2956</v>
      </c>
      <c r="B170" s="841" t="s">
        <v>353</v>
      </c>
      <c r="C170" s="841" t="s">
        <v>353</v>
      </c>
      <c r="D170" s="841" t="s">
        <v>353</v>
      </c>
      <c r="E170" s="841" t="s">
        <v>353</v>
      </c>
      <c r="F170" s="841" t="s">
        <v>353</v>
      </c>
      <c r="G170" s="841" t="s">
        <v>1428</v>
      </c>
      <c r="H170" s="841" t="s">
        <v>353</v>
      </c>
      <c r="I170" s="841" t="s">
        <v>353</v>
      </c>
      <c r="J170" s="841" t="s">
        <v>353</v>
      </c>
      <c r="K170" s="841" t="s">
        <v>353</v>
      </c>
      <c r="L170" s="842">
        <v>44599.470138888886</v>
      </c>
      <c r="M170" s="841" t="s">
        <v>353</v>
      </c>
      <c r="N170" s="841" t="s">
        <v>353</v>
      </c>
      <c r="O170" s="841" t="s">
        <v>353</v>
      </c>
      <c r="P170" s="841" t="s">
        <v>353</v>
      </c>
      <c r="Q170" s="841" t="s">
        <v>353</v>
      </c>
      <c r="R170" s="841" t="s">
        <v>353</v>
      </c>
      <c r="S170" s="841" t="s">
        <v>67</v>
      </c>
      <c r="T170" s="841" t="s">
        <v>1390</v>
      </c>
      <c r="U170" s="841" t="s">
        <v>353</v>
      </c>
      <c r="V170" s="841" t="s">
        <v>353</v>
      </c>
      <c r="W170" s="841" t="s">
        <v>353</v>
      </c>
      <c r="X170" s="841" t="s">
        <v>353</v>
      </c>
      <c r="Y170" s="841" t="s">
        <v>353</v>
      </c>
      <c r="Z170" s="841" t="s">
        <v>353</v>
      </c>
      <c r="AA170" s="841" t="s">
        <v>353</v>
      </c>
      <c r="AB170" s="841" t="s">
        <v>353</v>
      </c>
      <c r="AC170" s="841">
        <v>97000</v>
      </c>
      <c r="AD170" s="841" t="s">
        <v>353</v>
      </c>
      <c r="AE170" s="841" t="s">
        <v>353</v>
      </c>
      <c r="AF170" s="841" t="s">
        <v>353</v>
      </c>
      <c r="AG170" s="841" t="s">
        <v>353</v>
      </c>
      <c r="AH170" s="841" t="s">
        <v>353</v>
      </c>
      <c r="AI170" s="841" t="s">
        <v>1521</v>
      </c>
      <c r="AJ170" s="841" t="s">
        <v>353</v>
      </c>
      <c r="AK170" s="841">
        <v>49</v>
      </c>
      <c r="AL170" s="841" t="s">
        <v>353</v>
      </c>
      <c r="AM170" s="841" t="s">
        <v>353</v>
      </c>
      <c r="AN170" s="841" t="s">
        <v>353</v>
      </c>
      <c r="AO170" s="841" t="s">
        <v>353</v>
      </c>
      <c r="AP170" s="841" t="s">
        <v>353</v>
      </c>
      <c r="AQ170" s="841" t="s">
        <v>353</v>
      </c>
      <c r="AR170" s="841" t="s">
        <v>353</v>
      </c>
      <c r="AS170" s="841" t="s">
        <v>353</v>
      </c>
      <c r="AT170" s="841" t="s">
        <v>353</v>
      </c>
      <c r="AU170" s="841" t="s">
        <v>353</v>
      </c>
      <c r="AV170" s="841" t="s">
        <v>353</v>
      </c>
      <c r="AW170" s="841" t="s">
        <v>353</v>
      </c>
      <c r="AX170" s="841" t="s">
        <v>353</v>
      </c>
      <c r="AY170" s="841" t="s">
        <v>353</v>
      </c>
      <c r="AZ170" s="841" t="s">
        <v>353</v>
      </c>
      <c r="BA170" s="841" t="s">
        <v>353</v>
      </c>
      <c r="BB170" s="841" t="s">
        <v>353</v>
      </c>
      <c r="BC170" s="841">
        <v>476513</v>
      </c>
      <c r="BD170" s="841" t="s">
        <v>353</v>
      </c>
      <c r="BE170" s="841" t="s">
        <v>353</v>
      </c>
      <c r="BF170" s="841" t="s">
        <v>353</v>
      </c>
      <c r="BG170" s="841" t="s">
        <v>353</v>
      </c>
      <c r="BH170" s="841" t="s">
        <v>353</v>
      </c>
      <c r="BI170" s="841" t="s">
        <v>353</v>
      </c>
      <c r="BJ170" s="841" t="s">
        <v>353</v>
      </c>
      <c r="BK170" s="841">
        <v>285000</v>
      </c>
      <c r="BL170" s="841" t="s">
        <v>2148</v>
      </c>
      <c r="BM170" s="842">
        <v>44540.414583333331</v>
      </c>
      <c r="BN170" s="841" t="s">
        <v>353</v>
      </c>
      <c r="BO170" s="841" t="s">
        <v>353</v>
      </c>
      <c r="BP170" s="841" t="s">
        <v>353</v>
      </c>
      <c r="BQ170" s="841" t="s">
        <v>353</v>
      </c>
      <c r="BR170" s="841" t="s">
        <v>353</v>
      </c>
      <c r="BS170" s="841" t="s">
        <v>353</v>
      </c>
      <c r="BT170" s="841">
        <v>485000</v>
      </c>
      <c r="BU170" s="841" t="s">
        <v>353</v>
      </c>
      <c r="BV170" s="841" t="s">
        <v>2957</v>
      </c>
      <c r="BW170" s="841" t="s">
        <v>353</v>
      </c>
      <c r="BX170" s="841" t="s">
        <v>353</v>
      </c>
      <c r="BY170" s="841" t="s">
        <v>353</v>
      </c>
      <c r="BZ170" s="841" t="s">
        <v>353</v>
      </c>
      <c r="CA170" s="841" t="s">
        <v>353</v>
      </c>
      <c r="CB170" s="841" t="s">
        <v>353</v>
      </c>
      <c r="CC170" s="841" t="s">
        <v>353</v>
      </c>
      <c r="CD170" s="841" t="s">
        <v>353</v>
      </c>
      <c r="CE170" s="841" t="s">
        <v>353</v>
      </c>
      <c r="CF170" s="841" t="s">
        <v>353</v>
      </c>
      <c r="CG170" s="841" t="s">
        <v>353</v>
      </c>
      <c r="CH170" s="841" t="s">
        <v>353</v>
      </c>
      <c r="CI170" s="841" t="s">
        <v>353</v>
      </c>
      <c r="CJ170" s="841" t="s">
        <v>353</v>
      </c>
      <c r="CK170" s="841">
        <v>7</v>
      </c>
      <c r="CL170" s="841" t="s">
        <v>353</v>
      </c>
      <c r="CM170" s="841">
        <v>10</v>
      </c>
      <c r="CN170" s="841" t="s">
        <v>353</v>
      </c>
      <c r="CO170" s="841" t="s">
        <v>353</v>
      </c>
      <c r="CP170" s="841" t="s">
        <v>2958</v>
      </c>
      <c r="CQ170" s="841" t="s">
        <v>353</v>
      </c>
      <c r="CR170" s="841" t="s">
        <v>353</v>
      </c>
      <c r="CS170" s="841" t="s">
        <v>353</v>
      </c>
      <c r="CT170" s="841" t="s">
        <v>353</v>
      </c>
      <c r="CU170" s="841" t="s">
        <v>1391</v>
      </c>
      <c r="CV170" s="841" t="s">
        <v>353</v>
      </c>
      <c r="CW170" s="841" t="s">
        <v>353</v>
      </c>
      <c r="CX170" s="841" t="s">
        <v>353</v>
      </c>
      <c r="CY170" s="841" t="s">
        <v>353</v>
      </c>
      <c r="CZ170" s="841" t="s">
        <v>353</v>
      </c>
      <c r="DA170" s="841" t="s">
        <v>353</v>
      </c>
      <c r="DB170" s="841" t="s">
        <v>353</v>
      </c>
      <c r="DC170" s="841" t="s">
        <v>353</v>
      </c>
      <c r="DD170" s="841" t="s">
        <v>353</v>
      </c>
      <c r="DE170" s="841" t="s">
        <v>353</v>
      </c>
      <c r="DF170" s="841" t="s">
        <v>353</v>
      </c>
      <c r="DG170" s="841" t="s">
        <v>353</v>
      </c>
      <c r="DH170" s="841" t="s">
        <v>353</v>
      </c>
      <c r="DI170" s="841" t="s">
        <v>353</v>
      </c>
      <c r="DJ170" s="841" t="s">
        <v>2959</v>
      </c>
      <c r="DK170" s="841" t="s">
        <v>353</v>
      </c>
      <c r="DL170" s="842">
        <v>44518.726388888892</v>
      </c>
      <c r="DM170" s="841" t="s">
        <v>353</v>
      </c>
      <c r="DN170" s="841" t="s">
        <v>353</v>
      </c>
      <c r="DO170" s="841" t="s">
        <v>353</v>
      </c>
      <c r="DP170" s="841" t="s">
        <v>353</v>
      </c>
      <c r="DQ170" s="841" t="s">
        <v>1434</v>
      </c>
      <c r="DR170" s="841">
        <v>1000000</v>
      </c>
      <c r="DS170" s="841" t="s">
        <v>353</v>
      </c>
      <c r="DT170" s="841" t="s">
        <v>353</v>
      </c>
      <c r="DU170" s="841" t="s">
        <v>353</v>
      </c>
      <c r="DV170" s="841" t="s">
        <v>353</v>
      </c>
      <c r="DW170" s="841">
        <v>485000</v>
      </c>
      <c r="DX170" s="841" t="s">
        <v>353</v>
      </c>
      <c r="DY170" s="841" t="s">
        <v>353</v>
      </c>
      <c r="DZ170" s="841" t="s">
        <v>353</v>
      </c>
      <c r="EA170" s="841" t="s">
        <v>353</v>
      </c>
      <c r="EB170" s="841" t="s">
        <v>353</v>
      </c>
      <c r="EC170" s="841" t="s">
        <v>353</v>
      </c>
      <c r="ED170" s="841" t="s">
        <v>353</v>
      </c>
      <c r="EE170" s="841" t="s">
        <v>353</v>
      </c>
      <c r="EF170" s="841" t="s">
        <v>353</v>
      </c>
      <c r="EG170" s="841" t="s">
        <v>353</v>
      </c>
      <c r="EH170" s="841" t="s">
        <v>353</v>
      </c>
      <c r="EI170" s="841" t="s">
        <v>353</v>
      </c>
      <c r="EJ170" s="841" t="s">
        <v>353</v>
      </c>
      <c r="EK170" s="841" t="s">
        <v>353</v>
      </c>
      <c r="EL170" s="841" t="s">
        <v>353</v>
      </c>
      <c r="EM170" s="841" t="s">
        <v>353</v>
      </c>
      <c r="EN170" s="841" t="s">
        <v>353</v>
      </c>
      <c r="EO170" s="841" t="s">
        <v>353</v>
      </c>
      <c r="EP170" s="841" t="s">
        <v>353</v>
      </c>
      <c r="EQ170" s="841" t="s">
        <v>353</v>
      </c>
      <c r="ER170" s="841" t="s">
        <v>353</v>
      </c>
      <c r="ES170" s="841" t="s">
        <v>353</v>
      </c>
      <c r="ET170" s="841" t="s">
        <v>1496</v>
      </c>
      <c r="EU170" s="841" t="s">
        <v>353</v>
      </c>
      <c r="EV170" s="841" t="s">
        <v>353</v>
      </c>
      <c r="EW170" s="841" t="s">
        <v>353</v>
      </c>
      <c r="EX170" s="841" t="s">
        <v>353</v>
      </c>
      <c r="EY170" s="842">
        <v>44588.542361111111</v>
      </c>
      <c r="EZ170" s="841" t="s">
        <v>353</v>
      </c>
      <c r="FA170" s="841" t="s">
        <v>353</v>
      </c>
      <c r="FB170" s="841" t="s">
        <v>353</v>
      </c>
      <c r="FC170" s="841" t="s">
        <v>353</v>
      </c>
      <c r="FD170" s="841" t="s">
        <v>353</v>
      </c>
      <c r="FE170" s="842">
        <v>44518.727083333331</v>
      </c>
      <c r="FF170" s="841" t="s">
        <v>353</v>
      </c>
      <c r="FG170" s="841" t="s">
        <v>353</v>
      </c>
      <c r="FH170" s="841" t="s">
        <v>353</v>
      </c>
      <c r="FI170" s="841" t="s">
        <v>353</v>
      </c>
      <c r="FJ170" s="841" t="s">
        <v>353</v>
      </c>
      <c r="FK170" s="841" t="s">
        <v>353</v>
      </c>
      <c r="FL170" s="841" t="s">
        <v>353</v>
      </c>
      <c r="FM170" s="841" t="s">
        <v>2927</v>
      </c>
      <c r="FN170" s="841" t="s">
        <v>353</v>
      </c>
      <c r="FO170" s="841" t="s">
        <v>353</v>
      </c>
      <c r="FP170" s="841" t="s">
        <v>353</v>
      </c>
      <c r="FQ170" s="841" t="s">
        <v>353</v>
      </c>
      <c r="FR170" s="841" t="s">
        <v>353</v>
      </c>
      <c r="FS170" s="841" t="s">
        <v>353</v>
      </c>
      <c r="FT170" s="841" t="s">
        <v>353</v>
      </c>
      <c r="FU170" s="841" t="s">
        <v>1416</v>
      </c>
      <c r="FV170" s="841" t="s">
        <v>353</v>
      </c>
      <c r="FW170" s="841" t="s">
        <v>353</v>
      </c>
      <c r="FX170" s="841" t="s">
        <v>353</v>
      </c>
      <c r="FY170" s="841" t="s">
        <v>353</v>
      </c>
      <c r="FZ170" s="841" t="s">
        <v>353</v>
      </c>
      <c r="GA170" s="841" t="s">
        <v>353</v>
      </c>
      <c r="GB170" s="841">
        <v>1</v>
      </c>
      <c r="GC170" s="841" t="s">
        <v>353</v>
      </c>
      <c r="GD170" s="841" t="s">
        <v>1417</v>
      </c>
      <c r="GE170" s="841" t="s">
        <v>353</v>
      </c>
      <c r="GF170" s="841" t="s">
        <v>353</v>
      </c>
      <c r="GG170" s="841" t="s">
        <v>353</v>
      </c>
      <c r="GH170" s="841">
        <v>97000</v>
      </c>
      <c r="GI170" s="841" t="s">
        <v>353</v>
      </c>
      <c r="GJ170" s="841" t="s">
        <v>353</v>
      </c>
      <c r="GK170" s="841" t="s">
        <v>353</v>
      </c>
      <c r="GL170" s="841" t="s">
        <v>1418</v>
      </c>
      <c r="GM170" s="841" t="s">
        <v>353</v>
      </c>
      <c r="GN170" s="841" t="s">
        <v>353</v>
      </c>
      <c r="GO170" s="841" t="s">
        <v>353</v>
      </c>
      <c r="GP170" s="841" t="s">
        <v>353</v>
      </c>
      <c r="GQ170" s="841" t="s">
        <v>353</v>
      </c>
      <c r="GR170" s="842">
        <v>44538.625</v>
      </c>
      <c r="GS170" s="841" t="s">
        <v>2960</v>
      </c>
      <c r="GT170" s="841" t="s">
        <v>353</v>
      </c>
      <c r="GU170" s="841" t="s">
        <v>353</v>
      </c>
      <c r="GV170" s="841" t="s">
        <v>1419</v>
      </c>
      <c r="GW170" s="841" t="s">
        <v>353</v>
      </c>
      <c r="GX170" s="841" t="s">
        <v>2961</v>
      </c>
      <c r="GY170" s="841">
        <v>24</v>
      </c>
      <c r="GZ170" s="841" t="s">
        <v>1413</v>
      </c>
      <c r="HA170" s="841" t="s">
        <v>353</v>
      </c>
      <c r="HB170" s="841" t="s">
        <v>353</v>
      </c>
      <c r="HC170" s="841" t="s">
        <v>1421</v>
      </c>
      <c r="HD170" s="841" t="s">
        <v>2962</v>
      </c>
      <c r="HE170" s="841" t="s">
        <v>353</v>
      </c>
      <c r="HF170" s="841" t="s">
        <v>353</v>
      </c>
      <c r="HG170" s="841" t="s">
        <v>353</v>
      </c>
      <c r="HH170" s="841" t="s">
        <v>353</v>
      </c>
      <c r="HI170" s="841" t="s">
        <v>1422</v>
      </c>
      <c r="HJ170" s="841" t="s">
        <v>353</v>
      </c>
      <c r="HK170" s="841">
        <v>485000</v>
      </c>
      <c r="HL170" s="841" t="s">
        <v>353</v>
      </c>
      <c r="HM170" s="841" t="s">
        <v>353</v>
      </c>
      <c r="HN170" s="841" t="s">
        <v>353</v>
      </c>
      <c r="HO170" s="841" t="s">
        <v>353</v>
      </c>
      <c r="HP170" s="841" t="s">
        <v>353</v>
      </c>
      <c r="HQ170" s="841" t="s">
        <v>353</v>
      </c>
      <c r="HR170" s="841" t="s">
        <v>353</v>
      </c>
      <c r="HS170" s="841" t="s">
        <v>353</v>
      </c>
      <c r="HT170" s="841" t="s">
        <v>353</v>
      </c>
      <c r="HU170" s="841" t="s">
        <v>353</v>
      </c>
      <c r="HV170" s="841" t="s">
        <v>353</v>
      </c>
      <c r="HW170" s="841">
        <v>1000000</v>
      </c>
      <c r="HX170" s="841" t="s">
        <v>353</v>
      </c>
      <c r="HY170" s="841" t="s">
        <v>353</v>
      </c>
      <c r="HZ170" s="841" t="s">
        <v>353</v>
      </c>
      <c r="IA170" s="841" t="s">
        <v>353</v>
      </c>
      <c r="IB170" s="841" t="s">
        <v>1424</v>
      </c>
      <c r="IC170" s="841" t="s">
        <v>353</v>
      </c>
      <c r="ID170" s="841" t="s">
        <v>353</v>
      </c>
      <c r="IE170" s="841" t="s">
        <v>353</v>
      </c>
      <c r="IF170" s="841" t="s">
        <v>353</v>
      </c>
      <c r="IG170" s="841" t="s">
        <v>353</v>
      </c>
      <c r="IH170" s="841" t="s">
        <v>353</v>
      </c>
      <c r="II170" s="841" t="s">
        <v>353</v>
      </c>
      <c r="IJ170" s="841" t="s">
        <v>353</v>
      </c>
      <c r="IK170" s="841" t="s">
        <v>353</v>
      </c>
      <c r="IL170" s="841" t="s">
        <v>353</v>
      </c>
      <c r="IM170" s="841" t="s">
        <v>353</v>
      </c>
      <c r="IN170" s="841" t="s">
        <v>353</v>
      </c>
      <c r="IO170" s="841" t="s">
        <v>353</v>
      </c>
      <c r="IP170" s="841" t="s">
        <v>353</v>
      </c>
      <c r="IQ170" s="841" t="s">
        <v>353</v>
      </c>
      <c r="IR170" s="841" t="s">
        <v>353</v>
      </c>
      <c r="IS170" s="841" t="s">
        <v>353</v>
      </c>
      <c r="IT170" s="841" t="s">
        <v>353</v>
      </c>
      <c r="IU170" s="841" t="s">
        <v>353</v>
      </c>
      <c r="IV170" s="841" t="s">
        <v>353</v>
      </c>
      <c r="IW170" s="841" t="s">
        <v>353</v>
      </c>
      <c r="IX170" s="841" t="s">
        <v>353</v>
      </c>
      <c r="IY170" s="841" t="s">
        <v>1622</v>
      </c>
      <c r="IZ170" s="841" t="s">
        <v>353</v>
      </c>
      <c r="JA170" s="841">
        <v>485000</v>
      </c>
      <c r="JB170" s="841" t="s">
        <v>353</v>
      </c>
      <c r="JC170" s="841" t="s">
        <v>353</v>
      </c>
      <c r="JD170" s="841" t="s">
        <v>353</v>
      </c>
      <c r="JE170" s="841" t="s">
        <v>353</v>
      </c>
      <c r="JF170" s="841" t="s">
        <v>2153</v>
      </c>
      <c r="JG170" s="841" t="s">
        <v>2154</v>
      </c>
      <c r="JH170" s="841" t="s">
        <v>2155</v>
      </c>
      <c r="JI170" s="841" t="s">
        <v>2156</v>
      </c>
    </row>
    <row r="171" spans="1:269" x14ac:dyDescent="0.25">
      <c r="A171" s="841" t="s">
        <v>2963</v>
      </c>
      <c r="B171" s="841" t="s">
        <v>353</v>
      </c>
      <c r="C171" s="841" t="s">
        <v>353</v>
      </c>
      <c r="D171" s="841" t="s">
        <v>353</v>
      </c>
      <c r="E171" s="841" t="s">
        <v>33</v>
      </c>
      <c r="F171" s="841" t="s">
        <v>1405</v>
      </c>
      <c r="G171" s="841" t="s">
        <v>2086</v>
      </c>
      <c r="H171" s="841" t="s">
        <v>353</v>
      </c>
      <c r="I171" s="841" t="s">
        <v>33</v>
      </c>
      <c r="J171" s="841" t="s">
        <v>353</v>
      </c>
      <c r="K171" s="841" t="s">
        <v>2167</v>
      </c>
      <c r="L171" s="842">
        <v>44600.885416666664</v>
      </c>
      <c r="M171" s="841" t="s">
        <v>353</v>
      </c>
      <c r="N171" s="841" t="s">
        <v>33</v>
      </c>
      <c r="O171" s="841" t="s">
        <v>353</v>
      </c>
      <c r="P171" s="841" t="s">
        <v>33</v>
      </c>
      <c r="Q171" s="841" t="s">
        <v>353</v>
      </c>
      <c r="R171" s="841" t="s">
        <v>353</v>
      </c>
      <c r="S171" s="841" t="s">
        <v>64</v>
      </c>
      <c r="T171" s="841" t="s">
        <v>1390</v>
      </c>
      <c r="U171" s="841" t="s">
        <v>353</v>
      </c>
      <c r="V171" s="841" t="s">
        <v>353</v>
      </c>
      <c r="W171" s="841" t="s">
        <v>353</v>
      </c>
      <c r="X171" s="841" t="s">
        <v>1405</v>
      </c>
      <c r="Y171" s="841" t="s">
        <v>353</v>
      </c>
      <c r="Z171" s="841" t="s">
        <v>353</v>
      </c>
      <c r="AA171" s="841" t="s">
        <v>33</v>
      </c>
      <c r="AB171" s="843">
        <v>44538</v>
      </c>
      <c r="AC171" s="841">
        <v>131000</v>
      </c>
      <c r="AD171" s="841" t="s">
        <v>353</v>
      </c>
      <c r="AE171" s="841" t="s">
        <v>33</v>
      </c>
      <c r="AF171" s="841">
        <v>578</v>
      </c>
      <c r="AG171" s="841" t="s">
        <v>353</v>
      </c>
      <c r="AH171" s="841">
        <v>1000</v>
      </c>
      <c r="AI171" s="841" t="s">
        <v>1521</v>
      </c>
      <c r="AJ171" s="841" t="s">
        <v>2198</v>
      </c>
      <c r="AK171" s="841">
        <v>75</v>
      </c>
      <c r="AL171" s="841" t="s">
        <v>353</v>
      </c>
      <c r="AM171" s="841">
        <v>150000</v>
      </c>
      <c r="AN171" s="841" t="s">
        <v>33</v>
      </c>
      <c r="AO171" s="841" t="s">
        <v>353</v>
      </c>
      <c r="AP171" s="841" t="s">
        <v>353</v>
      </c>
      <c r="AQ171" s="841" t="s">
        <v>353</v>
      </c>
      <c r="AR171" s="841" t="s">
        <v>33</v>
      </c>
      <c r="AS171" s="841" t="s">
        <v>353</v>
      </c>
      <c r="AT171" s="841" t="s">
        <v>353</v>
      </c>
      <c r="AU171" s="841" t="s">
        <v>353</v>
      </c>
      <c r="AV171" s="841" t="s">
        <v>353</v>
      </c>
      <c r="AW171" s="843">
        <v>44518</v>
      </c>
      <c r="AX171" s="841" t="s">
        <v>353</v>
      </c>
      <c r="AY171" s="841" t="s">
        <v>353</v>
      </c>
      <c r="AZ171" s="841" t="s">
        <v>353</v>
      </c>
      <c r="BA171" s="841" t="s">
        <v>353</v>
      </c>
      <c r="BB171" s="841" t="s">
        <v>353</v>
      </c>
      <c r="BC171" s="841">
        <v>128707</v>
      </c>
      <c r="BD171" s="841" t="s">
        <v>353</v>
      </c>
      <c r="BE171" s="841" t="s">
        <v>353</v>
      </c>
      <c r="BF171" s="841" t="s">
        <v>353</v>
      </c>
      <c r="BG171" s="841" t="s">
        <v>353</v>
      </c>
      <c r="BH171" s="841" t="s">
        <v>353</v>
      </c>
      <c r="BI171" s="841" t="s">
        <v>353</v>
      </c>
      <c r="BJ171" s="841" t="s">
        <v>353</v>
      </c>
      <c r="BK171" s="841" t="s">
        <v>353</v>
      </c>
      <c r="BL171" s="841" t="s">
        <v>2964</v>
      </c>
      <c r="BM171" s="842">
        <v>44567.695138888892</v>
      </c>
      <c r="BN171" s="841" t="s">
        <v>353</v>
      </c>
      <c r="BO171" s="841" t="s">
        <v>353</v>
      </c>
      <c r="BP171" s="841" t="s">
        <v>673</v>
      </c>
      <c r="BQ171" s="841" t="s">
        <v>353</v>
      </c>
      <c r="BR171" s="841" t="s">
        <v>353</v>
      </c>
      <c r="BS171" s="841" t="s">
        <v>353</v>
      </c>
      <c r="BT171" s="841">
        <v>162815</v>
      </c>
      <c r="BU171" s="841" t="s">
        <v>353</v>
      </c>
      <c r="BV171" s="841" t="s">
        <v>2965</v>
      </c>
      <c r="BW171" s="841" t="s">
        <v>1578</v>
      </c>
      <c r="BX171" s="841" t="s">
        <v>2966</v>
      </c>
      <c r="BY171" s="841" t="s">
        <v>353</v>
      </c>
      <c r="BZ171" s="841" t="s">
        <v>353</v>
      </c>
      <c r="CA171" s="841" t="s">
        <v>353</v>
      </c>
      <c r="CB171" s="841" t="s">
        <v>353</v>
      </c>
      <c r="CC171" s="841" t="s">
        <v>353</v>
      </c>
      <c r="CD171" s="841" t="s">
        <v>353</v>
      </c>
      <c r="CE171" s="841" t="s">
        <v>353</v>
      </c>
      <c r="CF171" s="841" t="s">
        <v>353</v>
      </c>
      <c r="CG171" s="841" t="s">
        <v>353</v>
      </c>
      <c r="CH171" s="841" t="s">
        <v>353</v>
      </c>
      <c r="CI171" s="841" t="s">
        <v>33</v>
      </c>
      <c r="CJ171" s="841">
        <v>720</v>
      </c>
      <c r="CK171" s="841">
        <v>0</v>
      </c>
      <c r="CL171" s="841" t="s">
        <v>353</v>
      </c>
      <c r="CM171" s="841">
        <v>3</v>
      </c>
      <c r="CN171" s="841" t="s">
        <v>353</v>
      </c>
      <c r="CO171" s="841" t="s">
        <v>353</v>
      </c>
      <c r="CP171" s="841" t="s">
        <v>2967</v>
      </c>
      <c r="CQ171" s="841" t="s">
        <v>353</v>
      </c>
      <c r="CR171" s="841" t="s">
        <v>353</v>
      </c>
      <c r="CS171" s="841" t="s">
        <v>353</v>
      </c>
      <c r="CT171" s="841" t="s">
        <v>353</v>
      </c>
      <c r="CU171" s="841" t="s">
        <v>1391</v>
      </c>
      <c r="CV171" s="841" t="s">
        <v>353</v>
      </c>
      <c r="CW171" s="841" t="s">
        <v>353</v>
      </c>
      <c r="CX171" s="841" t="s">
        <v>353</v>
      </c>
      <c r="CY171" s="841" t="s">
        <v>353</v>
      </c>
      <c r="CZ171" s="841">
        <v>1</v>
      </c>
      <c r="DA171" s="841" t="s">
        <v>353</v>
      </c>
      <c r="DB171" s="843">
        <v>44526</v>
      </c>
      <c r="DC171" s="841" t="s">
        <v>353</v>
      </c>
      <c r="DD171" s="841" t="s">
        <v>353</v>
      </c>
      <c r="DE171" s="841" t="s">
        <v>353</v>
      </c>
      <c r="DF171" s="841">
        <v>24</v>
      </c>
      <c r="DG171" s="841" t="s">
        <v>353</v>
      </c>
      <c r="DH171" s="841" t="s">
        <v>353</v>
      </c>
      <c r="DI171" s="841" t="s">
        <v>353</v>
      </c>
      <c r="DJ171" s="841" t="s">
        <v>2968</v>
      </c>
      <c r="DK171" s="841" t="s">
        <v>353</v>
      </c>
      <c r="DL171" s="842">
        <v>44518.697222222225</v>
      </c>
      <c r="DM171" s="841" t="s">
        <v>353</v>
      </c>
      <c r="DN171" s="841" t="s">
        <v>33</v>
      </c>
      <c r="DO171" s="841" t="s">
        <v>353</v>
      </c>
      <c r="DP171" s="841" t="s">
        <v>353</v>
      </c>
      <c r="DQ171" s="841" t="s">
        <v>673</v>
      </c>
      <c r="DR171" s="841">
        <v>239735</v>
      </c>
      <c r="DS171" s="841">
        <v>24</v>
      </c>
      <c r="DT171" s="841" t="s">
        <v>353</v>
      </c>
      <c r="DU171" s="841" t="s">
        <v>353</v>
      </c>
      <c r="DV171" s="841" t="s">
        <v>353</v>
      </c>
      <c r="DW171" s="841">
        <v>131000</v>
      </c>
      <c r="DX171" s="841" t="s">
        <v>33</v>
      </c>
      <c r="DY171" s="841" t="s">
        <v>353</v>
      </c>
      <c r="DZ171" s="841">
        <v>1800</v>
      </c>
      <c r="EA171" s="841" t="s">
        <v>353</v>
      </c>
      <c r="EB171" s="841" t="s">
        <v>353</v>
      </c>
      <c r="EC171" s="841" t="s">
        <v>353</v>
      </c>
      <c r="ED171" s="841" t="s">
        <v>353</v>
      </c>
      <c r="EE171" s="841" t="s">
        <v>33</v>
      </c>
      <c r="EF171" s="841" t="s">
        <v>353</v>
      </c>
      <c r="EG171" s="841" t="s">
        <v>353</v>
      </c>
      <c r="EH171" s="841" t="s">
        <v>33</v>
      </c>
      <c r="EI171" s="841">
        <v>0</v>
      </c>
      <c r="EJ171" s="841" t="s">
        <v>353</v>
      </c>
      <c r="EK171" s="841" t="s">
        <v>353</v>
      </c>
      <c r="EL171" s="841" t="s">
        <v>1930</v>
      </c>
      <c r="EM171" s="841" t="s">
        <v>353</v>
      </c>
      <c r="EN171" s="841" t="s">
        <v>353</v>
      </c>
      <c r="EO171" s="841" t="s">
        <v>353</v>
      </c>
      <c r="EP171" s="841" t="s">
        <v>353</v>
      </c>
      <c r="EQ171" s="841" t="s">
        <v>353</v>
      </c>
      <c r="ER171" s="841" t="s">
        <v>33</v>
      </c>
      <c r="ES171" s="841" t="s">
        <v>33</v>
      </c>
      <c r="ET171" s="841" t="s">
        <v>1496</v>
      </c>
      <c r="EU171" s="841" t="s">
        <v>2797</v>
      </c>
      <c r="EV171" s="841" t="s">
        <v>353</v>
      </c>
      <c r="EW171" s="841" t="s">
        <v>353</v>
      </c>
      <c r="EX171" s="841" t="s">
        <v>33</v>
      </c>
      <c r="EY171" s="842">
        <v>44573.693749999999</v>
      </c>
      <c r="EZ171" s="841" t="s">
        <v>353</v>
      </c>
      <c r="FA171" s="841" t="s">
        <v>353</v>
      </c>
      <c r="FB171" s="841" t="s">
        <v>353</v>
      </c>
      <c r="FC171" s="841" t="s">
        <v>353</v>
      </c>
      <c r="FD171" s="841">
        <v>175000</v>
      </c>
      <c r="FE171" s="842">
        <v>44518.698611111111</v>
      </c>
      <c r="FF171" s="841" t="s">
        <v>353</v>
      </c>
      <c r="FG171" s="841" t="s">
        <v>353</v>
      </c>
      <c r="FH171" s="841" t="s">
        <v>353</v>
      </c>
      <c r="FI171" s="841" t="s">
        <v>353</v>
      </c>
      <c r="FJ171" s="841" t="s">
        <v>353</v>
      </c>
      <c r="FK171" s="841" t="s">
        <v>353</v>
      </c>
      <c r="FL171" s="841" t="s">
        <v>353</v>
      </c>
      <c r="FM171" s="841" t="s">
        <v>353</v>
      </c>
      <c r="FN171" s="841" t="s">
        <v>353</v>
      </c>
      <c r="FO171" s="841" t="s">
        <v>1648</v>
      </c>
      <c r="FP171" s="841" t="s">
        <v>2175</v>
      </c>
      <c r="FQ171" s="841" t="s">
        <v>353</v>
      </c>
      <c r="FR171" s="841" t="s">
        <v>353</v>
      </c>
      <c r="FS171" s="841" t="s">
        <v>353</v>
      </c>
      <c r="FT171" s="841" t="s">
        <v>353</v>
      </c>
      <c r="FU171" s="841" t="s">
        <v>2176</v>
      </c>
      <c r="FV171" s="841" t="s">
        <v>353</v>
      </c>
      <c r="FW171" s="841" t="s">
        <v>353</v>
      </c>
      <c r="FX171" s="841" t="s">
        <v>353</v>
      </c>
      <c r="FY171" s="841" t="s">
        <v>353</v>
      </c>
      <c r="FZ171" s="841" t="s">
        <v>353</v>
      </c>
      <c r="GA171" s="841" t="s">
        <v>353</v>
      </c>
      <c r="GB171" s="841">
        <v>1</v>
      </c>
      <c r="GC171" s="841" t="s">
        <v>353</v>
      </c>
      <c r="GD171" s="841" t="s">
        <v>1395</v>
      </c>
      <c r="GE171" s="841" t="s">
        <v>353</v>
      </c>
      <c r="GF171" s="841">
        <v>1800</v>
      </c>
      <c r="GG171" s="841" t="s">
        <v>353</v>
      </c>
      <c r="GH171" s="841">
        <v>131000</v>
      </c>
      <c r="GI171" s="841" t="s">
        <v>353</v>
      </c>
      <c r="GJ171" s="841">
        <v>210000</v>
      </c>
      <c r="GK171" s="841" t="s">
        <v>33</v>
      </c>
      <c r="GL171" s="841" t="s">
        <v>1468</v>
      </c>
      <c r="GM171" s="841" t="s">
        <v>353</v>
      </c>
      <c r="GN171" s="841" t="s">
        <v>353</v>
      </c>
      <c r="GO171" s="841" t="s">
        <v>353</v>
      </c>
      <c r="GP171" s="841" t="s">
        <v>353</v>
      </c>
      <c r="GQ171" s="841" t="s">
        <v>353</v>
      </c>
      <c r="GR171" s="841" t="s">
        <v>353</v>
      </c>
      <c r="GS171" s="841" t="s">
        <v>2969</v>
      </c>
      <c r="GT171" s="841" t="s">
        <v>353</v>
      </c>
      <c r="GU171" s="841" t="s">
        <v>353</v>
      </c>
      <c r="GV171" s="841" t="s">
        <v>1419</v>
      </c>
      <c r="GW171" s="841" t="s">
        <v>353</v>
      </c>
      <c r="GX171" s="841" t="s">
        <v>353</v>
      </c>
      <c r="GY171" s="841">
        <v>24</v>
      </c>
      <c r="GZ171" s="841" t="s">
        <v>1420</v>
      </c>
      <c r="HA171" s="841" t="s">
        <v>353</v>
      </c>
      <c r="HB171" s="841" t="s">
        <v>353</v>
      </c>
      <c r="HC171" s="841" t="s">
        <v>1421</v>
      </c>
      <c r="HD171" s="841" t="s">
        <v>2970</v>
      </c>
      <c r="HE171" s="841">
        <v>1310</v>
      </c>
      <c r="HF171" s="841" t="s">
        <v>353</v>
      </c>
      <c r="HG171" s="841" t="s">
        <v>353</v>
      </c>
      <c r="HH171" s="841">
        <v>1080</v>
      </c>
      <c r="HI171" s="841" t="s">
        <v>1422</v>
      </c>
      <c r="HJ171" s="841" t="s">
        <v>353</v>
      </c>
      <c r="HK171" s="841">
        <v>131000</v>
      </c>
      <c r="HL171" s="841" t="s">
        <v>49</v>
      </c>
      <c r="HM171" s="841" t="s">
        <v>1423</v>
      </c>
      <c r="HN171" s="841" t="s">
        <v>27</v>
      </c>
      <c r="HO171" s="841" t="s">
        <v>353</v>
      </c>
      <c r="HP171" s="841">
        <v>6929.9</v>
      </c>
      <c r="HQ171" s="841" t="s">
        <v>353</v>
      </c>
      <c r="HR171" s="841" t="s">
        <v>353</v>
      </c>
      <c r="HS171" s="841" t="s">
        <v>353</v>
      </c>
      <c r="HT171" s="841" t="s">
        <v>353</v>
      </c>
      <c r="HU171" s="841" t="s">
        <v>353</v>
      </c>
      <c r="HV171" s="841" t="s">
        <v>353</v>
      </c>
      <c r="HW171" s="841">
        <v>239735</v>
      </c>
      <c r="HX171" s="841" t="s">
        <v>353</v>
      </c>
      <c r="HY171" s="841" t="s">
        <v>353</v>
      </c>
      <c r="HZ171" s="841" t="s">
        <v>353</v>
      </c>
      <c r="IA171" s="841" t="s">
        <v>353</v>
      </c>
      <c r="IB171" s="841" t="s">
        <v>1424</v>
      </c>
      <c r="IC171" s="841" t="s">
        <v>353</v>
      </c>
      <c r="ID171" s="841" t="s">
        <v>353</v>
      </c>
      <c r="IE171" s="841" t="s">
        <v>353</v>
      </c>
      <c r="IF171" s="841" t="s">
        <v>353</v>
      </c>
      <c r="IG171" s="841" t="s">
        <v>353</v>
      </c>
      <c r="IH171" s="841" t="s">
        <v>353</v>
      </c>
      <c r="II171" s="841" t="s">
        <v>353</v>
      </c>
      <c r="IJ171" s="841" t="s">
        <v>353</v>
      </c>
      <c r="IK171" s="841" t="s">
        <v>353</v>
      </c>
      <c r="IL171" s="841">
        <v>131000</v>
      </c>
      <c r="IM171" s="841" t="s">
        <v>353</v>
      </c>
      <c r="IN171" s="841" t="s">
        <v>353</v>
      </c>
      <c r="IO171" s="841">
        <v>199</v>
      </c>
      <c r="IP171" s="841" t="s">
        <v>353</v>
      </c>
      <c r="IQ171" s="841" t="s">
        <v>353</v>
      </c>
      <c r="IR171" s="841">
        <v>0</v>
      </c>
      <c r="IS171" s="841" t="s">
        <v>33</v>
      </c>
      <c r="IT171" s="841" t="s">
        <v>353</v>
      </c>
      <c r="IU171" s="841" t="s">
        <v>33</v>
      </c>
      <c r="IV171" s="841" t="s">
        <v>353</v>
      </c>
      <c r="IW171" s="841" t="s">
        <v>353</v>
      </c>
      <c r="IX171" s="841" t="s">
        <v>353</v>
      </c>
      <c r="IY171" s="841" t="s">
        <v>1622</v>
      </c>
      <c r="IZ171" s="841" t="s">
        <v>353</v>
      </c>
      <c r="JA171" s="841">
        <v>131000</v>
      </c>
      <c r="JB171" s="841" t="s">
        <v>353</v>
      </c>
      <c r="JC171" s="841" t="s">
        <v>33</v>
      </c>
      <c r="JD171" s="841" t="s">
        <v>1456</v>
      </c>
      <c r="JE171" s="841" t="s">
        <v>33</v>
      </c>
      <c r="JF171" s="841" t="s">
        <v>353</v>
      </c>
      <c r="JG171" s="841" t="s">
        <v>353</v>
      </c>
      <c r="JH171" s="841" t="s">
        <v>2971</v>
      </c>
      <c r="JI171" s="841" t="s">
        <v>2972</v>
      </c>
    </row>
    <row r="172" spans="1:269" x14ac:dyDescent="0.25">
      <c r="A172" s="841" t="s">
        <v>2973</v>
      </c>
      <c r="B172" s="841" t="s">
        <v>353</v>
      </c>
      <c r="C172" s="841" t="s">
        <v>353</v>
      </c>
      <c r="D172" s="841" t="s">
        <v>353</v>
      </c>
      <c r="E172" s="841" t="s">
        <v>33</v>
      </c>
      <c r="F172" s="841" t="s">
        <v>1405</v>
      </c>
      <c r="G172" s="841" t="s">
        <v>2382</v>
      </c>
      <c r="H172" s="841" t="s">
        <v>353</v>
      </c>
      <c r="I172" s="841" t="s">
        <v>353</v>
      </c>
      <c r="J172" s="841" t="s">
        <v>353</v>
      </c>
      <c r="K172" s="841" t="s">
        <v>2167</v>
      </c>
      <c r="L172" s="842">
        <v>44607.770833333336</v>
      </c>
      <c r="M172" s="841" t="s">
        <v>353</v>
      </c>
      <c r="N172" s="841" t="s">
        <v>353</v>
      </c>
      <c r="O172" s="841" t="s">
        <v>353</v>
      </c>
      <c r="P172" s="841" t="s">
        <v>33</v>
      </c>
      <c r="Q172" s="841" t="s">
        <v>353</v>
      </c>
      <c r="R172" s="841" t="s">
        <v>353</v>
      </c>
      <c r="S172" s="841" t="s">
        <v>64</v>
      </c>
      <c r="T172" s="841" t="s">
        <v>1390</v>
      </c>
      <c r="U172" s="841" t="s">
        <v>353</v>
      </c>
      <c r="V172" s="841" t="s">
        <v>353</v>
      </c>
      <c r="W172" s="841" t="s">
        <v>353</v>
      </c>
      <c r="X172" s="841" t="s">
        <v>1405</v>
      </c>
      <c r="Y172" s="841" t="s">
        <v>353</v>
      </c>
      <c r="Z172" s="841" t="s">
        <v>353</v>
      </c>
      <c r="AA172" s="841" t="s">
        <v>33</v>
      </c>
      <c r="AB172" s="841" t="s">
        <v>353</v>
      </c>
      <c r="AC172" s="841">
        <v>190800</v>
      </c>
      <c r="AD172" s="841" t="s">
        <v>353</v>
      </c>
      <c r="AE172" s="841" t="s">
        <v>33</v>
      </c>
      <c r="AF172" s="841">
        <v>1401.01</v>
      </c>
      <c r="AG172" s="841" t="s">
        <v>353</v>
      </c>
      <c r="AH172" s="841">
        <v>1750</v>
      </c>
      <c r="AI172" s="841" t="s">
        <v>1521</v>
      </c>
      <c r="AJ172" s="841" t="s">
        <v>353</v>
      </c>
      <c r="AK172" s="841">
        <v>75</v>
      </c>
      <c r="AL172" s="841" t="s">
        <v>353</v>
      </c>
      <c r="AM172" s="841" t="s">
        <v>353</v>
      </c>
      <c r="AN172" s="841" t="s">
        <v>33</v>
      </c>
      <c r="AO172" s="841" t="s">
        <v>353</v>
      </c>
      <c r="AP172" s="841" t="s">
        <v>353</v>
      </c>
      <c r="AQ172" s="841" t="s">
        <v>353</v>
      </c>
      <c r="AR172" s="841" t="s">
        <v>33</v>
      </c>
      <c r="AS172" s="841" t="s">
        <v>353</v>
      </c>
      <c r="AT172" s="841" t="s">
        <v>353</v>
      </c>
      <c r="AU172" s="841" t="s">
        <v>353</v>
      </c>
      <c r="AV172" s="841" t="s">
        <v>353</v>
      </c>
      <c r="AW172" s="843">
        <v>44553</v>
      </c>
      <c r="AX172" s="841" t="s">
        <v>353</v>
      </c>
      <c r="AY172" s="841" t="s">
        <v>353</v>
      </c>
      <c r="AZ172" s="841" t="s">
        <v>353</v>
      </c>
      <c r="BA172" s="841" t="s">
        <v>353</v>
      </c>
      <c r="BB172" s="841" t="s">
        <v>353</v>
      </c>
      <c r="BC172" s="841">
        <v>312435</v>
      </c>
      <c r="BD172" s="841" t="s">
        <v>353</v>
      </c>
      <c r="BE172" s="841" t="s">
        <v>353</v>
      </c>
      <c r="BF172" s="841" t="s">
        <v>353</v>
      </c>
      <c r="BG172" s="841" t="s">
        <v>353</v>
      </c>
      <c r="BH172" s="841" t="s">
        <v>353</v>
      </c>
      <c r="BI172" s="841" t="s">
        <v>353</v>
      </c>
      <c r="BJ172" s="841" t="s">
        <v>353</v>
      </c>
      <c r="BK172" s="841" t="s">
        <v>353</v>
      </c>
      <c r="BL172" s="841" t="s">
        <v>2273</v>
      </c>
      <c r="BM172" s="842">
        <v>44530.724305555559</v>
      </c>
      <c r="BN172" s="841" t="s">
        <v>353</v>
      </c>
      <c r="BO172" s="841" t="s">
        <v>353</v>
      </c>
      <c r="BP172" s="841" t="s">
        <v>353</v>
      </c>
      <c r="BQ172" s="841" t="s">
        <v>353</v>
      </c>
      <c r="BR172" s="841" t="s">
        <v>353</v>
      </c>
      <c r="BS172" s="841" t="s">
        <v>353</v>
      </c>
      <c r="BT172" s="841">
        <v>351000</v>
      </c>
      <c r="BU172" s="841" t="s">
        <v>353</v>
      </c>
      <c r="BV172" s="841" t="s">
        <v>2974</v>
      </c>
      <c r="BW172" s="841" t="s">
        <v>1578</v>
      </c>
      <c r="BX172" s="841" t="s">
        <v>2975</v>
      </c>
      <c r="BY172" s="841" t="s">
        <v>353</v>
      </c>
      <c r="BZ172" s="841" t="s">
        <v>353</v>
      </c>
      <c r="CA172" s="841" t="s">
        <v>353</v>
      </c>
      <c r="CB172" s="841" t="s">
        <v>353</v>
      </c>
      <c r="CC172" s="841" t="s">
        <v>353</v>
      </c>
      <c r="CD172" s="841" t="s">
        <v>353</v>
      </c>
      <c r="CE172" s="841" t="s">
        <v>353</v>
      </c>
      <c r="CF172" s="841" t="s">
        <v>353</v>
      </c>
      <c r="CG172" s="841" t="s">
        <v>353</v>
      </c>
      <c r="CH172" s="841" t="s">
        <v>353</v>
      </c>
      <c r="CI172" s="841" t="s">
        <v>33</v>
      </c>
      <c r="CJ172" s="841">
        <v>960</v>
      </c>
      <c r="CK172" s="841">
        <v>10</v>
      </c>
      <c r="CL172" s="841" t="s">
        <v>353</v>
      </c>
      <c r="CM172" s="841">
        <v>15</v>
      </c>
      <c r="CN172" s="841" t="s">
        <v>353</v>
      </c>
      <c r="CO172" s="841" t="s">
        <v>353</v>
      </c>
      <c r="CP172" s="841" t="s">
        <v>2976</v>
      </c>
      <c r="CQ172" s="841" t="s">
        <v>353</v>
      </c>
      <c r="CR172" s="841" t="s">
        <v>353</v>
      </c>
      <c r="CS172" s="841" t="s">
        <v>353</v>
      </c>
      <c r="CT172" s="841" t="s">
        <v>353</v>
      </c>
      <c r="CU172" s="841" t="s">
        <v>1391</v>
      </c>
      <c r="CV172" s="841" t="s">
        <v>353</v>
      </c>
      <c r="CW172" s="841" t="s">
        <v>353</v>
      </c>
      <c r="CX172" s="841" t="s">
        <v>353</v>
      </c>
      <c r="CY172" s="841" t="s">
        <v>353</v>
      </c>
      <c r="CZ172" s="841" t="s">
        <v>353</v>
      </c>
      <c r="DA172" s="841" t="s">
        <v>353</v>
      </c>
      <c r="DB172" s="843">
        <v>44599</v>
      </c>
      <c r="DC172" s="841" t="s">
        <v>353</v>
      </c>
      <c r="DD172" s="841" t="s">
        <v>353</v>
      </c>
      <c r="DE172" s="841" t="s">
        <v>353</v>
      </c>
      <c r="DF172" s="841">
        <v>24</v>
      </c>
      <c r="DG172" s="841" t="s">
        <v>353</v>
      </c>
      <c r="DH172" s="841" t="s">
        <v>353</v>
      </c>
      <c r="DI172" s="841" t="s">
        <v>353</v>
      </c>
      <c r="DJ172" s="841" t="s">
        <v>2977</v>
      </c>
      <c r="DK172" s="841" t="s">
        <v>353</v>
      </c>
      <c r="DL172" s="842">
        <v>44515.724305555559</v>
      </c>
      <c r="DM172" s="841" t="s">
        <v>353</v>
      </c>
      <c r="DN172" s="841" t="s">
        <v>33</v>
      </c>
      <c r="DO172" s="841" t="s">
        <v>353</v>
      </c>
      <c r="DP172" s="841" t="s">
        <v>353</v>
      </c>
      <c r="DQ172" s="841" t="s">
        <v>1392</v>
      </c>
      <c r="DR172" s="841">
        <v>468000</v>
      </c>
      <c r="DS172" s="841" t="s">
        <v>353</v>
      </c>
      <c r="DT172" s="841" t="s">
        <v>353</v>
      </c>
      <c r="DU172" s="841" t="s">
        <v>353</v>
      </c>
      <c r="DV172" s="841" t="s">
        <v>353</v>
      </c>
      <c r="DW172" s="841">
        <v>318000</v>
      </c>
      <c r="DX172" s="841" t="s">
        <v>33</v>
      </c>
      <c r="DY172" s="841" t="s">
        <v>353</v>
      </c>
      <c r="DZ172" s="841" t="s">
        <v>353</v>
      </c>
      <c r="EA172" s="841" t="s">
        <v>353</v>
      </c>
      <c r="EB172" s="841" t="s">
        <v>353</v>
      </c>
      <c r="EC172" s="841" t="s">
        <v>353</v>
      </c>
      <c r="ED172" s="841" t="s">
        <v>353</v>
      </c>
      <c r="EE172" s="841" t="s">
        <v>33</v>
      </c>
      <c r="EF172" s="841" t="s">
        <v>353</v>
      </c>
      <c r="EG172" s="841" t="s">
        <v>353</v>
      </c>
      <c r="EH172" s="841" t="s">
        <v>33</v>
      </c>
      <c r="EI172" s="841" t="s">
        <v>353</v>
      </c>
      <c r="EJ172" s="841" t="s">
        <v>353</v>
      </c>
      <c r="EK172" s="841" t="s">
        <v>353</v>
      </c>
      <c r="EL172" s="841" t="s">
        <v>1930</v>
      </c>
      <c r="EM172" s="841" t="s">
        <v>353</v>
      </c>
      <c r="EN172" s="841" t="s">
        <v>353</v>
      </c>
      <c r="EO172" s="841" t="s">
        <v>353</v>
      </c>
      <c r="EP172" s="841" t="s">
        <v>353</v>
      </c>
      <c r="EQ172" s="841" t="s">
        <v>353</v>
      </c>
      <c r="ER172" s="841" t="s">
        <v>353</v>
      </c>
      <c r="ES172" s="841" t="s">
        <v>33</v>
      </c>
      <c r="ET172" s="841" t="s">
        <v>1496</v>
      </c>
      <c r="EU172" s="841" t="s">
        <v>2141</v>
      </c>
      <c r="EV172" s="841" t="s">
        <v>353</v>
      </c>
      <c r="EW172" s="841" t="s">
        <v>353</v>
      </c>
      <c r="EX172" s="841" t="s">
        <v>33</v>
      </c>
      <c r="EY172" s="842">
        <v>44603.588194444441</v>
      </c>
      <c r="EZ172" s="841" t="s">
        <v>353</v>
      </c>
      <c r="FA172" s="841" t="s">
        <v>353</v>
      </c>
      <c r="FB172" s="841" t="s">
        <v>353</v>
      </c>
      <c r="FC172" s="841" t="s">
        <v>353</v>
      </c>
      <c r="FD172" s="841">
        <v>425000</v>
      </c>
      <c r="FE172" s="842">
        <v>44552.718055555553</v>
      </c>
      <c r="FF172" s="841" t="s">
        <v>353</v>
      </c>
      <c r="FG172" s="841" t="s">
        <v>353</v>
      </c>
      <c r="FH172" s="841" t="s">
        <v>353</v>
      </c>
      <c r="FI172" s="841" t="s">
        <v>353</v>
      </c>
      <c r="FJ172" s="841" t="s">
        <v>353</v>
      </c>
      <c r="FK172" s="841" t="s">
        <v>353</v>
      </c>
      <c r="FL172" s="841" t="s">
        <v>353</v>
      </c>
      <c r="FM172" s="841" t="s">
        <v>353</v>
      </c>
      <c r="FN172" s="841" t="s">
        <v>353</v>
      </c>
      <c r="FO172" s="841" t="s">
        <v>1648</v>
      </c>
      <c r="FP172" s="841" t="s">
        <v>2175</v>
      </c>
      <c r="FQ172" s="841" t="s">
        <v>353</v>
      </c>
      <c r="FR172" s="841" t="s">
        <v>353</v>
      </c>
      <c r="FS172" s="841" t="s">
        <v>353</v>
      </c>
      <c r="FT172" s="841" t="s">
        <v>353</v>
      </c>
      <c r="FU172" s="841" t="s">
        <v>1714</v>
      </c>
      <c r="FV172" s="841" t="s">
        <v>353</v>
      </c>
      <c r="FW172" s="841" t="s">
        <v>353</v>
      </c>
      <c r="FX172" s="841" t="s">
        <v>353</v>
      </c>
      <c r="FY172" s="841" t="s">
        <v>353</v>
      </c>
      <c r="FZ172" s="841" t="s">
        <v>353</v>
      </c>
      <c r="GA172" s="841" t="s">
        <v>353</v>
      </c>
      <c r="GB172" s="841">
        <v>1</v>
      </c>
      <c r="GC172" s="841" t="s">
        <v>353</v>
      </c>
      <c r="GD172" s="841" t="s">
        <v>1395</v>
      </c>
      <c r="GE172" s="841" t="s">
        <v>353</v>
      </c>
      <c r="GF172" s="841" t="s">
        <v>353</v>
      </c>
      <c r="GG172" s="841" t="s">
        <v>353</v>
      </c>
      <c r="GH172" s="841">
        <v>190800</v>
      </c>
      <c r="GI172" s="841" t="s">
        <v>353</v>
      </c>
      <c r="GJ172" s="841">
        <v>425000</v>
      </c>
      <c r="GK172" s="841" t="s">
        <v>353</v>
      </c>
      <c r="GL172" s="841" t="s">
        <v>2011</v>
      </c>
      <c r="GM172" s="841" t="s">
        <v>353</v>
      </c>
      <c r="GN172" s="841" t="s">
        <v>353</v>
      </c>
      <c r="GO172" s="841" t="s">
        <v>353</v>
      </c>
      <c r="GP172" s="841" t="s">
        <v>353</v>
      </c>
      <c r="GQ172" s="841" t="s">
        <v>353</v>
      </c>
      <c r="GR172" s="842">
        <v>44551.482638888891</v>
      </c>
      <c r="GS172" s="841" t="s">
        <v>2978</v>
      </c>
      <c r="GT172" s="841" t="s">
        <v>353</v>
      </c>
      <c r="GU172" s="841" t="s">
        <v>353</v>
      </c>
      <c r="GV172" s="841" t="s">
        <v>1419</v>
      </c>
      <c r="GW172" s="841" t="s">
        <v>353</v>
      </c>
      <c r="GX172" s="841" t="s">
        <v>353</v>
      </c>
      <c r="GY172" s="841">
        <v>24</v>
      </c>
      <c r="GZ172" s="841" t="s">
        <v>1456</v>
      </c>
      <c r="HA172" s="841" t="s">
        <v>353</v>
      </c>
      <c r="HB172" s="841" t="s">
        <v>353</v>
      </c>
      <c r="HC172" s="841" t="s">
        <v>1421</v>
      </c>
      <c r="HD172" s="841" t="s">
        <v>2979</v>
      </c>
      <c r="HE172" s="841">
        <v>3180</v>
      </c>
      <c r="HF172" s="841" t="s">
        <v>353</v>
      </c>
      <c r="HG172" s="841" t="s">
        <v>353</v>
      </c>
      <c r="HH172" s="841">
        <v>840</v>
      </c>
      <c r="HI172" s="841" t="s">
        <v>1422</v>
      </c>
      <c r="HJ172" s="841" t="s">
        <v>353</v>
      </c>
      <c r="HK172" s="841">
        <v>318000</v>
      </c>
      <c r="HL172" s="841" t="s">
        <v>49</v>
      </c>
      <c r="HM172" s="841" t="s">
        <v>1423</v>
      </c>
      <c r="HN172" s="841" t="s">
        <v>353</v>
      </c>
      <c r="HO172" s="841" t="s">
        <v>353</v>
      </c>
      <c r="HP172" s="841">
        <v>16822.2</v>
      </c>
      <c r="HQ172" s="841" t="s">
        <v>353</v>
      </c>
      <c r="HR172" s="841" t="s">
        <v>353</v>
      </c>
      <c r="HS172" s="841" t="s">
        <v>353</v>
      </c>
      <c r="HT172" s="841" t="s">
        <v>353</v>
      </c>
      <c r="HU172" s="841" t="s">
        <v>353</v>
      </c>
      <c r="HV172" s="841" t="s">
        <v>353</v>
      </c>
      <c r="HW172" s="841">
        <v>468000</v>
      </c>
      <c r="HX172" s="841" t="s">
        <v>353</v>
      </c>
      <c r="HY172" s="841" t="s">
        <v>353</v>
      </c>
      <c r="HZ172" s="841" t="s">
        <v>353</v>
      </c>
      <c r="IA172" s="841" t="s">
        <v>353</v>
      </c>
      <c r="IB172" s="841" t="s">
        <v>1424</v>
      </c>
      <c r="IC172" s="841" t="s">
        <v>353</v>
      </c>
      <c r="ID172" s="841" t="s">
        <v>353</v>
      </c>
      <c r="IE172" s="841" t="s">
        <v>353</v>
      </c>
      <c r="IF172" s="841" t="s">
        <v>353</v>
      </c>
      <c r="IG172" s="841" t="s">
        <v>353</v>
      </c>
      <c r="IH172" s="841" t="s">
        <v>353</v>
      </c>
      <c r="II172" s="841" t="s">
        <v>353</v>
      </c>
      <c r="IJ172" s="841" t="s">
        <v>353</v>
      </c>
      <c r="IK172" s="841" t="s">
        <v>353</v>
      </c>
      <c r="IL172" s="841">
        <v>318000</v>
      </c>
      <c r="IM172" s="841" t="s">
        <v>353</v>
      </c>
      <c r="IN172" s="841" t="s">
        <v>353</v>
      </c>
      <c r="IO172" s="841">
        <v>199</v>
      </c>
      <c r="IP172" s="841" t="s">
        <v>353</v>
      </c>
      <c r="IQ172" s="841" t="s">
        <v>353</v>
      </c>
      <c r="IR172" s="841" t="s">
        <v>353</v>
      </c>
      <c r="IS172" s="841" t="s">
        <v>33</v>
      </c>
      <c r="IT172" s="841" t="s">
        <v>353</v>
      </c>
      <c r="IU172" s="841" t="s">
        <v>353</v>
      </c>
      <c r="IV172" s="841" t="s">
        <v>353</v>
      </c>
      <c r="IW172" s="841" t="s">
        <v>353</v>
      </c>
      <c r="IX172" s="841" t="s">
        <v>353</v>
      </c>
      <c r="IY172" s="841" t="s">
        <v>1622</v>
      </c>
      <c r="IZ172" s="841" t="s">
        <v>353</v>
      </c>
      <c r="JA172" s="841">
        <v>318000</v>
      </c>
      <c r="JB172" s="841" t="s">
        <v>353</v>
      </c>
      <c r="JC172" s="841" t="s">
        <v>33</v>
      </c>
      <c r="JD172" s="841" t="s">
        <v>1456</v>
      </c>
      <c r="JE172" s="841" t="s">
        <v>33</v>
      </c>
      <c r="JF172" s="841" t="s">
        <v>2800</v>
      </c>
      <c r="JG172" s="841" t="s">
        <v>2801</v>
      </c>
      <c r="JH172" s="841" t="s">
        <v>2278</v>
      </c>
      <c r="JI172" s="841" t="s">
        <v>2279</v>
      </c>
    </row>
    <row r="173" spans="1:269" x14ac:dyDescent="0.25">
      <c r="A173" s="841" t="s">
        <v>2980</v>
      </c>
      <c r="B173" s="841" t="s">
        <v>353</v>
      </c>
      <c r="C173" s="841" t="s">
        <v>1403</v>
      </c>
      <c r="D173" s="841" t="s">
        <v>353</v>
      </c>
      <c r="E173" s="841" t="s">
        <v>33</v>
      </c>
      <c r="F173" s="841" t="s">
        <v>1435</v>
      </c>
      <c r="G173" s="841" t="s">
        <v>2935</v>
      </c>
      <c r="H173" s="841" t="s">
        <v>353</v>
      </c>
      <c r="I173" s="841" t="s">
        <v>353</v>
      </c>
      <c r="J173" s="841" t="s">
        <v>353</v>
      </c>
      <c r="K173" s="841" t="s">
        <v>353</v>
      </c>
      <c r="L173" s="842">
        <v>44607.436111111114</v>
      </c>
      <c r="M173" s="841" t="s">
        <v>353</v>
      </c>
      <c r="N173" s="841" t="s">
        <v>353</v>
      </c>
      <c r="O173" s="841" t="s">
        <v>353</v>
      </c>
      <c r="P173" s="841" t="s">
        <v>33</v>
      </c>
      <c r="Q173" s="841" t="s">
        <v>353</v>
      </c>
      <c r="R173" s="841" t="s">
        <v>353</v>
      </c>
      <c r="S173" s="841" t="s">
        <v>1520</v>
      </c>
      <c r="T173" s="841" t="s">
        <v>1390</v>
      </c>
      <c r="U173" s="841" t="s">
        <v>353</v>
      </c>
      <c r="V173" s="841" t="s">
        <v>353</v>
      </c>
      <c r="W173" s="841" t="s">
        <v>1716</v>
      </c>
      <c r="X173" s="841" t="s">
        <v>1405</v>
      </c>
      <c r="Y173" s="841" t="s">
        <v>353</v>
      </c>
      <c r="Z173" s="841" t="s">
        <v>353</v>
      </c>
      <c r="AA173" s="841" t="s">
        <v>673</v>
      </c>
      <c r="AB173" s="841" t="s">
        <v>353</v>
      </c>
      <c r="AC173" s="841">
        <v>684600</v>
      </c>
      <c r="AD173" s="841" t="s">
        <v>353</v>
      </c>
      <c r="AE173" s="841" t="s">
        <v>673</v>
      </c>
      <c r="AF173" s="841">
        <v>5695.49</v>
      </c>
      <c r="AG173" s="841" t="s">
        <v>353</v>
      </c>
      <c r="AH173" s="841">
        <v>63000</v>
      </c>
      <c r="AI173" s="841" t="s">
        <v>1406</v>
      </c>
      <c r="AJ173" s="841" t="s">
        <v>353</v>
      </c>
      <c r="AK173" s="841">
        <v>70</v>
      </c>
      <c r="AL173" s="841" t="s">
        <v>353</v>
      </c>
      <c r="AM173" s="841" t="s">
        <v>353</v>
      </c>
      <c r="AN173" s="841" t="s">
        <v>353</v>
      </c>
      <c r="AO173" s="841" t="s">
        <v>353</v>
      </c>
      <c r="AP173" s="841" t="s">
        <v>353</v>
      </c>
      <c r="AQ173" s="841" t="s">
        <v>353</v>
      </c>
      <c r="AR173" s="841" t="s">
        <v>673</v>
      </c>
      <c r="AS173" s="841" t="s">
        <v>353</v>
      </c>
      <c r="AT173" s="841" t="s">
        <v>353</v>
      </c>
      <c r="AU173" s="841" t="s">
        <v>1405</v>
      </c>
      <c r="AV173" s="841" t="s">
        <v>353</v>
      </c>
      <c r="AW173" s="843">
        <v>44515</v>
      </c>
      <c r="AX173" s="841" t="s">
        <v>353</v>
      </c>
      <c r="AY173" s="841" t="s">
        <v>353</v>
      </c>
      <c r="AZ173" s="841" t="s">
        <v>353</v>
      </c>
      <c r="BA173" s="841" t="s">
        <v>353</v>
      </c>
      <c r="BB173" s="841" t="s">
        <v>353</v>
      </c>
      <c r="BC173" s="841">
        <v>1084007</v>
      </c>
      <c r="BD173" s="841" t="s">
        <v>353</v>
      </c>
      <c r="BE173" s="841" t="s">
        <v>353</v>
      </c>
      <c r="BF173" s="841" t="s">
        <v>353</v>
      </c>
      <c r="BG173" s="841" t="s">
        <v>353</v>
      </c>
      <c r="BH173" s="841" t="s">
        <v>353</v>
      </c>
      <c r="BI173" s="841" t="s">
        <v>353</v>
      </c>
      <c r="BJ173" s="841" t="s">
        <v>353</v>
      </c>
      <c r="BK173" s="841">
        <v>1222500</v>
      </c>
      <c r="BL173" s="841" t="s">
        <v>2981</v>
      </c>
      <c r="BM173" s="842">
        <v>44530.551388888889</v>
      </c>
      <c r="BN173" s="841" t="s">
        <v>353</v>
      </c>
      <c r="BO173" s="841" t="s">
        <v>353</v>
      </c>
      <c r="BP173" s="841" t="s">
        <v>353</v>
      </c>
      <c r="BQ173" s="841" t="s">
        <v>353</v>
      </c>
      <c r="BR173" s="841" t="s">
        <v>353</v>
      </c>
      <c r="BS173" s="841" t="s">
        <v>353</v>
      </c>
      <c r="BT173" s="841">
        <v>1222000</v>
      </c>
      <c r="BU173" s="841" t="s">
        <v>353</v>
      </c>
      <c r="BV173" s="841" t="s">
        <v>2982</v>
      </c>
      <c r="BW173" s="841" t="s">
        <v>1578</v>
      </c>
      <c r="BX173" s="841" t="s">
        <v>2983</v>
      </c>
      <c r="BY173" s="841" t="s">
        <v>353</v>
      </c>
      <c r="BZ173" s="841" t="s">
        <v>353</v>
      </c>
      <c r="CA173" s="841" t="s">
        <v>673</v>
      </c>
      <c r="CB173" s="841" t="s">
        <v>353</v>
      </c>
      <c r="CC173" s="841" t="s">
        <v>353</v>
      </c>
      <c r="CD173" s="841" t="s">
        <v>353</v>
      </c>
      <c r="CE173" s="841" t="s">
        <v>353</v>
      </c>
      <c r="CF173" s="841" t="s">
        <v>353</v>
      </c>
      <c r="CG173" s="841" t="s">
        <v>1424</v>
      </c>
      <c r="CH173" s="841" t="s">
        <v>353</v>
      </c>
      <c r="CI173" s="841" t="s">
        <v>33</v>
      </c>
      <c r="CJ173" s="841">
        <v>2400</v>
      </c>
      <c r="CK173" s="841">
        <v>17</v>
      </c>
      <c r="CL173" s="841" t="s">
        <v>353</v>
      </c>
      <c r="CM173" s="841">
        <v>21</v>
      </c>
      <c r="CN173" s="841" t="s">
        <v>353</v>
      </c>
      <c r="CO173" s="841" t="s">
        <v>353</v>
      </c>
      <c r="CP173" s="841" t="s">
        <v>2984</v>
      </c>
      <c r="CQ173" s="841" t="s">
        <v>353</v>
      </c>
      <c r="CR173" s="841" t="s">
        <v>353</v>
      </c>
      <c r="CS173" s="841" t="s">
        <v>1405</v>
      </c>
      <c r="CT173" s="841" t="s">
        <v>353</v>
      </c>
      <c r="CU173" s="841" t="s">
        <v>1391</v>
      </c>
      <c r="CV173" s="841" t="s">
        <v>353</v>
      </c>
      <c r="CW173" s="841" t="s">
        <v>353</v>
      </c>
      <c r="CX173" s="841" t="s">
        <v>353</v>
      </c>
      <c r="CY173" s="841" t="s">
        <v>353</v>
      </c>
      <c r="CZ173" s="841">
        <v>5</v>
      </c>
      <c r="DA173" s="841" t="s">
        <v>353</v>
      </c>
      <c r="DB173" s="843">
        <v>44608</v>
      </c>
      <c r="DC173" s="841" t="s">
        <v>353</v>
      </c>
      <c r="DD173" s="841" t="s">
        <v>353</v>
      </c>
      <c r="DE173" s="841" t="s">
        <v>353</v>
      </c>
      <c r="DF173" s="841">
        <v>18</v>
      </c>
      <c r="DG173" s="841" t="s">
        <v>353</v>
      </c>
      <c r="DH173" s="841" t="s">
        <v>353</v>
      </c>
      <c r="DI173" s="841" t="s">
        <v>353</v>
      </c>
      <c r="DJ173" s="841" t="s">
        <v>2985</v>
      </c>
      <c r="DK173" s="841" t="s">
        <v>353</v>
      </c>
      <c r="DL173" s="842">
        <v>44515.551388888889</v>
      </c>
      <c r="DM173" s="841" t="s">
        <v>353</v>
      </c>
      <c r="DN173" s="841" t="s">
        <v>33</v>
      </c>
      <c r="DO173" s="841" t="s">
        <v>673</v>
      </c>
      <c r="DP173" s="841" t="s">
        <v>1481</v>
      </c>
      <c r="DQ173" s="841" t="s">
        <v>673</v>
      </c>
      <c r="DR173" s="841" t="s">
        <v>353</v>
      </c>
      <c r="DS173" s="841">
        <v>18</v>
      </c>
      <c r="DT173" s="841" t="s">
        <v>353</v>
      </c>
      <c r="DU173" s="841" t="s">
        <v>353</v>
      </c>
      <c r="DV173" s="841">
        <v>708104.6</v>
      </c>
      <c r="DW173" s="841">
        <v>1141000</v>
      </c>
      <c r="DX173" s="841" t="s">
        <v>673</v>
      </c>
      <c r="DY173" s="841" t="s">
        <v>353</v>
      </c>
      <c r="DZ173" s="841" t="s">
        <v>353</v>
      </c>
      <c r="EA173" s="841" t="s">
        <v>353</v>
      </c>
      <c r="EB173" s="841" t="s">
        <v>353</v>
      </c>
      <c r="EC173" s="841" t="s">
        <v>353</v>
      </c>
      <c r="ED173" s="841" t="s">
        <v>353</v>
      </c>
      <c r="EE173" s="841" t="s">
        <v>33</v>
      </c>
      <c r="EF173" s="841" t="s">
        <v>353</v>
      </c>
      <c r="EG173" s="841" t="s">
        <v>353</v>
      </c>
      <c r="EH173" s="841" t="s">
        <v>33</v>
      </c>
      <c r="EI173" s="841">
        <v>410075.4</v>
      </c>
      <c r="EJ173" s="841" t="s">
        <v>353</v>
      </c>
      <c r="EK173" s="841" t="s">
        <v>1527</v>
      </c>
      <c r="EL173" s="841" t="s">
        <v>1435</v>
      </c>
      <c r="EM173" s="841">
        <v>22820</v>
      </c>
      <c r="EN173" s="841" t="s">
        <v>353</v>
      </c>
      <c r="EO173" s="841" t="s">
        <v>353</v>
      </c>
      <c r="EP173" s="841" t="s">
        <v>353</v>
      </c>
      <c r="EQ173" s="841" t="s">
        <v>353</v>
      </c>
      <c r="ER173" s="841" t="s">
        <v>353</v>
      </c>
      <c r="ES173" s="841" t="s">
        <v>33</v>
      </c>
      <c r="ET173" s="841" t="s">
        <v>1711</v>
      </c>
      <c r="EU173" s="841" t="s">
        <v>2986</v>
      </c>
      <c r="EV173" s="841" t="s">
        <v>353</v>
      </c>
      <c r="EW173" s="841" t="s">
        <v>353</v>
      </c>
      <c r="EX173" s="841" t="s">
        <v>27</v>
      </c>
      <c r="EY173" s="842">
        <v>44602.70208333333</v>
      </c>
      <c r="EZ173" s="841" t="s">
        <v>353</v>
      </c>
      <c r="FA173" s="841" t="s">
        <v>353</v>
      </c>
      <c r="FB173" s="841" t="s">
        <v>353</v>
      </c>
      <c r="FC173" s="841" t="s">
        <v>353</v>
      </c>
      <c r="FD173" s="841" t="s">
        <v>353</v>
      </c>
      <c r="FE173" s="842">
        <v>44515.552083333336</v>
      </c>
      <c r="FF173" s="841" t="s">
        <v>353</v>
      </c>
      <c r="FG173" s="841" t="s">
        <v>2987</v>
      </c>
      <c r="FH173" s="841" t="s">
        <v>353</v>
      </c>
      <c r="FI173" s="841" t="s">
        <v>353</v>
      </c>
      <c r="FJ173" s="841" t="s">
        <v>353</v>
      </c>
      <c r="FK173" s="841" t="s">
        <v>353</v>
      </c>
      <c r="FL173" s="841" t="s">
        <v>353</v>
      </c>
      <c r="FM173" s="841" t="s">
        <v>353</v>
      </c>
      <c r="FN173" s="841" t="s">
        <v>353</v>
      </c>
      <c r="FO173" s="841" t="s">
        <v>1648</v>
      </c>
      <c r="FP173" s="841" t="s">
        <v>353</v>
      </c>
      <c r="FQ173" s="841" t="s">
        <v>353</v>
      </c>
      <c r="FR173" s="841" t="s">
        <v>353</v>
      </c>
      <c r="FS173" s="841" t="s">
        <v>353</v>
      </c>
      <c r="FT173" s="841" t="s">
        <v>353</v>
      </c>
      <c r="FU173" s="841" t="s">
        <v>1714</v>
      </c>
      <c r="FV173" s="841" t="s">
        <v>353</v>
      </c>
      <c r="FW173" s="841" t="s">
        <v>353</v>
      </c>
      <c r="FX173" s="841" t="s">
        <v>353</v>
      </c>
      <c r="FY173" s="841" t="s">
        <v>353</v>
      </c>
      <c r="FZ173" s="841" t="s">
        <v>353</v>
      </c>
      <c r="GA173" s="841" t="s">
        <v>353</v>
      </c>
      <c r="GB173" s="841">
        <v>1</v>
      </c>
      <c r="GC173" s="841" t="s">
        <v>353</v>
      </c>
      <c r="GD173" s="841" t="s">
        <v>1395</v>
      </c>
      <c r="GE173" s="841" t="s">
        <v>353</v>
      </c>
      <c r="GF173" s="841" t="s">
        <v>353</v>
      </c>
      <c r="GG173" s="841" t="s">
        <v>353</v>
      </c>
      <c r="GH173" s="841">
        <v>684600</v>
      </c>
      <c r="GI173" s="841" t="s">
        <v>353</v>
      </c>
      <c r="GJ173" s="841" t="s">
        <v>353</v>
      </c>
      <c r="GK173" s="841" t="s">
        <v>353</v>
      </c>
      <c r="GL173" s="841" t="s">
        <v>1468</v>
      </c>
      <c r="GM173" s="841" t="s">
        <v>353</v>
      </c>
      <c r="GN173" s="841" t="s">
        <v>353</v>
      </c>
      <c r="GO173" s="841" t="s">
        <v>353</v>
      </c>
      <c r="GP173" s="841" t="s">
        <v>353</v>
      </c>
      <c r="GQ173" s="841" t="s">
        <v>353</v>
      </c>
      <c r="GR173" s="842">
        <v>44602.70208333333</v>
      </c>
      <c r="GS173" s="841" t="s">
        <v>1405</v>
      </c>
      <c r="GT173" s="841" t="s">
        <v>353</v>
      </c>
      <c r="GU173" s="841" t="s">
        <v>353</v>
      </c>
      <c r="GV173" s="841" t="s">
        <v>1419</v>
      </c>
      <c r="GW173" s="841" t="s">
        <v>353</v>
      </c>
      <c r="GX173" s="841" t="s">
        <v>2988</v>
      </c>
      <c r="GY173" s="841">
        <v>24</v>
      </c>
      <c r="GZ173" s="841" t="s">
        <v>1716</v>
      </c>
      <c r="HA173" s="841" t="s">
        <v>353</v>
      </c>
      <c r="HB173" s="841" t="s">
        <v>353</v>
      </c>
      <c r="HC173" s="841" t="s">
        <v>1421</v>
      </c>
      <c r="HD173" s="841" t="s">
        <v>2989</v>
      </c>
      <c r="HE173" s="841">
        <v>22820</v>
      </c>
      <c r="HF173" s="841" t="s">
        <v>353</v>
      </c>
      <c r="HG173" s="841" t="s">
        <v>353</v>
      </c>
      <c r="HH173" s="841" t="s">
        <v>353</v>
      </c>
      <c r="HI173" s="841" t="s">
        <v>1422</v>
      </c>
      <c r="HJ173" s="841" t="s">
        <v>2990</v>
      </c>
      <c r="HK173" s="841">
        <v>1141000</v>
      </c>
      <c r="HL173" s="841" t="s">
        <v>49</v>
      </c>
      <c r="HM173" s="841" t="s">
        <v>1530</v>
      </c>
      <c r="HN173" s="841" t="s">
        <v>33</v>
      </c>
      <c r="HO173" s="841" t="s">
        <v>353</v>
      </c>
      <c r="HP173" s="841">
        <v>68345.899999999994</v>
      </c>
      <c r="HQ173" s="841" t="s">
        <v>353</v>
      </c>
      <c r="HR173" s="841" t="s">
        <v>353</v>
      </c>
      <c r="HS173" s="841">
        <v>730924.6</v>
      </c>
      <c r="HT173" s="841" t="s">
        <v>353</v>
      </c>
      <c r="HU173" s="841" t="s">
        <v>353</v>
      </c>
      <c r="HV173" s="841" t="s">
        <v>353</v>
      </c>
      <c r="HW173" s="841">
        <v>1630000</v>
      </c>
      <c r="HX173" s="841" t="s">
        <v>353</v>
      </c>
      <c r="HY173" s="841" t="s">
        <v>353</v>
      </c>
      <c r="HZ173" s="841" t="s">
        <v>353</v>
      </c>
      <c r="IA173" s="841" t="s">
        <v>353</v>
      </c>
      <c r="IB173" s="841" t="s">
        <v>1424</v>
      </c>
      <c r="IC173" s="841" t="s">
        <v>353</v>
      </c>
      <c r="ID173" s="841" t="s">
        <v>353</v>
      </c>
      <c r="IE173" s="841" t="s">
        <v>353</v>
      </c>
      <c r="IF173" s="841" t="s">
        <v>353</v>
      </c>
      <c r="IG173" s="841" t="s">
        <v>353</v>
      </c>
      <c r="IH173" s="841" t="s">
        <v>353</v>
      </c>
      <c r="II173" s="841" t="s">
        <v>353</v>
      </c>
      <c r="IJ173" s="841" t="s">
        <v>353</v>
      </c>
      <c r="IK173" s="841" t="s">
        <v>353</v>
      </c>
      <c r="IL173" s="841">
        <v>1106827</v>
      </c>
      <c r="IM173" s="841" t="s">
        <v>353</v>
      </c>
      <c r="IN173" s="841" t="s">
        <v>353</v>
      </c>
      <c r="IO173" s="841">
        <v>0</v>
      </c>
      <c r="IP173" s="841" t="s">
        <v>353</v>
      </c>
      <c r="IQ173" s="841" t="s">
        <v>353</v>
      </c>
      <c r="IR173" s="841">
        <v>6</v>
      </c>
      <c r="IS173" s="841" t="s">
        <v>33</v>
      </c>
      <c r="IT173" s="841" t="s">
        <v>353</v>
      </c>
      <c r="IU173" s="841" t="s">
        <v>353</v>
      </c>
      <c r="IV173" s="841" t="s">
        <v>353</v>
      </c>
      <c r="IW173" s="841" t="s">
        <v>353</v>
      </c>
      <c r="IX173" s="841" t="s">
        <v>353</v>
      </c>
      <c r="IY173" s="841" t="s">
        <v>1578</v>
      </c>
      <c r="IZ173" s="841" t="s">
        <v>353</v>
      </c>
      <c r="JA173" s="841">
        <v>1141000</v>
      </c>
      <c r="JB173" s="841" t="s">
        <v>353</v>
      </c>
      <c r="JC173" s="841" t="s">
        <v>353</v>
      </c>
      <c r="JD173" s="841" t="s">
        <v>1527</v>
      </c>
      <c r="JE173" s="841" t="s">
        <v>33</v>
      </c>
      <c r="JF173" s="841" t="s">
        <v>2567</v>
      </c>
      <c r="JG173" s="841" t="s">
        <v>2568</v>
      </c>
      <c r="JH173" s="841" t="s">
        <v>2569</v>
      </c>
      <c r="JI173" s="841" t="s">
        <v>2570</v>
      </c>
    </row>
    <row r="174" spans="1:269" x14ac:dyDescent="0.25">
      <c r="A174" s="841" t="s">
        <v>2991</v>
      </c>
      <c r="B174" s="841" t="s">
        <v>353</v>
      </c>
      <c r="C174" s="841" t="s">
        <v>353</v>
      </c>
      <c r="D174" s="841" t="s">
        <v>353</v>
      </c>
      <c r="E174" s="841" t="s">
        <v>33</v>
      </c>
      <c r="F174" s="841" t="s">
        <v>1405</v>
      </c>
      <c r="G174" s="841" t="s">
        <v>1614</v>
      </c>
      <c r="H174" s="841" t="s">
        <v>353</v>
      </c>
      <c r="I174" s="841" t="s">
        <v>353</v>
      </c>
      <c r="J174" s="841" t="s">
        <v>353</v>
      </c>
      <c r="K174" s="841" t="s">
        <v>2167</v>
      </c>
      <c r="L174" s="842">
        <v>44603.527083333334</v>
      </c>
      <c r="M174" s="841" t="s">
        <v>353</v>
      </c>
      <c r="N174" s="841" t="s">
        <v>27</v>
      </c>
      <c r="O174" s="841" t="s">
        <v>353</v>
      </c>
      <c r="P174" s="841" t="s">
        <v>33</v>
      </c>
      <c r="Q174" s="841" t="s">
        <v>353</v>
      </c>
      <c r="R174" s="841" t="s">
        <v>353</v>
      </c>
      <c r="S174" s="841" t="s">
        <v>67</v>
      </c>
      <c r="T174" s="841" t="s">
        <v>1390</v>
      </c>
      <c r="U174" s="841" t="s">
        <v>353</v>
      </c>
      <c r="V174" s="841" t="s">
        <v>353</v>
      </c>
      <c r="W174" s="841" t="s">
        <v>1420</v>
      </c>
      <c r="X174" s="841" t="s">
        <v>1405</v>
      </c>
      <c r="Y174" s="841" t="s">
        <v>353</v>
      </c>
      <c r="Z174" s="841" t="s">
        <v>353</v>
      </c>
      <c r="AA174" s="841" t="s">
        <v>33</v>
      </c>
      <c r="AB174" s="843">
        <v>44550</v>
      </c>
      <c r="AC174" s="841">
        <v>1417500</v>
      </c>
      <c r="AD174" s="841" t="s">
        <v>353</v>
      </c>
      <c r="AE174" s="841" t="s">
        <v>33</v>
      </c>
      <c r="AF174" s="841">
        <v>7599.38</v>
      </c>
      <c r="AG174" s="841" t="s">
        <v>353</v>
      </c>
      <c r="AH174" s="841">
        <v>7000</v>
      </c>
      <c r="AI174" s="841" t="s">
        <v>1521</v>
      </c>
      <c r="AJ174" s="841" t="s">
        <v>2168</v>
      </c>
      <c r="AK174" s="841">
        <v>75</v>
      </c>
      <c r="AL174" s="841" t="s">
        <v>353</v>
      </c>
      <c r="AM174" s="841" t="s">
        <v>353</v>
      </c>
      <c r="AN174" s="841" t="s">
        <v>33</v>
      </c>
      <c r="AO174" s="841" t="s">
        <v>353</v>
      </c>
      <c r="AP174" s="841" t="s">
        <v>353</v>
      </c>
      <c r="AQ174" s="841" t="s">
        <v>353</v>
      </c>
      <c r="AR174" s="841" t="s">
        <v>673</v>
      </c>
      <c r="AS174" s="841" t="s">
        <v>353</v>
      </c>
      <c r="AT174" s="841" t="s">
        <v>353</v>
      </c>
      <c r="AU174" s="841" t="s">
        <v>353</v>
      </c>
      <c r="AV174" s="841" t="s">
        <v>353</v>
      </c>
      <c r="AW174" s="843">
        <v>44517</v>
      </c>
      <c r="AX174" s="841" t="s">
        <v>353</v>
      </c>
      <c r="AY174" s="841" t="s">
        <v>353</v>
      </c>
      <c r="AZ174" s="841" t="s">
        <v>353</v>
      </c>
      <c r="BA174" s="841" t="s">
        <v>353</v>
      </c>
      <c r="BB174" s="841" t="s">
        <v>353</v>
      </c>
      <c r="BC174" s="841">
        <v>1501841</v>
      </c>
      <c r="BD174" s="841" t="s">
        <v>353</v>
      </c>
      <c r="BE174" s="841" t="s">
        <v>33</v>
      </c>
      <c r="BF174" s="841" t="s">
        <v>353</v>
      </c>
      <c r="BG174" s="841" t="s">
        <v>353</v>
      </c>
      <c r="BH174" s="841" t="s">
        <v>353</v>
      </c>
      <c r="BI174" s="841" t="s">
        <v>353</v>
      </c>
      <c r="BJ174" s="841" t="s">
        <v>353</v>
      </c>
      <c r="BK174" s="841">
        <v>1462500</v>
      </c>
      <c r="BL174" s="841" t="s">
        <v>2936</v>
      </c>
      <c r="BM174" s="842">
        <v>44530.489583333336</v>
      </c>
      <c r="BN174" s="841" t="s">
        <v>353</v>
      </c>
      <c r="BO174" s="841" t="s">
        <v>353</v>
      </c>
      <c r="BP174" s="841" t="s">
        <v>673</v>
      </c>
      <c r="BQ174" s="841" t="s">
        <v>353</v>
      </c>
      <c r="BR174" s="841" t="s">
        <v>353</v>
      </c>
      <c r="BS174" s="841" t="s">
        <v>353</v>
      </c>
      <c r="BT174" s="841">
        <v>1727000</v>
      </c>
      <c r="BU174" s="841" t="s">
        <v>353</v>
      </c>
      <c r="BV174" s="841" t="s">
        <v>1662</v>
      </c>
      <c r="BW174" s="841" t="s">
        <v>1578</v>
      </c>
      <c r="BX174" s="841" t="s">
        <v>2992</v>
      </c>
      <c r="BY174" s="841" t="s">
        <v>353</v>
      </c>
      <c r="BZ174" s="841" t="s">
        <v>353</v>
      </c>
      <c r="CA174" s="841" t="s">
        <v>33</v>
      </c>
      <c r="CB174" s="841" t="s">
        <v>353</v>
      </c>
      <c r="CC174" s="841" t="s">
        <v>353</v>
      </c>
      <c r="CD174" s="841" t="s">
        <v>353</v>
      </c>
      <c r="CE174" s="841" t="s">
        <v>353</v>
      </c>
      <c r="CF174" s="841" t="s">
        <v>353</v>
      </c>
      <c r="CG174" s="841" t="s">
        <v>353</v>
      </c>
      <c r="CH174" s="841" t="s">
        <v>353</v>
      </c>
      <c r="CI174" s="841" t="s">
        <v>33</v>
      </c>
      <c r="CJ174" s="841">
        <v>2520</v>
      </c>
      <c r="CK174" s="841">
        <v>0</v>
      </c>
      <c r="CL174" s="841" t="s">
        <v>353</v>
      </c>
      <c r="CM174" s="841">
        <v>4</v>
      </c>
      <c r="CN174" s="841" t="s">
        <v>353</v>
      </c>
      <c r="CO174" s="841" t="s">
        <v>353</v>
      </c>
      <c r="CP174" s="841" t="s">
        <v>2993</v>
      </c>
      <c r="CQ174" s="841" t="s">
        <v>353</v>
      </c>
      <c r="CR174" s="841" t="s">
        <v>353</v>
      </c>
      <c r="CS174" s="841" t="s">
        <v>353</v>
      </c>
      <c r="CT174" s="841" t="s">
        <v>353</v>
      </c>
      <c r="CU174" s="841" t="s">
        <v>1391</v>
      </c>
      <c r="CV174" s="841" t="s">
        <v>353</v>
      </c>
      <c r="CW174" s="841" t="s">
        <v>353</v>
      </c>
      <c r="CX174" s="841" t="s">
        <v>353</v>
      </c>
      <c r="CY174" s="841" t="s">
        <v>353</v>
      </c>
      <c r="CZ174" s="841">
        <v>6</v>
      </c>
      <c r="DA174" s="841" t="s">
        <v>353</v>
      </c>
      <c r="DB174" s="843">
        <v>44523</v>
      </c>
      <c r="DC174" s="841" t="s">
        <v>353</v>
      </c>
      <c r="DD174" s="841" t="s">
        <v>353</v>
      </c>
      <c r="DE174" s="841" t="s">
        <v>353</v>
      </c>
      <c r="DF174" s="841">
        <v>18</v>
      </c>
      <c r="DG174" s="841" t="s">
        <v>353</v>
      </c>
      <c r="DH174" s="841" t="s">
        <v>353</v>
      </c>
      <c r="DI174" s="841" t="s">
        <v>353</v>
      </c>
      <c r="DJ174" s="841" t="s">
        <v>2994</v>
      </c>
      <c r="DK174" s="841" t="s">
        <v>353</v>
      </c>
      <c r="DL174" s="842">
        <v>44511.489583333336</v>
      </c>
      <c r="DM174" s="841" t="s">
        <v>353</v>
      </c>
      <c r="DN174" s="841" t="s">
        <v>33</v>
      </c>
      <c r="DO174" s="841" t="s">
        <v>353</v>
      </c>
      <c r="DP174" s="841" t="s">
        <v>1481</v>
      </c>
      <c r="DQ174" s="841" t="s">
        <v>1434</v>
      </c>
      <c r="DR174" s="841" t="s">
        <v>353</v>
      </c>
      <c r="DS174" s="841">
        <v>18</v>
      </c>
      <c r="DT174" s="841" t="s">
        <v>353</v>
      </c>
      <c r="DU174" s="841" t="s">
        <v>353</v>
      </c>
      <c r="DV174" s="841">
        <v>1000282.5</v>
      </c>
      <c r="DW174" s="841">
        <v>1575000</v>
      </c>
      <c r="DX174" s="841" t="s">
        <v>33</v>
      </c>
      <c r="DY174" s="841" t="s">
        <v>353</v>
      </c>
      <c r="DZ174" s="841">
        <v>3120</v>
      </c>
      <c r="EA174" s="841" t="s">
        <v>353</v>
      </c>
      <c r="EB174" s="841" t="s">
        <v>353</v>
      </c>
      <c r="EC174" s="841" t="s">
        <v>353</v>
      </c>
      <c r="ED174" s="841" t="s">
        <v>353</v>
      </c>
      <c r="EE174" s="841" t="s">
        <v>33</v>
      </c>
      <c r="EF174" s="841" t="s">
        <v>353</v>
      </c>
      <c r="EG174" s="841" t="s">
        <v>353</v>
      </c>
      <c r="EH174" s="841" t="s">
        <v>33</v>
      </c>
      <c r="EI174" s="841">
        <v>547155</v>
      </c>
      <c r="EJ174" s="841" t="s">
        <v>353</v>
      </c>
      <c r="EK174" s="841" t="s">
        <v>353</v>
      </c>
      <c r="EL174" s="841" t="s">
        <v>1930</v>
      </c>
      <c r="EM174" s="841">
        <v>27562.5</v>
      </c>
      <c r="EN174" s="841" t="s">
        <v>353</v>
      </c>
      <c r="EO174" s="841" t="s">
        <v>353</v>
      </c>
      <c r="EP174" s="841" t="s">
        <v>353</v>
      </c>
      <c r="EQ174" s="841" t="s">
        <v>353</v>
      </c>
      <c r="ER174" s="841" t="s">
        <v>353</v>
      </c>
      <c r="ES174" s="841" t="s">
        <v>33</v>
      </c>
      <c r="ET174" s="841" t="s">
        <v>1512</v>
      </c>
      <c r="EU174" s="841" t="s">
        <v>1972</v>
      </c>
      <c r="EV174" s="841" t="s">
        <v>353</v>
      </c>
      <c r="EW174" s="841" t="s">
        <v>353</v>
      </c>
      <c r="EX174" s="841" t="s">
        <v>33</v>
      </c>
      <c r="EY174" s="842">
        <v>44517.481249999997</v>
      </c>
      <c r="EZ174" s="841" t="s">
        <v>353</v>
      </c>
      <c r="FA174" s="841" t="s">
        <v>353</v>
      </c>
      <c r="FB174" s="841" t="s">
        <v>353</v>
      </c>
      <c r="FC174" s="841" t="s">
        <v>353</v>
      </c>
      <c r="FD174" s="841">
        <v>2100000</v>
      </c>
      <c r="FE174" s="842">
        <v>44511.490277777775</v>
      </c>
      <c r="FF174" s="841" t="s">
        <v>353</v>
      </c>
      <c r="FG174" s="841" t="s">
        <v>2995</v>
      </c>
      <c r="FH174" s="841" t="s">
        <v>353</v>
      </c>
      <c r="FI174" s="841" t="s">
        <v>353</v>
      </c>
      <c r="FJ174" s="841" t="s">
        <v>353</v>
      </c>
      <c r="FK174" s="841" t="s">
        <v>353</v>
      </c>
      <c r="FL174" s="841" t="s">
        <v>353</v>
      </c>
      <c r="FM174" s="841" t="s">
        <v>353</v>
      </c>
      <c r="FN174" s="841" t="s">
        <v>353</v>
      </c>
      <c r="FO174" s="841" t="s">
        <v>1582</v>
      </c>
      <c r="FP174" s="841" t="s">
        <v>2175</v>
      </c>
      <c r="FQ174" s="841" t="s">
        <v>353</v>
      </c>
      <c r="FR174" s="841" t="s">
        <v>353</v>
      </c>
      <c r="FS174" s="841" t="s">
        <v>353</v>
      </c>
      <c r="FT174" s="841" t="s">
        <v>353</v>
      </c>
      <c r="FU174" s="841" t="s">
        <v>2203</v>
      </c>
      <c r="FV174" s="841" t="s">
        <v>353</v>
      </c>
      <c r="FW174" s="841" t="s">
        <v>353</v>
      </c>
      <c r="FX174" s="841" t="s">
        <v>353</v>
      </c>
      <c r="FY174" s="841" t="s">
        <v>353</v>
      </c>
      <c r="FZ174" s="841" t="s">
        <v>353</v>
      </c>
      <c r="GA174" s="841" t="s">
        <v>353</v>
      </c>
      <c r="GB174" s="841">
        <v>1</v>
      </c>
      <c r="GC174" s="841" t="s">
        <v>353</v>
      </c>
      <c r="GD174" s="841" t="s">
        <v>1417</v>
      </c>
      <c r="GE174" s="841" t="s">
        <v>353</v>
      </c>
      <c r="GF174" s="841">
        <v>3120</v>
      </c>
      <c r="GG174" s="841" t="s">
        <v>349</v>
      </c>
      <c r="GH174" s="841">
        <v>1417500</v>
      </c>
      <c r="GI174" s="841" t="s">
        <v>353</v>
      </c>
      <c r="GJ174" s="841">
        <v>2100000</v>
      </c>
      <c r="GK174" s="841" t="s">
        <v>353</v>
      </c>
      <c r="GL174" s="841" t="s">
        <v>1437</v>
      </c>
      <c r="GM174" s="841" t="s">
        <v>353</v>
      </c>
      <c r="GN174" s="841" t="s">
        <v>353</v>
      </c>
      <c r="GO174" s="841" t="s">
        <v>353</v>
      </c>
      <c r="GP174" s="841" t="s">
        <v>353</v>
      </c>
      <c r="GQ174" s="841" t="s">
        <v>353</v>
      </c>
      <c r="GR174" s="841" t="s">
        <v>353</v>
      </c>
      <c r="GS174" s="841" t="s">
        <v>2996</v>
      </c>
      <c r="GT174" s="841" t="s">
        <v>353</v>
      </c>
      <c r="GU174" s="841">
        <v>1500000</v>
      </c>
      <c r="GV174" s="841" t="s">
        <v>1419</v>
      </c>
      <c r="GW174" s="841" t="s">
        <v>353</v>
      </c>
      <c r="GX174" s="841" t="s">
        <v>2743</v>
      </c>
      <c r="GY174" s="841">
        <v>24</v>
      </c>
      <c r="GZ174" s="841" t="s">
        <v>1420</v>
      </c>
      <c r="HA174" s="841" t="s">
        <v>353</v>
      </c>
      <c r="HB174" s="841" t="s">
        <v>353</v>
      </c>
      <c r="HC174" s="841" t="s">
        <v>1421</v>
      </c>
      <c r="HD174" s="841" t="s">
        <v>2997</v>
      </c>
      <c r="HE174" s="841">
        <v>15750</v>
      </c>
      <c r="HF174" s="841" t="s">
        <v>353</v>
      </c>
      <c r="HG174" s="841" t="s">
        <v>353</v>
      </c>
      <c r="HH174" s="841">
        <v>4272</v>
      </c>
      <c r="HI174" s="841" t="s">
        <v>1422</v>
      </c>
      <c r="HJ174" s="841" t="s">
        <v>2998</v>
      </c>
      <c r="HK174" s="841">
        <v>1575000</v>
      </c>
      <c r="HL174" s="841" t="s">
        <v>2999</v>
      </c>
      <c r="HM174" s="841" t="s">
        <v>1530</v>
      </c>
      <c r="HN174" s="841" t="s">
        <v>27</v>
      </c>
      <c r="HO174" s="841" t="s">
        <v>353</v>
      </c>
      <c r="HP174" s="841">
        <v>91192.5</v>
      </c>
      <c r="HQ174" s="841" t="s">
        <v>353</v>
      </c>
      <c r="HR174" s="841" t="s">
        <v>353</v>
      </c>
      <c r="HS174" s="841">
        <v>1027845</v>
      </c>
      <c r="HT174" s="841" t="s">
        <v>353</v>
      </c>
      <c r="HU174" s="841" t="s">
        <v>353</v>
      </c>
      <c r="HV174" s="841" t="s">
        <v>353</v>
      </c>
      <c r="HW174" s="841">
        <v>2600000</v>
      </c>
      <c r="HX174" s="841" t="s">
        <v>353</v>
      </c>
      <c r="HY174" s="841" t="s">
        <v>353</v>
      </c>
      <c r="HZ174" s="841" t="s">
        <v>353</v>
      </c>
      <c r="IA174" s="841" t="s">
        <v>353</v>
      </c>
      <c r="IB174" s="841" t="s">
        <v>1424</v>
      </c>
      <c r="IC174" s="843">
        <v>44511</v>
      </c>
      <c r="ID174" s="841" t="s">
        <v>353</v>
      </c>
      <c r="IE174" s="841" t="s">
        <v>353</v>
      </c>
      <c r="IF174" s="841" t="s">
        <v>353</v>
      </c>
      <c r="IG174" s="841" t="s">
        <v>353</v>
      </c>
      <c r="IH174" s="841" t="s">
        <v>353</v>
      </c>
      <c r="II174" s="841" t="s">
        <v>353</v>
      </c>
      <c r="IJ174" s="841" t="s">
        <v>353</v>
      </c>
      <c r="IK174" s="841" t="s">
        <v>353</v>
      </c>
      <c r="IL174" s="841">
        <v>1529404</v>
      </c>
      <c r="IM174" s="841" t="s">
        <v>353</v>
      </c>
      <c r="IN174" s="841" t="s">
        <v>353</v>
      </c>
      <c r="IO174" s="841">
        <v>199</v>
      </c>
      <c r="IP174" s="841" t="s">
        <v>353</v>
      </c>
      <c r="IQ174" s="841" t="s">
        <v>353</v>
      </c>
      <c r="IR174" s="841">
        <v>6</v>
      </c>
      <c r="IS174" s="841" t="s">
        <v>33</v>
      </c>
      <c r="IT174" s="841" t="s">
        <v>353</v>
      </c>
      <c r="IU174" s="841" t="s">
        <v>33</v>
      </c>
      <c r="IV174" s="841" t="s">
        <v>353</v>
      </c>
      <c r="IW174" s="841" t="s">
        <v>353</v>
      </c>
      <c r="IX174" s="841" t="s">
        <v>353</v>
      </c>
      <c r="IY174" s="841" t="s">
        <v>1578</v>
      </c>
      <c r="IZ174" s="841" t="s">
        <v>353</v>
      </c>
      <c r="JA174" s="841">
        <v>1575000</v>
      </c>
      <c r="JB174" s="841" t="s">
        <v>353</v>
      </c>
      <c r="JC174" s="841" t="s">
        <v>33</v>
      </c>
      <c r="JD174" s="841" t="s">
        <v>1413</v>
      </c>
      <c r="JE174" s="841" t="s">
        <v>33</v>
      </c>
      <c r="JF174" s="841" t="s">
        <v>2943</v>
      </c>
      <c r="JG174" s="841" t="s">
        <v>2944</v>
      </c>
      <c r="JH174" s="841" t="s">
        <v>2945</v>
      </c>
      <c r="JI174" s="841" t="s">
        <v>2946</v>
      </c>
    </row>
    <row r="175" spans="1:269" x14ac:dyDescent="0.25">
      <c r="A175" s="841" t="s">
        <v>3000</v>
      </c>
      <c r="B175" s="841" t="s">
        <v>353</v>
      </c>
      <c r="C175" s="841" t="s">
        <v>353</v>
      </c>
      <c r="D175" s="841" t="s">
        <v>353</v>
      </c>
      <c r="E175" s="841" t="s">
        <v>33</v>
      </c>
      <c r="F175" s="841" t="s">
        <v>1930</v>
      </c>
      <c r="G175" s="841" t="s">
        <v>1614</v>
      </c>
      <c r="H175" s="841" t="s">
        <v>353</v>
      </c>
      <c r="I175" s="841" t="s">
        <v>353</v>
      </c>
      <c r="J175" s="841" t="s">
        <v>353</v>
      </c>
      <c r="K175" s="841" t="s">
        <v>2606</v>
      </c>
      <c r="L175" s="842">
        <v>44599.752083333333</v>
      </c>
      <c r="M175" s="841" t="s">
        <v>353</v>
      </c>
      <c r="N175" s="841" t="s">
        <v>33</v>
      </c>
      <c r="O175" s="841" t="s">
        <v>353</v>
      </c>
      <c r="P175" s="841" t="s">
        <v>33</v>
      </c>
      <c r="Q175" s="841" t="s">
        <v>353</v>
      </c>
      <c r="R175" s="841" t="s">
        <v>353</v>
      </c>
      <c r="S175" s="841" t="s">
        <v>67</v>
      </c>
      <c r="T175" s="841" t="s">
        <v>1390</v>
      </c>
      <c r="U175" s="841" t="s">
        <v>353</v>
      </c>
      <c r="V175" s="841" t="s">
        <v>353</v>
      </c>
      <c r="W175" s="841" t="s">
        <v>353</v>
      </c>
      <c r="X175" s="841" t="s">
        <v>1405</v>
      </c>
      <c r="Y175" s="841" t="s">
        <v>353</v>
      </c>
      <c r="Z175" s="841" t="s">
        <v>353</v>
      </c>
      <c r="AA175" s="841" t="s">
        <v>33</v>
      </c>
      <c r="AB175" s="843">
        <v>44571</v>
      </c>
      <c r="AC175" s="841">
        <v>489600</v>
      </c>
      <c r="AD175" s="841" t="s">
        <v>353</v>
      </c>
      <c r="AE175" s="841" t="s">
        <v>33</v>
      </c>
      <c r="AF175" s="841">
        <v>2398.13</v>
      </c>
      <c r="AG175" s="841" t="s">
        <v>353</v>
      </c>
      <c r="AH175" s="841">
        <v>2500</v>
      </c>
      <c r="AI175" s="841" t="s">
        <v>1406</v>
      </c>
      <c r="AJ175" s="841" t="s">
        <v>2168</v>
      </c>
      <c r="AK175" s="841">
        <v>70</v>
      </c>
      <c r="AL175" s="841" t="s">
        <v>353</v>
      </c>
      <c r="AM175" s="841" t="s">
        <v>353</v>
      </c>
      <c r="AN175" s="841" t="s">
        <v>33</v>
      </c>
      <c r="AO175" s="841" t="s">
        <v>353</v>
      </c>
      <c r="AP175" s="841" t="s">
        <v>353</v>
      </c>
      <c r="AQ175" s="841" t="s">
        <v>353</v>
      </c>
      <c r="AR175" s="841" t="s">
        <v>33</v>
      </c>
      <c r="AS175" s="841" t="s">
        <v>353</v>
      </c>
      <c r="AT175" s="841" t="s">
        <v>353</v>
      </c>
      <c r="AU175" s="841" t="s">
        <v>353</v>
      </c>
      <c r="AV175" s="841" t="s">
        <v>353</v>
      </c>
      <c r="AW175" s="843">
        <v>44522</v>
      </c>
      <c r="AX175" s="841" t="s">
        <v>353</v>
      </c>
      <c r="AY175" s="841" t="s">
        <v>353</v>
      </c>
      <c r="AZ175" s="841" t="s">
        <v>353</v>
      </c>
      <c r="BA175" s="841" t="s">
        <v>353</v>
      </c>
      <c r="BB175" s="841" t="s">
        <v>353</v>
      </c>
      <c r="BC175" s="841">
        <v>520091</v>
      </c>
      <c r="BD175" s="841" t="s">
        <v>353</v>
      </c>
      <c r="BE175" s="841" t="s">
        <v>353</v>
      </c>
      <c r="BF175" s="841" t="s">
        <v>353</v>
      </c>
      <c r="BG175" s="841" t="s">
        <v>353</v>
      </c>
      <c r="BH175" s="841" t="s">
        <v>353</v>
      </c>
      <c r="BI175" s="841" t="s">
        <v>353</v>
      </c>
      <c r="BJ175" s="841" t="s">
        <v>353</v>
      </c>
      <c r="BK175" s="841" t="s">
        <v>353</v>
      </c>
      <c r="BL175" s="841" t="s">
        <v>2287</v>
      </c>
      <c r="BM175" s="842">
        <v>44530.65347222222</v>
      </c>
      <c r="BN175" s="841" t="s">
        <v>353</v>
      </c>
      <c r="BO175" s="841" t="s">
        <v>353</v>
      </c>
      <c r="BP175" s="841" t="s">
        <v>33</v>
      </c>
      <c r="BQ175" s="841" t="s">
        <v>353</v>
      </c>
      <c r="BR175" s="841" t="s">
        <v>353</v>
      </c>
      <c r="BS175" s="841" t="s">
        <v>353</v>
      </c>
      <c r="BT175" s="841">
        <v>507000</v>
      </c>
      <c r="BU175" s="841" t="s">
        <v>353</v>
      </c>
      <c r="BV175" s="841" t="s">
        <v>3001</v>
      </c>
      <c r="BW175" s="841" t="s">
        <v>1578</v>
      </c>
      <c r="BX175" s="841" t="s">
        <v>2608</v>
      </c>
      <c r="BY175" s="841" t="s">
        <v>353</v>
      </c>
      <c r="BZ175" s="841" t="s">
        <v>353</v>
      </c>
      <c r="CA175" s="841" t="s">
        <v>353</v>
      </c>
      <c r="CB175" s="841" t="s">
        <v>353</v>
      </c>
      <c r="CC175" s="841" t="s">
        <v>353</v>
      </c>
      <c r="CD175" s="841" t="s">
        <v>353</v>
      </c>
      <c r="CE175" s="841" t="s">
        <v>353</v>
      </c>
      <c r="CF175" s="841" t="s">
        <v>353</v>
      </c>
      <c r="CG175" s="841" t="s">
        <v>353</v>
      </c>
      <c r="CH175" s="841" t="s">
        <v>353</v>
      </c>
      <c r="CI175" s="841" t="s">
        <v>33</v>
      </c>
      <c r="CJ175" s="841">
        <v>1260</v>
      </c>
      <c r="CK175" s="841">
        <v>24</v>
      </c>
      <c r="CL175" s="841" t="s">
        <v>353</v>
      </c>
      <c r="CM175" s="841">
        <v>29</v>
      </c>
      <c r="CN175" s="841" t="s">
        <v>353</v>
      </c>
      <c r="CO175" s="841" t="s">
        <v>353</v>
      </c>
      <c r="CP175" s="841" t="s">
        <v>3002</v>
      </c>
      <c r="CQ175" s="841" t="s">
        <v>353</v>
      </c>
      <c r="CR175" s="841" t="s">
        <v>353</v>
      </c>
      <c r="CS175" s="841" t="s">
        <v>353</v>
      </c>
      <c r="CT175" s="841" t="s">
        <v>353</v>
      </c>
      <c r="CU175" s="841" t="s">
        <v>1391</v>
      </c>
      <c r="CV175" s="841" t="s">
        <v>353</v>
      </c>
      <c r="CW175" s="841" t="s">
        <v>353</v>
      </c>
      <c r="CX175" s="841" t="s">
        <v>353</v>
      </c>
      <c r="CY175" s="841" t="s">
        <v>353</v>
      </c>
      <c r="CZ175" s="841">
        <v>2</v>
      </c>
      <c r="DA175" s="841" t="s">
        <v>353</v>
      </c>
      <c r="DB175" s="843">
        <v>44539</v>
      </c>
      <c r="DC175" s="841" t="s">
        <v>353</v>
      </c>
      <c r="DD175" s="841" t="s">
        <v>353</v>
      </c>
      <c r="DE175" s="841" t="s">
        <v>353</v>
      </c>
      <c r="DF175" s="841">
        <v>18</v>
      </c>
      <c r="DG175" s="841" t="s">
        <v>353</v>
      </c>
      <c r="DH175" s="841" t="s">
        <v>353</v>
      </c>
      <c r="DI175" s="841" t="s">
        <v>353</v>
      </c>
      <c r="DJ175" s="841" t="s">
        <v>3003</v>
      </c>
      <c r="DK175" s="841" t="s">
        <v>353</v>
      </c>
      <c r="DL175" s="842">
        <v>44510.65347222222</v>
      </c>
      <c r="DM175" s="841" t="s">
        <v>353</v>
      </c>
      <c r="DN175" s="841" t="s">
        <v>33</v>
      </c>
      <c r="DO175" s="841" t="s">
        <v>353</v>
      </c>
      <c r="DP175" s="841" t="s">
        <v>353</v>
      </c>
      <c r="DQ175" s="841" t="s">
        <v>1434</v>
      </c>
      <c r="DR175" s="841">
        <v>780640</v>
      </c>
      <c r="DS175" s="841">
        <v>18</v>
      </c>
      <c r="DT175" s="841" t="s">
        <v>353</v>
      </c>
      <c r="DU175" s="841" t="s">
        <v>353</v>
      </c>
      <c r="DV175" s="841" t="s">
        <v>353</v>
      </c>
      <c r="DW175" s="841">
        <v>544000</v>
      </c>
      <c r="DX175" s="841" t="s">
        <v>33</v>
      </c>
      <c r="DY175" s="841" t="s">
        <v>353</v>
      </c>
      <c r="DZ175" s="841">
        <v>2820</v>
      </c>
      <c r="EA175" s="841" t="s">
        <v>353</v>
      </c>
      <c r="EB175" s="841" t="s">
        <v>353</v>
      </c>
      <c r="EC175" s="841" t="s">
        <v>353</v>
      </c>
      <c r="ED175" s="841" t="s">
        <v>353</v>
      </c>
      <c r="EE175" s="841" t="s">
        <v>33</v>
      </c>
      <c r="EF175" s="841" t="s">
        <v>353</v>
      </c>
      <c r="EG175" s="841" t="s">
        <v>353</v>
      </c>
      <c r="EH175" s="841" t="s">
        <v>33</v>
      </c>
      <c r="EI175" s="841">
        <v>172665.60000000001</v>
      </c>
      <c r="EJ175" s="841" t="s">
        <v>353</v>
      </c>
      <c r="EK175" s="841" t="s">
        <v>353</v>
      </c>
      <c r="EL175" s="841" t="s">
        <v>1930</v>
      </c>
      <c r="EM175" s="841" t="s">
        <v>353</v>
      </c>
      <c r="EN175" s="841" t="s">
        <v>353</v>
      </c>
      <c r="EO175" s="841" t="s">
        <v>353</v>
      </c>
      <c r="EP175" s="841" t="s">
        <v>353</v>
      </c>
      <c r="EQ175" s="841" t="s">
        <v>353</v>
      </c>
      <c r="ER175" s="841" t="s">
        <v>353</v>
      </c>
      <c r="ES175" s="841" t="s">
        <v>33</v>
      </c>
      <c r="ET175" s="841" t="s">
        <v>1496</v>
      </c>
      <c r="EU175" s="841" t="s">
        <v>2291</v>
      </c>
      <c r="EV175" s="841" t="s">
        <v>353</v>
      </c>
      <c r="EW175" s="841" t="s">
        <v>353</v>
      </c>
      <c r="EX175" s="841" t="s">
        <v>33</v>
      </c>
      <c r="EY175" s="842">
        <v>44565.487500000003</v>
      </c>
      <c r="EZ175" s="841" t="s">
        <v>353</v>
      </c>
      <c r="FA175" s="841" t="s">
        <v>353</v>
      </c>
      <c r="FB175" s="841" t="s">
        <v>353</v>
      </c>
      <c r="FC175" s="841" t="s">
        <v>353</v>
      </c>
      <c r="FD175" s="841">
        <v>820000</v>
      </c>
      <c r="FE175" s="842">
        <v>44510.654861111114</v>
      </c>
      <c r="FF175" s="841" t="s">
        <v>353</v>
      </c>
      <c r="FG175" s="841" t="s">
        <v>353</v>
      </c>
      <c r="FH175" s="841" t="s">
        <v>353</v>
      </c>
      <c r="FI175" s="841" t="s">
        <v>353</v>
      </c>
      <c r="FJ175" s="841" t="s">
        <v>353</v>
      </c>
      <c r="FK175" s="841" t="s">
        <v>353</v>
      </c>
      <c r="FL175" s="841" t="s">
        <v>353</v>
      </c>
      <c r="FM175" s="841" t="s">
        <v>353</v>
      </c>
      <c r="FN175" s="841" t="s">
        <v>353</v>
      </c>
      <c r="FO175" s="841" t="s">
        <v>1648</v>
      </c>
      <c r="FP175" s="841" t="s">
        <v>2603</v>
      </c>
      <c r="FQ175" s="841" t="s">
        <v>353</v>
      </c>
      <c r="FR175" s="841" t="s">
        <v>353</v>
      </c>
      <c r="FS175" s="841" t="s">
        <v>353</v>
      </c>
      <c r="FT175" s="841" t="s">
        <v>353</v>
      </c>
      <c r="FU175" s="841" t="s">
        <v>2203</v>
      </c>
      <c r="FV175" s="841" t="s">
        <v>353</v>
      </c>
      <c r="FW175" s="841" t="s">
        <v>353</v>
      </c>
      <c r="FX175" s="841" t="s">
        <v>353</v>
      </c>
      <c r="FY175" s="841" t="s">
        <v>353</v>
      </c>
      <c r="FZ175" s="841" t="s">
        <v>353</v>
      </c>
      <c r="GA175" s="841" t="s">
        <v>353</v>
      </c>
      <c r="GB175" s="841">
        <v>1</v>
      </c>
      <c r="GC175" s="841" t="s">
        <v>353</v>
      </c>
      <c r="GD175" s="841" t="s">
        <v>1417</v>
      </c>
      <c r="GE175" s="841" t="s">
        <v>353</v>
      </c>
      <c r="GF175" s="841">
        <v>2580</v>
      </c>
      <c r="GG175" s="841" t="s">
        <v>353</v>
      </c>
      <c r="GH175" s="841">
        <v>489600</v>
      </c>
      <c r="GI175" s="841" t="s">
        <v>353</v>
      </c>
      <c r="GJ175" s="841">
        <v>820000</v>
      </c>
      <c r="GK175" s="841" t="s">
        <v>353</v>
      </c>
      <c r="GL175" s="841" t="s">
        <v>1437</v>
      </c>
      <c r="GM175" s="841" t="s">
        <v>353</v>
      </c>
      <c r="GN175" s="841" t="s">
        <v>353</v>
      </c>
      <c r="GO175" s="841" t="s">
        <v>353</v>
      </c>
      <c r="GP175" s="841" t="s">
        <v>353</v>
      </c>
      <c r="GQ175" s="841" t="s">
        <v>353</v>
      </c>
      <c r="GR175" s="842">
        <v>44510.413888888892</v>
      </c>
      <c r="GS175" s="841" t="s">
        <v>3004</v>
      </c>
      <c r="GT175" s="841" t="s">
        <v>353</v>
      </c>
      <c r="GU175" s="841" t="s">
        <v>353</v>
      </c>
      <c r="GV175" s="841" t="s">
        <v>1419</v>
      </c>
      <c r="GW175" s="841" t="s">
        <v>353</v>
      </c>
      <c r="GX175" s="841" t="s">
        <v>353</v>
      </c>
      <c r="GY175" s="841">
        <v>24</v>
      </c>
      <c r="GZ175" s="841" t="s">
        <v>1420</v>
      </c>
      <c r="HA175" s="841" t="s">
        <v>353</v>
      </c>
      <c r="HB175" s="841" t="s">
        <v>353</v>
      </c>
      <c r="HC175" s="841" t="s">
        <v>1421</v>
      </c>
      <c r="HD175" s="841" t="s">
        <v>3005</v>
      </c>
      <c r="HE175" s="841">
        <v>10880</v>
      </c>
      <c r="HF175" s="841" t="s">
        <v>353</v>
      </c>
      <c r="HG175" s="841" t="s">
        <v>353</v>
      </c>
      <c r="HH175" s="841">
        <v>840</v>
      </c>
      <c r="HI175" s="841" t="s">
        <v>1422</v>
      </c>
      <c r="HJ175" s="841" t="s">
        <v>353</v>
      </c>
      <c r="HK175" s="841">
        <v>544000</v>
      </c>
      <c r="HL175" s="841" t="s">
        <v>49</v>
      </c>
      <c r="HM175" s="841" t="s">
        <v>1423</v>
      </c>
      <c r="HN175" s="841" t="s">
        <v>33</v>
      </c>
      <c r="HO175" s="841" t="s">
        <v>353</v>
      </c>
      <c r="HP175" s="841">
        <v>28777.599999999999</v>
      </c>
      <c r="HQ175" s="841" t="s">
        <v>353</v>
      </c>
      <c r="HR175" s="841" t="s">
        <v>353</v>
      </c>
      <c r="HS175" s="841" t="s">
        <v>353</v>
      </c>
      <c r="HT175" s="841" t="s">
        <v>353</v>
      </c>
      <c r="HU175" s="841" t="s">
        <v>353</v>
      </c>
      <c r="HV175" s="841" t="s">
        <v>353</v>
      </c>
      <c r="HW175" s="841">
        <v>780640</v>
      </c>
      <c r="HX175" s="841" t="s">
        <v>353</v>
      </c>
      <c r="HY175" s="841" t="s">
        <v>353</v>
      </c>
      <c r="HZ175" s="841" t="s">
        <v>353</v>
      </c>
      <c r="IA175" s="841" t="s">
        <v>353</v>
      </c>
      <c r="IB175" s="841" t="s">
        <v>1424</v>
      </c>
      <c r="IC175" s="841" t="s">
        <v>353</v>
      </c>
      <c r="ID175" s="841" t="s">
        <v>353</v>
      </c>
      <c r="IE175" s="841" t="s">
        <v>353</v>
      </c>
      <c r="IF175" s="841" t="s">
        <v>353</v>
      </c>
      <c r="IG175" s="841" t="s">
        <v>353</v>
      </c>
      <c r="IH175" s="841" t="s">
        <v>353</v>
      </c>
      <c r="II175" s="841" t="s">
        <v>353</v>
      </c>
      <c r="IJ175" s="841" t="s">
        <v>353</v>
      </c>
      <c r="IK175" s="841" t="s">
        <v>353</v>
      </c>
      <c r="IL175" s="841">
        <v>529611</v>
      </c>
      <c r="IM175" s="841" t="s">
        <v>353</v>
      </c>
      <c r="IN175" s="841" t="s">
        <v>353</v>
      </c>
      <c r="IO175" s="841">
        <v>199</v>
      </c>
      <c r="IP175" s="841" t="s">
        <v>353</v>
      </c>
      <c r="IQ175" s="841" t="s">
        <v>353</v>
      </c>
      <c r="IR175" s="841">
        <v>6</v>
      </c>
      <c r="IS175" s="841" t="s">
        <v>33</v>
      </c>
      <c r="IT175" s="841" t="s">
        <v>353</v>
      </c>
      <c r="IU175" s="841" t="s">
        <v>33</v>
      </c>
      <c r="IV175" s="841" t="s">
        <v>353</v>
      </c>
      <c r="IW175" s="841" t="s">
        <v>353</v>
      </c>
      <c r="IX175" s="841" t="s">
        <v>353</v>
      </c>
      <c r="IY175" s="841" t="s">
        <v>1622</v>
      </c>
      <c r="IZ175" s="841" t="s">
        <v>353</v>
      </c>
      <c r="JA175" s="841">
        <v>544000</v>
      </c>
      <c r="JB175" s="841" t="s">
        <v>353</v>
      </c>
      <c r="JC175" s="841" t="s">
        <v>33</v>
      </c>
      <c r="JD175" s="841" t="s">
        <v>1456</v>
      </c>
      <c r="JE175" s="841" t="s">
        <v>33</v>
      </c>
      <c r="JF175" s="841" t="s">
        <v>1514</v>
      </c>
      <c r="JG175" s="841" t="s">
        <v>1515</v>
      </c>
      <c r="JH175" s="841" t="s">
        <v>1516</v>
      </c>
      <c r="JI175" s="841" t="s">
        <v>1517</v>
      </c>
    </row>
    <row r="176" spans="1:269" x14ac:dyDescent="0.25">
      <c r="A176" s="841" t="s">
        <v>3006</v>
      </c>
      <c r="B176" s="841" t="s">
        <v>353</v>
      </c>
      <c r="C176" s="841" t="s">
        <v>353</v>
      </c>
      <c r="D176" s="841" t="s">
        <v>353</v>
      </c>
      <c r="E176" s="841" t="s">
        <v>33</v>
      </c>
      <c r="F176" s="841" t="s">
        <v>1405</v>
      </c>
      <c r="G176" s="841" t="s">
        <v>3007</v>
      </c>
      <c r="H176" s="841" t="s">
        <v>353</v>
      </c>
      <c r="I176" s="841" t="s">
        <v>353</v>
      </c>
      <c r="J176" s="841" t="s">
        <v>353</v>
      </c>
      <c r="K176" s="841" t="s">
        <v>2167</v>
      </c>
      <c r="L176" s="842">
        <v>44603.418055555558</v>
      </c>
      <c r="M176" s="841" t="s">
        <v>353</v>
      </c>
      <c r="N176" s="841" t="s">
        <v>33</v>
      </c>
      <c r="O176" s="841" t="s">
        <v>353</v>
      </c>
      <c r="P176" s="841" t="s">
        <v>33</v>
      </c>
      <c r="Q176" s="841" t="s">
        <v>353</v>
      </c>
      <c r="R176" s="841" t="s">
        <v>353</v>
      </c>
      <c r="S176" s="841" t="s">
        <v>64</v>
      </c>
      <c r="T176" s="841" t="s">
        <v>1390</v>
      </c>
      <c r="U176" s="841" t="s">
        <v>353</v>
      </c>
      <c r="V176" s="841" t="s">
        <v>353</v>
      </c>
      <c r="W176" s="841" t="s">
        <v>353</v>
      </c>
      <c r="X176" s="841" t="s">
        <v>1405</v>
      </c>
      <c r="Y176" s="841" t="s">
        <v>353</v>
      </c>
      <c r="Z176" s="841" t="s">
        <v>353</v>
      </c>
      <c r="AA176" s="841" t="s">
        <v>33</v>
      </c>
      <c r="AB176" s="843">
        <v>44532</v>
      </c>
      <c r="AC176" s="841">
        <v>286200</v>
      </c>
      <c r="AD176" s="841" t="s">
        <v>353</v>
      </c>
      <c r="AE176" s="841" t="s">
        <v>33</v>
      </c>
      <c r="AF176" s="841">
        <v>1402</v>
      </c>
      <c r="AG176" s="841" t="s">
        <v>353</v>
      </c>
      <c r="AH176" s="841">
        <v>2350</v>
      </c>
      <c r="AI176" s="841" t="s">
        <v>1521</v>
      </c>
      <c r="AJ176" s="841" t="s">
        <v>2198</v>
      </c>
      <c r="AK176" s="841">
        <v>70</v>
      </c>
      <c r="AL176" s="841" t="s">
        <v>353</v>
      </c>
      <c r="AM176" s="841" t="s">
        <v>353</v>
      </c>
      <c r="AN176" s="841" t="s">
        <v>33</v>
      </c>
      <c r="AO176" s="841" t="s">
        <v>353</v>
      </c>
      <c r="AP176" s="841" t="s">
        <v>353</v>
      </c>
      <c r="AQ176" s="841" t="s">
        <v>353</v>
      </c>
      <c r="AR176" s="841" t="s">
        <v>33</v>
      </c>
      <c r="AS176" s="841" t="s">
        <v>353</v>
      </c>
      <c r="AT176" s="841" t="s">
        <v>353</v>
      </c>
      <c r="AU176" s="841" t="s">
        <v>353</v>
      </c>
      <c r="AV176" s="841" t="s">
        <v>353</v>
      </c>
      <c r="AW176" s="843">
        <v>44510</v>
      </c>
      <c r="AX176" s="841" t="s">
        <v>353</v>
      </c>
      <c r="AY176" s="841" t="s">
        <v>353</v>
      </c>
      <c r="AZ176" s="841" t="s">
        <v>353</v>
      </c>
      <c r="BA176" s="841" t="s">
        <v>353</v>
      </c>
      <c r="BB176" s="841" t="s">
        <v>353</v>
      </c>
      <c r="BC176" s="841">
        <v>312435</v>
      </c>
      <c r="BD176" s="841" t="s">
        <v>353</v>
      </c>
      <c r="BE176" s="841" t="s">
        <v>353</v>
      </c>
      <c r="BF176" s="841" t="s">
        <v>353</v>
      </c>
      <c r="BG176" s="841" t="s">
        <v>353</v>
      </c>
      <c r="BH176" s="841" t="s">
        <v>353</v>
      </c>
      <c r="BI176" s="841" t="s">
        <v>353</v>
      </c>
      <c r="BJ176" s="841" t="s">
        <v>353</v>
      </c>
      <c r="BK176" s="841" t="s">
        <v>353</v>
      </c>
      <c r="BL176" s="841" t="s">
        <v>2964</v>
      </c>
      <c r="BM176" s="842">
        <v>44530.534722222219</v>
      </c>
      <c r="BN176" s="841" t="s">
        <v>353</v>
      </c>
      <c r="BO176" s="841" t="s">
        <v>353</v>
      </c>
      <c r="BP176" s="841" t="s">
        <v>673</v>
      </c>
      <c r="BQ176" s="841" t="s">
        <v>353</v>
      </c>
      <c r="BR176" s="841" t="s">
        <v>353</v>
      </c>
      <c r="BS176" s="841" t="s">
        <v>353</v>
      </c>
      <c r="BT176" s="841">
        <v>315000</v>
      </c>
      <c r="BU176" s="841" t="s">
        <v>353</v>
      </c>
      <c r="BV176" s="841" t="s">
        <v>3008</v>
      </c>
      <c r="BW176" s="841" t="s">
        <v>1578</v>
      </c>
      <c r="BX176" s="841" t="s">
        <v>3009</v>
      </c>
      <c r="BY176" s="841" t="s">
        <v>353</v>
      </c>
      <c r="BZ176" s="841" t="s">
        <v>353</v>
      </c>
      <c r="CA176" s="841" t="s">
        <v>353</v>
      </c>
      <c r="CB176" s="841" t="s">
        <v>353</v>
      </c>
      <c r="CC176" s="841" t="s">
        <v>353</v>
      </c>
      <c r="CD176" s="841" t="s">
        <v>353</v>
      </c>
      <c r="CE176" s="841" t="s">
        <v>353</v>
      </c>
      <c r="CF176" s="841" t="s">
        <v>353</v>
      </c>
      <c r="CG176" s="841" t="s">
        <v>353</v>
      </c>
      <c r="CH176" s="841" t="s">
        <v>353</v>
      </c>
      <c r="CI176" s="841" t="s">
        <v>33</v>
      </c>
      <c r="CJ176" s="841">
        <v>720</v>
      </c>
      <c r="CK176" s="841">
        <v>0</v>
      </c>
      <c r="CL176" s="841" t="s">
        <v>353</v>
      </c>
      <c r="CM176" s="841">
        <v>3</v>
      </c>
      <c r="CN176" s="841" t="s">
        <v>353</v>
      </c>
      <c r="CO176" s="841" t="s">
        <v>353</v>
      </c>
      <c r="CP176" s="841" t="s">
        <v>3010</v>
      </c>
      <c r="CQ176" s="841" t="s">
        <v>353</v>
      </c>
      <c r="CR176" s="841" t="s">
        <v>353</v>
      </c>
      <c r="CS176" s="841" t="s">
        <v>353</v>
      </c>
      <c r="CT176" s="841" t="s">
        <v>353</v>
      </c>
      <c r="CU176" s="841" t="s">
        <v>1391</v>
      </c>
      <c r="CV176" s="841" t="s">
        <v>353</v>
      </c>
      <c r="CW176" s="841" t="s">
        <v>353</v>
      </c>
      <c r="CX176" s="841" t="s">
        <v>353</v>
      </c>
      <c r="CY176" s="841" t="s">
        <v>353</v>
      </c>
      <c r="CZ176" s="841">
        <v>1</v>
      </c>
      <c r="DA176" s="841" t="s">
        <v>353</v>
      </c>
      <c r="DB176" s="843">
        <v>44519</v>
      </c>
      <c r="DC176" s="841" t="s">
        <v>353</v>
      </c>
      <c r="DD176" s="841" t="s">
        <v>353</v>
      </c>
      <c r="DE176" s="841" t="s">
        <v>353</v>
      </c>
      <c r="DF176" s="841">
        <v>24</v>
      </c>
      <c r="DG176" s="841" t="s">
        <v>353</v>
      </c>
      <c r="DH176" s="841" t="s">
        <v>353</v>
      </c>
      <c r="DI176" s="841" t="s">
        <v>353</v>
      </c>
      <c r="DJ176" s="841" t="s">
        <v>3011</v>
      </c>
      <c r="DK176" s="841" t="s">
        <v>353</v>
      </c>
      <c r="DL176" s="842">
        <v>44510.534722222219</v>
      </c>
      <c r="DM176" s="841" t="s">
        <v>353</v>
      </c>
      <c r="DN176" s="841" t="s">
        <v>33</v>
      </c>
      <c r="DO176" s="841" t="s">
        <v>353</v>
      </c>
      <c r="DP176" s="841" t="s">
        <v>353</v>
      </c>
      <c r="DQ176" s="841" t="s">
        <v>673</v>
      </c>
      <c r="DR176" s="841">
        <v>456701</v>
      </c>
      <c r="DS176" s="841">
        <v>24</v>
      </c>
      <c r="DT176" s="841" t="s">
        <v>353</v>
      </c>
      <c r="DU176" s="841" t="s">
        <v>353</v>
      </c>
      <c r="DV176" s="841" t="s">
        <v>353</v>
      </c>
      <c r="DW176" s="841">
        <v>318000</v>
      </c>
      <c r="DX176" s="841" t="s">
        <v>33</v>
      </c>
      <c r="DY176" s="841" t="s">
        <v>353</v>
      </c>
      <c r="DZ176" s="841">
        <v>2100</v>
      </c>
      <c r="EA176" s="841" t="s">
        <v>353</v>
      </c>
      <c r="EB176" s="841" t="s">
        <v>353</v>
      </c>
      <c r="EC176" s="841" t="s">
        <v>353</v>
      </c>
      <c r="ED176" s="841" t="s">
        <v>353</v>
      </c>
      <c r="EE176" s="841" t="s">
        <v>33</v>
      </c>
      <c r="EF176" s="841" t="s">
        <v>353</v>
      </c>
      <c r="EG176" s="841" t="s">
        <v>353</v>
      </c>
      <c r="EH176" s="841" t="s">
        <v>33</v>
      </c>
      <c r="EI176" s="841">
        <v>0</v>
      </c>
      <c r="EJ176" s="841" t="s">
        <v>353</v>
      </c>
      <c r="EK176" s="841" t="s">
        <v>353</v>
      </c>
      <c r="EL176" s="841" t="s">
        <v>1930</v>
      </c>
      <c r="EM176" s="841" t="s">
        <v>353</v>
      </c>
      <c r="EN176" s="841" t="s">
        <v>353</v>
      </c>
      <c r="EO176" s="841" t="s">
        <v>353</v>
      </c>
      <c r="EP176" s="841" t="s">
        <v>353</v>
      </c>
      <c r="EQ176" s="841" t="s">
        <v>353</v>
      </c>
      <c r="ER176" s="841" t="s">
        <v>353</v>
      </c>
      <c r="ES176" s="841" t="s">
        <v>33</v>
      </c>
      <c r="ET176" s="841" t="s">
        <v>1496</v>
      </c>
      <c r="EU176" s="841" t="s">
        <v>2797</v>
      </c>
      <c r="EV176" s="841" t="s">
        <v>353</v>
      </c>
      <c r="EW176" s="841" t="s">
        <v>353</v>
      </c>
      <c r="EX176" s="841" t="s">
        <v>33</v>
      </c>
      <c r="EY176" s="842">
        <v>44554.384722222225</v>
      </c>
      <c r="EZ176" s="841" t="s">
        <v>353</v>
      </c>
      <c r="FA176" s="841" t="s">
        <v>353</v>
      </c>
      <c r="FB176" s="841" t="s">
        <v>353</v>
      </c>
      <c r="FC176" s="841" t="s">
        <v>353</v>
      </c>
      <c r="FD176" s="841">
        <v>425000</v>
      </c>
      <c r="FE176" s="842">
        <v>44510.535416666666</v>
      </c>
      <c r="FF176" s="841" t="s">
        <v>353</v>
      </c>
      <c r="FG176" s="841" t="s">
        <v>353</v>
      </c>
      <c r="FH176" s="841" t="s">
        <v>353</v>
      </c>
      <c r="FI176" s="841" t="s">
        <v>353</v>
      </c>
      <c r="FJ176" s="841" t="s">
        <v>353</v>
      </c>
      <c r="FK176" s="841" t="s">
        <v>353</v>
      </c>
      <c r="FL176" s="841" t="s">
        <v>353</v>
      </c>
      <c r="FM176" s="841" t="s">
        <v>353</v>
      </c>
      <c r="FN176" s="841" t="s">
        <v>353</v>
      </c>
      <c r="FO176" s="841" t="s">
        <v>1648</v>
      </c>
      <c r="FP176" s="841" t="s">
        <v>2175</v>
      </c>
      <c r="FQ176" s="841" t="s">
        <v>353</v>
      </c>
      <c r="FR176" s="841" t="s">
        <v>353</v>
      </c>
      <c r="FS176" s="841" t="s">
        <v>353</v>
      </c>
      <c r="FT176" s="841" t="s">
        <v>353</v>
      </c>
      <c r="FU176" s="841" t="s">
        <v>2203</v>
      </c>
      <c r="FV176" s="841" t="s">
        <v>353</v>
      </c>
      <c r="FW176" s="841" t="s">
        <v>353</v>
      </c>
      <c r="FX176" s="841" t="s">
        <v>353</v>
      </c>
      <c r="FY176" s="841" t="s">
        <v>353</v>
      </c>
      <c r="FZ176" s="841" t="s">
        <v>353</v>
      </c>
      <c r="GA176" s="841" t="s">
        <v>353</v>
      </c>
      <c r="GB176" s="841">
        <v>1</v>
      </c>
      <c r="GC176" s="841" t="s">
        <v>353</v>
      </c>
      <c r="GD176" s="841" t="s">
        <v>1395</v>
      </c>
      <c r="GE176" s="841" t="s">
        <v>353</v>
      </c>
      <c r="GF176" s="841">
        <v>2100</v>
      </c>
      <c r="GG176" s="841" t="s">
        <v>353</v>
      </c>
      <c r="GH176" s="841">
        <v>286200</v>
      </c>
      <c r="GI176" s="841" t="s">
        <v>353</v>
      </c>
      <c r="GJ176" s="841">
        <v>470000</v>
      </c>
      <c r="GK176" s="841" t="s">
        <v>33</v>
      </c>
      <c r="GL176" s="841" t="s">
        <v>1468</v>
      </c>
      <c r="GM176" s="841" t="s">
        <v>353</v>
      </c>
      <c r="GN176" s="841" t="s">
        <v>353</v>
      </c>
      <c r="GO176" s="841" t="s">
        <v>353</v>
      </c>
      <c r="GP176" s="841" t="s">
        <v>353</v>
      </c>
      <c r="GQ176" s="841" t="s">
        <v>353</v>
      </c>
      <c r="GR176" s="841" t="s">
        <v>353</v>
      </c>
      <c r="GS176" s="841" t="s">
        <v>353</v>
      </c>
      <c r="GT176" s="841" t="s">
        <v>353</v>
      </c>
      <c r="GU176" s="841" t="s">
        <v>353</v>
      </c>
      <c r="GV176" s="841" t="s">
        <v>1419</v>
      </c>
      <c r="GW176" s="841" t="s">
        <v>353</v>
      </c>
      <c r="GX176" s="841" t="s">
        <v>353</v>
      </c>
      <c r="GY176" s="841">
        <v>24</v>
      </c>
      <c r="GZ176" s="841" t="s">
        <v>1456</v>
      </c>
      <c r="HA176" s="841" t="s">
        <v>353</v>
      </c>
      <c r="HB176" s="841" t="s">
        <v>353</v>
      </c>
      <c r="HC176" s="841" t="s">
        <v>1421</v>
      </c>
      <c r="HD176" s="841" t="s">
        <v>3012</v>
      </c>
      <c r="HE176" s="841">
        <v>3180</v>
      </c>
      <c r="HF176" s="841" t="s">
        <v>353</v>
      </c>
      <c r="HG176" s="841" t="s">
        <v>353</v>
      </c>
      <c r="HH176" s="841">
        <v>892.5</v>
      </c>
      <c r="HI176" s="841" t="s">
        <v>1422</v>
      </c>
      <c r="HJ176" s="841" t="s">
        <v>353</v>
      </c>
      <c r="HK176" s="841">
        <v>318000</v>
      </c>
      <c r="HL176" s="841" t="s">
        <v>49</v>
      </c>
      <c r="HM176" s="841" t="s">
        <v>1423</v>
      </c>
      <c r="HN176" s="841" t="s">
        <v>353</v>
      </c>
      <c r="HO176" s="841" t="s">
        <v>353</v>
      </c>
      <c r="HP176" s="841">
        <v>16822.2</v>
      </c>
      <c r="HQ176" s="841" t="s">
        <v>353</v>
      </c>
      <c r="HR176" s="841" t="s">
        <v>353</v>
      </c>
      <c r="HS176" s="841" t="s">
        <v>353</v>
      </c>
      <c r="HT176" s="841" t="s">
        <v>353</v>
      </c>
      <c r="HU176" s="841" t="s">
        <v>353</v>
      </c>
      <c r="HV176" s="841" t="s">
        <v>353</v>
      </c>
      <c r="HW176" s="841">
        <v>456701</v>
      </c>
      <c r="HX176" s="841" t="s">
        <v>353</v>
      </c>
      <c r="HY176" s="841" t="s">
        <v>353</v>
      </c>
      <c r="HZ176" s="841" t="s">
        <v>353</v>
      </c>
      <c r="IA176" s="841" t="s">
        <v>353</v>
      </c>
      <c r="IB176" s="841" t="s">
        <v>1424</v>
      </c>
      <c r="IC176" s="841" t="s">
        <v>353</v>
      </c>
      <c r="ID176" s="841" t="s">
        <v>353</v>
      </c>
      <c r="IE176" s="841" t="s">
        <v>353</v>
      </c>
      <c r="IF176" s="841" t="s">
        <v>353</v>
      </c>
      <c r="IG176" s="841" t="s">
        <v>353</v>
      </c>
      <c r="IH176" s="841" t="s">
        <v>353</v>
      </c>
      <c r="II176" s="841" t="s">
        <v>353</v>
      </c>
      <c r="IJ176" s="841" t="s">
        <v>353</v>
      </c>
      <c r="IK176" s="841" t="s">
        <v>353</v>
      </c>
      <c r="IL176" s="841">
        <v>318000</v>
      </c>
      <c r="IM176" s="841" t="s">
        <v>353</v>
      </c>
      <c r="IN176" s="841" t="s">
        <v>353</v>
      </c>
      <c r="IO176" s="841">
        <v>199</v>
      </c>
      <c r="IP176" s="841" t="s">
        <v>353</v>
      </c>
      <c r="IQ176" s="841" t="s">
        <v>353</v>
      </c>
      <c r="IR176" s="841">
        <v>0</v>
      </c>
      <c r="IS176" s="841" t="s">
        <v>33</v>
      </c>
      <c r="IT176" s="841" t="s">
        <v>353</v>
      </c>
      <c r="IU176" s="841" t="s">
        <v>353</v>
      </c>
      <c r="IV176" s="841" t="s">
        <v>353</v>
      </c>
      <c r="IW176" s="841" t="s">
        <v>353</v>
      </c>
      <c r="IX176" s="841" t="s">
        <v>353</v>
      </c>
      <c r="IY176" s="841" t="s">
        <v>1622</v>
      </c>
      <c r="IZ176" s="841" t="s">
        <v>353</v>
      </c>
      <c r="JA176" s="841">
        <v>318000</v>
      </c>
      <c r="JB176" s="841" t="s">
        <v>353</v>
      </c>
      <c r="JC176" s="841" t="s">
        <v>33</v>
      </c>
      <c r="JD176" s="841" t="s">
        <v>1456</v>
      </c>
      <c r="JE176" s="841" t="s">
        <v>33</v>
      </c>
      <c r="JF176" s="841" t="s">
        <v>353</v>
      </c>
      <c r="JG176" s="841" t="s">
        <v>353</v>
      </c>
      <c r="JH176" s="841" t="s">
        <v>2971</v>
      </c>
      <c r="JI176" s="841" t="s">
        <v>2972</v>
      </c>
    </row>
    <row r="177" spans="1:269" x14ac:dyDescent="0.25">
      <c r="A177" s="841" t="s">
        <v>3013</v>
      </c>
      <c r="B177" s="841" t="s">
        <v>353</v>
      </c>
      <c r="C177" s="841" t="s">
        <v>1403</v>
      </c>
      <c r="D177" s="841" t="s">
        <v>353</v>
      </c>
      <c r="E177" s="841" t="s">
        <v>33</v>
      </c>
      <c r="F177" s="841" t="s">
        <v>1405</v>
      </c>
      <c r="G177" s="841" t="s">
        <v>2772</v>
      </c>
      <c r="H177" s="841" t="s">
        <v>353</v>
      </c>
      <c r="I177" s="841" t="s">
        <v>353</v>
      </c>
      <c r="J177" s="841" t="s">
        <v>353</v>
      </c>
      <c r="K177" s="841" t="s">
        <v>353</v>
      </c>
      <c r="L177" s="842">
        <v>44607.734027777777</v>
      </c>
      <c r="M177" s="841" t="s">
        <v>353</v>
      </c>
      <c r="N177" s="841" t="s">
        <v>353</v>
      </c>
      <c r="O177" s="841" t="s">
        <v>353</v>
      </c>
      <c r="P177" s="841" t="s">
        <v>673</v>
      </c>
      <c r="Q177" s="841" t="s">
        <v>353</v>
      </c>
      <c r="R177" s="841" t="s">
        <v>353</v>
      </c>
      <c r="S177" s="841" t="s">
        <v>61</v>
      </c>
      <c r="T177" s="841" t="s">
        <v>1390</v>
      </c>
      <c r="U177" s="841" t="s">
        <v>353</v>
      </c>
      <c r="V177" s="841" t="s">
        <v>353</v>
      </c>
      <c r="W177" s="841" t="s">
        <v>353</v>
      </c>
      <c r="X177" s="841" t="s">
        <v>1405</v>
      </c>
      <c r="Y177" s="841" t="s">
        <v>353</v>
      </c>
      <c r="Z177" s="841" t="s">
        <v>353</v>
      </c>
      <c r="AA177" s="841" t="s">
        <v>673</v>
      </c>
      <c r="AB177" s="841" t="s">
        <v>353</v>
      </c>
      <c r="AC177" s="841">
        <v>280800</v>
      </c>
      <c r="AD177" s="841" t="s">
        <v>353</v>
      </c>
      <c r="AE177" s="841" t="s">
        <v>673</v>
      </c>
      <c r="AF177" s="841">
        <v>1946</v>
      </c>
      <c r="AG177" s="841" t="s">
        <v>353</v>
      </c>
      <c r="AH177" s="841">
        <v>2200</v>
      </c>
      <c r="AI177" s="841" t="s">
        <v>1521</v>
      </c>
      <c r="AJ177" s="841" t="s">
        <v>353</v>
      </c>
      <c r="AK177" s="841">
        <v>75</v>
      </c>
      <c r="AL177" s="841" t="s">
        <v>353</v>
      </c>
      <c r="AM177" s="841" t="s">
        <v>353</v>
      </c>
      <c r="AN177" s="841" t="s">
        <v>33</v>
      </c>
      <c r="AO177" s="841" t="s">
        <v>353</v>
      </c>
      <c r="AP177" s="841" t="s">
        <v>353</v>
      </c>
      <c r="AQ177" s="841" t="s">
        <v>353</v>
      </c>
      <c r="AR177" s="841" t="s">
        <v>673</v>
      </c>
      <c r="AS177" s="841" t="s">
        <v>353</v>
      </c>
      <c r="AT177" s="841" t="s">
        <v>353</v>
      </c>
      <c r="AU177" s="841" t="s">
        <v>1405</v>
      </c>
      <c r="AV177" s="841" t="s">
        <v>353</v>
      </c>
      <c r="AW177" s="843">
        <v>44538</v>
      </c>
      <c r="AX177" s="841" t="s">
        <v>353</v>
      </c>
      <c r="AY177" s="841" t="s">
        <v>353</v>
      </c>
      <c r="AZ177" s="841" t="s">
        <v>353</v>
      </c>
      <c r="BA177" s="841" t="s">
        <v>353</v>
      </c>
      <c r="BB177" s="841" t="s">
        <v>353</v>
      </c>
      <c r="BC177" s="841">
        <v>453972</v>
      </c>
      <c r="BD177" s="841" t="s">
        <v>353</v>
      </c>
      <c r="BE177" s="841" t="s">
        <v>353</v>
      </c>
      <c r="BF177" s="841" t="s">
        <v>353</v>
      </c>
      <c r="BG177" s="841" t="s">
        <v>353</v>
      </c>
      <c r="BH177" s="841" t="s">
        <v>353</v>
      </c>
      <c r="BI177" s="841" t="s">
        <v>353</v>
      </c>
      <c r="BJ177" s="841" t="s">
        <v>353</v>
      </c>
      <c r="BK177" s="841">
        <v>530000</v>
      </c>
      <c r="BL177" s="841" t="s">
        <v>2773</v>
      </c>
      <c r="BM177" s="842">
        <v>44532.397916666669</v>
      </c>
      <c r="BN177" s="841" t="s">
        <v>353</v>
      </c>
      <c r="BO177" s="841" t="s">
        <v>353</v>
      </c>
      <c r="BP177" s="841" t="s">
        <v>673</v>
      </c>
      <c r="BQ177" s="841" t="s">
        <v>353</v>
      </c>
      <c r="BR177" s="841" t="s">
        <v>353</v>
      </c>
      <c r="BS177" s="841" t="s">
        <v>353</v>
      </c>
      <c r="BT177" s="841">
        <v>530000</v>
      </c>
      <c r="BU177" s="841" t="s">
        <v>353</v>
      </c>
      <c r="BV177" s="841" t="s">
        <v>3014</v>
      </c>
      <c r="BW177" s="841" t="s">
        <v>1578</v>
      </c>
      <c r="BX177" s="841" t="s">
        <v>3015</v>
      </c>
      <c r="BY177" s="841" t="s">
        <v>353</v>
      </c>
      <c r="BZ177" s="841" t="s">
        <v>353</v>
      </c>
      <c r="CA177" s="841" t="s">
        <v>673</v>
      </c>
      <c r="CB177" s="841" t="s">
        <v>353</v>
      </c>
      <c r="CC177" s="841" t="s">
        <v>353</v>
      </c>
      <c r="CD177" s="841" t="s">
        <v>353</v>
      </c>
      <c r="CE177" s="841" t="s">
        <v>353</v>
      </c>
      <c r="CF177" s="841" t="s">
        <v>353</v>
      </c>
      <c r="CG177" s="841" t="s">
        <v>353</v>
      </c>
      <c r="CH177" s="841" t="s">
        <v>353</v>
      </c>
      <c r="CI177" s="841" t="s">
        <v>33</v>
      </c>
      <c r="CJ177" s="841">
        <v>900</v>
      </c>
      <c r="CK177" s="841">
        <v>24</v>
      </c>
      <c r="CL177" s="841" t="s">
        <v>353</v>
      </c>
      <c r="CM177" s="841">
        <v>51</v>
      </c>
      <c r="CN177" s="841" t="s">
        <v>353</v>
      </c>
      <c r="CO177" s="841" t="s">
        <v>353</v>
      </c>
      <c r="CP177" s="841" t="s">
        <v>3016</v>
      </c>
      <c r="CQ177" s="841" t="s">
        <v>353</v>
      </c>
      <c r="CR177" s="841" t="s">
        <v>353</v>
      </c>
      <c r="CS177" s="841" t="s">
        <v>1405</v>
      </c>
      <c r="CT177" s="841" t="s">
        <v>353</v>
      </c>
      <c r="CU177" s="841" t="s">
        <v>1391</v>
      </c>
      <c r="CV177" s="841" t="s">
        <v>353</v>
      </c>
      <c r="CW177" s="841" t="s">
        <v>353</v>
      </c>
      <c r="CX177" s="841" t="s">
        <v>353</v>
      </c>
      <c r="CY177" s="841" t="s">
        <v>353</v>
      </c>
      <c r="CZ177" s="841">
        <v>5</v>
      </c>
      <c r="DA177" s="841" t="s">
        <v>353</v>
      </c>
      <c r="DB177" s="843">
        <v>44545</v>
      </c>
      <c r="DC177" s="841" t="s">
        <v>353</v>
      </c>
      <c r="DD177" s="841" t="s">
        <v>353</v>
      </c>
      <c r="DE177" s="841" t="s">
        <v>353</v>
      </c>
      <c r="DF177" s="841">
        <v>21</v>
      </c>
      <c r="DG177" s="841" t="s">
        <v>353</v>
      </c>
      <c r="DH177" s="841" t="s">
        <v>353</v>
      </c>
      <c r="DI177" s="841" t="s">
        <v>353</v>
      </c>
      <c r="DJ177" s="841" t="s">
        <v>3017</v>
      </c>
      <c r="DK177" s="841" t="s">
        <v>353</v>
      </c>
      <c r="DL177" s="842">
        <v>44491.604861111111</v>
      </c>
      <c r="DM177" s="841" t="s">
        <v>353</v>
      </c>
      <c r="DN177" s="841" t="s">
        <v>33</v>
      </c>
      <c r="DO177" s="841" t="s">
        <v>673</v>
      </c>
      <c r="DP177" s="841" t="s">
        <v>1481</v>
      </c>
      <c r="DQ177" s="841" t="s">
        <v>673</v>
      </c>
      <c r="DR177" s="841" t="s">
        <v>353</v>
      </c>
      <c r="DS177" s="841">
        <v>21</v>
      </c>
      <c r="DT177" s="841" t="s">
        <v>353</v>
      </c>
      <c r="DU177" s="841" t="s">
        <v>353</v>
      </c>
      <c r="DV177" s="841" t="s">
        <v>353</v>
      </c>
      <c r="DW177" s="841">
        <v>468000</v>
      </c>
      <c r="DX177" s="841" t="s">
        <v>33</v>
      </c>
      <c r="DY177" s="841" t="s">
        <v>353</v>
      </c>
      <c r="DZ177" s="841" t="s">
        <v>353</v>
      </c>
      <c r="EA177" s="841" t="s">
        <v>353</v>
      </c>
      <c r="EB177" s="841" t="s">
        <v>353</v>
      </c>
      <c r="EC177" s="841" t="s">
        <v>353</v>
      </c>
      <c r="ED177" s="841" t="s">
        <v>353</v>
      </c>
      <c r="EE177" s="841" t="s">
        <v>33</v>
      </c>
      <c r="EF177" s="841" t="s">
        <v>353</v>
      </c>
      <c r="EG177" s="841" t="s">
        <v>353</v>
      </c>
      <c r="EH177" s="841" t="s">
        <v>33</v>
      </c>
      <c r="EI177" s="841">
        <v>70059.600000000006</v>
      </c>
      <c r="EJ177" s="841" t="s">
        <v>353</v>
      </c>
      <c r="EK177" s="841" t="s">
        <v>1847</v>
      </c>
      <c r="EL177" s="841" t="s">
        <v>1930</v>
      </c>
      <c r="EM177" s="841" t="s">
        <v>353</v>
      </c>
      <c r="EN177" s="841" t="s">
        <v>353</v>
      </c>
      <c r="EO177" s="841" t="s">
        <v>353</v>
      </c>
      <c r="EP177" s="841" t="s">
        <v>353</v>
      </c>
      <c r="EQ177" s="841" t="s">
        <v>353</v>
      </c>
      <c r="ER177" s="841" t="s">
        <v>353</v>
      </c>
      <c r="ES177" s="841" t="s">
        <v>33</v>
      </c>
      <c r="ET177" s="841" t="s">
        <v>1414</v>
      </c>
      <c r="EU177" s="841" t="s">
        <v>2141</v>
      </c>
      <c r="EV177" s="841" t="s">
        <v>353</v>
      </c>
      <c r="EW177" s="841" t="s">
        <v>353</v>
      </c>
      <c r="EX177" s="841" t="s">
        <v>33</v>
      </c>
      <c r="EY177" s="842">
        <v>44607.73333333333</v>
      </c>
      <c r="EZ177" s="842">
        <v>44609.333333333336</v>
      </c>
      <c r="FA177" s="841" t="s">
        <v>353</v>
      </c>
      <c r="FB177" s="841" t="s">
        <v>353</v>
      </c>
      <c r="FC177" s="841" t="s">
        <v>353</v>
      </c>
      <c r="FD177" s="841">
        <v>425000</v>
      </c>
      <c r="FE177" s="842">
        <v>44491.605555555558</v>
      </c>
      <c r="FF177" s="841" t="s">
        <v>353</v>
      </c>
      <c r="FG177" s="841" t="s">
        <v>3018</v>
      </c>
      <c r="FH177" s="841" t="s">
        <v>353</v>
      </c>
      <c r="FI177" s="841" t="s">
        <v>353</v>
      </c>
      <c r="FJ177" s="841" t="s">
        <v>353</v>
      </c>
      <c r="FK177" s="841" t="s">
        <v>353</v>
      </c>
      <c r="FL177" s="841" t="s">
        <v>353</v>
      </c>
      <c r="FM177" s="841" t="s">
        <v>2927</v>
      </c>
      <c r="FN177" s="841" t="s">
        <v>353</v>
      </c>
      <c r="FO177" s="841" t="s">
        <v>1648</v>
      </c>
      <c r="FP177" s="841" t="s">
        <v>353</v>
      </c>
      <c r="FQ177" s="841" t="s">
        <v>353</v>
      </c>
      <c r="FR177" s="841" t="s">
        <v>353</v>
      </c>
      <c r="FS177" s="841" t="s">
        <v>353</v>
      </c>
      <c r="FT177" s="841" t="s">
        <v>353</v>
      </c>
      <c r="FU177" s="841" t="s">
        <v>1714</v>
      </c>
      <c r="FV177" s="841" t="s">
        <v>353</v>
      </c>
      <c r="FW177" s="841" t="s">
        <v>353</v>
      </c>
      <c r="FX177" s="841" t="s">
        <v>353</v>
      </c>
      <c r="FY177" s="841" t="s">
        <v>353</v>
      </c>
      <c r="FZ177" s="841" t="s">
        <v>353</v>
      </c>
      <c r="GA177" s="841" t="s">
        <v>353</v>
      </c>
      <c r="GB177" s="841">
        <v>1</v>
      </c>
      <c r="GC177" s="841" t="s">
        <v>353</v>
      </c>
      <c r="GD177" s="841" t="s">
        <v>1395</v>
      </c>
      <c r="GE177" s="841" t="s">
        <v>353</v>
      </c>
      <c r="GF177" s="841" t="s">
        <v>353</v>
      </c>
      <c r="GG177" s="841" t="s">
        <v>349</v>
      </c>
      <c r="GH177" s="841">
        <v>280800</v>
      </c>
      <c r="GI177" s="841" t="s">
        <v>353</v>
      </c>
      <c r="GJ177" s="841">
        <v>425000</v>
      </c>
      <c r="GK177" s="841" t="s">
        <v>353</v>
      </c>
      <c r="GL177" s="841" t="s">
        <v>1468</v>
      </c>
      <c r="GM177" s="841" t="s">
        <v>353</v>
      </c>
      <c r="GN177" s="841" t="s">
        <v>353</v>
      </c>
      <c r="GO177" s="841" t="s">
        <v>353</v>
      </c>
      <c r="GP177" s="841" t="s">
        <v>353</v>
      </c>
      <c r="GQ177" s="841" t="s">
        <v>353</v>
      </c>
      <c r="GR177" s="842">
        <v>44607.73333333333</v>
      </c>
      <c r="GS177" s="841" t="s">
        <v>3019</v>
      </c>
      <c r="GT177" s="841" t="s">
        <v>353</v>
      </c>
      <c r="GU177" s="841" t="s">
        <v>353</v>
      </c>
      <c r="GV177" s="841" t="s">
        <v>1419</v>
      </c>
      <c r="GW177" s="841" t="s">
        <v>353</v>
      </c>
      <c r="GX177" s="841" t="s">
        <v>3020</v>
      </c>
      <c r="GY177" s="841">
        <v>24</v>
      </c>
      <c r="GZ177" s="841" t="s">
        <v>1420</v>
      </c>
      <c r="HA177" s="841" t="s">
        <v>353</v>
      </c>
      <c r="HB177" s="841" t="s">
        <v>353</v>
      </c>
      <c r="HC177" s="841" t="s">
        <v>1421</v>
      </c>
      <c r="HD177" s="841" t="s">
        <v>3016</v>
      </c>
      <c r="HE177" s="841">
        <v>4680</v>
      </c>
      <c r="HF177" s="841" t="s">
        <v>353</v>
      </c>
      <c r="HG177" s="841" t="s">
        <v>353</v>
      </c>
      <c r="HH177" s="841">
        <v>840</v>
      </c>
      <c r="HI177" s="841" t="s">
        <v>1422</v>
      </c>
      <c r="HJ177" s="841" t="s">
        <v>3021</v>
      </c>
      <c r="HK177" s="841">
        <v>468000</v>
      </c>
      <c r="HL177" s="841" t="s">
        <v>353</v>
      </c>
      <c r="HM177" s="841" t="s">
        <v>1530</v>
      </c>
      <c r="HN177" s="841" t="s">
        <v>27</v>
      </c>
      <c r="HO177" s="841" t="s">
        <v>353</v>
      </c>
      <c r="HP177" s="841">
        <v>23353.200000000001</v>
      </c>
      <c r="HQ177" s="841" t="s">
        <v>353</v>
      </c>
      <c r="HR177" s="841" t="s">
        <v>353</v>
      </c>
      <c r="HS177" s="841" t="s">
        <v>353</v>
      </c>
      <c r="HT177" s="841" t="s">
        <v>353</v>
      </c>
      <c r="HU177" s="841" t="s">
        <v>353</v>
      </c>
      <c r="HV177" s="841" t="s">
        <v>353</v>
      </c>
      <c r="HW177" s="841">
        <v>625000</v>
      </c>
      <c r="HX177" s="841" t="s">
        <v>353</v>
      </c>
      <c r="HY177" s="841" t="s">
        <v>353</v>
      </c>
      <c r="HZ177" s="841" t="s">
        <v>353</v>
      </c>
      <c r="IA177" s="841" t="s">
        <v>353</v>
      </c>
      <c r="IB177" s="841" t="s">
        <v>1424</v>
      </c>
      <c r="IC177" s="841" t="s">
        <v>353</v>
      </c>
      <c r="ID177" s="841" t="s">
        <v>353</v>
      </c>
      <c r="IE177" s="841" t="s">
        <v>353</v>
      </c>
      <c r="IF177" s="841" t="s">
        <v>353</v>
      </c>
      <c r="IG177" s="841" t="s">
        <v>353</v>
      </c>
      <c r="IH177" s="841" t="s">
        <v>353</v>
      </c>
      <c r="II177" s="841" t="s">
        <v>353</v>
      </c>
      <c r="IJ177" s="841" t="s">
        <v>353</v>
      </c>
      <c r="IK177" s="841" t="s">
        <v>353</v>
      </c>
      <c r="IL177" s="841">
        <v>462162</v>
      </c>
      <c r="IM177" s="841" t="s">
        <v>353</v>
      </c>
      <c r="IN177" s="841" t="s">
        <v>353</v>
      </c>
      <c r="IO177" s="841">
        <v>0</v>
      </c>
      <c r="IP177" s="841">
        <v>8990</v>
      </c>
      <c r="IQ177" s="841" t="s">
        <v>353</v>
      </c>
      <c r="IR177" s="841">
        <v>3</v>
      </c>
      <c r="IS177" s="841" t="s">
        <v>33</v>
      </c>
      <c r="IT177" s="841" t="s">
        <v>353</v>
      </c>
      <c r="IU177" s="841" t="s">
        <v>353</v>
      </c>
      <c r="IV177" s="841" t="s">
        <v>353</v>
      </c>
      <c r="IW177" s="841" t="s">
        <v>353</v>
      </c>
      <c r="IX177" s="841" t="s">
        <v>353</v>
      </c>
      <c r="IY177" s="841" t="s">
        <v>1578</v>
      </c>
      <c r="IZ177" s="841" t="s">
        <v>353</v>
      </c>
      <c r="JA177" s="841">
        <v>468000</v>
      </c>
      <c r="JB177" s="841" t="s">
        <v>353</v>
      </c>
      <c r="JC177" s="841" t="s">
        <v>33</v>
      </c>
      <c r="JD177" s="841" t="s">
        <v>1847</v>
      </c>
      <c r="JE177" s="841" t="s">
        <v>33</v>
      </c>
      <c r="JF177" s="841" t="s">
        <v>353</v>
      </c>
      <c r="JG177" s="841" t="s">
        <v>353</v>
      </c>
      <c r="JH177" s="841" t="s">
        <v>2780</v>
      </c>
      <c r="JI177" s="841" t="s">
        <v>2781</v>
      </c>
    </row>
    <row r="178" spans="1:269" x14ac:dyDescent="0.25">
      <c r="A178" s="841" t="s">
        <v>3022</v>
      </c>
      <c r="B178" s="841" t="s">
        <v>353</v>
      </c>
      <c r="C178" s="841" t="s">
        <v>1403</v>
      </c>
      <c r="D178" s="841" t="s">
        <v>353</v>
      </c>
      <c r="E178" s="841" t="s">
        <v>33</v>
      </c>
      <c r="F178" s="841" t="s">
        <v>1405</v>
      </c>
      <c r="G178" s="841" t="s">
        <v>1876</v>
      </c>
      <c r="H178" s="841" t="s">
        <v>353</v>
      </c>
      <c r="I178" s="841" t="s">
        <v>33</v>
      </c>
      <c r="J178" s="841" t="s">
        <v>353</v>
      </c>
      <c r="K178" s="841" t="s">
        <v>2167</v>
      </c>
      <c r="L178" s="842">
        <v>44608.487500000003</v>
      </c>
      <c r="M178" s="841" t="s">
        <v>353</v>
      </c>
      <c r="N178" s="841" t="s">
        <v>33</v>
      </c>
      <c r="O178" s="841" t="s">
        <v>353</v>
      </c>
      <c r="P178" s="841" t="s">
        <v>673</v>
      </c>
      <c r="Q178" s="841" t="s">
        <v>353</v>
      </c>
      <c r="R178" s="841" t="s">
        <v>353</v>
      </c>
      <c r="S178" s="841" t="s">
        <v>64</v>
      </c>
      <c r="T178" s="841" t="s">
        <v>1390</v>
      </c>
      <c r="U178" s="841" t="s">
        <v>353</v>
      </c>
      <c r="V178" s="841" t="s">
        <v>353</v>
      </c>
      <c r="W178" s="841" t="s">
        <v>353</v>
      </c>
      <c r="X178" s="841" t="s">
        <v>1405</v>
      </c>
      <c r="Y178" s="841" t="s">
        <v>353</v>
      </c>
      <c r="Z178" s="841" t="s">
        <v>353</v>
      </c>
      <c r="AA178" s="841" t="s">
        <v>673</v>
      </c>
      <c r="AB178" s="843">
        <v>44522</v>
      </c>
      <c r="AC178" s="841">
        <v>735000</v>
      </c>
      <c r="AD178" s="841" t="s">
        <v>353</v>
      </c>
      <c r="AE178" s="841" t="s">
        <v>673</v>
      </c>
      <c r="AF178" s="841">
        <v>3240</v>
      </c>
      <c r="AG178" s="841" t="s">
        <v>353</v>
      </c>
      <c r="AH178" s="841">
        <v>3300</v>
      </c>
      <c r="AI178" s="841" t="s">
        <v>1592</v>
      </c>
      <c r="AJ178" s="841" t="s">
        <v>2198</v>
      </c>
      <c r="AK178" s="841">
        <v>59</v>
      </c>
      <c r="AL178" s="841" t="s">
        <v>353</v>
      </c>
      <c r="AM178" s="841">
        <v>1100000</v>
      </c>
      <c r="AN178" s="841" t="s">
        <v>33</v>
      </c>
      <c r="AO178" s="841" t="s">
        <v>353</v>
      </c>
      <c r="AP178" s="841" t="s">
        <v>353</v>
      </c>
      <c r="AQ178" s="841" t="s">
        <v>353</v>
      </c>
      <c r="AR178" s="841" t="s">
        <v>673</v>
      </c>
      <c r="AS178" s="841" t="s">
        <v>353</v>
      </c>
      <c r="AT178" s="841" t="s">
        <v>353</v>
      </c>
      <c r="AU178" s="841" t="s">
        <v>353</v>
      </c>
      <c r="AV178" s="841" t="s">
        <v>353</v>
      </c>
      <c r="AW178" s="843">
        <v>44488</v>
      </c>
      <c r="AX178" s="841" t="s">
        <v>353</v>
      </c>
      <c r="AY178" s="841" t="s">
        <v>353</v>
      </c>
      <c r="AZ178" s="841" t="s">
        <v>353</v>
      </c>
      <c r="BA178" s="841" t="s">
        <v>353</v>
      </c>
      <c r="BB178" s="841" t="s">
        <v>353</v>
      </c>
      <c r="BC178" s="841">
        <v>702697</v>
      </c>
      <c r="BD178" s="841" t="s">
        <v>353</v>
      </c>
      <c r="BE178" s="841" t="s">
        <v>33</v>
      </c>
      <c r="BF178" s="841" t="s">
        <v>353</v>
      </c>
      <c r="BG178" s="841" t="s">
        <v>353</v>
      </c>
      <c r="BH178" s="841" t="s">
        <v>353</v>
      </c>
      <c r="BI178" s="841" t="s">
        <v>353</v>
      </c>
      <c r="BJ178" s="841" t="s">
        <v>353</v>
      </c>
      <c r="BK178" s="841">
        <v>735000</v>
      </c>
      <c r="BL178" s="841" t="s">
        <v>3023</v>
      </c>
      <c r="BM178" s="842">
        <v>44545.745833333334</v>
      </c>
      <c r="BN178" s="841" t="s">
        <v>353</v>
      </c>
      <c r="BO178" s="841" t="s">
        <v>353</v>
      </c>
      <c r="BP178" s="841" t="s">
        <v>673</v>
      </c>
      <c r="BQ178" s="841" t="s">
        <v>353</v>
      </c>
      <c r="BR178" s="841" t="s">
        <v>353</v>
      </c>
      <c r="BS178" s="841" t="s">
        <v>353</v>
      </c>
      <c r="BT178" s="841">
        <v>735000</v>
      </c>
      <c r="BU178" s="841" t="s">
        <v>353</v>
      </c>
      <c r="BV178" s="841" t="s">
        <v>1616</v>
      </c>
      <c r="BW178" s="841" t="s">
        <v>1578</v>
      </c>
      <c r="BX178" s="841" t="s">
        <v>3024</v>
      </c>
      <c r="BY178" s="841" t="s">
        <v>353</v>
      </c>
      <c r="BZ178" s="841" t="s">
        <v>353</v>
      </c>
      <c r="CA178" s="841" t="s">
        <v>353</v>
      </c>
      <c r="CB178" s="841" t="s">
        <v>353</v>
      </c>
      <c r="CC178" s="841" t="s">
        <v>353</v>
      </c>
      <c r="CD178" s="841" t="s">
        <v>353</v>
      </c>
      <c r="CE178" s="841" t="s">
        <v>353</v>
      </c>
      <c r="CF178" s="841" t="s">
        <v>353</v>
      </c>
      <c r="CG178" s="841" t="s">
        <v>353</v>
      </c>
      <c r="CH178" s="841" t="s">
        <v>353</v>
      </c>
      <c r="CI178" s="841" t="s">
        <v>33</v>
      </c>
      <c r="CJ178" s="841">
        <v>1560</v>
      </c>
      <c r="CK178" s="841">
        <v>20</v>
      </c>
      <c r="CL178" s="841" t="s">
        <v>353</v>
      </c>
      <c r="CM178" s="841">
        <v>44</v>
      </c>
      <c r="CN178" s="841" t="s">
        <v>353</v>
      </c>
      <c r="CO178" s="841" t="s">
        <v>353</v>
      </c>
      <c r="CP178" s="841" t="s">
        <v>3025</v>
      </c>
      <c r="CQ178" s="841" t="s">
        <v>353</v>
      </c>
      <c r="CR178" s="841" t="s">
        <v>353</v>
      </c>
      <c r="CS178" s="841" t="s">
        <v>1405</v>
      </c>
      <c r="CT178" s="841" t="s">
        <v>353</v>
      </c>
      <c r="CU178" s="841" t="s">
        <v>1391</v>
      </c>
      <c r="CV178" s="841" t="s">
        <v>353</v>
      </c>
      <c r="CW178" s="841" t="s">
        <v>353</v>
      </c>
      <c r="CX178" s="841" t="s">
        <v>353</v>
      </c>
      <c r="CY178" s="841" t="s">
        <v>353</v>
      </c>
      <c r="CZ178" s="841">
        <v>2</v>
      </c>
      <c r="DA178" s="841" t="s">
        <v>353</v>
      </c>
      <c r="DB178" s="843">
        <v>44515</v>
      </c>
      <c r="DC178" s="841" t="s">
        <v>353</v>
      </c>
      <c r="DD178" s="841" t="s">
        <v>353</v>
      </c>
      <c r="DE178" s="841" t="s">
        <v>353</v>
      </c>
      <c r="DF178" s="841">
        <v>30</v>
      </c>
      <c r="DG178" s="841" t="s">
        <v>353</v>
      </c>
      <c r="DH178" s="841" t="s">
        <v>353</v>
      </c>
      <c r="DI178" s="841" t="s">
        <v>353</v>
      </c>
      <c r="DJ178" s="841" t="s">
        <v>3026</v>
      </c>
      <c r="DK178" s="841" t="s">
        <v>353</v>
      </c>
      <c r="DL178" s="842">
        <v>44481.68472222222</v>
      </c>
      <c r="DM178" s="841" t="s">
        <v>353</v>
      </c>
      <c r="DN178" s="841" t="s">
        <v>33</v>
      </c>
      <c r="DO178" s="841" t="s">
        <v>673</v>
      </c>
      <c r="DP178" s="841" t="s">
        <v>1412</v>
      </c>
      <c r="DQ178" s="841" t="s">
        <v>673</v>
      </c>
      <c r="DR178" s="841" t="s">
        <v>353</v>
      </c>
      <c r="DS178" s="841">
        <v>30</v>
      </c>
      <c r="DT178" s="841" t="s">
        <v>353</v>
      </c>
      <c r="DU178" s="841" t="s">
        <v>353</v>
      </c>
      <c r="DV178" s="841" t="s">
        <v>353</v>
      </c>
      <c r="DW178" s="841">
        <v>735000</v>
      </c>
      <c r="DX178" s="841" t="s">
        <v>33</v>
      </c>
      <c r="DY178" s="841" t="s">
        <v>353</v>
      </c>
      <c r="DZ178" s="841">
        <v>0</v>
      </c>
      <c r="EA178" s="841" t="s">
        <v>353</v>
      </c>
      <c r="EB178" s="841" t="s">
        <v>353</v>
      </c>
      <c r="EC178" s="841" t="s">
        <v>353</v>
      </c>
      <c r="ED178" s="841" t="s">
        <v>353</v>
      </c>
      <c r="EE178" s="841" t="s">
        <v>33</v>
      </c>
      <c r="EF178" s="841" t="s">
        <v>353</v>
      </c>
      <c r="EG178" s="841" t="s">
        <v>353</v>
      </c>
      <c r="EH178" s="841" t="s">
        <v>33</v>
      </c>
      <c r="EI178" s="841">
        <v>233289</v>
      </c>
      <c r="EJ178" s="841" t="s">
        <v>353</v>
      </c>
      <c r="EK178" s="841" t="s">
        <v>1616</v>
      </c>
      <c r="EL178" s="841" t="s">
        <v>1930</v>
      </c>
      <c r="EM178" s="841" t="s">
        <v>353</v>
      </c>
      <c r="EN178" s="841" t="s">
        <v>353</v>
      </c>
      <c r="EO178" s="841" t="s">
        <v>353</v>
      </c>
      <c r="EP178" s="841" t="s">
        <v>353</v>
      </c>
      <c r="EQ178" s="841" t="s">
        <v>353</v>
      </c>
      <c r="ER178" s="841" t="s">
        <v>33</v>
      </c>
      <c r="ES178" s="841" t="s">
        <v>33</v>
      </c>
      <c r="ET178" s="841" t="s">
        <v>1414</v>
      </c>
      <c r="EU178" s="841" t="s">
        <v>2141</v>
      </c>
      <c r="EV178" s="841" t="s">
        <v>353</v>
      </c>
      <c r="EW178" s="841" t="s">
        <v>353</v>
      </c>
      <c r="EX178" s="841" t="s">
        <v>33</v>
      </c>
      <c r="EY178" s="842">
        <v>44608.333333333336</v>
      </c>
      <c r="EZ178" s="842">
        <v>44615.333333333336</v>
      </c>
      <c r="FA178" s="841" t="s">
        <v>353</v>
      </c>
      <c r="FB178" s="841" t="s">
        <v>353</v>
      </c>
      <c r="FC178" s="841" t="s">
        <v>353</v>
      </c>
      <c r="FD178" s="841">
        <v>1250000</v>
      </c>
      <c r="FE178" s="842">
        <v>44481.685416666667</v>
      </c>
      <c r="FF178" s="841" t="s">
        <v>353</v>
      </c>
      <c r="FG178" s="841" t="s">
        <v>3027</v>
      </c>
      <c r="FH178" s="841" t="s">
        <v>353</v>
      </c>
      <c r="FI178" s="841" t="s">
        <v>353</v>
      </c>
      <c r="FJ178" s="841" t="s">
        <v>353</v>
      </c>
      <c r="FK178" s="841" t="s">
        <v>353</v>
      </c>
      <c r="FL178" s="841" t="s">
        <v>353</v>
      </c>
      <c r="FM178" s="841" t="s">
        <v>353</v>
      </c>
      <c r="FN178" s="841" t="s">
        <v>353</v>
      </c>
      <c r="FO178" s="841" t="s">
        <v>1528</v>
      </c>
      <c r="FP178" s="841" t="s">
        <v>2741</v>
      </c>
      <c r="FQ178" s="841" t="s">
        <v>353</v>
      </c>
      <c r="FR178" s="841" t="s">
        <v>353</v>
      </c>
      <c r="FS178" s="841" t="s">
        <v>353</v>
      </c>
      <c r="FT178" s="841" t="s">
        <v>353</v>
      </c>
      <c r="FU178" s="841" t="s">
        <v>2176</v>
      </c>
      <c r="FV178" s="841" t="s">
        <v>353</v>
      </c>
      <c r="FW178" s="841" t="s">
        <v>353</v>
      </c>
      <c r="FX178" s="841" t="s">
        <v>353</v>
      </c>
      <c r="FY178" s="841" t="s">
        <v>353</v>
      </c>
      <c r="FZ178" s="841" t="s">
        <v>353</v>
      </c>
      <c r="GA178" s="841" t="s">
        <v>353</v>
      </c>
      <c r="GB178" s="841">
        <v>1</v>
      </c>
      <c r="GC178" s="841" t="s">
        <v>353</v>
      </c>
      <c r="GD178" s="841" t="s">
        <v>1395</v>
      </c>
      <c r="GE178" s="841" t="s">
        <v>353</v>
      </c>
      <c r="GF178" s="841">
        <v>3600</v>
      </c>
      <c r="GG178" s="841" t="s">
        <v>349</v>
      </c>
      <c r="GH178" s="841">
        <v>735000</v>
      </c>
      <c r="GI178" s="841" t="s">
        <v>353</v>
      </c>
      <c r="GJ178" s="841">
        <v>1250000</v>
      </c>
      <c r="GK178" s="841" t="s">
        <v>353</v>
      </c>
      <c r="GL178" s="841" t="s">
        <v>1468</v>
      </c>
      <c r="GM178" s="841" t="s">
        <v>353</v>
      </c>
      <c r="GN178" s="841" t="s">
        <v>353</v>
      </c>
      <c r="GO178" s="841" t="s">
        <v>353</v>
      </c>
      <c r="GP178" s="841" t="s">
        <v>353</v>
      </c>
      <c r="GQ178" s="841" t="s">
        <v>353</v>
      </c>
      <c r="GR178" s="842">
        <v>44544.507638888892</v>
      </c>
      <c r="GS178" s="841" t="s">
        <v>3028</v>
      </c>
      <c r="GT178" s="841" t="s">
        <v>353</v>
      </c>
      <c r="GU178" s="841">
        <v>500000</v>
      </c>
      <c r="GV178" s="841" t="s">
        <v>1419</v>
      </c>
      <c r="GW178" s="841" t="s">
        <v>353</v>
      </c>
      <c r="GX178" s="841" t="s">
        <v>3029</v>
      </c>
      <c r="GY178" s="841">
        <v>36</v>
      </c>
      <c r="GZ178" s="841" t="s">
        <v>1420</v>
      </c>
      <c r="HA178" s="841" t="s">
        <v>353</v>
      </c>
      <c r="HB178" s="841" t="s">
        <v>353</v>
      </c>
      <c r="HC178" s="841" t="s">
        <v>1421</v>
      </c>
      <c r="HD178" s="841" t="s">
        <v>3025</v>
      </c>
      <c r="HE178" s="841">
        <v>7350</v>
      </c>
      <c r="HF178" s="841" t="s">
        <v>353</v>
      </c>
      <c r="HG178" s="841" t="s">
        <v>353</v>
      </c>
      <c r="HH178" s="841">
        <v>1320</v>
      </c>
      <c r="HI178" s="841" t="s">
        <v>1422</v>
      </c>
      <c r="HJ178" s="841" t="s">
        <v>3030</v>
      </c>
      <c r="HK178" s="841">
        <v>735000</v>
      </c>
      <c r="HL178" s="841" t="s">
        <v>49</v>
      </c>
      <c r="HM178" s="841" t="s">
        <v>1530</v>
      </c>
      <c r="HN178" s="841" t="s">
        <v>27</v>
      </c>
      <c r="HO178" s="841" t="s">
        <v>353</v>
      </c>
      <c r="HP178" s="841">
        <v>38881.5</v>
      </c>
      <c r="HQ178" s="841" t="s">
        <v>353</v>
      </c>
      <c r="HR178" s="841" t="s">
        <v>353</v>
      </c>
      <c r="HS178" s="841" t="s">
        <v>353</v>
      </c>
      <c r="HT178" s="841" t="s">
        <v>353</v>
      </c>
      <c r="HU178" s="841" t="s">
        <v>353</v>
      </c>
      <c r="HV178" s="841" t="s">
        <v>353</v>
      </c>
      <c r="HW178" s="841">
        <v>1250000</v>
      </c>
      <c r="HX178" s="841" t="s">
        <v>353</v>
      </c>
      <c r="HY178" s="841" t="s">
        <v>353</v>
      </c>
      <c r="HZ178" s="841" t="s">
        <v>353</v>
      </c>
      <c r="IA178" s="841" t="s">
        <v>353</v>
      </c>
      <c r="IB178" s="841" t="s">
        <v>1424</v>
      </c>
      <c r="IC178" s="841" t="s">
        <v>353</v>
      </c>
      <c r="ID178" s="841" t="s">
        <v>353</v>
      </c>
      <c r="IE178" s="841" t="s">
        <v>353</v>
      </c>
      <c r="IF178" s="841" t="s">
        <v>353</v>
      </c>
      <c r="IG178" s="841" t="s">
        <v>353</v>
      </c>
      <c r="IH178" s="841" t="s">
        <v>353</v>
      </c>
      <c r="II178" s="841" t="s">
        <v>353</v>
      </c>
      <c r="IJ178" s="841">
        <v>989</v>
      </c>
      <c r="IK178" s="841" t="s">
        <v>353</v>
      </c>
      <c r="IL178" s="841">
        <v>715559</v>
      </c>
      <c r="IM178" s="841" t="s">
        <v>353</v>
      </c>
      <c r="IN178" s="841" t="s">
        <v>353</v>
      </c>
      <c r="IO178" s="841">
        <v>199</v>
      </c>
      <c r="IP178" s="841">
        <v>7350</v>
      </c>
      <c r="IQ178" s="841" t="s">
        <v>353</v>
      </c>
      <c r="IR178" s="841">
        <v>6</v>
      </c>
      <c r="IS178" s="841" t="s">
        <v>33</v>
      </c>
      <c r="IT178" s="841" t="s">
        <v>353</v>
      </c>
      <c r="IU178" s="841" t="s">
        <v>33</v>
      </c>
      <c r="IV178" s="841" t="s">
        <v>353</v>
      </c>
      <c r="IW178" s="841" t="s">
        <v>353</v>
      </c>
      <c r="IX178" s="841" t="s">
        <v>353</v>
      </c>
      <c r="IY178" s="841" t="s">
        <v>1578</v>
      </c>
      <c r="IZ178" s="841" t="s">
        <v>353</v>
      </c>
      <c r="JA178" s="841">
        <v>735000</v>
      </c>
      <c r="JB178" s="841" t="s">
        <v>353</v>
      </c>
      <c r="JC178" s="841" t="s">
        <v>33</v>
      </c>
      <c r="JD178" s="841" t="s">
        <v>1456</v>
      </c>
      <c r="JE178" s="841" t="s">
        <v>33</v>
      </c>
      <c r="JF178" s="841" t="s">
        <v>353</v>
      </c>
      <c r="JG178" s="841" t="s">
        <v>353</v>
      </c>
      <c r="JH178" s="841" t="s">
        <v>3031</v>
      </c>
      <c r="JI178" s="841" t="s">
        <v>3032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F15F0-77FC-4A10-8A47-29F913DFAAD7}">
  <sheetPr codeName="Sheet23"/>
  <dimension ref="B2:B5"/>
  <sheetViews>
    <sheetView workbookViewId="0">
      <selection activeCell="F28" sqref="F28"/>
    </sheetView>
  </sheetViews>
  <sheetFormatPr defaultRowHeight="15" x14ac:dyDescent="0.25"/>
  <cols>
    <col min="2" max="2" width="19.28515625" customWidth="1"/>
  </cols>
  <sheetData>
    <row r="2" spans="2:2" x14ac:dyDescent="0.25">
      <c r="B2" s="1755" t="s">
        <v>3033</v>
      </c>
    </row>
    <row r="4" spans="2:2" x14ac:dyDescent="0.25">
      <c r="B4" t="s">
        <v>3034</v>
      </c>
    </row>
    <row r="5" spans="2:2" x14ac:dyDescent="0.25">
      <c r="B5" t="s">
        <v>3035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7960B-DAAA-4BB0-B42C-BE3CE2009E54}">
  <sheetPr codeName="Sheet24"/>
  <dimension ref="A1:J150"/>
  <sheetViews>
    <sheetView topLeftCell="B1" workbookViewId="0">
      <pane xSplit="5" ySplit="1" topLeftCell="G2" activePane="bottomRight" state="frozen"/>
      <selection pane="topRight" activeCell="I10" sqref="I10"/>
      <selection pane="bottomLeft" activeCell="I10" sqref="I10"/>
      <selection pane="bottomRight" activeCell="I10" sqref="I10"/>
    </sheetView>
  </sheetViews>
  <sheetFormatPr defaultRowHeight="18" x14ac:dyDescent="0.35"/>
  <cols>
    <col min="1" max="1" width="2.28515625" style="1150" hidden="1" customWidth="1"/>
    <col min="2" max="2" width="7.5703125" style="864" customWidth="1"/>
    <col min="3" max="3" width="11.140625" customWidth="1"/>
    <col min="4" max="4" width="13.5703125" customWidth="1"/>
    <col min="5" max="5" width="56.7109375" customWidth="1"/>
    <col min="6" max="6" width="1.28515625" style="287" customWidth="1"/>
    <col min="7" max="7" width="10.140625" bestFit="1" customWidth="1"/>
    <col min="8" max="8" width="25" bestFit="1" customWidth="1"/>
    <col min="9" max="9" width="24" customWidth="1"/>
    <col min="10" max="10" width="43.42578125" customWidth="1"/>
    <col min="11" max="11" width="5.42578125" customWidth="1"/>
  </cols>
  <sheetData>
    <row r="1" spans="1:10" ht="15" x14ac:dyDescent="0.25">
      <c r="A1" s="1150">
        <v>1</v>
      </c>
      <c r="F1" s="1162"/>
      <c r="G1" s="1164" t="s">
        <v>3036</v>
      </c>
      <c r="H1" s="1164" t="s">
        <v>3037</v>
      </c>
      <c r="I1" s="1164" t="s">
        <v>3038</v>
      </c>
      <c r="J1" s="1164" t="s">
        <v>3039</v>
      </c>
    </row>
    <row r="2" spans="1:10" ht="15" x14ac:dyDescent="0.25">
      <c r="A2" s="1150">
        <v>1</v>
      </c>
      <c r="B2" t="s">
        <v>3040</v>
      </c>
      <c r="D2" s="3697" t="str">
        <f>"MFS Ref: "&amp;IF(I2="",J2,I2)&amp;" - "&amp;IF(I3="",J3,I3)&amp;" (CLE) "</f>
        <v xml:space="preserve">MFS Ref: xxxxxxx - xxxxxxx (CLE) </v>
      </c>
      <c r="E2" s="3697"/>
      <c r="F2" s="1162"/>
      <c r="H2" t="s">
        <v>3041</v>
      </c>
      <c r="I2" s="1275"/>
      <c r="J2" t="str">
        <f>'BTL Calculator'!H7</f>
        <v>xxxxxxx</v>
      </c>
    </row>
    <row r="3" spans="1:10" ht="15" x14ac:dyDescent="0.25">
      <c r="A3" s="1150">
        <v>1</v>
      </c>
      <c r="D3" s="3697"/>
      <c r="E3" s="3697"/>
      <c r="F3" s="1162"/>
      <c r="H3" t="s">
        <v>3042</v>
      </c>
      <c r="I3" s="1275"/>
      <c r="J3" s="3697" t="str">
        <f>DIP!B6</f>
        <v>xxxxxxx</v>
      </c>
    </row>
    <row r="4" spans="1:10" ht="15" x14ac:dyDescent="0.25">
      <c r="A4" s="1150">
        <v>1</v>
      </c>
      <c r="F4" s="1162"/>
      <c r="J4" s="3697"/>
    </row>
    <row r="5" spans="1:10" ht="15" x14ac:dyDescent="0.25">
      <c r="A5" s="1150">
        <v>1</v>
      </c>
      <c r="F5" s="1162"/>
      <c r="J5" s="3697"/>
    </row>
    <row r="6" spans="1:10" ht="15" x14ac:dyDescent="0.25">
      <c r="A6" s="1162">
        <v>1</v>
      </c>
      <c r="B6" s="1162"/>
      <c r="F6" s="1162"/>
      <c r="H6" t="s">
        <v>3043</v>
      </c>
      <c r="I6" s="1275" t="s">
        <v>27</v>
      </c>
      <c r="J6" s="3697"/>
    </row>
    <row r="7" spans="1:10" ht="15" x14ac:dyDescent="0.25">
      <c r="A7" s="1162">
        <v>1</v>
      </c>
      <c r="B7" s="3686" t="str">
        <f>"Dear "&amp;I7&amp;","</f>
        <v>Dear BROKER NAME,</v>
      </c>
      <c r="C7" s="3686"/>
      <c r="D7" s="3686"/>
      <c r="E7" s="3686"/>
      <c r="F7" s="1162"/>
      <c r="H7" t="s">
        <v>3044</v>
      </c>
      <c r="I7" s="1275" t="str">
        <f>IF(I6="Yes",J7,"BROKER NAME")</f>
        <v>BROKER NAME</v>
      </c>
      <c r="J7" t="str">
        <f>DIP!B5</f>
        <v>xxxxxxx</v>
      </c>
    </row>
    <row r="8" spans="1:10" ht="15" x14ac:dyDescent="0.25">
      <c r="A8" s="1150">
        <v>1</v>
      </c>
      <c r="B8" s="1245"/>
      <c r="F8" s="1162"/>
    </row>
    <row r="9" spans="1:10" ht="15" x14ac:dyDescent="0.25">
      <c r="A9" s="1150">
        <v>1</v>
      </c>
      <c r="B9" s="3686" t="s">
        <v>3045</v>
      </c>
      <c r="C9" s="3686"/>
      <c r="D9" s="3686"/>
      <c r="E9" s="3686"/>
      <c r="F9" s="1162"/>
    </row>
    <row r="10" spans="1:10" ht="15" x14ac:dyDescent="0.25">
      <c r="A10" s="1150">
        <v>1</v>
      </c>
      <c r="B10" s="1245"/>
      <c r="F10" s="1159"/>
    </row>
    <row r="11" spans="1:10" ht="15" x14ac:dyDescent="0.25">
      <c r="A11" s="1150">
        <v>1</v>
      </c>
      <c r="B11" s="3686" t="str">
        <f>"I am pleased to confirm we will happily assist you"&amp;IF(I6="Yes"," in your","r client in their")&amp;" BTL funding requirement."</f>
        <v>I am pleased to confirm we will happily assist your client in their BTL funding requirement.</v>
      </c>
      <c r="C11" s="3686"/>
      <c r="D11" s="3686"/>
      <c r="E11" s="3686"/>
      <c r="F11" s="1162"/>
    </row>
    <row r="12" spans="1:10" ht="15" x14ac:dyDescent="0.25">
      <c r="A12" s="1150">
        <v>1</v>
      </c>
      <c r="B12" s="1245"/>
      <c r="F12" s="1170"/>
    </row>
    <row r="13" spans="1:10" ht="15" x14ac:dyDescent="0.25">
      <c r="A13" s="1150">
        <v>1</v>
      </c>
      <c r="B13" s="3686" t="s">
        <v>3046</v>
      </c>
      <c r="C13" s="3686"/>
      <c r="D13" s="3686"/>
      <c r="E13" s="3686"/>
      <c r="F13" s="1176"/>
    </row>
    <row r="14" spans="1:10" ht="15" x14ac:dyDescent="0.25">
      <c r="A14" s="1150">
        <v>1</v>
      </c>
      <c r="B14" s="1250" t="s">
        <v>3047</v>
      </c>
      <c r="C14" s="3686" t="s">
        <v>3048</v>
      </c>
      <c r="D14" s="3686"/>
      <c r="E14" s="1246" t="str">
        <f>Product_Selected</f>
        <v>1) Standard</v>
      </c>
      <c r="F14" s="1178"/>
    </row>
    <row r="15" spans="1:10" ht="15" x14ac:dyDescent="0.25">
      <c r="A15" s="1150">
        <v>1</v>
      </c>
      <c r="B15" s="1250" t="s">
        <v>3047</v>
      </c>
      <c r="C15" s="3686" t="s">
        <v>3049</v>
      </c>
      <c r="D15" s="3686"/>
      <c r="E15" s="1246" t="str">
        <f>TEXT('BTL Calculator'!Z85,"£#,#")</f>
        <v>£</v>
      </c>
      <c r="F15" s="1181"/>
    </row>
    <row r="16" spans="1:10" ht="15" x14ac:dyDescent="0.25">
      <c r="A16" s="1150">
        <v>1</v>
      </c>
      <c r="B16" s="1255" t="s">
        <v>3047</v>
      </c>
      <c r="C16" s="3686" t="s">
        <v>3050</v>
      </c>
      <c r="D16" s="3686"/>
      <c r="E16" s="1246" t="str">
        <f>TEXT('BTL Calculator'!Z104,"£#,#")</f>
        <v>Not Applicable</v>
      </c>
      <c r="F16" s="1178"/>
    </row>
    <row r="17" spans="1:10" ht="15" customHeight="1" x14ac:dyDescent="0.25">
      <c r="A17" s="1150">
        <v>1</v>
      </c>
      <c r="B17" s="1255" t="s">
        <v>3047</v>
      </c>
      <c r="C17" s="3686" t="s">
        <v>3051</v>
      </c>
      <c r="D17" s="3686"/>
      <c r="E17" s="3689" t="e">
        <f>J18&amp;"
"&amp;J19&amp;J20</f>
        <v>#N/A</v>
      </c>
      <c r="F17" s="1178"/>
    </row>
    <row r="18" spans="1:10" ht="41.25" customHeight="1" x14ac:dyDescent="0.25">
      <c r="A18" s="1150">
        <v>1</v>
      </c>
      <c r="B18" s="1255"/>
      <c r="C18" s="1246"/>
      <c r="D18" s="1246"/>
      <c r="E18" s="3689"/>
      <c r="F18" s="1184"/>
      <c r="G18" s="1254" t="str">
        <f>IF(AND(Funders!K2=36,'BTL Calculator'!AI20="ZBL"),"","HIDE ROW")</f>
        <v>HIDE ROW</v>
      </c>
      <c r="J18" s="864" t="str">
        <f>DIP!B11</f>
        <v>10 years, made up of an initial fixed rate of 2 years (the “Initial Fixed Rate Period”), then followed by a variable rate (the “Revert Rate”) for the remaining term.</v>
      </c>
    </row>
    <row r="19" spans="1:10" ht="29.25" customHeight="1" x14ac:dyDescent="0.25">
      <c r="A19" s="1150">
        <v>1</v>
      </c>
      <c r="B19" s="1255"/>
      <c r="C19" s="1246"/>
      <c r="D19" s="1246"/>
      <c r="E19" s="3689"/>
      <c r="F19" s="1184"/>
      <c r="G19" s="1254" t="e">
        <f>IF(J19="(","HIDE ROW","")</f>
        <v>#N/A</v>
      </c>
      <c r="J19" s="1276" t="e">
        <f>IF(RollupMonths=0,"(","("&amp;TEXT(RollupMonths,"#")&amp;" Months Interest Rolled up &amp; Deducted from the Gross Loan Amount &amp; "&amp;TEXT(Funders!K2-RollupMonths,"#")&amp;" Months to be Serviced Monthly – ")</f>
        <v>#N/A</v>
      </c>
    </row>
    <row r="20" spans="1:10" ht="30" customHeight="1" x14ac:dyDescent="0.25">
      <c r="A20" s="1150">
        <v>1</v>
      </c>
      <c r="B20" s="1255"/>
      <c r="C20" s="1246"/>
      <c r="D20" s="1246"/>
      <c r="E20" s="3689"/>
      <c r="F20" s="1178"/>
      <c r="J20" s="864" t="str">
        <f>"Please note, the monthly amount to service the interest will be "&amp;TEXT(Monthly_DD,"£#,#.00")&amp;")"</f>
        <v>Please note, the monthly amount to service the interest will be -)</v>
      </c>
    </row>
    <row r="21" spans="1:10" ht="15" x14ac:dyDescent="0.25">
      <c r="A21" s="1150">
        <v>1</v>
      </c>
      <c r="B21" s="1255" t="s">
        <v>3047</v>
      </c>
      <c r="C21" s="3693" t="s">
        <v>3052</v>
      </c>
      <c r="D21" s="3693"/>
      <c r="E21" s="1253" t="str">
        <f>'BTL Calculator'!Z101</f>
        <v>-8.59% + MVR (currently 8.59%)</v>
      </c>
      <c r="F21" s="1185"/>
    </row>
    <row r="22" spans="1:10" ht="57" x14ac:dyDescent="0.25">
      <c r="A22" s="1150">
        <v>1</v>
      </c>
      <c r="B22" s="1255" t="s">
        <v>3047</v>
      </c>
      <c r="C22" s="3693" t="s">
        <v>3053</v>
      </c>
      <c r="D22" s="3693"/>
      <c r="E22" s="1246" t="str">
        <f>DIP!B12</f>
        <v>For the first 2 years a fixed rate of 0.00%. 2 years from the date of completion, the interest rate will change to the MFS Variable Rate, currently 8.59% plus a set margin of -8.59% for the remaining 8 years.</v>
      </c>
      <c r="F22" s="1185"/>
    </row>
    <row r="23" spans="1:10" ht="15" x14ac:dyDescent="0.25">
      <c r="A23" s="1150">
        <v>1</v>
      </c>
      <c r="B23" s="1255" t="s">
        <v>3047</v>
      </c>
      <c r="C23" s="3693" t="s">
        <v>3054</v>
      </c>
      <c r="D23" s="3693"/>
      <c r="E23" s="1246" t="e">
        <f>TEXT('BTL Calculator'!$M$147,"£#,#0")&amp;"   "&amp;TEXT(DeferedIntPercent*100,"0.00")&amp;"% deferred until end of loan. "</f>
        <v>#N/A</v>
      </c>
      <c r="F23" s="1178"/>
      <c r="J23" s="1241" t="e">
        <f>"Pay Rate now "&amp;TEXT(Pay_Rate*100,"0.00")&amp;"% (used for Direct Debit payments and Months Interest Rolled Up, if applicable). "&amp;TEXT(Deferred_Int_Owed,"£#,#")&amp;" deferred interest payable at redemption"</f>
        <v>#N/A</v>
      </c>
    </row>
    <row r="24" spans="1:10" ht="15" x14ac:dyDescent="0.25">
      <c r="A24" s="1150">
        <v>1</v>
      </c>
      <c r="B24" s="1255" t="s">
        <v>3047</v>
      </c>
      <c r="C24" s="3693" t="s">
        <v>3055</v>
      </c>
      <c r="D24" s="3693"/>
      <c r="E24" s="1246" t="e">
        <f>TEXT('BTL Calculator'!$M$148,"£#,#")&amp;"   "&amp;TEXT(RollupMonths,"#")&amp;" Month(s) Rolled up"</f>
        <v>#N/A</v>
      </c>
      <c r="F24" s="1178"/>
      <c r="J24" s="1241" t="e">
        <f>IF(RollupMonths=0,"No - interest paid by monthly DD","Yes, "&amp;TEXT(RollupMonths,"#")&amp;" month(s).  "&amp;TEXT('BTL Calculator'!$M$148,"£#,#")&amp;" payable at redemption")</f>
        <v>#N/A</v>
      </c>
    </row>
    <row r="25" spans="1:10" ht="15" x14ac:dyDescent="0.25">
      <c r="A25" s="1150">
        <v>1</v>
      </c>
      <c r="B25" s="1255" t="s">
        <v>3047</v>
      </c>
      <c r="C25" s="3693" t="s">
        <v>3056</v>
      </c>
      <c r="D25" s="3693"/>
      <c r="E25" s="1246" t="e">
        <f>TEXT(Prod_Fee_Chosen,"0.00%")&amp;IF(Existing_Customer="Yes",".  0.15% existing customer discount applied.","")&amp;" (1.00% payable to yourself)"</f>
        <v>#N/A</v>
      </c>
      <c r="F25" s="1178"/>
    </row>
    <row r="26" spans="1:10" ht="15" x14ac:dyDescent="0.25">
      <c r="A26" s="1150">
        <v>1</v>
      </c>
      <c r="B26" s="1255" t="s">
        <v>3047</v>
      </c>
      <c r="C26" s="3693" t="s">
        <v>3057</v>
      </c>
      <c r="D26" s="3693"/>
      <c r="E26" s="1258" t="s">
        <v>3058</v>
      </c>
      <c r="F26" s="1178"/>
    </row>
    <row r="27" spans="1:10" ht="44.25" customHeight="1" x14ac:dyDescent="0.25">
      <c r="A27" s="1150">
        <v>1</v>
      </c>
      <c r="B27" s="1255" t="s">
        <v>3047</v>
      </c>
      <c r="C27" s="3695" t="s">
        <v>3059</v>
      </c>
      <c r="D27" s="3695"/>
      <c r="E27" s="1252" t="e">
        <f>'BTL Calculator'!Z96</f>
        <v>#N/A</v>
      </c>
      <c r="F27" s="1185"/>
    </row>
    <row r="28" spans="1:10" ht="15" x14ac:dyDescent="0.25">
      <c r="A28" s="1150">
        <v>1</v>
      </c>
      <c r="B28" s="1255" t="s">
        <v>3047</v>
      </c>
      <c r="C28" s="3693" t="s">
        <v>3060</v>
      </c>
      <c r="D28" s="3693"/>
      <c r="F28" s="1178"/>
    </row>
    <row r="29" spans="1:10" ht="16.5" customHeight="1" x14ac:dyDescent="0.25">
      <c r="A29" s="1150">
        <v>1</v>
      </c>
      <c r="B29" s="1259"/>
      <c r="C29" s="1256" t="s">
        <v>3061</v>
      </c>
      <c r="D29" s="3696" t="str">
        <f>I30&amp;" Charge on the"&amp;I31&amp;" of "&amp;DIP!B6&amp;" (Title No: "&amp;'Credit terms'!I33&amp;")"</f>
        <v>1st Charge on theFreehold of xxxxxxx (Title No: New Build - TBC)</v>
      </c>
      <c r="E29" s="3696"/>
      <c r="F29" s="1178"/>
    </row>
    <row r="30" spans="1:10" ht="16.5" customHeight="1" x14ac:dyDescent="0.25">
      <c r="A30" s="1150">
        <v>1</v>
      </c>
      <c r="B30" s="1259"/>
      <c r="C30" s="1256"/>
      <c r="D30" s="3696"/>
      <c r="E30" s="3696"/>
      <c r="F30" s="1178"/>
      <c r="H30" t="s">
        <v>3062</v>
      </c>
      <c r="I30" s="1275" t="s">
        <v>1018</v>
      </c>
    </row>
    <row r="31" spans="1:10" ht="16.5" customHeight="1" x14ac:dyDescent="0.25">
      <c r="A31" s="1150">
        <v>1</v>
      </c>
      <c r="B31" s="1259"/>
      <c r="C31" s="1256"/>
      <c r="D31" s="3696"/>
      <c r="E31" s="3696"/>
      <c r="F31" s="1178"/>
      <c r="I31" s="1275" t="s">
        <v>1481</v>
      </c>
    </row>
    <row r="32" spans="1:10" ht="16.5" customHeight="1" x14ac:dyDescent="0.25">
      <c r="A32" s="1150">
        <v>1</v>
      </c>
      <c r="B32" s="1259"/>
      <c r="C32" s="1256"/>
      <c r="D32" s="3696"/>
      <c r="E32" s="3696"/>
      <c r="F32" s="1185"/>
    </row>
    <row r="33" spans="1:9" ht="16.5" customHeight="1" x14ac:dyDescent="0.25">
      <c r="A33" s="1150">
        <v>1</v>
      </c>
      <c r="C33" s="1256"/>
      <c r="D33" s="3696"/>
      <c r="E33" s="3696"/>
      <c r="F33" s="1181"/>
      <c r="H33" t="s">
        <v>3063</v>
      </c>
      <c r="I33" s="1275" t="s">
        <v>3064</v>
      </c>
    </row>
    <row r="34" spans="1:9" ht="15" x14ac:dyDescent="0.25">
      <c r="A34" s="1150">
        <v>1</v>
      </c>
      <c r="C34" s="1257"/>
      <c r="D34" s="3686" t="str">
        <f>"(Current Anticipated 180 Day Market Value: "&amp;TEXT('BTL Calculator'!V7,"£#,#")&amp;")"</f>
        <v>(Current Anticipated 180 Day Market Value: £)</v>
      </c>
      <c r="E34" s="3686"/>
      <c r="F34" s="1181"/>
      <c r="I34" s="1260"/>
    </row>
    <row r="35" spans="1:9" ht="15" customHeight="1" x14ac:dyDescent="0.25">
      <c r="A35" s="1150">
        <v>1</v>
      </c>
      <c r="C35" s="1257"/>
      <c r="D35" s="3686" t="str">
        <f>"(Agreed Purchase Price : "&amp;TEXT(I35,"£#,#")&amp;")"</f>
        <v>(Agreed Purchase Price : £1,000,000)</v>
      </c>
      <c r="E35" s="3686"/>
      <c r="F35" s="1178"/>
      <c r="I35" s="1291">
        <v>1000000</v>
      </c>
    </row>
    <row r="36" spans="1:9" ht="16.5" customHeight="1" x14ac:dyDescent="0.25">
      <c r="A36" s="1150">
        <v>1</v>
      </c>
      <c r="C36" s="1257"/>
      <c r="D36" s="3691" t="s">
        <v>3065</v>
      </c>
      <c r="E36" s="3691"/>
      <c r="F36" s="1181"/>
    </row>
    <row r="37" spans="1:9" ht="16.5" customHeight="1" x14ac:dyDescent="0.25">
      <c r="A37" s="1150">
        <v>1</v>
      </c>
      <c r="C37" s="1257"/>
      <c r="D37" s="3691"/>
      <c r="E37" s="3691"/>
      <c r="F37" s="1178"/>
    </row>
    <row r="38" spans="1:9" ht="15" customHeight="1" x14ac:dyDescent="0.25">
      <c r="A38" s="1150">
        <v>1</v>
      </c>
      <c r="C38" s="1256" t="s">
        <v>3061</v>
      </c>
      <c r="D38" s="3691" t="s">
        <v>3066</v>
      </c>
      <c r="E38" s="3691"/>
      <c r="F38" s="1181"/>
    </row>
    <row r="39" spans="1:9" ht="15" customHeight="1" x14ac:dyDescent="0.25">
      <c r="A39" s="1150">
        <v>1</v>
      </c>
      <c r="C39" s="1256"/>
      <c r="D39" s="3691"/>
      <c r="E39" s="3691"/>
      <c r="F39" s="1178"/>
    </row>
    <row r="40" spans="1:9" ht="15" customHeight="1" x14ac:dyDescent="0.25">
      <c r="A40" s="1150">
        <v>1</v>
      </c>
      <c r="C40" s="1256" t="s">
        <v>3061</v>
      </c>
      <c r="D40" s="3691" t="s">
        <v>3067</v>
      </c>
      <c r="E40" s="3691"/>
      <c r="F40" s="1178"/>
    </row>
    <row r="41" spans="1:9" ht="15" x14ac:dyDescent="0.25">
      <c r="A41" s="1150">
        <v>1</v>
      </c>
      <c r="B41" s="1248"/>
      <c r="C41" s="1257"/>
      <c r="D41" s="3691"/>
      <c r="E41" s="3691"/>
      <c r="F41" s="1178"/>
    </row>
    <row r="42" spans="1:9" ht="15" x14ac:dyDescent="0.25">
      <c r="A42" s="1150">
        <v>1</v>
      </c>
      <c r="B42" s="1248"/>
      <c r="F42" s="1178"/>
    </row>
    <row r="43" spans="1:9" ht="15" x14ac:dyDescent="0.25">
      <c r="A43" s="1150">
        <v>1</v>
      </c>
      <c r="B43" s="1250" t="s">
        <v>3047</v>
      </c>
      <c r="C43" s="3686" t="s">
        <v>3068</v>
      </c>
      <c r="D43" s="3686"/>
      <c r="E43" t="s">
        <v>3069</v>
      </c>
      <c r="F43" s="1198"/>
    </row>
    <row r="44" spans="1:9" ht="42.75" customHeight="1" x14ac:dyDescent="0.25">
      <c r="A44" s="1150">
        <v>1</v>
      </c>
      <c r="C44" s="3691" t="s">
        <v>3070</v>
      </c>
      <c r="D44" s="3691"/>
      <c r="E44" s="3691"/>
      <c r="F44" s="1178"/>
    </row>
    <row r="45" spans="1:9" ht="15" x14ac:dyDescent="0.25">
      <c r="A45" s="1150">
        <v>1</v>
      </c>
      <c r="C45" s="1246"/>
      <c r="D45" s="1246"/>
      <c r="F45" s="1181"/>
    </row>
    <row r="46" spans="1:9" ht="45" x14ac:dyDescent="0.25">
      <c r="A46" s="1150">
        <v>1</v>
      </c>
      <c r="B46" s="1255" t="s">
        <v>3047</v>
      </c>
      <c r="C46" s="3689" t="s">
        <v>3071</v>
      </c>
      <c r="D46" s="3689"/>
      <c r="E46" s="864" t="s">
        <v>3072</v>
      </c>
      <c r="F46" s="1178"/>
    </row>
    <row r="47" spans="1:9" ht="15" x14ac:dyDescent="0.25">
      <c r="A47" s="1150">
        <v>1</v>
      </c>
      <c r="C47" s="1249"/>
      <c r="D47" s="1249"/>
      <c r="F47" s="1181"/>
    </row>
    <row r="48" spans="1:9" ht="15" x14ac:dyDescent="0.25">
      <c r="A48" s="1150">
        <v>1</v>
      </c>
      <c r="B48" s="3694" t="str">
        <f>"The Mode of Repayment will be "&amp;I48&amp;"."</f>
        <v>The Mode of Repayment will be XXXXXXX.</v>
      </c>
      <c r="C48" s="3694"/>
      <c r="D48" s="3694"/>
      <c r="E48" s="3694"/>
      <c r="F48" s="1178"/>
      <c r="I48" s="1241" t="s">
        <v>3073</v>
      </c>
    </row>
    <row r="49" spans="1:9" ht="15" x14ac:dyDescent="0.25">
      <c r="A49" s="1150">
        <v>1</v>
      </c>
      <c r="B49" s="1249"/>
      <c r="F49" s="1181"/>
    </row>
    <row r="50" spans="1:9" ht="15" x14ac:dyDescent="0.25">
      <c r="A50" s="1150">
        <v>1</v>
      </c>
      <c r="B50" s="3692" t="str">
        <f>"Also note that, as a part of our new process for short term lending, we are required to send a member of staff from the Nationwide Field Agency to conduct an interview with the borrower"&amp;I50&amp;". NCI will contact the borrower"&amp;I50&amp;" to arrange a date/time for the interview to take place. "&amp;IF(I52="","","This cost will be borne by "&amp;INDEX(Funders!E3:E26,MATCH(I52,Funders!A3:A26,0))&amp;".")</f>
        <v xml:space="preserve">Also note that, as a part of our new process for short term lending, we are required to send a member of staff from the Nationwide Field Agency to conduct an interview with the borrowers. NCI will contact the borrowers to arrange a date/time for the interview to take place. </v>
      </c>
      <c r="C50" s="3692"/>
      <c r="D50" s="3692"/>
      <c r="E50" s="3692"/>
      <c r="F50" s="1178"/>
      <c r="I50" s="1263" t="s">
        <v>3074</v>
      </c>
    </row>
    <row r="51" spans="1:9" ht="15" x14ac:dyDescent="0.25">
      <c r="A51" s="1150">
        <v>1</v>
      </c>
      <c r="B51" s="3692"/>
      <c r="C51" s="3692"/>
      <c r="D51" s="3692"/>
      <c r="E51" s="3692"/>
      <c r="F51" s="1181"/>
    </row>
    <row r="52" spans="1:9" ht="15" x14ac:dyDescent="0.25">
      <c r="A52" s="1150">
        <v>1</v>
      </c>
      <c r="B52" s="3692"/>
      <c r="C52" s="3692"/>
      <c r="D52" s="3692"/>
      <c r="E52" s="3692"/>
      <c r="F52" s="1178"/>
      <c r="H52" t="s">
        <v>3075</v>
      </c>
      <c r="I52" s="1241"/>
    </row>
    <row r="53" spans="1:9" ht="15" x14ac:dyDescent="0.25">
      <c r="A53" s="1150">
        <v>1</v>
      </c>
      <c r="B53" s="3692"/>
      <c r="C53" s="3692"/>
      <c r="D53" s="3692"/>
      <c r="E53" s="3692"/>
      <c r="F53" s="1181"/>
    </row>
    <row r="54" spans="1:9" ht="15" x14ac:dyDescent="0.25">
      <c r="A54" s="1150">
        <v>1</v>
      </c>
      <c r="B54" s="1242"/>
      <c r="F54" s="1178"/>
    </row>
    <row r="55" spans="1:9" ht="15" x14ac:dyDescent="0.25">
      <c r="A55" s="1150">
        <v>1</v>
      </c>
      <c r="B55" s="1242" t="s">
        <v>3076</v>
      </c>
      <c r="F55" s="1181"/>
    </row>
    <row r="56" spans="1:9" ht="15" x14ac:dyDescent="0.25">
      <c r="A56" s="1150">
        <v>1</v>
      </c>
      <c r="B56" s="1242"/>
      <c r="F56" s="1178"/>
    </row>
    <row r="57" spans="1:9" ht="15" x14ac:dyDescent="0.25">
      <c r="A57" s="1150">
        <v>1</v>
      </c>
      <c r="B57" s="1243" t="s">
        <v>3077</v>
      </c>
      <c r="F57" s="1181"/>
    </row>
    <row r="58" spans="1:9" ht="15" x14ac:dyDescent="0.25">
      <c r="A58" s="1150">
        <v>1</v>
      </c>
      <c r="B58" s="1256" t="s">
        <v>3061</v>
      </c>
      <c r="C58" s="3686" t="s">
        <v>3078</v>
      </c>
      <c r="D58" s="3686"/>
      <c r="E58" s="3686"/>
      <c r="F58" s="1203"/>
    </row>
    <row r="59" spans="1:9" ht="15" x14ac:dyDescent="0.25">
      <c r="A59" s="1150">
        <v>1</v>
      </c>
      <c r="B59" s="1256" t="s">
        <v>3061</v>
      </c>
      <c r="C59" s="3686" t="s">
        <v>3079</v>
      </c>
      <c r="D59" s="3686"/>
      <c r="E59" s="3686"/>
      <c r="F59" s="1205"/>
    </row>
    <row r="60" spans="1:9" ht="15" x14ac:dyDescent="0.25">
      <c r="A60" s="1150">
        <v>1</v>
      </c>
      <c r="B60" s="1256" t="s">
        <v>3061</v>
      </c>
      <c r="C60" s="3686" t="s">
        <v>3080</v>
      </c>
      <c r="D60" s="3686"/>
      <c r="E60" s="3686"/>
      <c r="F60" s="1207"/>
    </row>
    <row r="61" spans="1:9" ht="15" x14ac:dyDescent="0.25">
      <c r="A61" s="1150">
        <v>1</v>
      </c>
      <c r="B61" s="1256" t="s">
        <v>3061</v>
      </c>
      <c r="C61" s="3686" t="s">
        <v>3081</v>
      </c>
      <c r="D61" s="3686"/>
      <c r="E61" s="3686"/>
      <c r="F61" s="1207"/>
    </row>
    <row r="62" spans="1:9" ht="15" x14ac:dyDescent="0.25">
      <c r="A62" s="1150">
        <v>1</v>
      </c>
      <c r="B62" s="1256" t="s">
        <v>3061</v>
      </c>
      <c r="C62" s="3686" t="s">
        <v>3082</v>
      </c>
      <c r="D62" s="3686"/>
      <c r="E62" s="3686"/>
      <c r="F62" s="1207"/>
    </row>
    <row r="63" spans="1:9" ht="15" customHeight="1" x14ac:dyDescent="0.25">
      <c r="A63" s="1150">
        <v>1</v>
      </c>
      <c r="B63" s="1256" t="s">
        <v>3061</v>
      </c>
      <c r="C63" s="3684" t="s">
        <v>3083</v>
      </c>
      <c r="D63" s="3684"/>
      <c r="E63" s="3684"/>
      <c r="F63" s="1207"/>
    </row>
    <row r="64" spans="1:9" ht="15" x14ac:dyDescent="0.25">
      <c r="A64" s="1150">
        <v>1</v>
      </c>
      <c r="B64" s="1256"/>
      <c r="C64" s="3684"/>
      <c r="D64" s="3684"/>
      <c r="E64" s="3684"/>
      <c r="F64" s="1207"/>
    </row>
    <row r="65" spans="1:6" ht="15" x14ac:dyDescent="0.25">
      <c r="A65" s="1150">
        <v>1</v>
      </c>
      <c r="B65" s="1256" t="s">
        <v>3061</v>
      </c>
      <c r="C65" s="3684" t="s">
        <v>3084</v>
      </c>
      <c r="D65" s="3684"/>
      <c r="E65" s="3684"/>
      <c r="F65" s="1207"/>
    </row>
    <row r="66" spans="1:6" ht="15" x14ac:dyDescent="0.25">
      <c r="A66" s="1150">
        <v>1</v>
      </c>
      <c r="B66" s="1256"/>
      <c r="C66" s="3684"/>
      <c r="D66" s="3684"/>
      <c r="E66" s="3684"/>
      <c r="F66" s="1207"/>
    </row>
    <row r="67" spans="1:6" ht="15" x14ac:dyDescent="0.25">
      <c r="A67" s="1150">
        <v>1</v>
      </c>
      <c r="B67" s="1256"/>
      <c r="C67" s="3684"/>
      <c r="D67" s="3684"/>
      <c r="E67" s="3684"/>
      <c r="F67" s="1207"/>
    </row>
    <row r="68" spans="1:6" ht="15" x14ac:dyDescent="0.25">
      <c r="A68" s="1150">
        <v>1</v>
      </c>
      <c r="B68" s="1256" t="s">
        <v>3061</v>
      </c>
      <c r="C68" s="3690" t="s">
        <v>3085</v>
      </c>
      <c r="D68" s="3690"/>
      <c r="E68" s="3690"/>
      <c r="F68" s="1207"/>
    </row>
    <row r="69" spans="1:6" ht="15" x14ac:dyDescent="0.25">
      <c r="A69" s="1150">
        <v>1</v>
      </c>
      <c r="B69" s="1256"/>
      <c r="C69" s="3690"/>
      <c r="D69" s="3690"/>
      <c r="E69" s="3690"/>
      <c r="F69" s="1207"/>
    </row>
    <row r="70" spans="1:6" ht="15" x14ac:dyDescent="0.25">
      <c r="A70" s="1150">
        <v>1</v>
      </c>
      <c r="B70" s="1256"/>
      <c r="C70" s="3690"/>
      <c r="D70" s="3690"/>
      <c r="E70" s="3690"/>
      <c r="F70" s="1207"/>
    </row>
    <row r="71" spans="1:6" ht="15" x14ac:dyDescent="0.25">
      <c r="A71" s="1150">
        <v>1</v>
      </c>
      <c r="B71" s="1256"/>
      <c r="C71" s="3690"/>
      <c r="D71" s="3690"/>
      <c r="E71" s="3690"/>
      <c r="F71" s="1207"/>
    </row>
    <row r="72" spans="1:6" ht="15" x14ac:dyDescent="0.25">
      <c r="A72" s="1150">
        <v>1</v>
      </c>
      <c r="B72" s="1256"/>
      <c r="C72" s="3690"/>
      <c r="D72" s="3690"/>
      <c r="E72" s="3690"/>
      <c r="F72" s="1207"/>
    </row>
    <row r="73" spans="1:6" ht="15" x14ac:dyDescent="0.25">
      <c r="A73" s="1150">
        <v>1</v>
      </c>
      <c r="B73" s="1256" t="s">
        <v>3061</v>
      </c>
      <c r="C73" s="3684" t="s">
        <v>3086</v>
      </c>
      <c r="D73" s="3684"/>
      <c r="E73" s="3684"/>
      <c r="F73" s="1207"/>
    </row>
    <row r="74" spans="1:6" ht="15" x14ac:dyDescent="0.25">
      <c r="A74" s="1150">
        <v>1</v>
      </c>
      <c r="B74" s="1256" t="s">
        <v>3061</v>
      </c>
      <c r="C74" s="3683" t="s">
        <v>3087</v>
      </c>
      <c r="D74" s="3683"/>
      <c r="E74" s="3683"/>
      <c r="F74" s="1207"/>
    </row>
    <row r="75" spans="1:6" ht="15" x14ac:dyDescent="0.25">
      <c r="A75" s="1150">
        <v>1</v>
      </c>
      <c r="B75" s="1256"/>
      <c r="C75" s="3683"/>
      <c r="D75" s="3683"/>
      <c r="E75" s="3683"/>
      <c r="F75" s="1207"/>
    </row>
    <row r="76" spans="1:6" ht="15" x14ac:dyDescent="0.25">
      <c r="A76" s="1150">
        <v>1</v>
      </c>
      <c r="B76" s="1245"/>
      <c r="F76" s="1207"/>
    </row>
    <row r="77" spans="1:6" ht="15" x14ac:dyDescent="0.25">
      <c r="A77" s="1150">
        <v>1</v>
      </c>
      <c r="B77" s="1244" t="s">
        <v>3088</v>
      </c>
      <c r="F77" s="1207"/>
    </row>
    <row r="78" spans="1:6" ht="15" x14ac:dyDescent="0.25">
      <c r="A78" s="1150">
        <v>1</v>
      </c>
      <c r="B78" s="1256" t="s">
        <v>3061</v>
      </c>
      <c r="C78" s="3685" t="s">
        <v>3089</v>
      </c>
      <c r="D78" s="3686"/>
      <c r="E78" s="3686"/>
      <c r="F78" s="1207"/>
    </row>
    <row r="79" spans="1:6" ht="15" x14ac:dyDescent="0.25">
      <c r="A79" s="1150">
        <v>1</v>
      </c>
      <c r="B79" s="1256" t="s">
        <v>3061</v>
      </c>
      <c r="C79" s="3683" t="s">
        <v>3090</v>
      </c>
      <c r="D79" s="3684"/>
      <c r="E79" s="3684"/>
      <c r="F79" s="1207"/>
    </row>
    <row r="80" spans="1:6" ht="15" customHeight="1" x14ac:dyDescent="0.25">
      <c r="A80" s="1150">
        <v>1</v>
      </c>
      <c r="B80" s="1256" t="s">
        <v>3061</v>
      </c>
      <c r="C80" s="3683" t="s">
        <v>3091</v>
      </c>
      <c r="D80" s="3683"/>
      <c r="E80" s="3683"/>
      <c r="F80" s="1207"/>
    </row>
    <row r="81" spans="1:9" ht="15" x14ac:dyDescent="0.25">
      <c r="A81" s="1150">
        <v>1</v>
      </c>
      <c r="B81" s="1256"/>
      <c r="C81" s="3683"/>
      <c r="D81" s="3683"/>
      <c r="E81" s="3683"/>
      <c r="F81" s="1207"/>
    </row>
    <row r="82" spans="1:9" ht="15" customHeight="1" x14ac:dyDescent="0.25">
      <c r="A82" s="1150">
        <v>1</v>
      </c>
      <c r="B82" s="1256" t="s">
        <v>3061</v>
      </c>
      <c r="C82" s="3683" t="s">
        <v>3092</v>
      </c>
      <c r="D82" s="3684"/>
      <c r="E82" s="3684"/>
      <c r="F82" s="1203"/>
    </row>
    <row r="83" spans="1:9" ht="15" x14ac:dyDescent="0.25">
      <c r="A83" s="1150">
        <v>1</v>
      </c>
      <c r="B83" s="1256"/>
      <c r="C83" s="3684"/>
      <c r="D83" s="3684"/>
      <c r="E83" s="3684"/>
      <c r="F83" s="1205"/>
    </row>
    <row r="84" spans="1:9" ht="15" x14ac:dyDescent="0.25">
      <c r="A84" s="1150">
        <v>1</v>
      </c>
      <c r="B84" s="1245"/>
      <c r="F84" s="1207"/>
    </row>
    <row r="85" spans="1:9" ht="15" x14ac:dyDescent="0.25">
      <c r="A85" s="1150">
        <v>1</v>
      </c>
      <c r="B85" s="1243" t="s">
        <v>3093</v>
      </c>
      <c r="F85" s="1207"/>
    </row>
    <row r="86" spans="1:9" ht="15" x14ac:dyDescent="0.25">
      <c r="A86" s="1150">
        <v>1</v>
      </c>
      <c r="B86" s="1256" t="s">
        <v>3061</v>
      </c>
      <c r="C86" s="3683" t="s">
        <v>3094</v>
      </c>
      <c r="D86" s="3684"/>
      <c r="E86" s="3684"/>
      <c r="F86" s="1207"/>
    </row>
    <row r="87" spans="1:9" ht="15" x14ac:dyDescent="0.25">
      <c r="A87" s="1150">
        <v>1</v>
      </c>
      <c r="C87" s="3684"/>
      <c r="D87" s="3684"/>
      <c r="E87" s="3684"/>
      <c r="F87" s="1207"/>
    </row>
    <row r="88" spans="1:9" ht="15" x14ac:dyDescent="0.25">
      <c r="A88" s="1150">
        <v>1</v>
      </c>
      <c r="B88" s="1256" t="s">
        <v>3061</v>
      </c>
      <c r="C88" s="3683" t="s">
        <v>3095</v>
      </c>
      <c r="D88" s="3684"/>
      <c r="E88" s="3684"/>
      <c r="F88" s="1207"/>
    </row>
    <row r="89" spans="1:9" ht="15" customHeight="1" x14ac:dyDescent="0.25">
      <c r="A89" s="1150">
        <v>1</v>
      </c>
      <c r="B89" s="1256" t="s">
        <v>3061</v>
      </c>
      <c r="C89" s="3683" t="s">
        <v>3096</v>
      </c>
      <c r="D89" s="3684"/>
      <c r="E89" s="3684"/>
      <c r="F89" s="1207"/>
    </row>
    <row r="90" spans="1:9" ht="15" customHeight="1" x14ac:dyDescent="0.25">
      <c r="A90" s="1150">
        <v>1</v>
      </c>
      <c r="B90" s="1256" t="s">
        <v>3061</v>
      </c>
      <c r="C90" s="3683" t="s">
        <v>3097</v>
      </c>
      <c r="D90" s="3684"/>
      <c r="E90" s="3684"/>
      <c r="F90" s="1207"/>
    </row>
    <row r="91" spans="1:9" ht="15" x14ac:dyDescent="0.25">
      <c r="A91" s="1150">
        <v>1</v>
      </c>
      <c r="C91" s="3684"/>
      <c r="D91" s="3684"/>
      <c r="E91" s="3684"/>
      <c r="F91" s="1207"/>
    </row>
    <row r="92" spans="1:9" ht="15" x14ac:dyDescent="0.25">
      <c r="A92" s="1150">
        <v>1</v>
      </c>
      <c r="B92" s="1256" t="s">
        <v>3061</v>
      </c>
      <c r="C92" s="3685" t="s">
        <v>3098</v>
      </c>
      <c r="D92" s="3686"/>
      <c r="E92" s="3686"/>
      <c r="F92" s="1207"/>
      <c r="G92" s="1254" t="str">
        <f>IF('BTL Calculator'!V17="No","","HIDE ROW")</f>
        <v/>
      </c>
    </row>
    <row r="93" spans="1:9" ht="15" x14ac:dyDescent="0.25">
      <c r="A93" s="1150">
        <v>1</v>
      </c>
      <c r="B93" s="1256" t="s">
        <v>3061</v>
      </c>
      <c r="C93" s="3685" t="s">
        <v>3099</v>
      </c>
      <c r="D93" s="3686"/>
      <c r="E93" s="3686"/>
      <c r="F93" s="1207"/>
      <c r="G93" s="1254" t="str">
        <f>IF(I31="Leasehold","","HIDE ROW")</f>
        <v>HIDE ROW</v>
      </c>
    </row>
    <row r="94" spans="1:9" ht="15" x14ac:dyDescent="0.25">
      <c r="A94" s="1150">
        <v>1</v>
      </c>
      <c r="C94" s="3686"/>
      <c r="D94" s="3686"/>
      <c r="E94" s="3686"/>
      <c r="F94" s="1207"/>
    </row>
    <row r="95" spans="1:9" ht="15" x14ac:dyDescent="0.25">
      <c r="A95" s="1150">
        <v>1</v>
      </c>
      <c r="B95" s="1256" t="s">
        <v>3061</v>
      </c>
      <c r="C95" s="3688" t="str">
        <f>"Please provide a schedule of works from the builder "&amp;IF(I95="Yes","(if more than 5% of the value, must come from a builder/ review case by case)","")</f>
        <v>Please provide a schedule of works from the builder (if more than 5% of the value, must come from a builder/ review case by case)</v>
      </c>
      <c r="D95" s="3689"/>
      <c r="E95" s="3689"/>
      <c r="F95" s="1207"/>
      <c r="H95" t="s">
        <v>3100</v>
      </c>
      <c r="I95" s="1275" t="s">
        <v>33</v>
      </c>
    </row>
    <row r="96" spans="1:9" ht="15" x14ac:dyDescent="0.25">
      <c r="A96" s="1150">
        <v>1</v>
      </c>
      <c r="C96" s="3689"/>
      <c r="D96" s="3689"/>
      <c r="E96" s="3689"/>
      <c r="F96" s="1207"/>
      <c r="G96" s="1254" t="e">
        <f>IF('BTL Calculator'!#REF!="No","HIDE ROW","")</f>
        <v>#REF!</v>
      </c>
    </row>
    <row r="97" spans="1:9" ht="15" x14ac:dyDescent="0.25">
      <c r="A97" s="1150">
        <v>1</v>
      </c>
      <c r="B97" s="1256" t="s">
        <v>3061</v>
      </c>
      <c r="C97" s="3683" t="s">
        <v>3101</v>
      </c>
      <c r="D97" s="3684"/>
      <c r="E97" s="3684"/>
      <c r="F97" s="1207"/>
      <c r="I97" s="1275"/>
    </row>
    <row r="98" spans="1:9" ht="15" x14ac:dyDescent="0.25">
      <c r="A98" s="1150">
        <v>1</v>
      </c>
      <c r="B98" s="1256" t="s">
        <v>3061</v>
      </c>
      <c r="C98" s="3685" t="s">
        <v>3102</v>
      </c>
      <c r="D98" s="3686"/>
      <c r="E98" s="3686"/>
      <c r="F98" s="1207"/>
    </row>
    <row r="99" spans="1:9" ht="15" x14ac:dyDescent="0.25">
      <c r="A99" s="1150">
        <v>1</v>
      </c>
      <c r="C99" s="3686"/>
      <c r="D99" s="3686"/>
      <c r="E99" s="3686"/>
      <c r="F99" s="1210"/>
    </row>
    <row r="100" spans="1:9" ht="15" x14ac:dyDescent="0.25">
      <c r="A100" s="1150">
        <v>1</v>
      </c>
      <c r="B100" s="1256" t="s">
        <v>3061</v>
      </c>
      <c r="C100" s="3685" t="s">
        <v>3103</v>
      </c>
      <c r="D100" s="3686"/>
      <c r="E100" s="3686"/>
      <c r="F100" s="1181"/>
    </row>
    <row r="101" spans="1:9" ht="15" x14ac:dyDescent="0.25">
      <c r="A101" s="1150">
        <v>1</v>
      </c>
      <c r="B101" s="1256" t="s">
        <v>3061</v>
      </c>
      <c r="C101" s="3685" t="s">
        <v>3104</v>
      </c>
      <c r="D101" s="3686"/>
      <c r="E101" s="3686"/>
      <c r="F101" s="1178"/>
    </row>
    <row r="102" spans="1:9" ht="15" x14ac:dyDescent="0.25">
      <c r="A102" s="1150">
        <v>1</v>
      </c>
      <c r="B102" s="1245"/>
      <c r="F102" s="1178"/>
    </row>
    <row r="103" spans="1:9" ht="15" x14ac:dyDescent="0.25">
      <c r="A103" s="1150">
        <v>1</v>
      </c>
      <c r="B103" s="3687" t="s">
        <v>3105</v>
      </c>
      <c r="C103" s="3687"/>
      <c r="D103" s="3687"/>
      <c r="E103" s="3687"/>
      <c r="F103" s="1212"/>
      <c r="G103" s="1254" t="str">
        <f>IF(COUNTIF(G106:G110,"HIDE ROW")&gt;4,"HIDE ROW","")</f>
        <v>HIDE ROW</v>
      </c>
    </row>
    <row r="104" spans="1:9" ht="15" x14ac:dyDescent="0.25">
      <c r="A104" s="1150">
        <v>1</v>
      </c>
      <c r="B104" s="3687"/>
      <c r="C104" s="3687"/>
      <c r="D104" s="3687"/>
      <c r="E104" s="3687"/>
      <c r="F104" s="1181"/>
      <c r="G104" t="str">
        <f>G103</f>
        <v>HIDE ROW</v>
      </c>
    </row>
    <row r="105" spans="1:9" ht="15" x14ac:dyDescent="0.25">
      <c r="A105" s="1150">
        <v>1</v>
      </c>
      <c r="B105" s="1240"/>
      <c r="F105" s="1178"/>
      <c r="G105" t="str">
        <f>G104</f>
        <v>HIDE ROW</v>
      </c>
    </row>
    <row r="106" spans="1:9" ht="15" x14ac:dyDescent="0.25">
      <c r="A106" s="1150">
        <v>1</v>
      </c>
      <c r="C106" s="1247" t="str">
        <f>I106</f>
        <v>[Name]</v>
      </c>
      <c r="D106" s="1247"/>
      <c r="F106" s="1181"/>
      <c r="G106" s="1254" t="str">
        <f>IF(I106="[Name]","HIDE ROW","")</f>
        <v>HIDE ROW</v>
      </c>
      <c r="I106" s="1290" t="s">
        <v>3106</v>
      </c>
    </row>
    <row r="107" spans="1:9" ht="15" hidden="1" x14ac:dyDescent="0.25">
      <c r="A107" s="1150">
        <v>1</v>
      </c>
      <c r="C107" s="1247" t="str">
        <f>I107</f>
        <v>[Name]</v>
      </c>
      <c r="D107" s="1247"/>
      <c r="F107" s="1178"/>
      <c r="G107" s="1254" t="str">
        <f>IF(I107="[Name]","HIDE ROW","")</f>
        <v>HIDE ROW</v>
      </c>
      <c r="I107" s="1290" t="s">
        <v>3106</v>
      </c>
    </row>
    <row r="108" spans="1:9" ht="15" x14ac:dyDescent="0.25">
      <c r="A108" s="1150">
        <v>1</v>
      </c>
      <c r="C108" s="1247" t="str">
        <f>I108</f>
        <v>[Name]</v>
      </c>
      <c r="D108" s="1247"/>
      <c r="F108" s="1181"/>
      <c r="G108" s="1254" t="str">
        <f>IF(I108="[Name]","HIDE ROW","")</f>
        <v>HIDE ROW</v>
      </c>
      <c r="I108" s="1290" t="s">
        <v>3106</v>
      </c>
    </row>
    <row r="109" spans="1:9" ht="15" x14ac:dyDescent="0.25">
      <c r="A109" s="1150">
        <v>1</v>
      </c>
      <c r="C109" s="1247" t="str">
        <f>I109</f>
        <v>[Name]</v>
      </c>
      <c r="D109" s="1247"/>
      <c r="F109" s="1181"/>
      <c r="G109" s="1254" t="str">
        <f>IF(I109="[Name]","HIDE ROW","")</f>
        <v>HIDE ROW</v>
      </c>
      <c r="I109" s="1290" t="s">
        <v>3106</v>
      </c>
    </row>
    <row r="110" spans="1:9" ht="15" x14ac:dyDescent="0.25">
      <c r="A110" s="1150">
        <v>1</v>
      </c>
      <c r="C110" s="1247" t="str">
        <f>I110</f>
        <v>[Name]</v>
      </c>
      <c r="D110" s="1247"/>
      <c r="F110" s="1181"/>
      <c r="G110" s="1254" t="str">
        <f>IF(I110="[Name]","HIDE ROW","")</f>
        <v>HIDE ROW</v>
      </c>
      <c r="I110" s="1290" t="s">
        <v>3106</v>
      </c>
    </row>
    <row r="111" spans="1:9" ht="15" x14ac:dyDescent="0.25">
      <c r="A111" s="1150">
        <v>1</v>
      </c>
      <c r="B111" s="1245"/>
      <c r="F111" s="1178"/>
    </row>
    <row r="112" spans="1:9" ht="15" customHeight="1" x14ac:dyDescent="0.25">
      <c r="A112" s="1150">
        <v>1</v>
      </c>
      <c r="B112" s="3686" t="str">
        <f>"If in agreement with the above terms, I will require a signed copy of the attached Decision in Principle and Direct Debit Mandate, Admin Fee of £199 (Non-refundable) and valuation cost of "&amp;TEXT(I114,"£##")&amp;" to be credited into our client account, hence we can do the needful from my end. Please find our bank account details attached and use our reference number or first line of security address as the reference."</f>
        <v>If in agreement with the above terms, I will require a signed copy of the attached Decision in Principle and Direct Debit Mandate, Admin Fee of £199 (Non-refundable) and valuation cost of TBC by underwriter to be credited into our client account, hence we can do the needful from my end. Please find our bank account details attached and use our reference number or first line of security address as the reference.</v>
      </c>
      <c r="C112" s="3686"/>
      <c r="D112" s="3686"/>
      <c r="E112" s="3686"/>
      <c r="F112" s="1181"/>
    </row>
    <row r="113" spans="1:9" ht="15" x14ac:dyDescent="0.25">
      <c r="A113" s="1150">
        <v>1</v>
      </c>
      <c r="B113" s="3686"/>
      <c r="C113" s="3686"/>
      <c r="D113" s="3686"/>
      <c r="E113" s="3686"/>
      <c r="F113" s="1178"/>
    </row>
    <row r="114" spans="1:9" ht="15" x14ac:dyDescent="0.25">
      <c r="A114" s="1150">
        <v>1</v>
      </c>
      <c r="B114" s="3686"/>
      <c r="C114" s="3686"/>
      <c r="D114" s="3686"/>
      <c r="E114" s="3686"/>
      <c r="F114" s="1178"/>
      <c r="H114" t="s">
        <v>3107</v>
      </c>
      <c r="I114" s="1275" t="s">
        <v>3108</v>
      </c>
    </row>
    <row r="115" spans="1:9" ht="15" x14ac:dyDescent="0.25">
      <c r="A115" s="1150">
        <v>1</v>
      </c>
      <c r="B115" s="3686"/>
      <c r="C115" s="3686"/>
      <c r="D115" s="3686"/>
      <c r="E115" s="3686"/>
      <c r="F115" s="1178"/>
    </row>
    <row r="116" spans="1:9" ht="15" x14ac:dyDescent="0.25">
      <c r="A116" s="1150">
        <v>1</v>
      </c>
      <c r="B116" s="3686"/>
      <c r="C116" s="3686"/>
      <c r="D116" s="3686"/>
      <c r="E116" s="3686"/>
      <c r="F116" s="1178"/>
    </row>
    <row r="117" spans="1:9" ht="15" x14ac:dyDescent="0.25">
      <c r="A117" s="1150">
        <v>1</v>
      </c>
      <c r="B117" s="1245"/>
      <c r="F117" s="1178"/>
    </row>
    <row r="118" spans="1:9" ht="15" x14ac:dyDescent="0.25">
      <c r="A118" s="1150">
        <v>1</v>
      </c>
      <c r="B118" s="1242" t="s">
        <v>3109</v>
      </c>
      <c r="F118" s="1181"/>
    </row>
    <row r="119" spans="1:9" ht="15" x14ac:dyDescent="0.25">
      <c r="A119" s="1150">
        <v>1</v>
      </c>
      <c r="B119" s="1242"/>
      <c r="F119" s="1181"/>
    </row>
    <row r="120" spans="1:9" ht="15" x14ac:dyDescent="0.25">
      <c r="A120" s="1150">
        <v>1</v>
      </c>
      <c r="B120" s="1242" t="s">
        <v>3110</v>
      </c>
      <c r="F120" s="1181"/>
    </row>
    <row r="121" spans="1:9" ht="15" x14ac:dyDescent="0.25">
      <c r="A121" s="1150">
        <v>1</v>
      </c>
      <c r="B121" s="862"/>
      <c r="F121" s="1212"/>
    </row>
    <row r="122" spans="1:9" ht="15" x14ac:dyDescent="0.25">
      <c r="A122" s="1150">
        <v>1</v>
      </c>
      <c r="B122" s="1242" t="s">
        <v>3111</v>
      </c>
      <c r="F122" s="1181"/>
    </row>
    <row r="123" spans="1:9" ht="15" x14ac:dyDescent="0.25">
      <c r="B123" s="1072"/>
      <c r="F123" s="1181"/>
    </row>
    <row r="124" spans="1:9" ht="15" x14ac:dyDescent="0.25">
      <c r="F124" s="1181"/>
    </row>
    <row r="125" spans="1:9" ht="15" x14ac:dyDescent="0.25">
      <c r="F125" s="1219"/>
    </row>
    <row r="126" spans="1:9" ht="15" x14ac:dyDescent="0.25">
      <c r="F126" s="1181"/>
    </row>
    <row r="127" spans="1:9" ht="15" x14ac:dyDescent="0.25">
      <c r="F127" s="1181"/>
    </row>
    <row r="128" spans="1:9" ht="15" x14ac:dyDescent="0.25">
      <c r="F128" s="1181"/>
    </row>
    <row r="129" spans="6:6" ht="15" x14ac:dyDescent="0.25">
      <c r="F129" s="1181"/>
    </row>
    <row r="130" spans="6:6" ht="15" x14ac:dyDescent="0.25">
      <c r="F130" s="1181"/>
    </row>
    <row r="131" spans="6:6" ht="15" x14ac:dyDescent="0.25">
      <c r="F131" s="1181"/>
    </row>
    <row r="132" spans="6:6" ht="15" x14ac:dyDescent="0.25">
      <c r="F132" s="1162"/>
    </row>
    <row r="133" spans="6:6" ht="15" x14ac:dyDescent="0.25">
      <c r="F133" s="1162"/>
    </row>
    <row r="134" spans="6:6" ht="15" x14ac:dyDescent="0.25">
      <c r="F134" s="1162"/>
    </row>
    <row r="135" spans="6:6" ht="15" x14ac:dyDescent="0.25">
      <c r="F135" s="1162"/>
    </row>
    <row r="136" spans="6:6" ht="15" x14ac:dyDescent="0.25">
      <c r="F136" s="1162"/>
    </row>
    <row r="137" spans="6:6" ht="15" x14ac:dyDescent="0.25">
      <c r="F137" s="1162"/>
    </row>
    <row r="138" spans="6:6" ht="15" x14ac:dyDescent="0.25">
      <c r="F138" s="1162"/>
    </row>
    <row r="139" spans="6:6" ht="15" x14ac:dyDescent="0.25">
      <c r="F139" s="1162"/>
    </row>
    <row r="140" spans="6:6" ht="15" x14ac:dyDescent="0.25">
      <c r="F140" s="1162"/>
    </row>
    <row r="141" spans="6:6" ht="15" x14ac:dyDescent="0.25">
      <c r="F141" s="1162"/>
    </row>
    <row r="142" spans="6:6" ht="15" x14ac:dyDescent="0.25">
      <c r="F142" s="1162"/>
    </row>
    <row r="143" spans="6:6" ht="15" x14ac:dyDescent="0.25">
      <c r="F143" s="1162"/>
    </row>
    <row r="144" spans="6:6" ht="15" x14ac:dyDescent="0.25">
      <c r="F144" s="1162"/>
    </row>
    <row r="145" spans="6:6" ht="15" x14ac:dyDescent="0.25">
      <c r="F145" s="1162"/>
    </row>
    <row r="146" spans="6:6" ht="15" x14ac:dyDescent="0.25">
      <c r="F146" s="1162"/>
    </row>
    <row r="147" spans="6:6" ht="15" x14ac:dyDescent="0.25">
      <c r="F147" s="1162"/>
    </row>
    <row r="148" spans="6:6" ht="15" x14ac:dyDescent="0.25">
      <c r="F148" s="1162"/>
    </row>
    <row r="149" spans="6:6" ht="15" x14ac:dyDescent="0.25">
      <c r="F149" s="1"/>
    </row>
    <row r="150" spans="6:6" ht="15" x14ac:dyDescent="0.25">
      <c r="F150" s="1"/>
    </row>
  </sheetData>
  <autoFilter ref="A1:K122" xr:uid="{EC37960B-DAAA-4BB0-B42C-BE3CE2009E54}"/>
  <mergeCells count="57">
    <mergeCell ref="D2:E3"/>
    <mergeCell ref="J3:J6"/>
    <mergeCell ref="B7:E7"/>
    <mergeCell ref="B9:E9"/>
    <mergeCell ref="B11:E11"/>
    <mergeCell ref="B13:E13"/>
    <mergeCell ref="C14:D14"/>
    <mergeCell ref="C15:D15"/>
    <mergeCell ref="C16:D16"/>
    <mergeCell ref="C17:D17"/>
    <mergeCell ref="E17:E20"/>
    <mergeCell ref="C21:D21"/>
    <mergeCell ref="C22:D22"/>
    <mergeCell ref="C28:D28"/>
    <mergeCell ref="D34:E34"/>
    <mergeCell ref="B112:E116"/>
    <mergeCell ref="C44:E44"/>
    <mergeCell ref="C23:D23"/>
    <mergeCell ref="B48:E48"/>
    <mergeCell ref="C24:D24"/>
    <mergeCell ref="C25:D25"/>
    <mergeCell ref="C26:D26"/>
    <mergeCell ref="C27:D27"/>
    <mergeCell ref="C61:E61"/>
    <mergeCell ref="D35:E35"/>
    <mergeCell ref="D29:E33"/>
    <mergeCell ref="C43:D43"/>
    <mergeCell ref="D36:E37"/>
    <mergeCell ref="D38:E39"/>
    <mergeCell ref="D40:E41"/>
    <mergeCell ref="C46:D46"/>
    <mergeCell ref="B50:E53"/>
    <mergeCell ref="C58:E58"/>
    <mergeCell ref="C59:E59"/>
    <mergeCell ref="C60:E60"/>
    <mergeCell ref="C62:E62"/>
    <mergeCell ref="C63:E64"/>
    <mergeCell ref="C65:E67"/>
    <mergeCell ref="C68:E72"/>
    <mergeCell ref="C73:E73"/>
    <mergeCell ref="C74:E75"/>
    <mergeCell ref="C78:E78"/>
    <mergeCell ref="C79:E79"/>
    <mergeCell ref="C82:E83"/>
    <mergeCell ref="C80:E81"/>
    <mergeCell ref="C86:E87"/>
    <mergeCell ref="C88:E88"/>
    <mergeCell ref="C90:E91"/>
    <mergeCell ref="C89:E89"/>
    <mergeCell ref="C92:E92"/>
    <mergeCell ref="B103:E104"/>
    <mergeCell ref="C93:E94"/>
    <mergeCell ref="C95:E96"/>
    <mergeCell ref="C97:E97"/>
    <mergeCell ref="C100:E100"/>
    <mergeCell ref="C101:E101"/>
    <mergeCell ref="C98:E99"/>
  </mergeCells>
  <conditionalFormatting sqref="G34:H1048576">
    <cfRule type="cellIs" dxfId="81" priority="1" operator="equal">
      <formula>"HIDE ROW"</formula>
    </cfRule>
  </conditionalFormatting>
  <conditionalFormatting sqref="H6 G7:H10 G11 G12:H32 H33">
    <cfRule type="cellIs" dxfId="80" priority="4" operator="equal">
      <formula>"HIDE ROW"</formula>
    </cfRule>
  </conditionalFormatting>
  <dataValidations count="1">
    <dataValidation type="list" allowBlank="1" showInputMessage="1" showErrorMessage="1" sqref="I31" xr:uid="{CCAEB53E-393C-4718-86EA-E00A5EC917CA}">
      <formula1>"Freehold, Leasehold"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3308427-0C2B-47D0-8739-14D3FA028A2E}">
          <x14:formula1>
            <xm:f>Funders!$A$3:$A$24</xm:f>
          </x14:formula1>
          <xm:sqref>I52</xm:sqref>
        </x14:dataValidation>
        <x14:dataValidation type="list" allowBlank="1" showInputMessage="1" showErrorMessage="1" xr:uid="{E9DD7BDD-6B72-4451-BE58-51ED13DC9128}">
          <x14:formula1>
            <xm:f>'Product Data'!$AG$9:$AG$10</xm:f>
          </x14:formula1>
          <xm:sqref>I6 I95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EF417-6679-4AFB-8B5E-4C49615AFC08}">
  <sheetPr codeName="Sheet25"/>
  <dimension ref="A1:N143"/>
  <sheetViews>
    <sheetView workbookViewId="0">
      <selection activeCell="E19" sqref="E19:E25"/>
    </sheetView>
  </sheetViews>
  <sheetFormatPr defaultRowHeight="15" x14ac:dyDescent="0.25"/>
  <cols>
    <col min="1" max="1" width="2.5703125" customWidth="1"/>
    <col min="2" max="2" width="7.5703125" style="864" customWidth="1"/>
    <col min="3" max="3" width="11.140625" customWidth="1"/>
    <col min="4" max="4" width="13.5703125" customWidth="1"/>
    <col min="5" max="5" width="56.7109375" customWidth="1"/>
    <col min="6" max="6" width="10.140625" bestFit="1" customWidth="1"/>
    <col min="7" max="7" width="17.28515625" bestFit="1" customWidth="1"/>
    <col min="8" max="8" width="17" bestFit="1" customWidth="1"/>
    <col min="9" max="9" width="52.7109375" customWidth="1"/>
  </cols>
  <sheetData>
    <row r="1" spans="1:14" x14ac:dyDescent="0.25">
      <c r="A1">
        <v>1</v>
      </c>
      <c r="B1" s="864">
        <v>1</v>
      </c>
      <c r="C1">
        <v>1</v>
      </c>
      <c r="D1">
        <v>1</v>
      </c>
      <c r="E1">
        <v>1</v>
      </c>
      <c r="F1" s="1164" t="s">
        <v>3036</v>
      </c>
      <c r="G1" s="1164" t="s">
        <v>3038</v>
      </c>
      <c r="H1" s="1164" t="s">
        <v>3112</v>
      </c>
      <c r="I1">
        <v>1</v>
      </c>
      <c r="J1">
        <v>1</v>
      </c>
      <c r="K1">
        <v>0</v>
      </c>
      <c r="L1">
        <v>0</v>
      </c>
      <c r="M1">
        <v>0</v>
      </c>
      <c r="N1">
        <v>0</v>
      </c>
    </row>
    <row r="2" spans="1:14" x14ac:dyDescent="0.25">
      <c r="A2">
        <v>1</v>
      </c>
      <c r="B2" s="3686" t="str">
        <f>"Dear "&amp;H2&amp;","</f>
        <v>Dear xxxxxxx,</v>
      </c>
      <c r="C2" s="3686"/>
      <c r="D2" s="3686"/>
      <c r="E2" s="3686"/>
      <c r="H2" t="str">
        <f>DIP!B5</f>
        <v>xxxxxxx</v>
      </c>
    </row>
    <row r="3" spans="1:14" x14ac:dyDescent="0.25">
      <c r="A3">
        <v>1</v>
      </c>
      <c r="B3" s="1245"/>
    </row>
    <row r="4" spans="1:14" x14ac:dyDescent="0.25">
      <c r="A4">
        <v>1</v>
      </c>
      <c r="B4" s="3686" t="s">
        <v>3045</v>
      </c>
      <c r="C4" s="3686"/>
      <c r="D4" s="3686"/>
      <c r="E4" s="3686"/>
    </row>
    <row r="5" spans="1:14" x14ac:dyDescent="0.25">
      <c r="A5">
        <v>1</v>
      </c>
      <c r="B5" s="1245"/>
      <c r="H5" s="1264"/>
    </row>
    <row r="6" spans="1:14" x14ac:dyDescent="0.25">
      <c r="A6">
        <v>1</v>
      </c>
      <c r="B6" s="1264" t="s">
        <v>3113</v>
      </c>
      <c r="H6" s="1264"/>
    </row>
    <row r="7" spans="1:14" x14ac:dyDescent="0.25">
      <c r="A7">
        <v>1</v>
      </c>
      <c r="B7" s="1245"/>
      <c r="H7" s="1264"/>
    </row>
    <row r="8" spans="1:14" ht="15" customHeight="1" x14ac:dyDescent="0.25">
      <c r="A8">
        <v>1</v>
      </c>
      <c r="B8" s="3703" t="s">
        <v>3114</v>
      </c>
      <c r="C8" s="3703"/>
      <c r="D8" s="3703"/>
      <c r="E8" s="3703"/>
      <c r="H8" s="1264"/>
    </row>
    <row r="9" spans="1:14" x14ac:dyDescent="0.25">
      <c r="A9">
        <v>1</v>
      </c>
      <c r="B9" s="3703"/>
      <c r="C9" s="3703"/>
      <c r="D9" s="3703"/>
      <c r="E9" s="3703"/>
      <c r="H9" s="1264"/>
    </row>
    <row r="10" spans="1:14" x14ac:dyDescent="0.25">
      <c r="A10">
        <v>1</v>
      </c>
      <c r="B10" s="1245"/>
      <c r="H10" s="1264"/>
    </row>
    <row r="11" spans="1:14" ht="15" customHeight="1" x14ac:dyDescent="0.25">
      <c r="A11">
        <v>1</v>
      </c>
      <c r="B11" s="3686" t="s">
        <v>3115</v>
      </c>
      <c r="C11" s="3686"/>
      <c r="D11" s="3686"/>
      <c r="E11" s="3686"/>
    </row>
    <row r="12" spans="1:14" x14ac:dyDescent="0.25">
      <c r="A12">
        <v>1</v>
      </c>
      <c r="B12" s="1245"/>
    </row>
    <row r="13" spans="1:14" ht="42.75" customHeight="1" x14ac:dyDescent="0.25">
      <c r="A13">
        <v>1</v>
      </c>
      <c r="B13" s="1250" t="s">
        <v>3047</v>
      </c>
      <c r="C13" s="3704" t="s">
        <v>3048</v>
      </c>
      <c r="D13" s="3704"/>
      <c r="E13" s="1246" t="str">
        <f>Product_Selected</f>
        <v>1) Standard</v>
      </c>
    </row>
    <row r="14" spans="1:14" x14ac:dyDescent="0.25">
      <c r="A14">
        <v>1</v>
      </c>
      <c r="B14" s="1250" t="s">
        <v>3047</v>
      </c>
      <c r="C14" s="3686" t="s">
        <v>3049</v>
      </c>
      <c r="D14" s="3686"/>
      <c r="E14" s="1246" t="str">
        <f>TEXT('BTL Calculator'!Z85,"£#,#")&amp;" (please find calculations below)"</f>
        <v>£ (please find calculations below)</v>
      </c>
    </row>
    <row r="15" spans="1:14" x14ac:dyDescent="0.25">
      <c r="A15">
        <v>1</v>
      </c>
      <c r="B15" s="1255" t="s">
        <v>3047</v>
      </c>
      <c r="C15" s="3689" t="s">
        <v>3116</v>
      </c>
      <c r="D15" s="3689"/>
    </row>
    <row r="16" spans="1:14" x14ac:dyDescent="0.25">
      <c r="A16">
        <v>1</v>
      </c>
      <c r="B16" s="1255"/>
      <c r="C16" s="3689"/>
      <c r="D16" s="3689"/>
      <c r="E16" s="1246" t="str">
        <f>TEXT('BTL Calculator'!Z104,"£#,#")</f>
        <v>Not Applicable</v>
      </c>
    </row>
    <row r="17" spans="1:10" x14ac:dyDescent="0.25">
      <c r="A17">
        <v>1</v>
      </c>
      <c r="B17" s="1255" t="s">
        <v>3047</v>
      </c>
      <c r="C17" s="3689" t="s">
        <v>3117</v>
      </c>
      <c r="D17" s="3689"/>
    </row>
    <row r="18" spans="1:10" x14ac:dyDescent="0.25">
      <c r="A18">
        <v>1</v>
      </c>
      <c r="B18" s="1255"/>
      <c r="C18" s="3689"/>
      <c r="D18" s="3689"/>
      <c r="E18" s="1246" t="str">
        <f>TEXT('BTL Calculator'!AN81,"£#,#")</f>
        <v>£</v>
      </c>
    </row>
    <row r="19" spans="1:10" ht="15" customHeight="1" x14ac:dyDescent="0.25">
      <c r="A19">
        <v>1</v>
      </c>
      <c r="B19" s="1255" t="s">
        <v>3047</v>
      </c>
      <c r="C19" s="3686" t="s">
        <v>3118</v>
      </c>
      <c r="D19" s="3686"/>
      <c r="E19" s="3689" t="e">
        <f>H19</f>
        <v>#N/A</v>
      </c>
      <c r="H19" t="e">
        <f>DIP!B11&amp;I19&amp;J19</f>
        <v>#N/A</v>
      </c>
      <c r="I19" t="e">
        <f>IF(RollupMonths=0," ("," ("&amp;TEXT(RollupMonths,"#")&amp;" Months Interest Rolled up &amp; Deducted from the Gross Loan Amount &amp; "&amp;TEXT(Funders!K2-RollupMonths,"#")&amp;" Months to be Serviced Monthly – ")</f>
        <v>#N/A</v>
      </c>
      <c r="J19" t="str">
        <f>"Please note, the monthly amount to service the interest will be "&amp;TEXT(Monthly_DD,"£#,#.00")&amp;")"</f>
        <v>Please note, the monthly amount to service the interest will be -)</v>
      </c>
    </row>
    <row r="20" spans="1:10" x14ac:dyDescent="0.25">
      <c r="A20">
        <v>1</v>
      </c>
      <c r="B20" s="1255"/>
      <c r="C20" s="1246"/>
      <c r="D20" s="1246"/>
      <c r="E20" s="3689"/>
      <c r="F20" s="1254" t="str">
        <f>IF(AND(Funders!K2=36,'BTL Calculator'!AI20="ZBL"),"","HIDE ROW")</f>
        <v>HIDE ROW</v>
      </c>
    </row>
    <row r="21" spans="1:10" x14ac:dyDescent="0.25">
      <c r="A21">
        <v>1</v>
      </c>
      <c r="B21" s="1255"/>
      <c r="C21" s="1246"/>
      <c r="D21" s="1246"/>
      <c r="E21" s="3689"/>
      <c r="F21" s="1254" t="str">
        <f>F20</f>
        <v>HIDE ROW</v>
      </c>
    </row>
    <row r="22" spans="1:10" x14ac:dyDescent="0.25">
      <c r="A22">
        <v>1</v>
      </c>
      <c r="B22" s="1255"/>
      <c r="C22" s="1246"/>
      <c r="D22" s="1246"/>
      <c r="E22" s="3689"/>
      <c r="F22" s="1254" t="str">
        <f>F21</f>
        <v>HIDE ROW</v>
      </c>
    </row>
    <row r="23" spans="1:10" x14ac:dyDescent="0.25">
      <c r="A23">
        <v>1</v>
      </c>
      <c r="B23" s="1255"/>
      <c r="C23" s="1246"/>
      <c r="D23" s="1246"/>
      <c r="E23" s="3689"/>
    </row>
    <row r="24" spans="1:10" x14ac:dyDescent="0.25">
      <c r="A24">
        <v>1</v>
      </c>
      <c r="B24" s="1255"/>
      <c r="C24" s="1246"/>
      <c r="D24" s="1246"/>
      <c r="E24" s="3689"/>
      <c r="F24" s="1254" t="e">
        <f>IF(RollupMonths=0,"HIDE ROW","")</f>
        <v>#N/A</v>
      </c>
    </row>
    <row r="25" spans="1:10" x14ac:dyDescent="0.25">
      <c r="A25">
        <v>1</v>
      </c>
      <c r="B25" s="1255"/>
      <c r="C25" s="1246"/>
      <c r="D25" s="1246"/>
      <c r="E25" s="3689"/>
      <c r="F25" s="1254" t="e">
        <f>IF(RollupMonths=0,"HIDE ROW","")</f>
        <v>#N/A</v>
      </c>
    </row>
    <row r="26" spans="1:10" ht="15" customHeight="1" x14ac:dyDescent="0.25">
      <c r="A26">
        <v>1</v>
      </c>
      <c r="B26" s="1255" t="s">
        <v>3047</v>
      </c>
      <c r="C26" s="3693" t="s">
        <v>3119</v>
      </c>
      <c r="D26" s="3693"/>
      <c r="E26" s="1246" t="str">
        <f>DIP!B12</f>
        <v>For the first 2 years a fixed rate of 0.00%. 2 years from the date of completion, the interest rate will change to the MFS Variable Rate, currently 8.59% plus a set margin of -8.59% for the remaining 8 years.</v>
      </c>
    </row>
    <row r="27" spans="1:10" x14ac:dyDescent="0.25">
      <c r="A27">
        <v>1</v>
      </c>
      <c r="B27" s="1255" t="s">
        <v>3047</v>
      </c>
      <c r="C27" s="3693" t="s">
        <v>3052</v>
      </c>
      <c r="D27" s="3693"/>
      <c r="E27" s="1253" t="str">
        <f>'BTL Calculator'!Z101</f>
        <v>-8.59% + MVR (currently 8.59%)</v>
      </c>
    </row>
    <row r="28" spans="1:10" ht="15" customHeight="1" x14ac:dyDescent="0.25">
      <c r="A28">
        <v>1</v>
      </c>
      <c r="B28" s="1255" t="s">
        <v>3047</v>
      </c>
      <c r="C28" s="3693" t="s">
        <v>3054</v>
      </c>
      <c r="D28" s="3693"/>
      <c r="E28" s="1246" t="e">
        <f>TEXT('BTL Calculator'!$M$147,"£#,#0")&amp;"   "&amp;TEXT(DeferedIntPercent*100,"0.00")&amp;"% deferred until end of loan. "</f>
        <v>#N/A</v>
      </c>
      <c r="I28" s="1241" t="e">
        <f>"Pay Rate now "&amp;TEXT(Pay_Rate*100,"0.00")&amp;"% (used for Direct Debit payments and Months Interest Rolled Up, if applicable). "&amp;TEXT(Deferred_Int_Owed,"£#,#")&amp;" deferred interest payable at redemption"</f>
        <v>#N/A</v>
      </c>
    </row>
    <row r="29" spans="1:10" ht="15" customHeight="1" x14ac:dyDescent="0.25">
      <c r="A29">
        <v>1</v>
      </c>
      <c r="B29" s="1255" t="s">
        <v>3047</v>
      </c>
      <c r="C29" s="3693" t="s">
        <v>3055</v>
      </c>
      <c r="D29" s="3693"/>
      <c r="E29" s="1246" t="e">
        <f>TEXT('BTL Calculator'!$M$148,"£#,#")&amp;"   "&amp;TEXT(RollupMonths,"#")&amp;" Month(s) Rolled up"</f>
        <v>#N/A</v>
      </c>
      <c r="I29" s="1241" t="e">
        <f>IF(RollupMonths=0,"No - interest paid by monthly DD","Yes, "&amp;TEXT(RollupMonths,"#")&amp;" month(s).  "&amp;TEXT('BTL Calculator'!$M$148,"£#,#")&amp;" payable at redemption")</f>
        <v>#N/A</v>
      </c>
    </row>
    <row r="30" spans="1:10" ht="15" customHeight="1" x14ac:dyDescent="0.25">
      <c r="A30">
        <v>1</v>
      </c>
      <c r="B30" s="1255" t="s">
        <v>3047</v>
      </c>
      <c r="C30" s="3695" t="s">
        <v>3120</v>
      </c>
      <c r="D30" s="3695"/>
      <c r="E30" s="1265"/>
      <c r="I30" s="1241"/>
    </row>
    <row r="31" spans="1:10" ht="15" customHeight="1" x14ac:dyDescent="0.25">
      <c r="A31">
        <v>1</v>
      </c>
      <c r="B31" s="1255"/>
      <c r="C31" s="3695"/>
      <c r="D31" s="3695"/>
      <c r="E31" s="1265"/>
      <c r="I31" s="1241"/>
    </row>
    <row r="32" spans="1:10" ht="15" customHeight="1" x14ac:dyDescent="0.25">
      <c r="A32">
        <v>1</v>
      </c>
      <c r="B32" s="1255" t="s">
        <v>3047</v>
      </c>
      <c r="C32" s="3693" t="s">
        <v>3056</v>
      </c>
      <c r="D32" s="3693"/>
      <c r="E32" s="1265" t="e">
        <f>TEXT(Prod_Fee_Chosen,"0.00%")&amp;IF(Existing_Customer="Yes",".  0.15% existing customer discount applied.","")&amp;" (1.00% payable to yourself)"</f>
        <v>#N/A</v>
      </c>
    </row>
    <row r="33" spans="1:7" ht="15" customHeight="1" x14ac:dyDescent="0.25">
      <c r="A33">
        <v>1</v>
      </c>
      <c r="B33" s="1255" t="s">
        <v>3047</v>
      </c>
      <c r="C33" s="3693" t="s">
        <v>3059</v>
      </c>
      <c r="D33" s="3693"/>
      <c r="E33" s="3698" t="s">
        <v>3121</v>
      </c>
    </row>
    <row r="34" spans="1:7" ht="15" customHeight="1" x14ac:dyDescent="0.25">
      <c r="A34">
        <v>1</v>
      </c>
      <c r="B34" s="1255"/>
      <c r="C34" s="1248"/>
      <c r="D34" s="1248"/>
      <c r="E34" s="3698"/>
    </row>
    <row r="35" spans="1:7" ht="15" customHeight="1" x14ac:dyDescent="0.25">
      <c r="A35">
        <v>1</v>
      </c>
      <c r="B35" s="1255" t="s">
        <v>3047</v>
      </c>
      <c r="C35" s="3693" t="s">
        <v>3057</v>
      </c>
      <c r="D35" s="3693"/>
      <c r="E35" s="1258" t="s">
        <v>3122</v>
      </c>
    </row>
    <row r="36" spans="1:7" ht="15" customHeight="1" x14ac:dyDescent="0.25">
      <c r="A36">
        <v>1</v>
      </c>
      <c r="B36" s="1255" t="s">
        <v>3047</v>
      </c>
      <c r="C36" s="3693" t="s">
        <v>3123</v>
      </c>
      <c r="D36" s="3693"/>
      <c r="E36" s="1258"/>
    </row>
    <row r="37" spans="1:7" ht="15" customHeight="1" x14ac:dyDescent="0.25">
      <c r="A37">
        <v>1</v>
      </c>
      <c r="B37" s="1255" t="s">
        <v>3047</v>
      </c>
      <c r="C37" s="3693" t="s">
        <v>3124</v>
      </c>
      <c r="D37" s="3693"/>
      <c r="E37" s="1258"/>
    </row>
    <row r="38" spans="1:7" ht="15" customHeight="1" x14ac:dyDescent="0.25">
      <c r="A38">
        <v>1</v>
      </c>
      <c r="B38" s="1255" t="s">
        <v>3047</v>
      </c>
      <c r="C38" s="3693" t="s">
        <v>3125</v>
      </c>
      <c r="D38" s="3693"/>
      <c r="E38" s="1258"/>
    </row>
    <row r="39" spans="1:7" ht="15" customHeight="1" x14ac:dyDescent="0.25">
      <c r="A39">
        <v>1</v>
      </c>
      <c r="B39" s="1255" t="s">
        <v>3047</v>
      </c>
      <c r="C39" s="3693" t="s">
        <v>3126</v>
      </c>
      <c r="D39" s="3693"/>
      <c r="E39" s="1258"/>
    </row>
    <row r="40" spans="1:7" ht="15" customHeight="1" x14ac:dyDescent="0.25">
      <c r="A40">
        <v>1</v>
      </c>
      <c r="B40" s="1255" t="s">
        <v>3047</v>
      </c>
      <c r="C40" s="3693" t="s">
        <v>3127</v>
      </c>
      <c r="D40" s="3693"/>
      <c r="E40" s="3700" t="s">
        <v>3128</v>
      </c>
    </row>
    <row r="41" spans="1:7" ht="15" customHeight="1" x14ac:dyDescent="0.25">
      <c r="A41">
        <v>1</v>
      </c>
      <c r="B41" s="1255"/>
      <c r="C41" s="1248"/>
      <c r="D41" s="1248"/>
      <c r="E41" s="3700"/>
    </row>
    <row r="42" spans="1:7" ht="15" customHeight="1" x14ac:dyDescent="0.25">
      <c r="A42">
        <v>1</v>
      </c>
      <c r="B42" s="1255" t="s">
        <v>3047</v>
      </c>
      <c r="C42" s="3693" t="s">
        <v>3129</v>
      </c>
      <c r="D42" s="3693"/>
      <c r="E42" s="3701"/>
    </row>
    <row r="43" spans="1:7" ht="15" customHeight="1" x14ac:dyDescent="0.25">
      <c r="A43">
        <v>1</v>
      </c>
      <c r="B43" s="1255"/>
      <c r="C43" s="1248"/>
      <c r="D43" s="1248"/>
      <c r="E43" s="3701"/>
    </row>
    <row r="44" spans="1:7" x14ac:dyDescent="0.25">
      <c r="A44">
        <v>1</v>
      </c>
      <c r="B44" s="1255" t="s">
        <v>3047</v>
      </c>
      <c r="C44" s="3693" t="s">
        <v>3060</v>
      </c>
      <c r="D44" s="3693"/>
    </row>
    <row r="45" spans="1:7" ht="16.5" customHeight="1" x14ac:dyDescent="0.25">
      <c r="A45">
        <v>1</v>
      </c>
      <c r="B45" s="1259"/>
      <c r="C45" s="1256" t="s">
        <v>3061</v>
      </c>
      <c r="D45" s="3696" t="str">
        <f>G46&amp;" Charge on the"&amp;G47&amp;" of "&amp;DIP!B6&amp;" (Title No: "&amp;'Lawyers terms'!G49&amp;")"</f>
        <v>1st Charge on theFreehold of xxxxxxx (Title No: New Build - TBC)</v>
      </c>
      <c r="E45" s="3696"/>
      <c r="G45" t="s">
        <v>3062</v>
      </c>
    </row>
    <row r="46" spans="1:7" ht="16.5" customHeight="1" x14ac:dyDescent="0.25">
      <c r="A46">
        <v>1</v>
      </c>
      <c r="B46" s="1259"/>
      <c r="C46" s="1256"/>
      <c r="D46" s="3696"/>
      <c r="E46" s="3696"/>
      <c r="G46" s="1241" t="str">
        <f>'Credit terms'!I30</f>
        <v>1st</v>
      </c>
    </row>
    <row r="47" spans="1:7" ht="16.5" customHeight="1" x14ac:dyDescent="0.25">
      <c r="A47">
        <v>1</v>
      </c>
      <c r="B47" s="1259"/>
      <c r="C47" s="1256"/>
      <c r="D47" s="3696"/>
      <c r="E47" s="3696"/>
      <c r="G47" s="1241" t="str">
        <f>'Credit terms'!I31</f>
        <v>Freehold</v>
      </c>
    </row>
    <row r="48" spans="1:7" ht="16.5" customHeight="1" x14ac:dyDescent="0.25">
      <c r="A48">
        <v>1</v>
      </c>
      <c r="B48" s="1259"/>
      <c r="C48" s="1256"/>
      <c r="D48" s="3696"/>
      <c r="E48" s="3696"/>
      <c r="G48" t="s">
        <v>3063</v>
      </c>
    </row>
    <row r="49" spans="1:8" ht="16.5" customHeight="1" x14ac:dyDescent="0.25">
      <c r="A49">
        <v>1</v>
      </c>
      <c r="C49" s="1256"/>
      <c r="D49" s="3696"/>
      <c r="E49" s="3696"/>
      <c r="G49" s="1241" t="str">
        <f>'Credit terms'!I33</f>
        <v>New Build - TBC</v>
      </c>
    </row>
    <row r="50" spans="1:8" x14ac:dyDescent="0.25">
      <c r="A50">
        <v>1</v>
      </c>
      <c r="C50" s="1257"/>
      <c r="D50" s="3686" t="str">
        <f>"(Current Anticipated 180 Day Market Value: "&amp;TEXT('BTL Calculator'!V7,"£#,#")&amp;")"</f>
        <v>(Current Anticipated 180 Day Market Value: £)</v>
      </c>
      <c r="E50" s="3686"/>
      <c r="G50" s="1260"/>
    </row>
    <row r="51" spans="1:8" ht="15" customHeight="1" x14ac:dyDescent="0.25">
      <c r="A51">
        <v>1</v>
      </c>
      <c r="C51" s="1257"/>
      <c r="D51" s="3686" t="str">
        <f>"(Agreed Purchase Price : "&amp;TEXT(G51,"£#,#")&amp;")"</f>
        <v>(Agreed Purchase Price : £1,000,000)</v>
      </c>
      <c r="E51" s="3686"/>
      <c r="G51" s="1261">
        <f>'Credit terms'!I35</f>
        <v>1000000</v>
      </c>
    </row>
    <row r="52" spans="1:8" ht="16.5" customHeight="1" x14ac:dyDescent="0.25">
      <c r="A52">
        <v>1</v>
      </c>
      <c r="C52" s="1257"/>
      <c r="D52" s="3691" t="s">
        <v>3065</v>
      </c>
      <c r="E52" s="3691"/>
    </row>
    <row r="53" spans="1:8" ht="16.5" customHeight="1" x14ac:dyDescent="0.25">
      <c r="A53">
        <v>1</v>
      </c>
      <c r="C53" s="1257"/>
      <c r="D53" s="3691"/>
      <c r="E53" s="3691"/>
    </row>
    <row r="54" spans="1:8" ht="15" customHeight="1" x14ac:dyDescent="0.25">
      <c r="A54">
        <v>1</v>
      </c>
      <c r="C54" s="1256" t="s">
        <v>3061</v>
      </c>
      <c r="D54" s="3691" t="s">
        <v>3066</v>
      </c>
      <c r="E54" s="3691"/>
    </row>
    <row r="55" spans="1:8" ht="15" customHeight="1" x14ac:dyDescent="0.25">
      <c r="A55">
        <v>1</v>
      </c>
      <c r="C55" s="1256"/>
      <c r="D55" s="3691"/>
      <c r="E55" s="3691"/>
    </row>
    <row r="56" spans="1:8" ht="15" customHeight="1" x14ac:dyDescent="0.25">
      <c r="A56">
        <v>1</v>
      </c>
      <c r="C56" s="1256" t="s">
        <v>3061</v>
      </c>
      <c r="D56" s="3691" t="s">
        <v>3067</v>
      </c>
      <c r="E56" s="3691"/>
    </row>
    <row r="57" spans="1:8" x14ac:dyDescent="0.25">
      <c r="A57">
        <v>1</v>
      </c>
      <c r="B57" s="1248"/>
      <c r="C57" s="1257"/>
      <c r="D57" s="3691"/>
      <c r="E57" s="3691"/>
    </row>
    <row r="58" spans="1:8" ht="15" customHeight="1" x14ac:dyDescent="0.25">
      <c r="A58">
        <v>1</v>
      </c>
      <c r="C58" s="1256" t="s">
        <v>3061</v>
      </c>
      <c r="D58" s="3702" t="s">
        <v>3130</v>
      </c>
      <c r="E58" s="3702"/>
    </row>
    <row r="59" spans="1:8" x14ac:dyDescent="0.25">
      <c r="A59">
        <v>1</v>
      </c>
      <c r="B59" s="1248"/>
    </row>
    <row r="60" spans="1:8" x14ac:dyDescent="0.25">
      <c r="A60">
        <v>1</v>
      </c>
      <c r="B60" s="1250" t="s">
        <v>3047</v>
      </c>
      <c r="C60" s="3686" t="s">
        <v>3071</v>
      </c>
      <c r="D60" s="3686"/>
      <c r="E60" t="s">
        <v>3069</v>
      </c>
      <c r="H60" s="1266"/>
    </row>
    <row r="61" spans="1:8" x14ac:dyDescent="0.25">
      <c r="B61" s="1250"/>
      <c r="C61" s="1246"/>
      <c r="D61" s="1246"/>
    </row>
    <row r="62" spans="1:8" ht="15" customHeight="1" x14ac:dyDescent="0.25">
      <c r="B62" s="3699" t="s">
        <v>3131</v>
      </c>
      <c r="C62" s="3699"/>
      <c r="D62" s="3699"/>
      <c r="E62" s="3699"/>
    </row>
    <row r="63" spans="1:8" x14ac:dyDescent="0.25">
      <c r="B63" s="3699"/>
      <c r="C63" s="3699"/>
      <c r="D63" s="3699"/>
      <c r="E63" s="3699"/>
    </row>
    <row r="64" spans="1:8" x14ac:dyDescent="0.25">
      <c r="B64" s="1250"/>
      <c r="C64" s="1246"/>
      <c r="D64" s="1246"/>
    </row>
    <row r="65" spans="1:7" x14ac:dyDescent="0.25">
      <c r="A65">
        <v>1</v>
      </c>
      <c r="C65" s="3691" t="s">
        <v>3070</v>
      </c>
      <c r="D65" s="3691"/>
      <c r="E65" s="3691"/>
    </row>
    <row r="66" spans="1:7" x14ac:dyDescent="0.25">
      <c r="A66">
        <v>1</v>
      </c>
      <c r="C66" s="1246"/>
      <c r="D66" s="1246"/>
    </row>
    <row r="67" spans="1:7" ht="45" x14ac:dyDescent="0.25">
      <c r="A67">
        <v>1</v>
      </c>
      <c r="B67" s="1255" t="s">
        <v>3047</v>
      </c>
      <c r="C67" s="3689" t="s">
        <v>3071</v>
      </c>
      <c r="D67" s="3689"/>
      <c r="E67" s="864" t="s">
        <v>3072</v>
      </c>
    </row>
    <row r="68" spans="1:7" x14ac:dyDescent="0.25">
      <c r="A68">
        <v>1</v>
      </c>
      <c r="C68" s="1249"/>
      <c r="D68" s="1249"/>
    </row>
    <row r="69" spans="1:7" x14ac:dyDescent="0.25">
      <c r="A69">
        <v>1</v>
      </c>
      <c r="B69" s="3694" t="str">
        <f>"The Mode of Repayment will be "&amp;G69&amp;"."</f>
        <v>The Mode of Repayment will be XXXXXXX.</v>
      </c>
      <c r="C69" s="3694"/>
      <c r="D69" s="3694"/>
      <c r="E69" s="3694"/>
      <c r="G69" s="1241" t="s">
        <v>3073</v>
      </c>
    </row>
    <row r="70" spans="1:7" x14ac:dyDescent="0.25">
      <c r="A70">
        <v>1</v>
      </c>
      <c r="B70" s="1249"/>
    </row>
    <row r="71" spans="1:7" x14ac:dyDescent="0.25">
      <c r="A71">
        <v>1</v>
      </c>
      <c r="B71" s="3692" t="str">
        <f>"Also note that, as a part of our new process for short term lending, we are required to send a member of staff from the Nationwide Field Agency to conduct an interview with the borrower"&amp;G71&amp;". NCI will contact the borrower"&amp;G71&amp;" to arrange a date/time for the interview to take place. "&amp;IF(G73="","","This cost will be borne by "&amp;INDEX(Funders!E3:E26,MATCH(G73,Funders!A3:A26,0))&amp;".")</f>
        <v xml:space="preserve">Also note that, as a part of our new process for short term lending, we are required to send a member of staff from the Nationwide Field Agency to conduct an interview with the borrowers. NCI will contact the borrowers to arrange a date/time for the interview to take place. </v>
      </c>
      <c r="C71" s="3692"/>
      <c r="D71" s="3692"/>
      <c r="E71" s="3692"/>
      <c r="G71" s="1263" t="s">
        <v>3074</v>
      </c>
    </row>
    <row r="72" spans="1:7" x14ac:dyDescent="0.25">
      <c r="A72">
        <v>1</v>
      </c>
      <c r="B72" s="3692"/>
      <c r="C72" s="3692"/>
      <c r="D72" s="3692"/>
      <c r="E72" s="3692"/>
      <c r="G72" t="s">
        <v>3075</v>
      </c>
    </row>
    <row r="73" spans="1:7" x14ac:dyDescent="0.25">
      <c r="A73">
        <v>1</v>
      </c>
      <c r="B73" s="3692"/>
      <c r="C73" s="3692"/>
      <c r="D73" s="3692"/>
      <c r="E73" s="3692"/>
      <c r="G73" s="1241"/>
    </row>
    <row r="74" spans="1:7" x14ac:dyDescent="0.25">
      <c r="A74">
        <v>1</v>
      </c>
      <c r="B74" s="3692"/>
      <c r="C74" s="3692"/>
      <c r="D74" s="3692"/>
      <c r="E74" s="3692"/>
    </row>
    <row r="75" spans="1:7" x14ac:dyDescent="0.25">
      <c r="A75">
        <v>1</v>
      </c>
      <c r="B75" s="1242"/>
    </row>
    <row r="76" spans="1:7" x14ac:dyDescent="0.25">
      <c r="A76">
        <v>1</v>
      </c>
      <c r="B76" s="1242" t="s">
        <v>3076</v>
      </c>
    </row>
    <row r="77" spans="1:7" x14ac:dyDescent="0.25">
      <c r="A77">
        <v>1</v>
      </c>
      <c r="B77" s="1242"/>
    </row>
    <row r="78" spans="1:7" x14ac:dyDescent="0.25">
      <c r="A78">
        <v>1</v>
      </c>
      <c r="B78" s="1243" t="s">
        <v>3077</v>
      </c>
    </row>
    <row r="79" spans="1:7" x14ac:dyDescent="0.25">
      <c r="A79">
        <v>1</v>
      </c>
      <c r="B79" s="1256" t="s">
        <v>3061</v>
      </c>
      <c r="C79" s="3686" t="s">
        <v>3078</v>
      </c>
      <c r="D79" s="3686"/>
      <c r="E79" s="3686"/>
    </row>
    <row r="80" spans="1:7" x14ac:dyDescent="0.25">
      <c r="A80">
        <v>1</v>
      </c>
      <c r="B80" s="1256" t="s">
        <v>3061</v>
      </c>
      <c r="C80" s="3686" t="s">
        <v>3079</v>
      </c>
      <c r="D80" s="3686"/>
      <c r="E80" s="3686"/>
    </row>
    <row r="81" spans="1:5" x14ac:dyDescent="0.25">
      <c r="A81">
        <v>1</v>
      </c>
      <c r="B81" s="1256" t="s">
        <v>3061</v>
      </c>
      <c r="C81" s="3686" t="s">
        <v>3080</v>
      </c>
      <c r="D81" s="3686"/>
      <c r="E81" s="3686"/>
    </row>
    <row r="82" spans="1:5" x14ac:dyDescent="0.25">
      <c r="A82">
        <v>1</v>
      </c>
      <c r="B82" s="1256" t="s">
        <v>3061</v>
      </c>
      <c r="C82" s="3686" t="s">
        <v>3081</v>
      </c>
      <c r="D82" s="3686"/>
      <c r="E82" s="3686"/>
    </row>
    <row r="83" spans="1:5" x14ac:dyDescent="0.25">
      <c r="A83">
        <v>1</v>
      </c>
      <c r="B83" s="1256" t="s">
        <v>3061</v>
      </c>
      <c r="C83" s="3686" t="s">
        <v>3082</v>
      </c>
      <c r="D83" s="3686"/>
      <c r="E83" s="3686"/>
    </row>
    <row r="84" spans="1:5" ht="15" customHeight="1" x14ac:dyDescent="0.25">
      <c r="A84">
        <v>1</v>
      </c>
      <c r="B84" s="1256" t="s">
        <v>3061</v>
      </c>
      <c r="C84" s="3684" t="s">
        <v>3083</v>
      </c>
      <c r="D84" s="3684"/>
      <c r="E84" s="3684"/>
    </row>
    <row r="85" spans="1:5" x14ac:dyDescent="0.25">
      <c r="A85">
        <v>1</v>
      </c>
      <c r="B85" s="1256"/>
      <c r="C85" s="3684"/>
      <c r="D85" s="3684"/>
      <c r="E85" s="3684"/>
    </row>
    <row r="86" spans="1:5" x14ac:dyDescent="0.25">
      <c r="A86">
        <v>1</v>
      </c>
      <c r="B86" s="1256" t="s">
        <v>3061</v>
      </c>
      <c r="C86" s="3684" t="s">
        <v>3084</v>
      </c>
      <c r="D86" s="3684"/>
      <c r="E86" s="3684"/>
    </row>
    <row r="87" spans="1:5" x14ac:dyDescent="0.25">
      <c r="A87">
        <v>1</v>
      </c>
      <c r="B87" s="1256"/>
      <c r="C87" s="3684"/>
      <c r="D87" s="3684"/>
      <c r="E87" s="3684"/>
    </row>
    <row r="88" spans="1:5" x14ac:dyDescent="0.25">
      <c r="A88">
        <v>1</v>
      </c>
      <c r="B88" s="1256"/>
      <c r="C88" s="3684"/>
      <c r="D88" s="3684"/>
      <c r="E88" s="3684"/>
    </row>
    <row r="89" spans="1:5" x14ac:dyDescent="0.25">
      <c r="A89">
        <v>1</v>
      </c>
      <c r="B89" s="1256" t="s">
        <v>3061</v>
      </c>
      <c r="C89" s="3690" t="s">
        <v>3085</v>
      </c>
      <c r="D89" s="3690"/>
      <c r="E89" s="3690"/>
    </row>
    <row r="90" spans="1:5" x14ac:dyDescent="0.25">
      <c r="A90">
        <v>1</v>
      </c>
      <c r="B90" s="1256"/>
      <c r="C90" s="3690"/>
      <c r="D90" s="3690"/>
      <c r="E90" s="3690"/>
    </row>
    <row r="91" spans="1:5" x14ac:dyDescent="0.25">
      <c r="A91">
        <v>1</v>
      </c>
      <c r="B91" s="1256"/>
      <c r="C91" s="3690"/>
      <c r="D91" s="3690"/>
      <c r="E91" s="3690"/>
    </row>
    <row r="92" spans="1:5" x14ac:dyDescent="0.25">
      <c r="A92">
        <v>1</v>
      </c>
      <c r="B92" s="1256"/>
      <c r="C92" s="3690"/>
      <c r="D92" s="3690"/>
      <c r="E92" s="3690"/>
    </row>
    <row r="93" spans="1:5" x14ac:dyDescent="0.25">
      <c r="A93">
        <v>1</v>
      </c>
      <c r="B93" s="1256"/>
      <c r="C93" s="3690"/>
      <c r="D93" s="3690"/>
      <c r="E93" s="3690"/>
    </row>
    <row r="94" spans="1:5" x14ac:dyDescent="0.25">
      <c r="A94">
        <v>1</v>
      </c>
      <c r="B94" s="1256" t="s">
        <v>3061</v>
      </c>
      <c r="C94" s="3684" t="s">
        <v>3086</v>
      </c>
      <c r="D94" s="3684"/>
      <c r="E94" s="3684"/>
    </row>
    <row r="95" spans="1:5" x14ac:dyDescent="0.25">
      <c r="A95">
        <v>1</v>
      </c>
      <c r="B95" s="1256" t="s">
        <v>3061</v>
      </c>
      <c r="C95" s="3683" t="s">
        <v>3087</v>
      </c>
      <c r="D95" s="3683"/>
      <c r="E95" s="3683"/>
    </row>
    <row r="96" spans="1:5" x14ac:dyDescent="0.25">
      <c r="A96">
        <v>1</v>
      </c>
      <c r="B96" s="1256"/>
      <c r="C96" s="3683"/>
      <c r="D96" s="3683"/>
      <c r="E96" s="3683"/>
    </row>
    <row r="97" spans="1:5" x14ac:dyDescent="0.25">
      <c r="A97">
        <v>1</v>
      </c>
      <c r="B97" s="1245"/>
    </row>
    <row r="98" spans="1:5" x14ac:dyDescent="0.25">
      <c r="A98">
        <v>1</v>
      </c>
      <c r="B98" s="1244" t="s">
        <v>3088</v>
      </c>
    </row>
    <row r="99" spans="1:5" x14ac:dyDescent="0.25">
      <c r="A99">
        <v>1</v>
      </c>
      <c r="B99" s="1256" t="s">
        <v>3061</v>
      </c>
      <c r="C99" s="3685" t="s">
        <v>3089</v>
      </c>
      <c r="D99" s="3686"/>
      <c r="E99" s="3686"/>
    </row>
    <row r="100" spans="1:5" x14ac:dyDescent="0.25">
      <c r="A100">
        <v>1</v>
      </c>
      <c r="B100" s="1256" t="s">
        <v>3061</v>
      </c>
      <c r="C100" s="3683" t="s">
        <v>3090</v>
      </c>
      <c r="D100" s="3684"/>
      <c r="E100" s="3684"/>
    </row>
    <row r="101" spans="1:5" ht="15" customHeight="1" x14ac:dyDescent="0.25">
      <c r="A101">
        <v>1</v>
      </c>
      <c r="B101" s="1256" t="s">
        <v>3061</v>
      </c>
      <c r="C101" s="3683" t="s">
        <v>3091</v>
      </c>
      <c r="D101" s="3683"/>
      <c r="E101" s="3683"/>
    </row>
    <row r="102" spans="1:5" x14ac:dyDescent="0.25">
      <c r="A102">
        <v>1</v>
      </c>
      <c r="B102" s="1256"/>
      <c r="C102" s="3683"/>
      <c r="D102" s="3683"/>
      <c r="E102" s="3683"/>
    </row>
    <row r="103" spans="1:5" ht="15" customHeight="1" x14ac:dyDescent="0.25">
      <c r="A103">
        <v>1</v>
      </c>
      <c r="B103" s="1256" t="s">
        <v>3061</v>
      </c>
      <c r="C103" s="3683" t="s">
        <v>3092</v>
      </c>
      <c r="D103" s="3684"/>
      <c r="E103" s="3684"/>
    </row>
    <row r="104" spans="1:5" x14ac:dyDescent="0.25">
      <c r="A104">
        <v>1</v>
      </c>
      <c r="B104" s="1256"/>
      <c r="C104" s="3684"/>
      <c r="D104" s="3684"/>
      <c r="E104" s="3684"/>
    </row>
    <row r="105" spans="1:5" x14ac:dyDescent="0.25">
      <c r="A105">
        <v>1</v>
      </c>
      <c r="B105" s="1245"/>
    </row>
    <row r="106" spans="1:5" x14ac:dyDescent="0.25">
      <c r="A106">
        <v>1</v>
      </c>
      <c r="B106" s="1243" t="s">
        <v>3093</v>
      </c>
    </row>
    <row r="107" spans="1:5" x14ac:dyDescent="0.25">
      <c r="A107">
        <v>1</v>
      </c>
      <c r="B107" s="1256" t="s">
        <v>3061</v>
      </c>
      <c r="C107" s="3683" t="s">
        <v>3094</v>
      </c>
      <c r="D107" s="3684"/>
      <c r="E107" s="3684"/>
    </row>
    <row r="108" spans="1:5" x14ac:dyDescent="0.25">
      <c r="A108">
        <v>1</v>
      </c>
      <c r="C108" s="3684"/>
      <c r="D108" s="3684"/>
      <c r="E108" s="3684"/>
    </row>
    <row r="109" spans="1:5" x14ac:dyDescent="0.25">
      <c r="A109">
        <v>1</v>
      </c>
      <c r="B109" s="1256" t="s">
        <v>3061</v>
      </c>
      <c r="C109" s="3683" t="s">
        <v>3095</v>
      </c>
      <c r="D109" s="3684"/>
      <c r="E109" s="3684"/>
    </row>
    <row r="110" spans="1:5" ht="15" customHeight="1" x14ac:dyDescent="0.25">
      <c r="A110">
        <v>1</v>
      </c>
      <c r="B110" s="1256" t="s">
        <v>3061</v>
      </c>
      <c r="C110" s="3683" t="s">
        <v>3132</v>
      </c>
      <c r="D110" s="3684"/>
      <c r="E110" s="3684"/>
    </row>
    <row r="111" spans="1:5" x14ac:dyDescent="0.25">
      <c r="A111">
        <v>1</v>
      </c>
      <c r="C111" s="3684"/>
      <c r="D111" s="3684"/>
      <c r="E111" s="3684"/>
    </row>
    <row r="112" spans="1:5" ht="15" customHeight="1" x14ac:dyDescent="0.25">
      <c r="A112">
        <v>1</v>
      </c>
      <c r="B112" s="1256" t="s">
        <v>3061</v>
      </c>
      <c r="C112" s="3683" t="s">
        <v>3133</v>
      </c>
      <c r="D112" s="3684"/>
      <c r="E112" s="3684"/>
    </row>
    <row r="113" spans="1:5" x14ac:dyDescent="0.25">
      <c r="A113">
        <v>1</v>
      </c>
      <c r="C113" s="3684"/>
      <c r="D113" s="3684"/>
      <c r="E113" s="3684"/>
    </row>
    <row r="114" spans="1:5" x14ac:dyDescent="0.25">
      <c r="A114">
        <v>1</v>
      </c>
      <c r="B114" s="1256" t="s">
        <v>3061</v>
      </c>
      <c r="C114" s="3683" t="s">
        <v>3098</v>
      </c>
      <c r="D114" s="3684"/>
      <c r="E114" s="3684"/>
    </row>
    <row r="115" spans="1:5" x14ac:dyDescent="0.25">
      <c r="A115">
        <v>1</v>
      </c>
      <c r="B115" s="1256" t="s">
        <v>3061</v>
      </c>
      <c r="C115" s="3683" t="s">
        <v>3099</v>
      </c>
      <c r="D115" s="3684"/>
      <c r="E115" s="3684"/>
    </row>
    <row r="116" spans="1:5" x14ac:dyDescent="0.25">
      <c r="A116">
        <v>1</v>
      </c>
      <c r="C116" s="3684"/>
      <c r="D116" s="3684"/>
      <c r="E116" s="3684"/>
    </row>
    <row r="117" spans="1:5" x14ac:dyDescent="0.25">
      <c r="A117">
        <v>1</v>
      </c>
      <c r="B117" s="1256" t="s">
        <v>3061</v>
      </c>
      <c r="C117" s="3683" t="s">
        <v>3134</v>
      </c>
      <c r="D117" s="3684"/>
      <c r="E117" s="3684"/>
    </row>
    <row r="118" spans="1:5" x14ac:dyDescent="0.25">
      <c r="A118">
        <v>1</v>
      </c>
      <c r="C118" s="3684"/>
      <c r="D118" s="3684"/>
      <c r="E118" s="3684"/>
    </row>
    <row r="119" spans="1:5" x14ac:dyDescent="0.25">
      <c r="A119">
        <v>1</v>
      </c>
      <c r="B119" s="1256" t="s">
        <v>3061</v>
      </c>
      <c r="C119" s="3683" t="s">
        <v>3101</v>
      </c>
      <c r="D119" s="3684"/>
      <c r="E119" s="3684"/>
    </row>
    <row r="120" spans="1:5" x14ac:dyDescent="0.25">
      <c r="A120">
        <v>1</v>
      </c>
      <c r="B120" s="1256" t="s">
        <v>3061</v>
      </c>
      <c r="C120" s="3683" t="s">
        <v>3102</v>
      </c>
      <c r="D120" s="3684"/>
      <c r="E120" s="3684"/>
    </row>
    <row r="121" spans="1:5" x14ac:dyDescent="0.25">
      <c r="A121">
        <v>1</v>
      </c>
      <c r="C121" s="3684"/>
      <c r="D121" s="3684"/>
      <c r="E121" s="3684"/>
    </row>
    <row r="122" spans="1:5" x14ac:dyDescent="0.25">
      <c r="A122">
        <v>1</v>
      </c>
      <c r="B122" s="1256" t="s">
        <v>3061</v>
      </c>
      <c r="C122" s="3683" t="s">
        <v>3103</v>
      </c>
      <c r="D122" s="3684"/>
      <c r="E122" s="3684"/>
    </row>
    <row r="123" spans="1:5" x14ac:dyDescent="0.25">
      <c r="A123">
        <v>1</v>
      </c>
      <c r="B123" s="1256" t="s">
        <v>3061</v>
      </c>
      <c r="C123" s="3683" t="s">
        <v>3104</v>
      </c>
      <c r="D123" s="3684"/>
      <c r="E123" s="3684"/>
    </row>
    <row r="124" spans="1:5" x14ac:dyDescent="0.25">
      <c r="A124">
        <v>1</v>
      </c>
      <c r="B124" s="1245"/>
    </row>
    <row r="125" spans="1:5" x14ac:dyDescent="0.25">
      <c r="A125">
        <v>1</v>
      </c>
      <c r="B125" s="3687" t="s">
        <v>3105</v>
      </c>
      <c r="C125" s="3687"/>
      <c r="D125" s="3687"/>
      <c r="E125" s="3687"/>
    </row>
    <row r="126" spans="1:5" x14ac:dyDescent="0.25">
      <c r="A126">
        <v>1</v>
      </c>
      <c r="B126" s="3687"/>
      <c r="C126" s="3687"/>
      <c r="D126" s="3687"/>
      <c r="E126" s="3687"/>
    </row>
    <row r="127" spans="1:5" x14ac:dyDescent="0.25">
      <c r="A127">
        <v>1</v>
      </c>
      <c r="B127" s="1240"/>
    </row>
    <row r="128" spans="1:5" x14ac:dyDescent="0.25">
      <c r="A128">
        <v>1</v>
      </c>
      <c r="C128" s="1262" t="s">
        <v>3106</v>
      </c>
      <c r="D128" s="1247"/>
    </row>
    <row r="129" spans="1:7" x14ac:dyDescent="0.25">
      <c r="A129">
        <v>1</v>
      </c>
      <c r="C129" s="1262" t="s">
        <v>3106</v>
      </c>
      <c r="D129" s="1247"/>
    </row>
    <row r="130" spans="1:7" x14ac:dyDescent="0.25">
      <c r="A130">
        <v>1</v>
      </c>
      <c r="C130" s="1262" t="s">
        <v>3106</v>
      </c>
      <c r="D130" s="1247"/>
    </row>
    <row r="131" spans="1:7" x14ac:dyDescent="0.25">
      <c r="A131">
        <v>1</v>
      </c>
      <c r="B131" s="1245"/>
    </row>
    <row r="132" spans="1:7" ht="15" customHeight="1" x14ac:dyDescent="0.25">
      <c r="A132">
        <v>1</v>
      </c>
      <c r="B132" s="3684" t="s">
        <v>3135</v>
      </c>
      <c r="C132" s="3684"/>
      <c r="D132" s="3684"/>
      <c r="E132" s="3684"/>
    </row>
    <row r="133" spans="1:7" x14ac:dyDescent="0.25">
      <c r="A133">
        <v>1</v>
      </c>
      <c r="B133" s="3684"/>
      <c r="C133" s="3684"/>
      <c r="D133" s="3684"/>
      <c r="E133" s="3684"/>
    </row>
    <row r="134" spans="1:7" x14ac:dyDescent="0.25">
      <c r="A134">
        <v>1</v>
      </c>
      <c r="B134" s="3684"/>
      <c r="C134" s="3684"/>
      <c r="D134" s="3684"/>
      <c r="E134" s="3684"/>
      <c r="G134" s="1251"/>
    </row>
    <row r="135" spans="1:7" x14ac:dyDescent="0.25">
      <c r="A135">
        <v>1</v>
      </c>
      <c r="B135" s="3684"/>
      <c r="C135" s="3684"/>
      <c r="D135" s="3684"/>
      <c r="E135" s="3684"/>
    </row>
    <row r="136" spans="1:7" x14ac:dyDescent="0.25">
      <c r="A136">
        <v>1</v>
      </c>
      <c r="B136" s="3684"/>
      <c r="C136" s="3684"/>
      <c r="D136" s="3684"/>
      <c r="E136" s="3684"/>
    </row>
    <row r="137" spans="1:7" x14ac:dyDescent="0.25">
      <c r="A137">
        <v>1</v>
      </c>
      <c r="B137" s="1245"/>
    </row>
    <row r="138" spans="1:7" x14ac:dyDescent="0.25">
      <c r="A138">
        <v>1</v>
      </c>
      <c r="B138" s="1242" t="s">
        <v>3109</v>
      </c>
    </row>
    <row r="139" spans="1:7" x14ac:dyDescent="0.25">
      <c r="A139">
        <v>1</v>
      </c>
      <c r="B139" s="1242"/>
    </row>
    <row r="140" spans="1:7" x14ac:dyDescent="0.25">
      <c r="A140">
        <v>1</v>
      </c>
      <c r="B140" s="1242" t="s">
        <v>3110</v>
      </c>
    </row>
    <row r="141" spans="1:7" x14ac:dyDescent="0.25">
      <c r="A141">
        <v>1</v>
      </c>
      <c r="B141" s="862"/>
    </row>
    <row r="142" spans="1:7" x14ac:dyDescent="0.25">
      <c r="A142">
        <v>1</v>
      </c>
      <c r="B142" s="1242" t="s">
        <v>3111</v>
      </c>
    </row>
    <row r="143" spans="1:7" x14ac:dyDescent="0.25">
      <c r="B143" s="1072"/>
    </row>
  </sheetData>
  <autoFilter ref="A1:N1" xr:uid="{EC37960B-DAAA-4BB0-B42C-BE3CE2009E54}"/>
  <mergeCells count="68">
    <mergeCell ref="C15:D16"/>
    <mergeCell ref="C17:D18"/>
    <mergeCell ref="B2:E2"/>
    <mergeCell ref="B4:E4"/>
    <mergeCell ref="B11:E11"/>
    <mergeCell ref="C13:D13"/>
    <mergeCell ref="C14:D14"/>
    <mergeCell ref="C19:D19"/>
    <mergeCell ref="E19:E25"/>
    <mergeCell ref="C27:D27"/>
    <mergeCell ref="C26:D26"/>
    <mergeCell ref="C28:D28"/>
    <mergeCell ref="C29:D29"/>
    <mergeCell ref="C32:D32"/>
    <mergeCell ref="C35:D35"/>
    <mergeCell ref="C33:D33"/>
    <mergeCell ref="C44:D44"/>
    <mergeCell ref="C30:D31"/>
    <mergeCell ref="C80:E80"/>
    <mergeCell ref="D50:E50"/>
    <mergeCell ref="D51:E51"/>
    <mergeCell ref="D52:E53"/>
    <mergeCell ref="D54:E55"/>
    <mergeCell ref="D56:E57"/>
    <mergeCell ref="C60:D60"/>
    <mergeCell ref="C65:E65"/>
    <mergeCell ref="C67:D67"/>
    <mergeCell ref="B69:E69"/>
    <mergeCell ref="B71:E74"/>
    <mergeCell ref="C79:E79"/>
    <mergeCell ref="C99:E99"/>
    <mergeCell ref="C100:E100"/>
    <mergeCell ref="C101:E102"/>
    <mergeCell ref="C103:E104"/>
    <mergeCell ref="C81:E81"/>
    <mergeCell ref="C82:E82"/>
    <mergeCell ref="C83:E83"/>
    <mergeCell ref="C84:E85"/>
    <mergeCell ref="C86:E88"/>
    <mergeCell ref="C89:E93"/>
    <mergeCell ref="B132:E136"/>
    <mergeCell ref="B8:E9"/>
    <mergeCell ref="C117:E118"/>
    <mergeCell ref="C119:E119"/>
    <mergeCell ref="C120:E121"/>
    <mergeCell ref="C122:E122"/>
    <mergeCell ref="C123:E123"/>
    <mergeCell ref="B125:E126"/>
    <mergeCell ref="C107:E108"/>
    <mergeCell ref="C109:E109"/>
    <mergeCell ref="C110:E111"/>
    <mergeCell ref="C112:E113"/>
    <mergeCell ref="C114:E114"/>
    <mergeCell ref="C115:E116"/>
    <mergeCell ref="C94:E94"/>
    <mergeCell ref="C95:E96"/>
    <mergeCell ref="E33:E34"/>
    <mergeCell ref="C36:D36"/>
    <mergeCell ref="C37:D37"/>
    <mergeCell ref="C38:D38"/>
    <mergeCell ref="B62:E63"/>
    <mergeCell ref="C39:D39"/>
    <mergeCell ref="C40:D40"/>
    <mergeCell ref="C42:D42"/>
    <mergeCell ref="E40:E41"/>
    <mergeCell ref="E42:E43"/>
    <mergeCell ref="D58:E58"/>
    <mergeCell ref="D45:E49"/>
  </mergeCells>
  <conditionalFormatting sqref="F2:F48">
    <cfRule type="cellIs" dxfId="79" priority="2" operator="equal">
      <formula>"HIDE ROW"</formula>
    </cfRule>
  </conditionalFormatting>
  <conditionalFormatting sqref="F50:F1048576">
    <cfRule type="cellIs" dxfId="78" priority="1" operator="equal">
      <formula>"HIDE ROW"</formula>
    </cfRule>
  </conditionalFormatting>
  <conditionalFormatting sqref="G48">
    <cfRule type="cellIs" dxfId="77" priority="3" operator="equal">
      <formula>"HIDE ROW"</formula>
    </cfRule>
  </conditionalFormatting>
  <dataValidations disablePrompts="1" count="1">
    <dataValidation type="list" allowBlank="1" showInputMessage="1" showErrorMessage="1" sqref="G47" xr:uid="{5E7DA6AB-3289-4DAB-877E-EEE48CA5B8D4}">
      <formula1>"Freehold, Leasehold"</formula1>
    </dataValidation>
  </dataValidation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C7E7373-7626-43C0-8405-FDA94BE18F5E}">
          <x14:formula1>
            <xm:f>Funders!$A$3:$A$24</xm:f>
          </x14:formula1>
          <xm:sqref>G73</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CE66F-6259-481F-B587-9AE4C6A31917}">
  <sheetPr codeName="Sheet26">
    <tabColor theme="9" tint="-0.499984740745262"/>
  </sheetPr>
  <dimension ref="A1:AC50"/>
  <sheetViews>
    <sheetView showGridLines="0" zoomScale="85" zoomScaleNormal="85" workbookViewId="0"/>
  </sheetViews>
  <sheetFormatPr defaultColWidth="0" defaultRowHeight="18" zeroHeight="1" x14ac:dyDescent="0.35"/>
  <cols>
    <col min="1" max="1" width="1.42578125" style="287" customWidth="1"/>
    <col min="2" max="3" width="9.140625" style="67" customWidth="1"/>
    <col min="4" max="4" width="27" style="67" customWidth="1"/>
    <col min="5" max="5" width="13.7109375" style="67" customWidth="1"/>
    <col min="6" max="6" width="9.140625" style="67" customWidth="1"/>
    <col min="7" max="7" width="8.28515625" style="67" customWidth="1"/>
    <col min="8" max="8" width="9.85546875" style="67" customWidth="1"/>
    <col min="9" max="9" width="9.5703125" style="67" bestFit="1" customWidth="1"/>
    <col min="10" max="10" width="26.85546875" style="67" customWidth="1"/>
    <col min="11" max="11" width="11" style="67" customWidth="1"/>
    <col min="12" max="12" width="9.140625" style="67" customWidth="1"/>
    <col min="13" max="13" width="3.7109375" style="67" customWidth="1"/>
    <col min="14" max="14" width="9.140625" style="67" customWidth="1"/>
    <col min="15" max="15" width="9.140625" style="67" hidden="1" customWidth="1"/>
    <col min="16" max="16" width="6" style="67" hidden="1" customWidth="1"/>
    <col min="17" max="17" width="9.140625" style="67" customWidth="1"/>
    <col min="18" max="18" width="6.140625" style="67" customWidth="1"/>
    <col min="19" max="19" width="9.140625" style="67" hidden="1" customWidth="1"/>
    <col min="20" max="20" width="9.5703125" style="67" hidden="1" customWidth="1"/>
    <col min="21" max="21" width="6" style="67" hidden="1" customWidth="1"/>
    <col min="22" max="22" width="9.140625" style="67" hidden="1" customWidth="1"/>
    <col min="23" max="23" width="6.140625" style="67" hidden="1" customWidth="1"/>
    <col min="24" max="28" width="9.140625" style="67" hidden="1" customWidth="1"/>
    <col min="29" max="29" width="9.140625" style="483" hidden="1" customWidth="1"/>
    <col min="30" max="16384" width="9.140625" style="67" hidden="1"/>
  </cols>
  <sheetData>
    <row r="1" spans="1:29" ht="19.5" customHeight="1" x14ac:dyDescent="0.55000000000000004">
      <c r="A1" s="67"/>
      <c r="B1" s="482" t="s">
        <v>3136</v>
      </c>
    </row>
    <row r="2" spans="1:29" ht="3" customHeight="1" x14ac:dyDescent="0.35">
      <c r="A2" s="67"/>
    </row>
    <row r="3" spans="1:29" s="137" customFormat="1" x14ac:dyDescent="0.25">
      <c r="B3" s="484" t="s">
        <v>3137</v>
      </c>
      <c r="F3" s="485"/>
      <c r="G3" s="486"/>
      <c r="AC3" s="487"/>
    </row>
    <row r="4" spans="1:29" s="137" customFormat="1" x14ac:dyDescent="0.25">
      <c r="B4" s="484" t="s">
        <v>3138</v>
      </c>
      <c r="G4" s="486"/>
      <c r="AC4" s="487"/>
    </row>
    <row r="5" spans="1:29" s="137" customFormat="1" x14ac:dyDescent="0.25">
      <c r="B5" s="484" t="s">
        <v>3139</v>
      </c>
      <c r="AC5" s="487"/>
    </row>
    <row r="6" spans="1:29" s="137" customFormat="1" x14ac:dyDescent="0.25">
      <c r="B6" s="488" t="s">
        <v>3140</v>
      </c>
      <c r="AC6" s="487"/>
    </row>
    <row r="7" spans="1:29" ht="9.75" customHeight="1" x14ac:dyDescent="0.35">
      <c r="A7" s="67"/>
    </row>
    <row r="8" spans="1:29" ht="22.5" x14ac:dyDescent="0.35">
      <c r="A8" s="67"/>
      <c r="B8" s="208"/>
      <c r="C8" s="208"/>
      <c r="D8" s="489" t="s">
        <v>3141</v>
      </c>
      <c r="E8" s="490">
        <f>'Product Data'!C12</f>
        <v>0</v>
      </c>
      <c r="G8" s="208"/>
      <c r="H8" s="208"/>
      <c r="I8" s="208"/>
      <c r="J8" s="208"/>
      <c r="K8" s="208"/>
      <c r="L8" s="208"/>
      <c r="M8" s="208"/>
      <c r="N8" s="208"/>
      <c r="AC8" s="67"/>
    </row>
    <row r="9" spans="1:29" ht="22.5" x14ac:dyDescent="0.35">
      <c r="A9" s="67"/>
      <c r="B9" s="208"/>
      <c r="C9" s="208"/>
      <c r="D9" s="489" t="s">
        <v>3142</v>
      </c>
      <c r="E9" s="491">
        <f>'Product Data'!F12</f>
        <v>0</v>
      </c>
      <c r="G9" s="208"/>
      <c r="N9" s="483"/>
      <c r="O9" s="483"/>
      <c r="P9" s="483"/>
      <c r="Q9" s="483"/>
      <c r="R9" s="483"/>
    </row>
    <row r="10" spans="1:29" ht="22.5" x14ac:dyDescent="0.35">
      <c r="A10" s="67"/>
      <c r="B10" s="208"/>
      <c r="C10" s="208"/>
      <c r="D10" s="489" t="s">
        <v>3143</v>
      </c>
      <c r="E10" s="492">
        <f>'Loan Data'!$D$31</f>
        <v>24</v>
      </c>
      <c r="N10" s="483"/>
      <c r="O10" s="483"/>
      <c r="P10" s="483"/>
      <c r="Q10" s="483"/>
      <c r="R10" s="483"/>
    </row>
    <row r="11" spans="1:29" ht="22.5" x14ac:dyDescent="0.35">
      <c r="A11" s="67"/>
      <c r="B11" s="208"/>
      <c r="C11" s="208"/>
      <c r="D11" s="489" t="s">
        <v>3144</v>
      </c>
      <c r="E11" s="493" t="e">
        <f>Gross_Loan/Property_Value</f>
        <v>#N/A</v>
      </c>
      <c r="N11" s="483"/>
      <c r="O11" s="483"/>
      <c r="P11" s="483"/>
      <c r="Q11" s="483"/>
      <c r="R11" s="483"/>
    </row>
    <row r="12" spans="1:29" ht="13.5" customHeight="1" x14ac:dyDescent="0.35">
      <c r="A12" s="67"/>
      <c r="B12" s="208"/>
      <c r="C12" s="208"/>
      <c r="D12" s="355"/>
      <c r="E12" s="291"/>
      <c r="F12" s="293"/>
      <c r="G12" s="208"/>
      <c r="N12" s="483"/>
      <c r="O12" s="483"/>
      <c r="P12" s="483"/>
      <c r="Q12" s="483"/>
      <c r="R12" s="483"/>
    </row>
    <row r="13" spans="1:29" ht="22.5" x14ac:dyDescent="0.45">
      <c r="A13" s="67"/>
      <c r="B13" s="494"/>
      <c r="C13" s="494"/>
      <c r="D13" s="495" t="s">
        <v>3145</v>
      </c>
      <c r="E13" s="494"/>
      <c r="F13" s="494"/>
      <c r="G13" s="208"/>
      <c r="I13" s="496"/>
      <c r="J13" s="494" t="s">
        <v>3146</v>
      </c>
      <c r="K13" s="496"/>
      <c r="L13" s="496"/>
      <c r="N13" s="483"/>
      <c r="O13" s="483"/>
      <c r="P13" s="483"/>
      <c r="Q13" s="483"/>
      <c r="R13" s="483"/>
    </row>
    <row r="14" spans="1:29" ht="12" customHeight="1" x14ac:dyDescent="0.35">
      <c r="A14" s="67"/>
      <c r="B14" s="208"/>
      <c r="C14" s="208"/>
      <c r="E14" s="208"/>
      <c r="F14" s="497" t="s">
        <v>3147</v>
      </c>
      <c r="G14" s="208"/>
      <c r="N14" s="483"/>
      <c r="O14" s="498" t="s">
        <v>3148</v>
      </c>
      <c r="P14" s="498"/>
      <c r="Q14" s="483"/>
      <c r="R14" s="483"/>
    </row>
    <row r="15" spans="1:29" ht="21.75" customHeight="1" x14ac:dyDescent="0.35">
      <c r="A15" s="67"/>
      <c r="B15" s="208"/>
      <c r="C15" s="208"/>
      <c r="D15" s="499" t="s">
        <v>3149</v>
      </c>
      <c r="E15" s="500"/>
      <c r="F15" s="501">
        <f>IF(O15=TRUE,'Product Data'!AQ10,0)</f>
        <v>5.0000000000000001E-3</v>
      </c>
      <c r="G15" s="208"/>
      <c r="H15" s="208"/>
      <c r="I15" s="208"/>
      <c r="J15" s="499" t="s">
        <v>3150</v>
      </c>
      <c r="K15" s="500"/>
      <c r="L15" s="501">
        <f>IF(P15=TRUE,'Product Data'!AQ12,0)</f>
        <v>0</v>
      </c>
      <c r="N15" s="483"/>
      <c r="O15" s="502" t="b">
        <v>1</v>
      </c>
      <c r="P15" s="502" t="b">
        <v>0</v>
      </c>
      <c r="Q15" s="483"/>
      <c r="R15" s="483"/>
    </row>
    <row r="16" spans="1:29" ht="21.75" customHeight="1" x14ac:dyDescent="0.35">
      <c r="A16" s="67"/>
      <c r="B16" s="503"/>
      <c r="C16" s="503"/>
      <c r="D16" s="499" t="s">
        <v>3151</v>
      </c>
      <c r="E16" s="500"/>
      <c r="F16" s="501">
        <f>IF(O16=TRUE,'Product Data'!AQ11,0)</f>
        <v>0</v>
      </c>
      <c r="G16" s="208"/>
      <c r="H16" s="208"/>
      <c r="I16" s="208"/>
      <c r="J16" s="499" t="s">
        <v>3152</v>
      </c>
      <c r="K16" s="500"/>
      <c r="L16" s="501">
        <f>IF(P16=TRUE,'Product Data'!AQ13,0)</f>
        <v>0</v>
      </c>
      <c r="N16" s="483"/>
      <c r="O16" s="502" t="b">
        <v>0</v>
      </c>
      <c r="P16" s="502" t="b">
        <v>0</v>
      </c>
      <c r="Q16" s="483"/>
      <c r="R16" s="483"/>
    </row>
    <row r="17" spans="1:29" ht="21.75" customHeight="1" x14ac:dyDescent="0.35">
      <c r="A17" s="67"/>
      <c r="B17" s="3705" t="s">
        <v>3153</v>
      </c>
      <c r="C17" s="3705"/>
      <c r="D17" s="3705"/>
      <c r="E17" s="500"/>
      <c r="F17" s="501">
        <f>IF(O17=TRUE,'Product Data'!AQ14,0)</f>
        <v>0</v>
      </c>
      <c r="G17" s="208"/>
      <c r="H17" s="208"/>
      <c r="I17" s="208"/>
      <c r="J17" s="499" t="s">
        <v>3154</v>
      </c>
      <c r="K17" s="500"/>
      <c r="L17" s="501">
        <f>IF(P17=TRUE,'Product Data'!AQ21,0)</f>
        <v>2.5000000000000001E-3</v>
      </c>
      <c r="N17" s="483"/>
      <c r="O17" s="502" t="b">
        <v>0</v>
      </c>
      <c r="P17" s="502" t="b">
        <v>1</v>
      </c>
      <c r="Q17" s="483"/>
      <c r="R17" s="483"/>
    </row>
    <row r="18" spans="1:29" ht="21.75" customHeight="1" x14ac:dyDescent="0.35">
      <c r="A18" s="67"/>
      <c r="B18" s="503"/>
      <c r="C18" s="503"/>
      <c r="D18" s="499" t="s">
        <v>3155</v>
      </c>
      <c r="E18" s="500"/>
      <c r="F18" s="501">
        <f>IF(O18=TRUE,'Product Data'!AQ18,0)</f>
        <v>2.5000000000000001E-3</v>
      </c>
      <c r="G18" s="208"/>
      <c r="N18" s="483"/>
      <c r="O18" s="502" t="b">
        <v>1</v>
      </c>
      <c r="P18" s="502"/>
      <c r="Q18" s="483"/>
      <c r="R18" s="483"/>
    </row>
    <row r="19" spans="1:29" ht="21.75" customHeight="1" x14ac:dyDescent="0.35">
      <c r="A19" s="67"/>
      <c r="B19" s="503"/>
      <c r="C19" s="503"/>
      <c r="D19" s="499" t="s">
        <v>3156</v>
      </c>
      <c r="E19" s="500"/>
      <c r="F19" s="501">
        <f>IF(O19=TRUE,'Product Data'!AQ20,0)</f>
        <v>0</v>
      </c>
      <c r="G19" s="208"/>
      <c r="H19" s="504" t="s">
        <v>3157</v>
      </c>
      <c r="N19" s="483"/>
      <c r="O19" s="502" t="b">
        <v>0</v>
      </c>
      <c r="P19" s="502"/>
      <c r="Q19" s="483"/>
      <c r="R19" s="483"/>
    </row>
    <row r="20" spans="1:29" ht="21.75" customHeight="1" x14ac:dyDescent="0.35">
      <c r="A20" s="67"/>
      <c r="B20" s="503"/>
      <c r="C20" s="503"/>
      <c r="D20" s="505" t="s">
        <v>3158</v>
      </c>
      <c r="E20" s="506"/>
      <c r="F20" s="507" t="s">
        <v>612</v>
      </c>
      <c r="G20" s="208"/>
      <c r="H20" s="3708"/>
      <c r="I20" s="3709"/>
      <c r="J20" s="3709"/>
      <c r="K20" s="3709"/>
      <c r="L20" s="3710"/>
      <c r="N20" s="483"/>
      <c r="O20" s="502" t="b">
        <v>0</v>
      </c>
      <c r="P20" s="502"/>
      <c r="Q20" s="483"/>
      <c r="R20" s="483"/>
    </row>
    <row r="21" spans="1:29" ht="8.25" customHeight="1" x14ac:dyDescent="0.35">
      <c r="A21" s="67"/>
      <c r="E21" s="66"/>
      <c r="G21" s="467"/>
      <c r="H21" s="3711"/>
      <c r="I21" s="3712"/>
      <c r="J21" s="3712"/>
      <c r="K21" s="3712"/>
      <c r="L21" s="3713"/>
      <c r="N21" s="483"/>
      <c r="O21" s="483"/>
      <c r="P21" s="483"/>
      <c r="Q21" s="483"/>
      <c r="R21" s="483"/>
    </row>
    <row r="22" spans="1:29" x14ac:dyDescent="0.35">
      <c r="A22" s="67"/>
      <c r="B22" s="208"/>
      <c r="C22" s="208"/>
      <c r="D22" s="489"/>
      <c r="E22" s="293"/>
      <c r="F22" s="293"/>
      <c r="G22" s="208"/>
      <c r="N22" s="483"/>
      <c r="P22" s="483"/>
      <c r="Q22" s="483"/>
      <c r="R22" s="483"/>
    </row>
    <row r="23" spans="1:29" ht="14.25" customHeight="1" x14ac:dyDescent="0.35">
      <c r="A23" s="67"/>
      <c r="B23" s="208"/>
      <c r="C23" s="208"/>
      <c r="D23" s="208"/>
      <c r="E23" s="293"/>
      <c r="F23" s="293"/>
      <c r="G23" s="208"/>
      <c r="J23" s="377"/>
      <c r="K23" s="377"/>
      <c r="L23" s="377"/>
      <c r="M23" s="377"/>
      <c r="N23" s="508"/>
      <c r="O23" s="377"/>
      <c r="P23" s="483"/>
      <c r="Q23" s="483"/>
      <c r="R23" s="483"/>
    </row>
    <row r="24" spans="1:29" ht="18.75" customHeight="1" x14ac:dyDescent="0.45">
      <c r="A24" s="67"/>
      <c r="B24" s="494"/>
      <c r="C24" s="494"/>
      <c r="D24" s="495" t="s">
        <v>3159</v>
      </c>
      <c r="E24" s="509"/>
      <c r="F24" s="509"/>
      <c r="G24" s="494"/>
      <c r="H24" s="494"/>
      <c r="I24" s="208"/>
      <c r="J24" s="208"/>
      <c r="K24" s="208"/>
      <c r="L24" s="208"/>
      <c r="M24" s="208"/>
      <c r="N24" s="440"/>
      <c r="O24" s="208"/>
      <c r="R24" s="483"/>
    </row>
    <row r="25" spans="1:29" ht="14.25" customHeight="1" x14ac:dyDescent="0.35">
      <c r="A25" s="67"/>
      <c r="C25" s="208"/>
      <c r="D25" s="510" t="s">
        <v>3160</v>
      </c>
      <c r="E25" s="511" t="s">
        <v>3161</v>
      </c>
      <c r="F25" s="511" t="s">
        <v>3162</v>
      </c>
      <c r="G25" s="3715" t="s">
        <v>3163</v>
      </c>
      <c r="H25" s="3716"/>
      <c r="I25" s="3714" t="s">
        <v>3164</v>
      </c>
      <c r="J25" s="3714"/>
      <c r="K25" s="3714"/>
      <c r="L25" s="3714"/>
      <c r="M25" s="512"/>
      <c r="N25" s="512"/>
      <c r="O25" s="208"/>
      <c r="R25" s="483"/>
    </row>
    <row r="26" spans="1:29" ht="14.25" customHeight="1" x14ac:dyDescent="0.35">
      <c r="A26" s="67"/>
      <c r="C26" s="513" t="s">
        <v>3165</v>
      </c>
      <c r="D26" s="514" t="e">
        <f>$E$8+$F$35</f>
        <v>#N/A</v>
      </c>
      <c r="E26" s="515">
        <f>$E$8</f>
        <v>0</v>
      </c>
      <c r="F26" s="516" t="e">
        <f>E8+(F35*50%)</f>
        <v>#N/A</v>
      </c>
      <c r="G26" s="517">
        <v>0.6</v>
      </c>
      <c r="H26" s="518" t="e">
        <f>(G26*F36)+E8</f>
        <v>#N/A</v>
      </c>
      <c r="I26" s="3714"/>
      <c r="J26" s="3714"/>
      <c r="K26" s="3714"/>
      <c r="L26" s="3714"/>
      <c r="M26" s="512"/>
      <c r="N26" s="512"/>
      <c r="O26" s="208"/>
      <c r="R26" s="483"/>
    </row>
    <row r="27" spans="1:29" ht="15.75" customHeight="1" x14ac:dyDescent="0.35">
      <c r="A27" s="67"/>
      <c r="C27" s="513" t="s">
        <v>114</v>
      </c>
      <c r="D27" s="519">
        <f>$E$9</f>
        <v>0</v>
      </c>
      <c r="E27" s="520" t="e">
        <f>E9+F36</f>
        <v>#N/A</v>
      </c>
      <c r="F27" s="520" t="e">
        <f>E9+(50%*F36)</f>
        <v>#N/A</v>
      </c>
      <c r="G27" s="521">
        <f>1-G26</f>
        <v>0.4</v>
      </c>
      <c r="H27" s="522" t="e">
        <f>(G27*F36)+E9</f>
        <v>#N/A</v>
      </c>
      <c r="I27" s="3714"/>
      <c r="J27" s="3714"/>
      <c r="K27" s="3714"/>
      <c r="L27" s="3714"/>
      <c r="M27" s="512"/>
      <c r="N27" s="512"/>
      <c r="O27" s="208"/>
      <c r="R27" s="483"/>
    </row>
    <row r="28" spans="1:29" ht="12.75" customHeight="1" x14ac:dyDescent="0.35">
      <c r="A28" s="67"/>
      <c r="C28" s="208"/>
      <c r="D28" s="208"/>
      <c r="E28" s="208"/>
      <c r="F28" s="208"/>
      <c r="G28" s="523">
        <f>SUM(G26:G27)</f>
        <v>1</v>
      </c>
      <c r="H28" s="208"/>
      <c r="I28" s="3714"/>
      <c r="J28" s="3714"/>
      <c r="K28" s="3714"/>
      <c r="L28" s="3714"/>
      <c r="R28" s="483"/>
      <c r="AC28" s="67"/>
    </row>
    <row r="29" spans="1:29" ht="15.75" customHeight="1" x14ac:dyDescent="0.35">
      <c r="A29" s="67"/>
      <c r="C29" s="3707" t="s">
        <v>3166</v>
      </c>
      <c r="D29" s="3707"/>
      <c r="E29" s="3707"/>
      <c r="F29" s="3707"/>
      <c r="G29" s="3707"/>
      <c r="H29" s="3707"/>
      <c r="AC29" s="67"/>
    </row>
    <row r="30" spans="1:29" ht="12.75" customHeight="1" x14ac:dyDescent="0.35">
      <c r="A30" s="67"/>
      <c r="S30" s="483"/>
      <c r="X30" s="524"/>
    </row>
    <row r="31" spans="1:29" x14ac:dyDescent="0.35">
      <c r="A31" s="67"/>
      <c r="S31" s="483"/>
      <c r="X31" s="524"/>
    </row>
    <row r="32" spans="1:29" ht="19.5" x14ac:dyDescent="0.35">
      <c r="A32" s="67"/>
      <c r="B32" s="3706" t="s">
        <v>3167</v>
      </c>
      <c r="C32" s="3706"/>
      <c r="D32" s="3706"/>
      <c r="E32" s="3706"/>
      <c r="F32" s="3706"/>
      <c r="G32" s="208"/>
      <c r="R32" s="483"/>
      <c r="S32" s="483"/>
      <c r="T32" s="483"/>
      <c r="U32" s="483"/>
      <c r="W32" s="524"/>
      <c r="AB32" s="483"/>
      <c r="AC32" s="67"/>
    </row>
    <row r="33" spans="1:29" ht="17.25" customHeight="1" x14ac:dyDescent="0.35">
      <c r="A33" s="67"/>
      <c r="B33" s="208"/>
      <c r="C33" s="208"/>
      <c r="D33" s="208"/>
      <c r="E33" s="525" t="s">
        <v>3168</v>
      </c>
      <c r="F33" s="526">
        <f>SUM(L15:L17)+SUM(F15:F21)</f>
        <v>0.01</v>
      </c>
      <c r="G33" s="208"/>
      <c r="H33" s="527"/>
      <c r="W33" s="524"/>
      <c r="AB33" s="483"/>
      <c r="AC33" s="67"/>
    </row>
    <row r="34" spans="1:29" ht="12" customHeight="1" x14ac:dyDescent="0.35">
      <c r="A34" s="67"/>
      <c r="B34" s="208"/>
      <c r="C34" s="208"/>
      <c r="D34" s="208"/>
      <c r="E34" s="525" t="s">
        <v>3169</v>
      </c>
      <c r="F34" s="528" t="e">
        <f>'Product Data'!AS34</f>
        <v>#N/A</v>
      </c>
      <c r="T34" s="208"/>
      <c r="U34" s="208"/>
      <c r="W34" s="524"/>
      <c r="AB34" s="483"/>
      <c r="AC34" s="67"/>
    </row>
    <row r="35" spans="1:29" x14ac:dyDescent="0.35">
      <c r="A35" s="67"/>
      <c r="B35" s="208"/>
      <c r="C35" s="208"/>
      <c r="D35" s="208"/>
      <c r="E35" s="355" t="s">
        <v>3170</v>
      </c>
      <c r="F35" s="1232" t="e">
        <f>(100%-F34)*F33</f>
        <v>#N/A</v>
      </c>
      <c r="G35" s="208"/>
      <c r="T35" s="529"/>
      <c r="U35" s="529"/>
      <c r="AB35" s="483"/>
      <c r="AC35" s="67"/>
    </row>
    <row r="36" spans="1:29" x14ac:dyDescent="0.35">
      <c r="A36" s="67"/>
      <c r="B36" s="208"/>
      <c r="C36" s="208"/>
      <c r="D36" s="208"/>
      <c r="E36" s="379" t="str">
        <f>"Additional interest MFS charge over "&amp;TEXT(E10,"00")&amp;"m term:"</f>
        <v>Additional interest MFS charge over 24m term:</v>
      </c>
      <c r="F36" s="530" t="e">
        <f>(F35/12)*E10</f>
        <v>#N/A</v>
      </c>
      <c r="G36" s="531" t="str">
        <f>"("&amp;TEXT((F33/12)*E10,"0.00%")&amp;" without discount)"</f>
        <v>(2.00% without discount)</v>
      </c>
      <c r="T36" s="529"/>
      <c r="U36" s="529"/>
      <c r="AB36" s="483"/>
      <c r="AC36" s="67"/>
    </row>
    <row r="37" spans="1:29" x14ac:dyDescent="0.35">
      <c r="A37" s="67"/>
      <c r="U37" s="529"/>
      <c r="V37" s="529"/>
    </row>
    <row r="38" spans="1:29" hidden="1" x14ac:dyDescent="0.35">
      <c r="A38" s="67"/>
      <c r="U38" s="208"/>
      <c r="V38" s="208"/>
    </row>
    <row r="39" spans="1:29" hidden="1" x14ac:dyDescent="0.35">
      <c r="A39" s="67"/>
    </row>
    <row r="40" spans="1:29" hidden="1" x14ac:dyDescent="0.35">
      <c r="A40" s="67"/>
    </row>
    <row r="41" spans="1:29" ht="15.75" hidden="1" customHeight="1" x14ac:dyDescent="0.35">
      <c r="A41" s="67"/>
    </row>
    <row r="42" spans="1:29" hidden="1" x14ac:dyDescent="0.35">
      <c r="A42" s="67"/>
    </row>
    <row r="43" spans="1:29" hidden="1" x14ac:dyDescent="0.35">
      <c r="A43" s="67"/>
    </row>
    <row r="44" spans="1:29" hidden="1" x14ac:dyDescent="0.35">
      <c r="A44" s="67"/>
    </row>
    <row r="45" spans="1:29" hidden="1" x14ac:dyDescent="0.35">
      <c r="A45" s="67"/>
    </row>
    <row r="46" spans="1:29" hidden="1" x14ac:dyDescent="0.35">
      <c r="A46" s="67"/>
    </row>
    <row r="47" spans="1:29" hidden="1" x14ac:dyDescent="0.35">
      <c r="A47" s="67"/>
    </row>
    <row r="48" spans="1:29" hidden="1" x14ac:dyDescent="0.35">
      <c r="A48" s="67"/>
    </row>
    <row r="49" spans="1:1" hidden="1" x14ac:dyDescent="0.35">
      <c r="A49" s="67"/>
    </row>
    <row r="50" spans="1:1" hidden="1" x14ac:dyDescent="0.35">
      <c r="A50" s="67"/>
    </row>
  </sheetData>
  <sheetProtection selectLockedCells="1" pivotTables="0"/>
  <mergeCells count="6">
    <mergeCell ref="B17:D17"/>
    <mergeCell ref="B32:F32"/>
    <mergeCell ref="C29:H29"/>
    <mergeCell ref="H20:L21"/>
    <mergeCell ref="I25:L28"/>
    <mergeCell ref="G25:H25"/>
  </mergeCells>
  <conditionalFormatting sqref="E15:E21">
    <cfRule type="cellIs" dxfId="76" priority="3" operator="equal">
      <formula>"Y"</formula>
    </cfRule>
  </conditionalFormatting>
  <conditionalFormatting sqref="F20">
    <cfRule type="expression" dxfId="75" priority="1">
      <formula>IF($O$20=FALSE,TRUE,FALSE)</formula>
    </cfRule>
  </conditionalFormatting>
  <conditionalFormatting sqref="F33">
    <cfRule type="cellIs" dxfId="74" priority="8" operator="equal">
      <formula>0</formula>
    </cfRule>
  </conditionalFormatting>
  <conditionalFormatting sqref="F34">
    <cfRule type="cellIs" dxfId="73" priority="5" operator="equal">
      <formula>0</formula>
    </cfRule>
  </conditionalFormatting>
  <conditionalFormatting sqref="F35">
    <cfRule type="cellIs" dxfId="72" priority="6" operator="equal">
      <formula>0</formula>
    </cfRule>
  </conditionalFormatting>
  <conditionalFormatting sqref="G28">
    <cfRule type="cellIs" dxfId="71" priority="7" operator="notEqual">
      <formula>1</formula>
    </cfRule>
  </conditionalFormatting>
  <conditionalFormatting sqref="H19:M21">
    <cfRule type="expression" dxfId="70" priority="2">
      <formula>IF($O$20=FALSE,TRUE, FALSE)</formula>
    </cfRule>
  </conditionalFormatting>
  <conditionalFormatting sqref="K15:K17">
    <cfRule type="cellIs" dxfId="69" priority="4" operator="equal">
      <formula>"Y"</formula>
    </cfRule>
  </conditionalFormatting>
  <conditionalFormatting sqref="L15:L17 F15:F19">
    <cfRule type="cellIs" dxfId="68" priority="9" operator="equal">
      <formula>0</formula>
    </cfRule>
  </conditionalFormatting>
  <dataValidations count="1">
    <dataValidation type="list" allowBlank="1" showInputMessage="1" showErrorMessage="1" sqref="E10" xr:uid="{55FB3777-41B4-4A4D-88CA-DB74F419B8FF}">
      <formula1>"24,36"</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21" r:id="rId4" name="Check Box 1">
              <controlPr locked="0" defaultSize="0" autoFill="0" autoLine="0" autoPict="0">
                <anchor moveWithCells="1">
                  <from>
                    <xdr:col>4</xdr:col>
                    <xdr:colOff>161925</xdr:colOff>
                    <xdr:row>14</xdr:row>
                    <xdr:rowOff>9525</xdr:rowOff>
                  </from>
                  <to>
                    <xdr:col>4</xdr:col>
                    <xdr:colOff>590550</xdr:colOff>
                    <xdr:row>14</xdr:row>
                    <xdr:rowOff>228600</xdr:rowOff>
                  </to>
                </anchor>
              </controlPr>
            </control>
          </mc:Choice>
        </mc:AlternateContent>
        <mc:AlternateContent xmlns:mc="http://schemas.openxmlformats.org/markup-compatibility/2006">
          <mc:Choice Requires="x14">
            <control shapeId="30722" r:id="rId5" name="Check Box 2">
              <controlPr locked="0" defaultSize="0" autoFill="0" autoLine="0" autoPict="0">
                <anchor moveWithCells="1">
                  <from>
                    <xdr:col>4</xdr:col>
                    <xdr:colOff>161925</xdr:colOff>
                    <xdr:row>15</xdr:row>
                    <xdr:rowOff>9525</xdr:rowOff>
                  </from>
                  <to>
                    <xdr:col>4</xdr:col>
                    <xdr:colOff>590550</xdr:colOff>
                    <xdr:row>15</xdr:row>
                    <xdr:rowOff>228600</xdr:rowOff>
                  </to>
                </anchor>
              </controlPr>
            </control>
          </mc:Choice>
        </mc:AlternateContent>
        <mc:AlternateContent xmlns:mc="http://schemas.openxmlformats.org/markup-compatibility/2006">
          <mc:Choice Requires="x14">
            <control shapeId="30723" r:id="rId6" name="Check Box 3">
              <controlPr locked="0" defaultSize="0" autoFill="0" autoLine="0" autoPict="0">
                <anchor moveWithCells="1">
                  <from>
                    <xdr:col>4</xdr:col>
                    <xdr:colOff>161925</xdr:colOff>
                    <xdr:row>16</xdr:row>
                    <xdr:rowOff>9525</xdr:rowOff>
                  </from>
                  <to>
                    <xdr:col>4</xdr:col>
                    <xdr:colOff>590550</xdr:colOff>
                    <xdr:row>16</xdr:row>
                    <xdr:rowOff>228600</xdr:rowOff>
                  </to>
                </anchor>
              </controlPr>
            </control>
          </mc:Choice>
        </mc:AlternateContent>
        <mc:AlternateContent xmlns:mc="http://schemas.openxmlformats.org/markup-compatibility/2006">
          <mc:Choice Requires="x14">
            <control shapeId="30724" r:id="rId7" name="Check Box 4">
              <controlPr locked="0" defaultSize="0" autoFill="0" autoLine="0" autoPict="0">
                <anchor moveWithCells="1">
                  <from>
                    <xdr:col>4</xdr:col>
                    <xdr:colOff>161925</xdr:colOff>
                    <xdr:row>17</xdr:row>
                    <xdr:rowOff>9525</xdr:rowOff>
                  </from>
                  <to>
                    <xdr:col>4</xdr:col>
                    <xdr:colOff>590550</xdr:colOff>
                    <xdr:row>17</xdr:row>
                    <xdr:rowOff>228600</xdr:rowOff>
                  </to>
                </anchor>
              </controlPr>
            </control>
          </mc:Choice>
        </mc:AlternateContent>
        <mc:AlternateContent xmlns:mc="http://schemas.openxmlformats.org/markup-compatibility/2006">
          <mc:Choice Requires="x14">
            <control shapeId="30725" r:id="rId8" name="Check Box 5">
              <controlPr locked="0" defaultSize="0" autoFill="0" autoLine="0" autoPict="0">
                <anchor moveWithCells="1">
                  <from>
                    <xdr:col>4</xdr:col>
                    <xdr:colOff>161925</xdr:colOff>
                    <xdr:row>18</xdr:row>
                    <xdr:rowOff>9525</xdr:rowOff>
                  </from>
                  <to>
                    <xdr:col>4</xdr:col>
                    <xdr:colOff>590550</xdr:colOff>
                    <xdr:row>18</xdr:row>
                    <xdr:rowOff>228600</xdr:rowOff>
                  </to>
                </anchor>
              </controlPr>
            </control>
          </mc:Choice>
        </mc:AlternateContent>
        <mc:AlternateContent xmlns:mc="http://schemas.openxmlformats.org/markup-compatibility/2006">
          <mc:Choice Requires="x14">
            <control shapeId="30726" r:id="rId9" name="Check Box 6">
              <controlPr locked="0" defaultSize="0" autoFill="0" autoLine="0" autoPict="0">
                <anchor moveWithCells="1">
                  <from>
                    <xdr:col>4</xdr:col>
                    <xdr:colOff>161925</xdr:colOff>
                    <xdr:row>19</xdr:row>
                    <xdr:rowOff>9525</xdr:rowOff>
                  </from>
                  <to>
                    <xdr:col>4</xdr:col>
                    <xdr:colOff>590550</xdr:colOff>
                    <xdr:row>19</xdr:row>
                    <xdr:rowOff>228600</xdr:rowOff>
                  </to>
                </anchor>
              </controlPr>
            </control>
          </mc:Choice>
        </mc:AlternateContent>
        <mc:AlternateContent xmlns:mc="http://schemas.openxmlformats.org/markup-compatibility/2006">
          <mc:Choice Requires="x14">
            <control shapeId="30727" r:id="rId10" name="Check Box 7">
              <controlPr locked="0" defaultSize="0" autoFill="0" autoLine="0" autoPict="0">
                <anchor moveWithCells="1">
                  <from>
                    <xdr:col>10</xdr:col>
                    <xdr:colOff>161925</xdr:colOff>
                    <xdr:row>14</xdr:row>
                    <xdr:rowOff>9525</xdr:rowOff>
                  </from>
                  <to>
                    <xdr:col>10</xdr:col>
                    <xdr:colOff>590550</xdr:colOff>
                    <xdr:row>14</xdr:row>
                    <xdr:rowOff>228600</xdr:rowOff>
                  </to>
                </anchor>
              </controlPr>
            </control>
          </mc:Choice>
        </mc:AlternateContent>
        <mc:AlternateContent xmlns:mc="http://schemas.openxmlformats.org/markup-compatibility/2006">
          <mc:Choice Requires="x14">
            <control shapeId="30728" r:id="rId11" name="Check Box 8">
              <controlPr locked="0" defaultSize="0" autoFill="0" autoLine="0" autoPict="0">
                <anchor moveWithCells="1">
                  <from>
                    <xdr:col>10</xdr:col>
                    <xdr:colOff>161925</xdr:colOff>
                    <xdr:row>15</xdr:row>
                    <xdr:rowOff>9525</xdr:rowOff>
                  </from>
                  <to>
                    <xdr:col>10</xdr:col>
                    <xdr:colOff>590550</xdr:colOff>
                    <xdr:row>15</xdr:row>
                    <xdr:rowOff>228600</xdr:rowOff>
                  </to>
                </anchor>
              </controlPr>
            </control>
          </mc:Choice>
        </mc:AlternateContent>
        <mc:AlternateContent xmlns:mc="http://schemas.openxmlformats.org/markup-compatibility/2006">
          <mc:Choice Requires="x14">
            <control shapeId="30729" r:id="rId12" name="Check Box 9">
              <controlPr locked="0" defaultSize="0" autoFill="0" autoLine="0" autoPict="0">
                <anchor moveWithCells="1">
                  <from>
                    <xdr:col>10</xdr:col>
                    <xdr:colOff>161925</xdr:colOff>
                    <xdr:row>16</xdr:row>
                    <xdr:rowOff>9525</xdr:rowOff>
                  </from>
                  <to>
                    <xdr:col>10</xdr:col>
                    <xdr:colOff>590550</xdr:colOff>
                    <xdr:row>16</xdr:row>
                    <xdr:rowOff>228600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92D3674-FDC9-4DEA-8C4E-E634B31ED74A}">
          <x14:formula1>
            <xm:f>'Product Data'!$AU$4:$AU$17</xm:f>
          </x14:formula1>
          <xm:sqref>F20</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B14E2-1AE0-4FDB-9846-E62828E72E02}">
  <sheetPr codeName="Sheet27">
    <tabColor theme="8" tint="-0.249977111117893"/>
    <pageSetUpPr fitToPage="1"/>
  </sheetPr>
  <dimension ref="A1:O99"/>
  <sheetViews>
    <sheetView showGridLines="0" zoomScale="80" zoomScaleNormal="80" workbookViewId="0">
      <selection activeCell="F5" sqref="F5"/>
    </sheetView>
  </sheetViews>
  <sheetFormatPr defaultColWidth="0" defaultRowHeight="24" x14ac:dyDescent="0.45"/>
  <cols>
    <col min="1" max="1" width="13.7109375" style="422" customWidth="1"/>
    <col min="2" max="2" width="48" style="436" bestFit="1" customWidth="1"/>
    <col min="3" max="3" width="37.7109375" style="401" customWidth="1"/>
    <col min="4" max="4" width="55" style="401" customWidth="1"/>
    <col min="5" max="5" width="14.5703125" style="67" customWidth="1"/>
    <col min="6" max="6" width="18.85546875" style="400" customWidth="1"/>
    <col min="7" max="7" width="22.28515625" style="400" hidden="1" customWidth="1"/>
    <col min="8" max="8" width="9.140625" style="401" hidden="1" customWidth="1"/>
    <col min="9" max="15" width="0" style="401" hidden="1" customWidth="1"/>
    <col min="16" max="16384" width="8.85546875" style="401" hidden="1"/>
  </cols>
  <sheetData>
    <row r="1" spans="2:6" s="399" customFormat="1" ht="18" x14ac:dyDescent="0.35">
      <c r="B1" s="3747"/>
      <c r="C1" s="3750"/>
      <c r="D1" s="3751"/>
      <c r="E1" s="67"/>
      <c r="F1" s="399" t="s">
        <v>3171</v>
      </c>
    </row>
    <row r="2" spans="2:6" s="401" customFormat="1" ht="31.5" x14ac:dyDescent="0.6">
      <c r="B2" s="3748"/>
      <c r="C2" s="3756" t="s">
        <v>3172</v>
      </c>
      <c r="D2" s="3757"/>
      <c r="E2" s="67"/>
      <c r="F2" s="400"/>
    </row>
    <row r="3" spans="2:6" s="401" customFormat="1" ht="31.5" x14ac:dyDescent="0.6">
      <c r="B3" s="3748"/>
      <c r="C3" s="3743"/>
      <c r="D3" s="3744"/>
      <c r="E3" s="67"/>
      <c r="F3" s="400"/>
    </row>
    <row r="4" spans="2:6" s="399" customFormat="1" ht="18" x14ac:dyDescent="0.35">
      <c r="B4" s="3749"/>
      <c r="C4" s="3762"/>
      <c r="D4" s="3763"/>
      <c r="E4" s="67"/>
    </row>
    <row r="5" spans="2:6" s="401" customFormat="1" ht="22.5" x14ac:dyDescent="0.4">
      <c r="B5" s="402" t="s">
        <v>3173</v>
      </c>
      <c r="C5" s="3721" t="str">
        <f>'BTL Calculator'!H7</f>
        <v>xxxxxxx</v>
      </c>
      <c r="D5" s="3722"/>
      <c r="E5" s="67"/>
      <c r="F5" s="403"/>
    </row>
    <row r="6" spans="2:6" s="401" customFormat="1" ht="22.5" x14ac:dyDescent="0.4">
      <c r="B6" s="402" t="s">
        <v>1075</v>
      </c>
      <c r="C6" s="128"/>
      <c r="D6" s="67"/>
      <c r="E6" s="67"/>
      <c r="F6" s="403"/>
    </row>
    <row r="7" spans="2:6" s="401" customFormat="1" ht="22.5" x14ac:dyDescent="0.4">
      <c r="B7" s="402" t="s">
        <v>1091</v>
      </c>
      <c r="C7" s="3721"/>
      <c r="D7" s="3722"/>
      <c r="E7" s="67"/>
      <c r="F7" s="403"/>
    </row>
    <row r="8" spans="2:6" s="401" customFormat="1" ht="22.5" x14ac:dyDescent="0.4">
      <c r="B8" s="402" t="s">
        <v>3174</v>
      </c>
      <c r="C8" s="404"/>
      <c r="D8" s="405"/>
      <c r="E8" s="67"/>
      <c r="F8" s="403"/>
    </row>
    <row r="9" spans="2:6" s="401" customFormat="1" ht="22.5" x14ac:dyDescent="0.4">
      <c r="B9" s="402" t="s">
        <v>1110</v>
      </c>
      <c r="C9" s="404"/>
      <c r="D9" s="405"/>
      <c r="E9" s="406"/>
      <c r="F9" s="403"/>
    </row>
    <row r="10" spans="2:6" s="401" customFormat="1" ht="19.5" x14ac:dyDescent="0.35">
      <c r="B10" s="3745" t="s">
        <v>1111</v>
      </c>
      <c r="C10" s="3758"/>
      <c r="D10" s="3759"/>
      <c r="E10" s="406"/>
      <c r="F10" s="403"/>
    </row>
    <row r="11" spans="2:6" s="401" customFormat="1" ht="19.5" x14ac:dyDescent="0.35">
      <c r="B11" s="3746"/>
      <c r="C11" s="407"/>
      <c r="D11" s="408"/>
      <c r="E11" s="406"/>
      <c r="F11" s="403"/>
    </row>
    <row r="12" spans="2:6" s="401" customFormat="1" ht="22.5" x14ac:dyDescent="0.4">
      <c r="B12" s="402" t="s">
        <v>3175</v>
      </c>
      <c r="C12" s="3721" t="str">
        <f>'BTL Calculator'!H8</f>
        <v>xxxxxxx</v>
      </c>
      <c r="D12" s="3722"/>
      <c r="E12" s="67"/>
      <c r="F12" s="403"/>
    </row>
    <row r="13" spans="2:6" s="401" customFormat="1" ht="19.5" x14ac:dyDescent="0.4">
      <c r="B13" s="409" t="s">
        <v>3176</v>
      </c>
      <c r="C13" s="3760"/>
      <c r="D13" s="3761"/>
      <c r="E13" s="67"/>
      <c r="F13" s="403"/>
    </row>
    <row r="14" spans="2:6" s="401" customFormat="1" ht="19.5" x14ac:dyDescent="0.35">
      <c r="B14" s="3745" t="s">
        <v>3177</v>
      </c>
      <c r="C14" s="3758"/>
      <c r="D14" s="3759"/>
      <c r="E14" s="406"/>
      <c r="F14" s="403"/>
    </row>
    <row r="15" spans="2:6" s="401" customFormat="1" ht="18" x14ac:dyDescent="0.35">
      <c r="B15" s="3746"/>
      <c r="C15" s="3764"/>
      <c r="D15" s="3765"/>
      <c r="E15" s="406"/>
      <c r="F15" s="403"/>
    </row>
    <row r="16" spans="2:6" s="401" customFormat="1" ht="19.5" customHeight="1" x14ac:dyDescent="0.4">
      <c r="B16" s="402" t="s">
        <v>3175</v>
      </c>
      <c r="C16" s="3721"/>
      <c r="D16" s="3722"/>
      <c r="E16" s="67"/>
      <c r="F16" s="403">
        <f>IF(C16="",1,0)</f>
        <v>1</v>
      </c>
    </row>
    <row r="17" spans="1:7" ht="15.75" customHeight="1" x14ac:dyDescent="0.4">
      <c r="A17" s="401"/>
      <c r="B17" s="409" t="s">
        <v>3176</v>
      </c>
      <c r="C17" s="3760"/>
      <c r="D17" s="3761"/>
      <c r="F17" s="403">
        <f>F16</f>
        <v>1</v>
      </c>
      <c r="G17" s="401"/>
    </row>
    <row r="18" spans="1:7" ht="15" customHeight="1" x14ac:dyDescent="0.35">
      <c r="A18" s="401"/>
      <c r="B18" s="3745" t="s">
        <v>3177</v>
      </c>
      <c r="C18" s="3754"/>
      <c r="D18" s="3755"/>
      <c r="E18" s="406"/>
      <c r="F18" s="403">
        <f>F16</f>
        <v>1</v>
      </c>
      <c r="G18" s="401"/>
    </row>
    <row r="19" spans="1:7" ht="15" customHeight="1" x14ac:dyDescent="0.35">
      <c r="A19" s="401"/>
      <c r="B19" s="3746"/>
      <c r="C19" s="3752"/>
      <c r="D19" s="3753"/>
      <c r="E19" s="406"/>
      <c r="F19" s="403">
        <f>F16</f>
        <v>1</v>
      </c>
    </row>
    <row r="20" spans="1:7" ht="18" customHeight="1" x14ac:dyDescent="0.4">
      <c r="A20" s="401"/>
      <c r="B20" s="402" t="s">
        <v>3178</v>
      </c>
      <c r="C20" s="3721"/>
      <c r="D20" s="3722"/>
      <c r="E20" s="406"/>
      <c r="F20" s="403">
        <f>IF(C20="",1,0)</f>
        <v>1</v>
      </c>
    </row>
    <row r="21" spans="1:7" ht="19.5" x14ac:dyDescent="0.4">
      <c r="A21" s="401"/>
      <c r="B21" s="409" t="s">
        <v>3179</v>
      </c>
      <c r="C21" s="3760"/>
      <c r="D21" s="3761"/>
      <c r="E21" s="406"/>
      <c r="F21" s="403">
        <f>IF(C21="",1,0)</f>
        <v>1</v>
      </c>
    </row>
    <row r="22" spans="1:7" ht="22.5" x14ac:dyDescent="0.4">
      <c r="A22" s="401"/>
      <c r="B22" s="410" t="s">
        <v>3180</v>
      </c>
      <c r="C22" s="3721"/>
      <c r="D22" s="3722"/>
    </row>
    <row r="23" spans="1:7" ht="19.5" x14ac:dyDescent="0.4">
      <c r="A23" s="401"/>
      <c r="B23" s="411" t="str">
        <f>IF(SUM(C55:C74)&gt;0,"Property 1 Address","Property Address")</f>
        <v>Property Address</v>
      </c>
      <c r="C23" s="3721"/>
      <c r="D23" s="3722"/>
      <c r="F23" s="403">
        <f>IF(C23="",1,0)</f>
        <v>1</v>
      </c>
    </row>
    <row r="24" spans="1:7" ht="15.75" hidden="1" customHeight="1" x14ac:dyDescent="0.4">
      <c r="A24" s="401"/>
      <c r="B24" s="411" t="s">
        <v>3181</v>
      </c>
      <c r="C24" s="3721" t="str">
        <f ca="1">'Loan Data'!F59</f>
        <v>0</v>
      </c>
      <c r="D24" s="3722"/>
      <c r="F24" s="403">
        <f ca="1">IF(C24="",1,0)</f>
        <v>0</v>
      </c>
    </row>
    <row r="25" spans="1:7" ht="15.75" hidden="1" customHeight="1" x14ac:dyDescent="0.4">
      <c r="A25" s="401"/>
      <c r="B25" s="411" t="s">
        <v>3182</v>
      </c>
      <c r="C25" s="3721" t="str">
        <f ca="1">'Loan Data'!F69</f>
        <v>N/A</v>
      </c>
      <c r="D25" s="3722"/>
      <c r="F25" s="403">
        <f ca="1">IF(C25="",1,0)</f>
        <v>0</v>
      </c>
    </row>
    <row r="26" spans="1:7" ht="15.75" hidden="1" customHeight="1" x14ac:dyDescent="0.4">
      <c r="A26" s="401"/>
      <c r="B26" s="411" t="s">
        <v>3183</v>
      </c>
      <c r="C26" s="3721" t="str">
        <f ca="1">'Loan Data'!F79</f>
        <v/>
      </c>
      <c r="D26" s="3722"/>
      <c r="F26" s="403">
        <f ca="1">IF(C26="",1,0)</f>
        <v>1</v>
      </c>
    </row>
    <row r="27" spans="1:7" ht="15.75" hidden="1" customHeight="1" x14ac:dyDescent="0.4">
      <c r="A27" s="401"/>
      <c r="B27" s="411" t="s">
        <v>3184</v>
      </c>
      <c r="C27" s="3721" t="str">
        <f ca="1">'Loan Data'!F89</f>
        <v/>
      </c>
      <c r="D27" s="3722"/>
      <c r="F27" s="403">
        <f ca="1">IF(C27="",1,0)</f>
        <v>1</v>
      </c>
    </row>
    <row r="28" spans="1:7" ht="22.5" x14ac:dyDescent="0.4">
      <c r="A28" s="401"/>
      <c r="B28" s="410" t="s">
        <v>1295</v>
      </c>
      <c r="C28" s="3721" t="str">
        <f>'BTL Calculator'!AI20</f>
        <v>ZBL</v>
      </c>
      <c r="D28" s="3722"/>
      <c r="F28" s="403"/>
    </row>
    <row r="29" spans="1:7" x14ac:dyDescent="0.45">
      <c r="A29" s="401"/>
      <c r="B29" s="3740" t="s">
        <v>361</v>
      </c>
      <c r="C29" s="3741"/>
      <c r="D29" s="3742"/>
    </row>
    <row r="30" spans="1:7" ht="19.5" x14ac:dyDescent="0.4">
      <c r="A30" s="401"/>
      <c r="B30" s="412" t="s">
        <v>922</v>
      </c>
      <c r="C30" s="3721" t="s">
        <v>1622</v>
      </c>
      <c r="D30" s="3722"/>
      <c r="E30" s="406"/>
    </row>
    <row r="31" spans="1:7" ht="19.5" x14ac:dyDescent="0.4">
      <c r="A31" s="401"/>
      <c r="B31" s="412" t="s">
        <v>1123</v>
      </c>
      <c r="C31" s="3721"/>
      <c r="D31" s="3722"/>
    </row>
    <row r="32" spans="1:7" ht="19.5" x14ac:dyDescent="0.4">
      <c r="A32" s="401"/>
      <c r="B32" s="412" t="s">
        <v>3185</v>
      </c>
      <c r="C32" s="3768">
        <f>IF(AND('BTL Calculator'!H26=36,C28=Funders!A7),24,'BTL Calculator'!H26)</f>
        <v>24</v>
      </c>
      <c r="D32" s="3722"/>
    </row>
    <row r="33" spans="1:15" ht="19.5" x14ac:dyDescent="0.4">
      <c r="A33" s="401"/>
      <c r="B33" s="412" t="s">
        <v>1027</v>
      </c>
      <c r="C33" s="3766" t="e">
        <f>'BTL Calculator'!M143</f>
        <v>#N/A</v>
      </c>
      <c r="D33" s="3767"/>
    </row>
    <row r="34" spans="1:15" ht="16.5" customHeight="1" x14ac:dyDescent="0.4">
      <c r="A34" s="401"/>
      <c r="B34" s="412" t="s">
        <v>3186</v>
      </c>
      <c r="C34" s="1231" t="e">
        <f>'KB_CRITERIA AND CALCULATION '!K90</f>
        <v>#N/A</v>
      </c>
      <c r="D34" s="413" t="e">
        <f>Rolled_Owed</f>
        <v>#N/A</v>
      </c>
    </row>
    <row r="35" spans="1:15" ht="19.5" x14ac:dyDescent="0.4">
      <c r="A35" s="401"/>
      <c r="B35" s="412" t="s">
        <v>3187</v>
      </c>
      <c r="C35" s="414" t="e">
        <f>C32-C34</f>
        <v>#N/A</v>
      </c>
      <c r="D35" s="413">
        <f>IFERROR($C$33*($C$36)*C35,0)</f>
        <v>0</v>
      </c>
    </row>
    <row r="36" spans="1:15" ht="19.5" x14ac:dyDescent="0.4">
      <c r="A36" s="401"/>
      <c r="B36" s="412" t="s">
        <v>3188</v>
      </c>
      <c r="C36" s="415" t="e">
        <f>('BTL Calculator'!M141-C37)/12</f>
        <v>#N/A</v>
      </c>
      <c r="D36" s="413">
        <f>IFERROR($C$33*$C$36,0)</f>
        <v>0</v>
      </c>
      <c r="M36" s="67"/>
      <c r="O36" s="416"/>
    </row>
    <row r="37" spans="1:15" ht="19.5" x14ac:dyDescent="0.4">
      <c r="A37" s="401"/>
      <c r="B37" s="412" t="s">
        <v>3189</v>
      </c>
      <c r="C37" s="415" t="e">
        <f>'KB_CRITERIA AND CALCULATION '!J90</f>
        <v>#N/A</v>
      </c>
      <c r="D37" s="413" t="e">
        <f>(C37/12)*C32*C33</f>
        <v>#N/A</v>
      </c>
      <c r="E37" s="406"/>
      <c r="O37" s="417"/>
    </row>
    <row r="38" spans="1:15" ht="19.5" x14ac:dyDescent="0.4">
      <c r="A38" s="401"/>
      <c r="B38" s="412" t="s">
        <v>3190</v>
      </c>
      <c r="C38" s="415" t="e">
        <f>'BTL Calculator'!M142</f>
        <v>#N/A</v>
      </c>
      <c r="D38" s="413">
        <f>IFERROR($C$33*$C$38,0)</f>
        <v>0</v>
      </c>
      <c r="O38" s="417"/>
    </row>
    <row r="39" spans="1:15" ht="19.5" x14ac:dyDescent="0.4">
      <c r="A39" s="401"/>
      <c r="B39" s="412" t="s">
        <v>3191</v>
      </c>
      <c r="C39" s="415">
        <f>'KB_CRITERIA AND CALCULATION '!D28</f>
        <v>0</v>
      </c>
      <c r="D39" s="413">
        <f>IFERROR($C$33*$C$39,0)</f>
        <v>0</v>
      </c>
      <c r="F39" s="1336"/>
    </row>
    <row r="40" spans="1:15" ht="19.5" x14ac:dyDescent="0.4">
      <c r="A40" s="401"/>
      <c r="B40" s="412" t="s">
        <v>3192</v>
      </c>
      <c r="C40" s="415">
        <f ca="1">'Loan Data'!F39</f>
        <v>0.02</v>
      </c>
      <c r="D40" s="413">
        <f ca="1">IFERROR($C$33*$C$40,0)</f>
        <v>0</v>
      </c>
    </row>
    <row r="41" spans="1:15" ht="37.5" x14ac:dyDescent="0.4">
      <c r="A41" s="401"/>
      <c r="B41" s="418" t="s">
        <v>3193</v>
      </c>
      <c r="C41" s="3769" t="e">
        <f>IFERROR(C33-D34-D38,0)-D37</f>
        <v>#N/A</v>
      </c>
      <c r="D41" s="3770"/>
      <c r="E41" s="419" t="e">
        <f>C41+D38</f>
        <v>#N/A</v>
      </c>
      <c r="F41" s="420"/>
    </row>
    <row r="42" spans="1:15" ht="19.5" x14ac:dyDescent="0.4">
      <c r="A42" s="401"/>
      <c r="B42" s="412" t="s">
        <v>1109</v>
      </c>
      <c r="C42" s="3721"/>
      <c r="D42" s="3722"/>
      <c r="E42" s="406"/>
    </row>
    <row r="43" spans="1:15" ht="19.5" x14ac:dyDescent="0.4">
      <c r="A43" s="401"/>
      <c r="B43" s="421" t="s">
        <v>3194</v>
      </c>
      <c r="C43" s="3771">
        <v>44481</v>
      </c>
      <c r="D43" s="3772"/>
      <c r="E43" s="406"/>
    </row>
    <row r="44" spans="1:15" x14ac:dyDescent="0.45">
      <c r="B44" s="423" t="s">
        <v>3195</v>
      </c>
      <c r="C44" s="3734">
        <f>IF(C43=0,"",DATE(YEAR(C43),MONTH(C43)+C32,DAY(C43)))</f>
        <v>45211</v>
      </c>
      <c r="D44" s="3735"/>
    </row>
    <row r="45" spans="1:15" x14ac:dyDescent="0.45">
      <c r="B45" s="421" t="s">
        <v>3196</v>
      </c>
      <c r="C45" s="3721">
        <f>IF(AND('BTL Calculator'!H26=36,C28=Funders!A7),12,0)</f>
        <v>0</v>
      </c>
      <c r="D45" s="3722"/>
      <c r="E45" s="406"/>
    </row>
    <row r="46" spans="1:15" x14ac:dyDescent="0.45">
      <c r="B46" s="412" t="s">
        <v>3197</v>
      </c>
      <c r="C46" s="3732"/>
      <c r="D46" s="3733"/>
      <c r="E46" s="406"/>
    </row>
    <row r="47" spans="1:15" x14ac:dyDescent="0.45">
      <c r="B47" s="412" t="s">
        <v>3198</v>
      </c>
      <c r="C47" s="3730"/>
      <c r="D47" s="3731"/>
      <c r="E47" s="406"/>
    </row>
    <row r="48" spans="1:15" x14ac:dyDescent="0.45">
      <c r="B48" s="3740" t="s">
        <v>3199</v>
      </c>
      <c r="C48" s="3741"/>
      <c r="D48" s="3742"/>
      <c r="G48" s="424" t="s">
        <v>3200</v>
      </c>
    </row>
    <row r="49" spans="1:7" s="425" customFormat="1" x14ac:dyDescent="0.45">
      <c r="A49" s="422"/>
      <c r="B49" s="410" t="s">
        <v>3201</v>
      </c>
      <c r="C49" s="3721"/>
      <c r="D49" s="3722"/>
      <c r="E49" s="406"/>
      <c r="G49" s="426" t="s">
        <v>288</v>
      </c>
    </row>
    <row r="50" spans="1:7" x14ac:dyDescent="0.45">
      <c r="B50" s="412" t="str">
        <f>IF(SUM(C55:C74)&gt;0,"Property 1 ","")&amp;"Valuation -  "&amp;C23</f>
        <v xml:space="preserve">Valuation -  </v>
      </c>
      <c r="C50" s="3717"/>
      <c r="D50" s="3718"/>
      <c r="F50" s="400">
        <f>$F$23</f>
        <v>1</v>
      </c>
      <c r="G50" s="427" t="s">
        <v>284</v>
      </c>
    </row>
    <row r="51" spans="1:7" ht="18.75" customHeight="1" x14ac:dyDescent="0.45">
      <c r="B51" s="411" t="s">
        <v>1114</v>
      </c>
      <c r="C51" s="428"/>
      <c r="D51" s="429"/>
      <c r="G51" s="427"/>
    </row>
    <row r="52" spans="1:7" x14ac:dyDescent="0.45">
      <c r="B52" s="411" t="s">
        <v>1325</v>
      </c>
      <c r="C52" s="3719"/>
      <c r="D52" s="3720"/>
      <c r="E52" s="406"/>
      <c r="G52" s="427"/>
    </row>
    <row r="53" spans="1:7" x14ac:dyDescent="0.45">
      <c r="B53" s="411" t="s">
        <v>3202</v>
      </c>
      <c r="C53" s="3719"/>
      <c r="D53" s="3720"/>
      <c r="F53" s="400">
        <f>$F$23</f>
        <v>1</v>
      </c>
    </row>
    <row r="54" spans="1:7" hidden="1" x14ac:dyDescent="0.45">
      <c r="B54" s="411" t="s">
        <v>1010</v>
      </c>
      <c r="C54" s="3719"/>
      <c r="D54" s="3720"/>
      <c r="F54" s="400">
        <f>$F$23</f>
        <v>1</v>
      </c>
    </row>
    <row r="55" spans="1:7" hidden="1" x14ac:dyDescent="0.45">
      <c r="B55" s="412" t="str">
        <f ca="1">"Property 2 Valuation -  "&amp;C24</f>
        <v>Property 2 Valuation -  0</v>
      </c>
      <c r="C55" s="3717"/>
      <c r="D55" s="3718"/>
      <c r="F55" s="400">
        <f ca="1">$F$24</f>
        <v>0</v>
      </c>
    </row>
    <row r="56" spans="1:7" hidden="1" x14ac:dyDescent="0.45">
      <c r="B56" s="411" t="s">
        <v>1114</v>
      </c>
      <c r="C56" s="430"/>
      <c r="D56" s="431"/>
      <c r="G56" s="427"/>
    </row>
    <row r="57" spans="1:7" hidden="1" x14ac:dyDescent="0.45">
      <c r="B57" s="411" t="s">
        <v>1325</v>
      </c>
      <c r="C57" s="3719"/>
      <c r="D57" s="3720"/>
      <c r="G57" s="427"/>
    </row>
    <row r="58" spans="1:7" hidden="1" x14ac:dyDescent="0.45">
      <c r="B58" s="411" t="s">
        <v>3202</v>
      </c>
      <c r="C58" s="3719"/>
      <c r="D58" s="3720"/>
      <c r="F58" s="400">
        <f ca="1">$F$24</f>
        <v>0</v>
      </c>
    </row>
    <row r="59" spans="1:7" hidden="1" x14ac:dyDescent="0.45">
      <c r="B59" s="411" t="s">
        <v>1010</v>
      </c>
      <c r="C59" s="3719"/>
      <c r="D59" s="3720"/>
      <c r="F59" s="400">
        <f ca="1">$F$24</f>
        <v>0</v>
      </c>
    </row>
    <row r="60" spans="1:7" hidden="1" x14ac:dyDescent="0.45">
      <c r="B60" s="412" t="str">
        <f ca="1">"Property 3 Valuation -  "&amp;C25</f>
        <v>Property 3 Valuation -  N/A</v>
      </c>
      <c r="C60" s="3717"/>
      <c r="D60" s="3718"/>
      <c r="F60" s="400">
        <f ca="1">$F$25</f>
        <v>0</v>
      </c>
    </row>
    <row r="61" spans="1:7" hidden="1" x14ac:dyDescent="0.45">
      <c r="B61" s="411" t="s">
        <v>1114</v>
      </c>
      <c r="C61" s="430"/>
      <c r="D61" s="431"/>
    </row>
    <row r="62" spans="1:7" hidden="1" x14ac:dyDescent="0.45">
      <c r="B62" s="411" t="s">
        <v>1325</v>
      </c>
      <c r="C62" s="3719"/>
      <c r="D62" s="3720"/>
      <c r="G62" s="427"/>
    </row>
    <row r="63" spans="1:7" hidden="1" x14ac:dyDescent="0.45">
      <c r="B63" s="411" t="s">
        <v>3202</v>
      </c>
      <c r="C63" s="3719"/>
      <c r="D63" s="3720"/>
      <c r="F63" s="400">
        <f ca="1">$F$25</f>
        <v>0</v>
      </c>
    </row>
    <row r="64" spans="1:7" hidden="1" x14ac:dyDescent="0.45">
      <c r="B64" s="411" t="s">
        <v>1010</v>
      </c>
      <c r="C64" s="3719"/>
      <c r="D64" s="3720"/>
      <c r="F64" s="400">
        <f ca="1">$F$25</f>
        <v>0</v>
      </c>
    </row>
    <row r="65" spans="2:7" hidden="1" x14ac:dyDescent="0.45">
      <c r="B65" s="412" t="str">
        <f ca="1">"Property 4 Valuation -  "&amp;C26</f>
        <v xml:space="preserve">Property 4 Valuation -  </v>
      </c>
      <c r="C65" s="3717"/>
      <c r="D65" s="3718"/>
      <c r="F65" s="400">
        <f ca="1">$F$26</f>
        <v>1</v>
      </c>
    </row>
    <row r="66" spans="2:7" hidden="1" x14ac:dyDescent="0.45">
      <c r="B66" s="411" t="s">
        <v>1114</v>
      </c>
      <c r="C66" s="430"/>
      <c r="D66" s="431"/>
    </row>
    <row r="67" spans="2:7" hidden="1" x14ac:dyDescent="0.45">
      <c r="B67" s="411" t="s">
        <v>1325</v>
      </c>
      <c r="C67" s="3719"/>
      <c r="D67" s="3720"/>
      <c r="G67" s="427"/>
    </row>
    <row r="68" spans="2:7" hidden="1" x14ac:dyDescent="0.45">
      <c r="B68" s="411" t="s">
        <v>3202</v>
      </c>
      <c r="C68" s="3719"/>
      <c r="D68" s="3720"/>
      <c r="F68" s="400">
        <f ca="1">$F$26</f>
        <v>1</v>
      </c>
    </row>
    <row r="69" spans="2:7" hidden="1" x14ac:dyDescent="0.45">
      <c r="B69" s="411" t="s">
        <v>1010</v>
      </c>
      <c r="C69" s="3719"/>
      <c r="D69" s="3720"/>
      <c r="F69" s="400">
        <f ca="1">$F$26</f>
        <v>1</v>
      </c>
    </row>
    <row r="70" spans="2:7" hidden="1" x14ac:dyDescent="0.45">
      <c r="B70" s="412" t="str">
        <f ca="1">"Property 5 Valuation -  "&amp;C27</f>
        <v xml:space="preserve">Property 5 Valuation -  </v>
      </c>
      <c r="C70" s="3717"/>
      <c r="D70" s="3718"/>
      <c r="F70" s="400">
        <f ca="1">$F$27</f>
        <v>1</v>
      </c>
    </row>
    <row r="71" spans="2:7" hidden="1" x14ac:dyDescent="0.45">
      <c r="B71" s="411" t="s">
        <v>1114</v>
      </c>
      <c r="C71" s="430"/>
      <c r="D71" s="431"/>
    </row>
    <row r="72" spans="2:7" hidden="1" x14ac:dyDescent="0.45">
      <c r="B72" s="411" t="s">
        <v>1325</v>
      </c>
      <c r="C72" s="3719"/>
      <c r="D72" s="3720"/>
      <c r="G72" s="427"/>
    </row>
    <row r="73" spans="2:7" hidden="1" x14ac:dyDescent="0.45">
      <c r="B73" s="411" t="s">
        <v>3202</v>
      </c>
      <c r="C73" s="3719"/>
      <c r="D73" s="3720"/>
      <c r="F73" s="400">
        <f ca="1">$F$27</f>
        <v>1</v>
      </c>
    </row>
    <row r="74" spans="2:7" hidden="1" x14ac:dyDescent="0.45">
      <c r="B74" s="411" t="s">
        <v>1010</v>
      </c>
      <c r="C74" s="3719"/>
      <c r="D74" s="3720"/>
      <c r="F74" s="400">
        <f ca="1">$F$27</f>
        <v>1</v>
      </c>
    </row>
    <row r="75" spans="2:7" x14ac:dyDescent="0.45">
      <c r="B75" s="432" t="s">
        <v>3203</v>
      </c>
      <c r="C75" s="3728">
        <f>IFERROR(SUM(C33,C54,C59,C64,C69,C74)/SUM(C50,C55,C60,C65,C70),0)</f>
        <v>0</v>
      </c>
      <c r="D75" s="3729"/>
    </row>
    <row r="76" spans="2:7" x14ac:dyDescent="0.45">
      <c r="B76" s="410" t="s">
        <v>3204</v>
      </c>
      <c r="C76" s="3719"/>
      <c r="D76" s="3720"/>
    </row>
    <row r="77" spans="2:7" x14ac:dyDescent="0.45">
      <c r="B77" s="3723" t="str">
        <f>IF(SUM(C55:C74)&gt;0,"Property 1 ","")&amp;"Building Insurance -  "&amp;C23</f>
        <v xml:space="preserve">Building Insurance -  </v>
      </c>
      <c r="C77" s="3724"/>
      <c r="D77" s="3725"/>
      <c r="F77" s="400">
        <f>$F$23</f>
        <v>1</v>
      </c>
    </row>
    <row r="78" spans="2:7" x14ac:dyDescent="0.45">
      <c r="B78" s="411" t="s">
        <v>3205</v>
      </c>
      <c r="C78" s="3726"/>
      <c r="D78" s="3727"/>
      <c r="E78" s="406"/>
      <c r="F78" s="400">
        <f>$F$23</f>
        <v>1</v>
      </c>
    </row>
    <row r="79" spans="2:7" x14ac:dyDescent="0.45">
      <c r="B79" s="411" t="s">
        <v>3206</v>
      </c>
      <c r="C79" s="3719"/>
      <c r="D79" s="3720"/>
      <c r="E79" s="406"/>
      <c r="F79" s="400">
        <f>$F$23</f>
        <v>1</v>
      </c>
    </row>
    <row r="80" spans="2:7" hidden="1" x14ac:dyDescent="0.45">
      <c r="B80" s="3723" t="str">
        <f ca="1">"Property 2 Building Insurance -  "&amp;C24</f>
        <v>Property 2 Building Insurance -  0</v>
      </c>
      <c r="C80" s="3724"/>
      <c r="D80" s="3725"/>
      <c r="F80" s="400">
        <f ca="1">$F$24</f>
        <v>0</v>
      </c>
    </row>
    <row r="81" spans="1:7" hidden="1" x14ac:dyDescent="0.45">
      <c r="B81" s="411" t="s">
        <v>3205</v>
      </c>
      <c r="C81" s="3726"/>
      <c r="D81" s="3727"/>
      <c r="F81" s="400">
        <f ca="1">$F$24</f>
        <v>0</v>
      </c>
    </row>
    <row r="82" spans="1:7" hidden="1" x14ac:dyDescent="0.45">
      <c r="B82" s="411" t="s">
        <v>3206</v>
      </c>
      <c r="C82" s="3719"/>
      <c r="D82" s="3720"/>
      <c r="F82" s="400">
        <f ca="1">$F$24</f>
        <v>0</v>
      </c>
    </row>
    <row r="83" spans="1:7" hidden="1" x14ac:dyDescent="0.45">
      <c r="B83" s="3723" t="str">
        <f ca="1">"Property 3 Building Insurance -  "&amp;C25</f>
        <v>Property 3 Building Insurance -  N/A</v>
      </c>
      <c r="C83" s="3724"/>
      <c r="D83" s="3725"/>
      <c r="F83" s="400">
        <f ca="1">$F$25</f>
        <v>0</v>
      </c>
    </row>
    <row r="84" spans="1:7" hidden="1" x14ac:dyDescent="0.45">
      <c r="B84" s="411" t="s">
        <v>3205</v>
      </c>
      <c r="C84" s="3726"/>
      <c r="D84" s="3727"/>
      <c r="F84" s="400">
        <f ca="1">$F$25</f>
        <v>0</v>
      </c>
    </row>
    <row r="85" spans="1:7" hidden="1" x14ac:dyDescent="0.45">
      <c r="B85" s="411" t="s">
        <v>3206</v>
      </c>
      <c r="C85" s="3719"/>
      <c r="D85" s="3720"/>
      <c r="F85" s="400">
        <f ca="1">$F$25</f>
        <v>0</v>
      </c>
    </row>
    <row r="86" spans="1:7" hidden="1" x14ac:dyDescent="0.45">
      <c r="B86" s="3723" t="str">
        <f ca="1">"Property 4 Building Insurance -  "&amp;C26</f>
        <v xml:space="preserve">Property 4 Building Insurance -  </v>
      </c>
      <c r="C86" s="3724"/>
      <c r="D86" s="3725"/>
      <c r="F86" s="400">
        <f ca="1">$F$26</f>
        <v>1</v>
      </c>
    </row>
    <row r="87" spans="1:7" hidden="1" x14ac:dyDescent="0.45">
      <c r="B87" s="411" t="s">
        <v>3205</v>
      </c>
      <c r="C87" s="3726"/>
      <c r="D87" s="3727"/>
      <c r="F87" s="400">
        <f ca="1">$F$26</f>
        <v>1</v>
      </c>
    </row>
    <row r="88" spans="1:7" hidden="1" x14ac:dyDescent="0.45">
      <c r="B88" s="411" t="s">
        <v>3206</v>
      </c>
      <c r="C88" s="3719"/>
      <c r="D88" s="3720"/>
      <c r="F88" s="400">
        <f ca="1">$F$26</f>
        <v>1</v>
      </c>
    </row>
    <row r="89" spans="1:7" hidden="1" x14ac:dyDescent="0.45">
      <c r="B89" s="3723" t="str">
        <f ca="1">"Property 5 Building Insurance -  "&amp;C27</f>
        <v xml:space="preserve">Property 5 Building Insurance -  </v>
      </c>
      <c r="C89" s="3724"/>
      <c r="D89" s="3725"/>
      <c r="F89" s="400">
        <f ca="1">$F$27</f>
        <v>1</v>
      </c>
    </row>
    <row r="90" spans="1:7" hidden="1" x14ac:dyDescent="0.45">
      <c r="B90" s="411" t="s">
        <v>3205</v>
      </c>
      <c r="C90" s="3726"/>
      <c r="D90" s="3727"/>
      <c r="F90" s="400">
        <f ca="1">$F$27</f>
        <v>1</v>
      </c>
    </row>
    <row r="91" spans="1:7" hidden="1" x14ac:dyDescent="0.45">
      <c r="B91" s="411" t="s">
        <v>3206</v>
      </c>
      <c r="C91" s="3719"/>
      <c r="D91" s="3720"/>
      <c r="F91" s="400">
        <f ca="1">$F$27</f>
        <v>1</v>
      </c>
    </row>
    <row r="92" spans="1:7" x14ac:dyDescent="0.45">
      <c r="B92" s="3740" t="s">
        <v>3207</v>
      </c>
      <c r="C92" s="3741"/>
      <c r="D92" s="3742"/>
    </row>
    <row r="93" spans="1:7" x14ac:dyDescent="0.45">
      <c r="B93" s="433" t="s">
        <v>3208</v>
      </c>
      <c r="C93" s="3738">
        <f>D36</f>
        <v>0</v>
      </c>
      <c r="D93" s="3739"/>
    </row>
    <row r="94" spans="1:7" x14ac:dyDescent="0.45">
      <c r="B94" s="3740" t="s">
        <v>3209</v>
      </c>
      <c r="C94" s="3741"/>
      <c r="D94" s="3742"/>
    </row>
    <row r="95" spans="1:7" ht="24.75" thickBot="1" x14ac:dyDescent="0.5">
      <c r="B95" s="434" t="s">
        <v>3210</v>
      </c>
      <c r="C95" s="3736" t="str">
        <f ca="1">'Loan Data'!F19</f>
        <v/>
      </c>
      <c r="D95" s="3737"/>
    </row>
    <row r="96" spans="1:7" ht="18" x14ac:dyDescent="0.35">
      <c r="A96" s="401"/>
      <c r="B96" s="435"/>
      <c r="F96" s="401"/>
      <c r="G96" s="401"/>
    </row>
    <row r="97" spans="2:4" ht="31.5" x14ac:dyDescent="0.6">
      <c r="B97" s="436" t="s">
        <v>3211</v>
      </c>
      <c r="C97" s="437"/>
      <c r="D97" s="437"/>
    </row>
    <row r="98" spans="2:4" x14ac:dyDescent="0.45">
      <c r="B98" s="436" t="s">
        <v>3212</v>
      </c>
      <c r="C98" s="438" t="s">
        <v>3213</v>
      </c>
      <c r="D98" s="438"/>
    </row>
    <row r="99" spans="2:4" ht="31.5" x14ac:dyDescent="0.6">
      <c r="C99" s="439"/>
      <c r="D99" s="437"/>
    </row>
  </sheetData>
  <mergeCells count="83">
    <mergeCell ref="C28:D28"/>
    <mergeCell ref="C27:D27"/>
    <mergeCell ref="C26:D26"/>
    <mergeCell ref="C25:D25"/>
    <mergeCell ref="C24:D24"/>
    <mergeCell ref="C23:D23"/>
    <mergeCell ref="B48:D48"/>
    <mergeCell ref="B29:D29"/>
    <mergeCell ref="C5:D5"/>
    <mergeCell ref="C4:D4"/>
    <mergeCell ref="C15:D15"/>
    <mergeCell ref="C33:D33"/>
    <mergeCell ref="C32:D32"/>
    <mergeCell ref="C31:D31"/>
    <mergeCell ref="C30:D30"/>
    <mergeCell ref="C22:D22"/>
    <mergeCell ref="C20:D20"/>
    <mergeCell ref="C21:D21"/>
    <mergeCell ref="C41:D41"/>
    <mergeCell ref="C42:D42"/>
    <mergeCell ref="C43:D43"/>
    <mergeCell ref="C3:D3"/>
    <mergeCell ref="B10:B11"/>
    <mergeCell ref="B18:B19"/>
    <mergeCell ref="B1:B4"/>
    <mergeCell ref="B14:B15"/>
    <mergeCell ref="C1:D1"/>
    <mergeCell ref="C19:D19"/>
    <mergeCell ref="C18:D18"/>
    <mergeCell ref="C2:D2"/>
    <mergeCell ref="C14:D14"/>
    <mergeCell ref="C13:D13"/>
    <mergeCell ref="C12:D12"/>
    <mergeCell ref="C10:D10"/>
    <mergeCell ref="C7:D7"/>
    <mergeCell ref="C17:D17"/>
    <mergeCell ref="C16:D16"/>
    <mergeCell ref="C47:D47"/>
    <mergeCell ref="C46:D46"/>
    <mergeCell ref="C45:D45"/>
    <mergeCell ref="C44:D44"/>
    <mergeCell ref="C95:D95"/>
    <mergeCell ref="C93:D93"/>
    <mergeCell ref="C91:D91"/>
    <mergeCell ref="C90:D90"/>
    <mergeCell ref="B89:D89"/>
    <mergeCell ref="B94:D94"/>
    <mergeCell ref="B92:D92"/>
    <mergeCell ref="B83:D83"/>
    <mergeCell ref="B80:D80"/>
    <mergeCell ref="C88:D88"/>
    <mergeCell ref="C87:D87"/>
    <mergeCell ref="C85:D85"/>
    <mergeCell ref="C84:D84"/>
    <mergeCell ref="B86:D86"/>
    <mergeCell ref="C78:D78"/>
    <mergeCell ref="C76:D76"/>
    <mergeCell ref="C75:D75"/>
    <mergeCell ref="C74:D74"/>
    <mergeCell ref="B77:D77"/>
    <mergeCell ref="C82:D82"/>
    <mergeCell ref="C81:D81"/>
    <mergeCell ref="C79:D79"/>
    <mergeCell ref="C67:D67"/>
    <mergeCell ref="C65:D65"/>
    <mergeCell ref="C64:D64"/>
    <mergeCell ref="C63:D63"/>
    <mergeCell ref="C62:D62"/>
    <mergeCell ref="C73:D73"/>
    <mergeCell ref="C72:D72"/>
    <mergeCell ref="C70:D70"/>
    <mergeCell ref="C68:D68"/>
    <mergeCell ref="C69:D69"/>
    <mergeCell ref="C54:D54"/>
    <mergeCell ref="C53:D53"/>
    <mergeCell ref="C52:D52"/>
    <mergeCell ref="C50:D50"/>
    <mergeCell ref="C49:D49"/>
    <mergeCell ref="C60:D60"/>
    <mergeCell ref="C59:D59"/>
    <mergeCell ref="C58:D58"/>
    <mergeCell ref="C57:D57"/>
    <mergeCell ref="C55:D55"/>
  </mergeCells>
  <conditionalFormatting sqref="F1:F1048576">
    <cfRule type="cellIs" dxfId="67" priority="1" operator="equal">
      <formula>1</formula>
    </cfRule>
  </conditionalFormatting>
  <dataValidations count="1">
    <dataValidation type="list" allowBlank="1" showInputMessage="1" showErrorMessage="1" sqref="C49" xr:uid="{00000000-0002-0000-0000-000001000000}">
      <formula1>#REF!</formula1>
    </dataValidation>
  </dataValidations>
  <pageMargins left="0.51181102362204722" right="0.51181102362204722" top="0.55118110236220474" bottom="0.55118110236220474" header="0" footer="0"/>
  <pageSetup paperSize="9" scale="58" orientation="portrait" r:id="rId1"/>
  <headerFooter>
    <oddFooter>&amp;L&amp;D</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2D253-20AA-4E04-8E26-8556F5B38C01}">
  <sheetPr codeName="Sheet28">
    <pageSetUpPr fitToPage="1"/>
  </sheetPr>
  <dimension ref="A1:AB65"/>
  <sheetViews>
    <sheetView showGridLines="0" zoomScaleNormal="100" workbookViewId="0">
      <selection activeCell="D7" sqref="D7"/>
    </sheetView>
  </sheetViews>
  <sheetFormatPr defaultRowHeight="18" x14ac:dyDescent="0.35"/>
  <cols>
    <col min="1" max="1" width="8.42578125" style="67" customWidth="1"/>
    <col min="2" max="2" width="9.28515625" style="67" bestFit="1" customWidth="1"/>
    <col min="3" max="3" width="9.42578125" style="67" customWidth="1"/>
    <col min="4" max="4" width="15.5703125" style="208" customWidth="1"/>
    <col min="5" max="5" width="6.140625" style="208" customWidth="1"/>
    <col min="6" max="7" width="10.7109375" style="208" customWidth="1"/>
    <col min="8" max="9" width="14.85546875" style="208" customWidth="1"/>
    <col min="10" max="10" width="13" style="208" customWidth="1"/>
    <col min="11" max="11" width="10" style="208" bestFit="1" customWidth="1"/>
    <col min="12" max="12" width="9.140625" style="67"/>
    <col min="13" max="13" width="9.85546875" style="67" bestFit="1" customWidth="1"/>
    <col min="14" max="14" width="10.85546875" style="67" bestFit="1" customWidth="1"/>
    <col min="15" max="15" width="12.85546875" style="67" customWidth="1"/>
    <col min="16" max="16" width="19.42578125" style="67" customWidth="1"/>
    <col min="17" max="17" width="9.28515625" style="67" bestFit="1" customWidth="1"/>
    <col min="18" max="18" width="9.140625" style="67"/>
    <col min="19" max="19" width="11.28515625" style="67" bestFit="1" customWidth="1"/>
    <col min="20" max="20" width="13.7109375" style="67" bestFit="1" customWidth="1"/>
    <col min="21" max="22" width="9.140625" style="67"/>
    <col min="23" max="25" width="9.28515625" style="67" bestFit="1" customWidth="1"/>
    <col min="26" max="27" width="9.140625" style="67"/>
    <col min="28" max="28" width="9.28515625" style="67" bestFit="1" customWidth="1"/>
    <col min="29" max="16384" width="9.140625" style="67"/>
  </cols>
  <sheetData>
    <row r="1" spans="1:21" ht="28.5" x14ac:dyDescent="0.55000000000000004">
      <c r="A1" s="283" t="s">
        <v>3214</v>
      </c>
      <c r="B1" s="284"/>
      <c r="C1" s="284"/>
      <c r="D1" s="285"/>
      <c r="E1" s="285"/>
      <c r="F1" s="285"/>
      <c r="G1" s="285"/>
      <c r="H1" s="285"/>
      <c r="I1" s="285"/>
      <c r="J1" s="285"/>
      <c r="K1" s="285"/>
      <c r="L1" s="286"/>
    </row>
    <row r="2" spans="1:21" ht="6" customHeight="1" x14ac:dyDescent="0.55000000000000004">
      <c r="A2" s="352"/>
      <c r="B2" s="353"/>
      <c r="C2" s="353"/>
      <c r="D2" s="354"/>
      <c r="E2" s="354"/>
      <c r="F2" s="354"/>
      <c r="G2" s="354"/>
      <c r="H2" s="354"/>
      <c r="I2" s="354"/>
      <c r="J2" s="354"/>
      <c r="K2" s="354"/>
      <c r="L2" s="353"/>
    </row>
    <row r="3" spans="1:21" x14ac:dyDescent="0.35">
      <c r="C3" s="355" t="s">
        <v>364</v>
      </c>
      <c r="D3" s="292" t="e">
        <f>'Deal lead sheet'!C36*12+D4</f>
        <v>#N/A</v>
      </c>
      <c r="K3" s="67"/>
      <c r="M3" s="356" t="s">
        <v>3215</v>
      </c>
    </row>
    <row r="4" spans="1:21" x14ac:dyDescent="0.35">
      <c r="C4" s="355" t="s">
        <v>3216</v>
      </c>
      <c r="D4" s="292" t="e">
        <f>'Deal lead sheet'!C37</f>
        <v>#N/A</v>
      </c>
      <c r="K4" s="67"/>
      <c r="M4" s="357" t="s">
        <v>3217</v>
      </c>
      <c r="Q4" s="358" t="s">
        <v>3218</v>
      </c>
    </row>
    <row r="5" spans="1:21" x14ac:dyDescent="0.35">
      <c r="C5" s="355" t="s">
        <v>3219</v>
      </c>
      <c r="D5" s="297" t="e">
        <f>D3-D4</f>
        <v>#N/A</v>
      </c>
      <c r="K5" s="67"/>
      <c r="M5" s="357" t="s">
        <v>3220</v>
      </c>
    </row>
    <row r="6" spans="1:21" x14ac:dyDescent="0.35">
      <c r="C6" s="355" t="s">
        <v>293</v>
      </c>
      <c r="D6" s="298" t="e">
        <f>'Deal lead sheet'!C33</f>
        <v>#N/A</v>
      </c>
      <c r="K6" s="67"/>
      <c r="M6" s="357" t="s">
        <v>3221</v>
      </c>
    </row>
    <row r="7" spans="1:21" x14ac:dyDescent="0.35">
      <c r="C7" s="355" t="s">
        <v>3222</v>
      </c>
      <c r="D7" s="299">
        <v>0</v>
      </c>
      <c r="E7" s="359"/>
      <c r="K7" s="67"/>
      <c r="M7" s="357" t="s">
        <v>3223</v>
      </c>
    </row>
    <row r="8" spans="1:21" x14ac:dyDescent="0.35">
      <c r="C8" s="355" t="s">
        <v>3224</v>
      </c>
      <c r="D8" s="301">
        <f>'Deal lead sheet'!C32</f>
        <v>24</v>
      </c>
      <c r="K8" s="67"/>
      <c r="M8" s="357" t="s">
        <v>3225</v>
      </c>
    </row>
    <row r="9" spans="1:21" x14ac:dyDescent="0.35">
      <c r="C9" s="360" t="s">
        <v>3226</v>
      </c>
      <c r="D9" s="303">
        <f>IF(D7=0,1,D7)</f>
        <v>1</v>
      </c>
    </row>
    <row r="10" spans="1:21" x14ac:dyDescent="0.35">
      <c r="C10" s="360" t="s">
        <v>3227</v>
      </c>
      <c r="D10" s="304" t="e">
        <f>(D6*D5)/12</f>
        <v>#N/A</v>
      </c>
      <c r="M10" s="357" t="s">
        <v>3228</v>
      </c>
    </row>
    <row r="11" spans="1:21" x14ac:dyDescent="0.35">
      <c r="C11" s="360" t="s">
        <v>3229</v>
      </c>
      <c r="D11" s="304" t="e">
        <f>(D6*D5)/365</f>
        <v>#N/A</v>
      </c>
      <c r="E11" s="361"/>
    </row>
    <row r="12" spans="1:21" x14ac:dyDescent="0.35">
      <c r="C12" s="360" t="s">
        <v>1262</v>
      </c>
      <c r="D12" s="304" t="e">
        <f>D10*D7</f>
        <v>#N/A</v>
      </c>
      <c r="E12" s="361"/>
    </row>
    <row r="13" spans="1:21" x14ac:dyDescent="0.35">
      <c r="C13" s="355" t="s">
        <v>3230</v>
      </c>
      <c r="D13" s="305" t="e">
        <f>D10*D8-D12</f>
        <v>#N/A</v>
      </c>
      <c r="K13" s="67"/>
      <c r="Q13" s="67">
        <v>0</v>
      </c>
    </row>
    <row r="14" spans="1:21" x14ac:dyDescent="0.35">
      <c r="C14" s="355" t="s">
        <v>3231</v>
      </c>
      <c r="D14" s="306">
        <f>'Deal lead sheet'!C43</f>
        <v>44481</v>
      </c>
      <c r="E14" s="362" t="s">
        <v>3232</v>
      </c>
      <c r="F14" s="363"/>
      <c r="G14" s="363"/>
      <c r="K14" s="67"/>
      <c r="Q14" s="67">
        <v>1</v>
      </c>
    </row>
    <row r="15" spans="1:21" x14ac:dyDescent="0.35">
      <c r="C15" s="355" t="s">
        <v>3233</v>
      </c>
      <c r="D15" s="309">
        <v>10</v>
      </c>
      <c r="E15" s="362" t="s">
        <v>3234</v>
      </c>
      <c r="F15" s="363"/>
      <c r="G15" s="363"/>
      <c r="K15" s="67"/>
      <c r="N15" s="67">
        <f>IF(D7&gt;0,D7,IF(DATE(YEAR(D14),MONTH(D14),D15)&lt;D14,1,0))</f>
        <v>1</v>
      </c>
      <c r="O15" s="364">
        <f>DATE(YEAR(D14),MONTH(D14)+N15,D15)</f>
        <v>44510</v>
      </c>
      <c r="Q15" s="365">
        <f>D8</f>
        <v>24</v>
      </c>
      <c r="T15" s="366">
        <f>IF(D16="No",0,1)</f>
        <v>1</v>
      </c>
      <c r="U15" s="367" t="s">
        <v>3235</v>
      </c>
    </row>
    <row r="16" spans="1:21" x14ac:dyDescent="0.35">
      <c r="C16" s="360" t="s">
        <v>3236</v>
      </c>
      <c r="D16" s="368" t="str">
        <f>IF(D7=0,IF(DAY(D14)&lt;15,"Yes","No"),"No")</f>
        <v>Yes</v>
      </c>
      <c r="E16" s="362" t="s">
        <v>3237</v>
      </c>
      <c r="F16" s="363"/>
      <c r="G16" s="363"/>
      <c r="K16" s="67"/>
      <c r="N16" s="369">
        <f>O15-D14</f>
        <v>29</v>
      </c>
      <c r="O16" s="67">
        <f>DAY(EOMONTH(D14,0))</f>
        <v>31</v>
      </c>
      <c r="T16" s="366">
        <f>IF(D15&lt;DAY(D14),1,0)</f>
        <v>1</v>
      </c>
      <c r="U16" s="367" t="s">
        <v>3238</v>
      </c>
    </row>
    <row r="17" spans="1:26" x14ac:dyDescent="0.35">
      <c r="C17" s="370"/>
      <c r="K17" s="67"/>
      <c r="O17" s="371" t="e">
        <f>D10/O16</f>
        <v>#N/A</v>
      </c>
      <c r="T17" s="366">
        <f>IF(DAY($D$14)&lt;15,0,1)</f>
        <v>0</v>
      </c>
      <c r="U17" s="367" t="s">
        <v>3239</v>
      </c>
    </row>
    <row r="18" spans="1:26" s="69" customFormat="1" x14ac:dyDescent="0.35">
      <c r="A18" s="67"/>
      <c r="B18" s="67"/>
      <c r="C18" s="314" t="s">
        <v>3240</v>
      </c>
      <c r="D18" s="208"/>
      <c r="E18" s="208"/>
      <c r="F18" s="208"/>
      <c r="G18" s="208"/>
      <c r="H18" s="208"/>
      <c r="I18" s="208"/>
      <c r="O18" s="69" t="e">
        <f>O17*N16</f>
        <v>#N/A</v>
      </c>
      <c r="Z18" s="208" t="s">
        <v>2151</v>
      </c>
    </row>
    <row r="19" spans="1:26" ht="38.25" customHeight="1" x14ac:dyDescent="0.35">
      <c r="A19" s="69"/>
      <c r="B19" s="316" t="s">
        <v>3241</v>
      </c>
      <c r="C19" s="317" t="s">
        <v>3242</v>
      </c>
      <c r="D19" s="372" t="s">
        <v>3243</v>
      </c>
      <c r="E19" s="372" t="s">
        <v>3244</v>
      </c>
      <c r="F19" s="318" t="s">
        <v>3245</v>
      </c>
      <c r="G19" s="318" t="s">
        <v>3246</v>
      </c>
      <c r="H19" s="318" t="s">
        <v>3247</v>
      </c>
      <c r="I19" s="318" t="s">
        <v>1262</v>
      </c>
      <c r="J19" s="318" t="s">
        <v>3248</v>
      </c>
      <c r="K19" s="318" t="s">
        <v>3249</v>
      </c>
      <c r="L19" s="318"/>
      <c r="O19" s="371" t="e">
        <f>D10-O18</f>
        <v>#N/A</v>
      </c>
      <c r="S19" s="3773" t="s">
        <v>3250</v>
      </c>
      <c r="T19" s="3774"/>
    </row>
    <row r="20" spans="1:26" x14ac:dyDescent="0.35">
      <c r="B20" s="319">
        <v>0</v>
      </c>
      <c r="C20" s="373">
        <f>EOMONTH($D$14,B20)</f>
        <v>44500</v>
      </c>
      <c r="D20" s="374">
        <f>IF(B20&lt;=$D$8,_xlfn.DAYS(EOMONTH(F20,0),F20)+1,"")</f>
        <v>20</v>
      </c>
      <c r="E20" s="375" t="str">
        <f t="shared" ref="E20:E56" si="0">IF(B20&lt;=$D$8,IF(_xlfn.DAYS(EOMONTH(F20,0),DATE(YEAR(F20),MONTH(F20),1))+1=D20,"Yes","No"),"")</f>
        <v>No</v>
      </c>
      <c r="F20" s="323">
        <f>D14</f>
        <v>44481</v>
      </c>
      <c r="G20" s="324">
        <v>0</v>
      </c>
      <c r="H20" s="325" t="e">
        <f>IF(B20&gt;$D$8,"",IF(E20="No",D20*$D$11,$D$10))</f>
        <v>#N/A</v>
      </c>
      <c r="I20" s="325" t="str">
        <f>IF(K20="","",IF(K20="-",0,$D$10+IF(B20=$N$15,$D$10*($N$15-$D$7),0)))</f>
        <v/>
      </c>
      <c r="J20" s="325" t="e">
        <f>IF($D$16="no",I20,H20)</f>
        <v>#N/A</v>
      </c>
      <c r="K20" s="320" t="str">
        <f>IF(MONTH(O15)=MONTH(C20),O15,"")</f>
        <v/>
      </c>
      <c r="L20" s="376" t="str">
        <f>IF(D16="No","No time to take DD in completion month",IF(E20="no","Partial DD taken in 1st month","1st month DD taken as full month"))</f>
        <v>Partial DD taken in 1st month</v>
      </c>
      <c r="S20" s="327" t="e">
        <f t="shared" ref="S20:S56" si="1">IF(B20&lt;$D$8,$D$10,"")</f>
        <v>#N/A</v>
      </c>
      <c r="T20" s="328">
        <f t="shared" ref="T20:T56" si="2">C20</f>
        <v>44500</v>
      </c>
      <c r="W20" s="377" t="s">
        <v>3251</v>
      </c>
      <c r="X20" s="377"/>
      <c r="Y20" s="377"/>
    </row>
    <row r="21" spans="1:26" x14ac:dyDescent="0.35">
      <c r="B21" s="319">
        <f t="shared" ref="B21:B56" si="3">B20+1</f>
        <v>1</v>
      </c>
      <c r="C21" s="373">
        <f t="shared" ref="C21:C56" si="4">EOMONTH($D$14,B21)</f>
        <v>44530</v>
      </c>
      <c r="D21" s="374">
        <f t="shared" ref="D21:D56" si="5">IF(B21&lt;$D$8,_xlfn.DAYS(EOMONTH(F21,0),DATE(YEAR(F21),MONTH(F21),1))+1,IF(B21=$D$8,$W$22-1,""))</f>
        <v>30</v>
      </c>
      <c r="E21" s="375" t="str">
        <f t="shared" si="0"/>
        <v>Yes</v>
      </c>
      <c r="F21" s="323">
        <f t="shared" ref="F21:F56" si="6">IF(B21&gt;$D$8,"",EDATE(F20,1))</f>
        <v>44512</v>
      </c>
      <c r="G21" s="324">
        <v>0</v>
      </c>
      <c r="H21" s="325" t="e">
        <f>IF(B21&gt;$D$8,"",IF(AND(E21="No",B21=1),$D$10-$H$20,IF(B21=Penultimate_Month,IF(Final_Month_DD_Req=1,$D$10,$D$10),IF(AND(E21="No",B21=$D$8),Month1_Remainder,$D$10))))</f>
        <v>#N/A</v>
      </c>
      <c r="I21" s="325" t="e">
        <f>IF(K21="","",IF(K21="-",0,$D$10+IF(B21=$N$15,$D$10*($N$15-$D$7),0)))</f>
        <v>#N/A</v>
      </c>
      <c r="J21" s="325" t="e">
        <f t="shared" ref="J21:J56" si="7">IF($D$16="no",I21,H21)</f>
        <v>#N/A</v>
      </c>
      <c r="K21" s="378">
        <f>IFERROR(IF(B21=$N$15,$O$15,IF(B21&gt;=$D$8,"",EDATE(K20,1))),"")</f>
        <v>44510</v>
      </c>
      <c r="S21" s="327" t="e">
        <f t="shared" si="1"/>
        <v>#N/A</v>
      </c>
      <c r="T21" s="328">
        <f t="shared" si="2"/>
        <v>44530</v>
      </c>
      <c r="W21" s="377" t="s">
        <v>3252</v>
      </c>
      <c r="X21" s="377" t="s">
        <v>3241</v>
      </c>
      <c r="Y21" s="377" t="s">
        <v>3253</v>
      </c>
    </row>
    <row r="22" spans="1:26" x14ac:dyDescent="0.35">
      <c r="B22" s="319">
        <f t="shared" si="3"/>
        <v>2</v>
      </c>
      <c r="C22" s="373">
        <f t="shared" si="4"/>
        <v>44561</v>
      </c>
      <c r="D22" s="374">
        <f t="shared" si="5"/>
        <v>31</v>
      </c>
      <c r="E22" s="375" t="str">
        <f t="shared" si="0"/>
        <v>Yes</v>
      </c>
      <c r="F22" s="323">
        <f t="shared" si="6"/>
        <v>44542</v>
      </c>
      <c r="G22" s="324">
        <v>0</v>
      </c>
      <c r="H22" s="325" t="e">
        <f t="shared" ref="H22:H56" si="8">IF(B22&gt;$D$8,"",IF(AND(E22="No",B22=1),$D$10-$H$20,IF(B22=Penultimate_Month,IF(Final_Month_DD_Req=1,$D$10,$D$10),IF(AND(E22="No",B22=$D$8),Month1_Remainder,$D$10))))</f>
        <v>#N/A</v>
      </c>
      <c r="I22" s="325" t="e">
        <f t="shared" ref="I22:I56" si="9">IF(K22="","",IF(K22="-",0,$D$10+IF(B22=$N$15,$D$10*($N$15-$D$7),0)))</f>
        <v>#N/A</v>
      </c>
      <c r="J22" s="325" t="e">
        <f t="shared" si="7"/>
        <v>#N/A</v>
      </c>
      <c r="K22" s="378">
        <f t="shared" ref="K22:K56" si="10">IFERROR(IF(B22=$N$15,$O$15,IF(B22&gt;=$D$8,"",EDATE(K21,1))),"")</f>
        <v>44540</v>
      </c>
      <c r="L22" s="379" t="s">
        <v>3254</v>
      </c>
      <c r="M22" s="3776" t="s">
        <v>3255</v>
      </c>
      <c r="N22" s="3777"/>
      <c r="O22" s="3777"/>
      <c r="P22" s="3777"/>
      <c r="S22" s="327" t="e">
        <f t="shared" si="1"/>
        <v>#N/A</v>
      </c>
      <c r="T22" s="328">
        <f t="shared" si="2"/>
        <v>44561</v>
      </c>
      <c r="W22" s="377">
        <f>DAY(D14)</f>
        <v>12</v>
      </c>
      <c r="X22" s="377">
        <f>MONTH(D14)</f>
        <v>10</v>
      </c>
      <c r="Y22" s="377">
        <f>YEAR(D14)</f>
        <v>2021</v>
      </c>
    </row>
    <row r="23" spans="1:26" x14ac:dyDescent="0.35">
      <c r="B23" s="319">
        <f t="shared" si="3"/>
        <v>3</v>
      </c>
      <c r="C23" s="373">
        <f t="shared" si="4"/>
        <v>44592</v>
      </c>
      <c r="D23" s="374">
        <f t="shared" si="5"/>
        <v>31</v>
      </c>
      <c r="E23" s="375" t="str">
        <f t="shared" si="0"/>
        <v>Yes</v>
      </c>
      <c r="F23" s="323">
        <f t="shared" si="6"/>
        <v>44573</v>
      </c>
      <c r="G23" s="324">
        <v>0</v>
      </c>
      <c r="H23" s="325" t="e">
        <f>IF(B23&gt;$D$8,"",IF(AND(E23="No",B23=1),$D$10-$H$20,IF(B23=Penultimate_Month,IF(Final_Month_DD_Req=1,$D$10,$D$10),IF(AND(E23="No",B23=$D$8),Month1_Remainder,$D$10))))</f>
        <v>#N/A</v>
      </c>
      <c r="I23" s="325" t="e">
        <f t="shared" si="9"/>
        <v>#N/A</v>
      </c>
      <c r="J23" s="325" t="e">
        <f t="shared" si="7"/>
        <v>#N/A</v>
      </c>
      <c r="K23" s="378">
        <f t="shared" si="10"/>
        <v>44571</v>
      </c>
      <c r="S23" s="327" t="e">
        <f t="shared" si="1"/>
        <v>#N/A</v>
      </c>
      <c r="T23" s="328">
        <f t="shared" si="2"/>
        <v>44592</v>
      </c>
    </row>
    <row r="24" spans="1:26" x14ac:dyDescent="0.35">
      <c r="B24" s="319">
        <f t="shared" si="3"/>
        <v>4</v>
      </c>
      <c r="C24" s="373">
        <f t="shared" si="4"/>
        <v>44620</v>
      </c>
      <c r="D24" s="374">
        <f t="shared" si="5"/>
        <v>28</v>
      </c>
      <c r="E24" s="380" t="str">
        <f t="shared" si="0"/>
        <v>Yes</v>
      </c>
      <c r="F24" s="323">
        <f t="shared" si="6"/>
        <v>44604</v>
      </c>
      <c r="G24" s="324">
        <v>0</v>
      </c>
      <c r="H24" s="325" t="e">
        <f t="shared" si="8"/>
        <v>#N/A</v>
      </c>
      <c r="I24" s="325" t="e">
        <f t="shared" si="9"/>
        <v>#N/A</v>
      </c>
      <c r="J24" s="325" t="e">
        <f t="shared" si="7"/>
        <v>#N/A</v>
      </c>
      <c r="K24" s="378">
        <f t="shared" si="10"/>
        <v>44602</v>
      </c>
      <c r="O24" s="3775" t="s">
        <v>3256</v>
      </c>
      <c r="P24" s="3775"/>
      <c r="S24" s="327" t="e">
        <f t="shared" si="1"/>
        <v>#N/A</v>
      </c>
      <c r="T24" s="328">
        <f t="shared" si="2"/>
        <v>44620</v>
      </c>
    </row>
    <row r="25" spans="1:26" x14ac:dyDescent="0.35">
      <c r="B25" s="319">
        <f t="shared" si="3"/>
        <v>5</v>
      </c>
      <c r="C25" s="373">
        <f t="shared" si="4"/>
        <v>44651</v>
      </c>
      <c r="D25" s="374">
        <f t="shared" si="5"/>
        <v>31</v>
      </c>
      <c r="E25" s="380" t="str">
        <f t="shared" si="0"/>
        <v>Yes</v>
      </c>
      <c r="F25" s="323">
        <f t="shared" si="6"/>
        <v>44632</v>
      </c>
      <c r="G25" s="324">
        <v>0</v>
      </c>
      <c r="H25" s="325" t="e">
        <f t="shared" si="8"/>
        <v>#N/A</v>
      </c>
      <c r="I25" s="325" t="e">
        <f t="shared" si="9"/>
        <v>#N/A</v>
      </c>
      <c r="J25" s="325" t="e">
        <f t="shared" si="7"/>
        <v>#N/A</v>
      </c>
      <c r="K25" s="378">
        <f t="shared" si="10"/>
        <v>44630</v>
      </c>
      <c r="O25" s="334" t="s">
        <v>3257</v>
      </c>
      <c r="P25" s="334" t="s">
        <v>3258</v>
      </c>
      <c r="S25" s="327" t="e">
        <f t="shared" si="1"/>
        <v>#N/A</v>
      </c>
      <c r="T25" s="328">
        <f t="shared" si="2"/>
        <v>44651</v>
      </c>
    </row>
    <row r="26" spans="1:26" x14ac:dyDescent="0.35">
      <c r="B26" s="319">
        <f t="shared" si="3"/>
        <v>6</v>
      </c>
      <c r="C26" s="373">
        <f t="shared" si="4"/>
        <v>44681</v>
      </c>
      <c r="D26" s="374">
        <f t="shared" si="5"/>
        <v>30</v>
      </c>
      <c r="E26" s="380" t="str">
        <f t="shared" si="0"/>
        <v>Yes</v>
      </c>
      <c r="F26" s="323">
        <f t="shared" si="6"/>
        <v>44663</v>
      </c>
      <c r="G26" s="324">
        <v>0</v>
      </c>
      <c r="H26" s="325" t="e">
        <f t="shared" si="8"/>
        <v>#N/A</v>
      </c>
      <c r="I26" s="325" t="e">
        <f t="shared" si="9"/>
        <v>#N/A</v>
      </c>
      <c r="J26" s="325" t="e">
        <f t="shared" si="7"/>
        <v>#N/A</v>
      </c>
      <c r="K26" s="378">
        <f t="shared" si="10"/>
        <v>44661</v>
      </c>
      <c r="M26" s="381"/>
      <c r="N26" s="314" t="s">
        <v>3259</v>
      </c>
      <c r="O26" s="382" t="e">
        <f>IF($J$20="",J21,J20)</f>
        <v>#N/A</v>
      </c>
      <c r="P26" s="382" t="e">
        <f>IF($J$20="",K21,K20)</f>
        <v>#N/A</v>
      </c>
      <c r="S26" s="327" t="e">
        <f t="shared" si="1"/>
        <v>#N/A</v>
      </c>
      <c r="T26" s="328">
        <f t="shared" si="2"/>
        <v>44681</v>
      </c>
    </row>
    <row r="27" spans="1:26" x14ac:dyDescent="0.35">
      <c r="B27" s="319">
        <f t="shared" si="3"/>
        <v>7</v>
      </c>
      <c r="C27" s="373">
        <f t="shared" si="4"/>
        <v>44712</v>
      </c>
      <c r="D27" s="374">
        <f t="shared" si="5"/>
        <v>31</v>
      </c>
      <c r="E27" s="380" t="str">
        <f t="shared" si="0"/>
        <v>Yes</v>
      </c>
      <c r="F27" s="323">
        <f t="shared" si="6"/>
        <v>44693</v>
      </c>
      <c r="G27" s="324">
        <v>0</v>
      </c>
      <c r="H27" s="325" t="e">
        <f t="shared" si="8"/>
        <v>#N/A</v>
      </c>
      <c r="I27" s="325" t="e">
        <f t="shared" si="9"/>
        <v>#N/A</v>
      </c>
      <c r="J27" s="325" t="e">
        <f t="shared" si="7"/>
        <v>#N/A</v>
      </c>
      <c r="K27" s="378">
        <f t="shared" si="10"/>
        <v>44691</v>
      </c>
      <c r="M27" s="381"/>
      <c r="N27" s="314" t="str">
        <f>"Then "&amp;TEXT(COUNTIF(J20:J56,$D$10),"#0")&amp;" payments of:"</f>
        <v>Then 25 payments of:</v>
      </c>
      <c r="O27" s="325" t="e">
        <f>$D$10</f>
        <v>#N/A</v>
      </c>
      <c r="P27" s="320" t="str">
        <f>"On day "&amp;TEXT(D15,"##")&amp;" of the month"</f>
        <v>On day 10 of the month</v>
      </c>
      <c r="S27" s="327" t="e">
        <f t="shared" si="1"/>
        <v>#N/A</v>
      </c>
      <c r="T27" s="328">
        <f t="shared" si="2"/>
        <v>44712</v>
      </c>
    </row>
    <row r="28" spans="1:26" x14ac:dyDescent="0.35">
      <c r="B28" s="319">
        <f t="shared" si="3"/>
        <v>8</v>
      </c>
      <c r="C28" s="373">
        <f t="shared" si="4"/>
        <v>44742</v>
      </c>
      <c r="D28" s="383">
        <f t="shared" si="5"/>
        <v>30</v>
      </c>
      <c r="E28" s="380" t="str">
        <f t="shared" si="0"/>
        <v>Yes</v>
      </c>
      <c r="F28" s="323">
        <f t="shared" si="6"/>
        <v>44724</v>
      </c>
      <c r="G28" s="324">
        <v>0</v>
      </c>
      <c r="H28" s="325" t="e">
        <f t="shared" si="8"/>
        <v>#N/A</v>
      </c>
      <c r="I28" s="325" t="e">
        <f t="shared" si="9"/>
        <v>#N/A</v>
      </c>
      <c r="J28" s="325" t="e">
        <f t="shared" si="7"/>
        <v>#N/A</v>
      </c>
      <c r="K28" s="378">
        <f t="shared" si="10"/>
        <v>44722</v>
      </c>
      <c r="M28" s="381"/>
      <c r="N28" s="314" t="s">
        <v>3260</v>
      </c>
      <c r="O28" s="325" t="e">
        <f>IF(F62="",F63,F62)</f>
        <v>#N/A</v>
      </c>
      <c r="P28" s="325">
        <f>IF(F62="",H63,H62)</f>
        <v>45179</v>
      </c>
      <c r="S28" s="327" t="e">
        <f t="shared" si="1"/>
        <v>#N/A</v>
      </c>
      <c r="T28" s="328">
        <f t="shared" si="2"/>
        <v>44742</v>
      </c>
    </row>
    <row r="29" spans="1:26" x14ac:dyDescent="0.35">
      <c r="B29" s="319">
        <f t="shared" si="3"/>
        <v>9</v>
      </c>
      <c r="C29" s="373">
        <f t="shared" si="4"/>
        <v>44773</v>
      </c>
      <c r="D29" s="383">
        <f t="shared" si="5"/>
        <v>31</v>
      </c>
      <c r="E29" s="380" t="str">
        <f t="shared" si="0"/>
        <v>Yes</v>
      </c>
      <c r="F29" s="323">
        <f t="shared" si="6"/>
        <v>44754</v>
      </c>
      <c r="G29" s="324">
        <v>0</v>
      </c>
      <c r="H29" s="325" t="e">
        <f t="shared" si="8"/>
        <v>#N/A</v>
      </c>
      <c r="I29" s="325" t="e">
        <f t="shared" si="9"/>
        <v>#N/A</v>
      </c>
      <c r="J29" s="325" t="e">
        <f t="shared" si="7"/>
        <v>#N/A</v>
      </c>
      <c r="K29" s="378">
        <f t="shared" si="10"/>
        <v>44752</v>
      </c>
      <c r="N29" s="314" t="s">
        <v>3261</v>
      </c>
      <c r="O29" s="1229" t="e">
        <f>J57</f>
        <v>#N/A</v>
      </c>
      <c r="S29" s="327" t="e">
        <f t="shared" si="1"/>
        <v>#N/A</v>
      </c>
      <c r="T29" s="328">
        <f t="shared" si="2"/>
        <v>44773</v>
      </c>
    </row>
    <row r="30" spans="1:26" x14ac:dyDescent="0.35">
      <c r="B30" s="319">
        <f t="shared" si="3"/>
        <v>10</v>
      </c>
      <c r="C30" s="373">
        <f t="shared" si="4"/>
        <v>44804</v>
      </c>
      <c r="D30" s="383">
        <f t="shared" si="5"/>
        <v>31</v>
      </c>
      <c r="E30" s="380" t="str">
        <f t="shared" si="0"/>
        <v>Yes</v>
      </c>
      <c r="F30" s="323">
        <f t="shared" si="6"/>
        <v>44785</v>
      </c>
      <c r="G30" s="324">
        <v>0</v>
      </c>
      <c r="H30" s="325" t="e">
        <f t="shared" si="8"/>
        <v>#N/A</v>
      </c>
      <c r="I30" s="325" t="e">
        <f t="shared" si="9"/>
        <v>#N/A</v>
      </c>
      <c r="J30" s="325" t="e">
        <f t="shared" si="7"/>
        <v>#N/A</v>
      </c>
      <c r="K30" s="378">
        <f t="shared" si="10"/>
        <v>44783</v>
      </c>
      <c r="S30" s="327" t="e">
        <f t="shared" si="1"/>
        <v>#N/A</v>
      </c>
      <c r="T30" s="328">
        <f t="shared" si="2"/>
        <v>44804</v>
      </c>
    </row>
    <row r="31" spans="1:26" x14ac:dyDescent="0.35">
      <c r="B31" s="319">
        <f t="shared" si="3"/>
        <v>11</v>
      </c>
      <c r="C31" s="373">
        <f t="shared" si="4"/>
        <v>44834</v>
      </c>
      <c r="D31" s="383">
        <f t="shared" si="5"/>
        <v>30</v>
      </c>
      <c r="E31" s="380" t="str">
        <f t="shared" si="0"/>
        <v>Yes</v>
      </c>
      <c r="F31" s="323">
        <f t="shared" si="6"/>
        <v>44816</v>
      </c>
      <c r="G31" s="324">
        <v>0</v>
      </c>
      <c r="H31" s="325" t="e">
        <f t="shared" si="8"/>
        <v>#N/A</v>
      </c>
      <c r="I31" s="325" t="e">
        <f t="shared" si="9"/>
        <v>#N/A</v>
      </c>
      <c r="J31" s="325" t="e">
        <f t="shared" si="7"/>
        <v>#N/A</v>
      </c>
      <c r="K31" s="378">
        <f t="shared" si="10"/>
        <v>44814</v>
      </c>
      <c r="S31" s="327" t="e">
        <f t="shared" si="1"/>
        <v>#N/A</v>
      </c>
      <c r="T31" s="328">
        <f t="shared" si="2"/>
        <v>44834</v>
      </c>
    </row>
    <row r="32" spans="1:26" x14ac:dyDescent="0.35">
      <c r="B32" s="319">
        <f t="shared" si="3"/>
        <v>12</v>
      </c>
      <c r="C32" s="373">
        <f t="shared" si="4"/>
        <v>44865</v>
      </c>
      <c r="D32" s="383">
        <f t="shared" si="5"/>
        <v>31</v>
      </c>
      <c r="E32" s="380" t="str">
        <f t="shared" si="0"/>
        <v>Yes</v>
      </c>
      <c r="F32" s="323">
        <f t="shared" si="6"/>
        <v>44846</v>
      </c>
      <c r="G32" s="324">
        <v>0</v>
      </c>
      <c r="H32" s="325" t="e">
        <f t="shared" si="8"/>
        <v>#N/A</v>
      </c>
      <c r="I32" s="325" t="e">
        <f t="shared" si="9"/>
        <v>#N/A</v>
      </c>
      <c r="J32" s="325" t="e">
        <f t="shared" si="7"/>
        <v>#N/A</v>
      </c>
      <c r="K32" s="378">
        <f t="shared" si="10"/>
        <v>44844</v>
      </c>
      <c r="S32" s="327" t="e">
        <f t="shared" si="1"/>
        <v>#N/A</v>
      </c>
      <c r="T32" s="328">
        <f t="shared" si="2"/>
        <v>44865</v>
      </c>
    </row>
    <row r="33" spans="2:28" x14ac:dyDescent="0.35">
      <c r="B33" s="319">
        <f t="shared" si="3"/>
        <v>13</v>
      </c>
      <c r="C33" s="373">
        <f t="shared" si="4"/>
        <v>44895</v>
      </c>
      <c r="D33" s="383">
        <f t="shared" si="5"/>
        <v>30</v>
      </c>
      <c r="E33" s="380" t="str">
        <f t="shared" si="0"/>
        <v>Yes</v>
      </c>
      <c r="F33" s="323">
        <f t="shared" si="6"/>
        <v>44877</v>
      </c>
      <c r="G33" s="324">
        <v>0</v>
      </c>
      <c r="H33" s="325" t="e">
        <f t="shared" si="8"/>
        <v>#N/A</v>
      </c>
      <c r="I33" s="325" t="e">
        <f t="shared" si="9"/>
        <v>#N/A</v>
      </c>
      <c r="J33" s="325" t="e">
        <f t="shared" si="7"/>
        <v>#N/A</v>
      </c>
      <c r="K33" s="378">
        <f t="shared" si="10"/>
        <v>44875</v>
      </c>
      <c r="S33" s="327" t="e">
        <f t="shared" si="1"/>
        <v>#N/A</v>
      </c>
      <c r="T33" s="328">
        <f t="shared" si="2"/>
        <v>44895</v>
      </c>
    </row>
    <row r="34" spans="2:28" x14ac:dyDescent="0.35">
      <c r="B34" s="319">
        <f t="shared" si="3"/>
        <v>14</v>
      </c>
      <c r="C34" s="373">
        <f t="shared" si="4"/>
        <v>44926</v>
      </c>
      <c r="D34" s="383">
        <f t="shared" si="5"/>
        <v>31</v>
      </c>
      <c r="E34" s="380" t="str">
        <f t="shared" si="0"/>
        <v>Yes</v>
      </c>
      <c r="F34" s="323">
        <f t="shared" si="6"/>
        <v>44907</v>
      </c>
      <c r="G34" s="324">
        <v>0</v>
      </c>
      <c r="H34" s="325" t="e">
        <f t="shared" si="8"/>
        <v>#N/A</v>
      </c>
      <c r="I34" s="325" t="e">
        <f t="shared" si="9"/>
        <v>#N/A</v>
      </c>
      <c r="J34" s="325" t="e">
        <f t="shared" si="7"/>
        <v>#N/A</v>
      </c>
      <c r="K34" s="378">
        <f t="shared" si="10"/>
        <v>44905</v>
      </c>
      <c r="S34" s="327" t="e">
        <f t="shared" si="1"/>
        <v>#N/A</v>
      </c>
      <c r="T34" s="328">
        <f t="shared" si="2"/>
        <v>44926</v>
      </c>
    </row>
    <row r="35" spans="2:28" x14ac:dyDescent="0.35">
      <c r="B35" s="319">
        <f t="shared" si="3"/>
        <v>15</v>
      </c>
      <c r="C35" s="373">
        <f t="shared" si="4"/>
        <v>44957</v>
      </c>
      <c r="D35" s="383">
        <f t="shared" si="5"/>
        <v>31</v>
      </c>
      <c r="E35" s="380" t="str">
        <f t="shared" si="0"/>
        <v>Yes</v>
      </c>
      <c r="F35" s="323">
        <f t="shared" si="6"/>
        <v>44938</v>
      </c>
      <c r="G35" s="324">
        <v>0</v>
      </c>
      <c r="H35" s="325" t="e">
        <f t="shared" si="8"/>
        <v>#N/A</v>
      </c>
      <c r="I35" s="325" t="e">
        <f t="shared" si="9"/>
        <v>#N/A</v>
      </c>
      <c r="J35" s="325" t="e">
        <f t="shared" si="7"/>
        <v>#N/A</v>
      </c>
      <c r="K35" s="378">
        <f t="shared" si="10"/>
        <v>44936</v>
      </c>
      <c r="S35" s="327" t="e">
        <f t="shared" si="1"/>
        <v>#N/A</v>
      </c>
      <c r="T35" s="328">
        <f t="shared" si="2"/>
        <v>44957</v>
      </c>
    </row>
    <row r="36" spans="2:28" x14ac:dyDescent="0.35">
      <c r="B36" s="319">
        <f t="shared" si="3"/>
        <v>16</v>
      </c>
      <c r="C36" s="373">
        <f t="shared" si="4"/>
        <v>44985</v>
      </c>
      <c r="D36" s="383">
        <f t="shared" si="5"/>
        <v>28</v>
      </c>
      <c r="E36" s="380" t="str">
        <f t="shared" si="0"/>
        <v>Yes</v>
      </c>
      <c r="F36" s="323">
        <f t="shared" si="6"/>
        <v>44969</v>
      </c>
      <c r="G36" s="324">
        <v>0</v>
      </c>
      <c r="H36" s="325" t="e">
        <f t="shared" si="8"/>
        <v>#N/A</v>
      </c>
      <c r="I36" s="325" t="e">
        <f t="shared" si="9"/>
        <v>#N/A</v>
      </c>
      <c r="J36" s="325" t="e">
        <f t="shared" si="7"/>
        <v>#N/A</v>
      </c>
      <c r="K36" s="378">
        <f t="shared" si="10"/>
        <v>44967</v>
      </c>
      <c r="S36" s="327" t="e">
        <f t="shared" si="1"/>
        <v>#N/A</v>
      </c>
      <c r="T36" s="328">
        <f t="shared" si="2"/>
        <v>44985</v>
      </c>
    </row>
    <row r="37" spans="2:28" x14ac:dyDescent="0.35">
      <c r="B37" s="319">
        <f t="shared" si="3"/>
        <v>17</v>
      </c>
      <c r="C37" s="373">
        <f t="shared" si="4"/>
        <v>45016</v>
      </c>
      <c r="D37" s="383">
        <f t="shared" si="5"/>
        <v>31</v>
      </c>
      <c r="E37" s="380" t="str">
        <f t="shared" si="0"/>
        <v>Yes</v>
      </c>
      <c r="F37" s="323">
        <f t="shared" si="6"/>
        <v>44997</v>
      </c>
      <c r="G37" s="324">
        <v>0</v>
      </c>
      <c r="H37" s="325" t="e">
        <f t="shared" si="8"/>
        <v>#N/A</v>
      </c>
      <c r="I37" s="325" t="e">
        <f t="shared" si="9"/>
        <v>#N/A</v>
      </c>
      <c r="J37" s="325" t="e">
        <f t="shared" si="7"/>
        <v>#N/A</v>
      </c>
      <c r="K37" s="378">
        <f t="shared" si="10"/>
        <v>44995</v>
      </c>
      <c r="S37" s="327" t="e">
        <f t="shared" si="1"/>
        <v>#N/A</v>
      </c>
      <c r="T37" s="328">
        <f t="shared" si="2"/>
        <v>45016</v>
      </c>
    </row>
    <row r="38" spans="2:28" x14ac:dyDescent="0.35">
      <c r="B38" s="319">
        <f t="shared" si="3"/>
        <v>18</v>
      </c>
      <c r="C38" s="373">
        <f t="shared" si="4"/>
        <v>45046</v>
      </c>
      <c r="D38" s="383">
        <f t="shared" si="5"/>
        <v>30</v>
      </c>
      <c r="E38" s="380" t="str">
        <f t="shared" si="0"/>
        <v>Yes</v>
      </c>
      <c r="F38" s="323">
        <f t="shared" si="6"/>
        <v>45028</v>
      </c>
      <c r="G38" s="324">
        <v>0</v>
      </c>
      <c r="H38" s="325" t="e">
        <f t="shared" si="8"/>
        <v>#N/A</v>
      </c>
      <c r="I38" s="325" t="e">
        <f t="shared" si="9"/>
        <v>#N/A</v>
      </c>
      <c r="J38" s="325" t="e">
        <f t="shared" si="7"/>
        <v>#N/A</v>
      </c>
      <c r="K38" s="378">
        <f t="shared" si="10"/>
        <v>45026</v>
      </c>
      <c r="S38" s="327" t="e">
        <f t="shared" si="1"/>
        <v>#N/A</v>
      </c>
      <c r="T38" s="328">
        <f t="shared" si="2"/>
        <v>45046</v>
      </c>
    </row>
    <row r="39" spans="2:28" x14ac:dyDescent="0.35">
      <c r="B39" s="319">
        <f t="shared" si="3"/>
        <v>19</v>
      </c>
      <c r="C39" s="373">
        <f t="shared" si="4"/>
        <v>45077</v>
      </c>
      <c r="D39" s="383">
        <f t="shared" si="5"/>
        <v>31</v>
      </c>
      <c r="E39" s="380" t="str">
        <f t="shared" si="0"/>
        <v>Yes</v>
      </c>
      <c r="F39" s="323">
        <f t="shared" si="6"/>
        <v>45058</v>
      </c>
      <c r="G39" s="324">
        <v>0</v>
      </c>
      <c r="H39" s="325" t="e">
        <f t="shared" si="8"/>
        <v>#N/A</v>
      </c>
      <c r="I39" s="325" t="e">
        <f t="shared" si="9"/>
        <v>#N/A</v>
      </c>
      <c r="J39" s="325" t="e">
        <f t="shared" si="7"/>
        <v>#N/A</v>
      </c>
      <c r="K39" s="378">
        <f t="shared" si="10"/>
        <v>45056</v>
      </c>
      <c r="S39" s="327" t="e">
        <f t="shared" si="1"/>
        <v>#N/A</v>
      </c>
      <c r="T39" s="328">
        <f t="shared" si="2"/>
        <v>45077</v>
      </c>
    </row>
    <row r="40" spans="2:28" x14ac:dyDescent="0.35">
      <c r="B40" s="319">
        <f t="shared" si="3"/>
        <v>20</v>
      </c>
      <c r="C40" s="373">
        <f t="shared" si="4"/>
        <v>45107</v>
      </c>
      <c r="D40" s="383">
        <f t="shared" si="5"/>
        <v>30</v>
      </c>
      <c r="E40" s="380" t="str">
        <f t="shared" si="0"/>
        <v>Yes</v>
      </c>
      <c r="F40" s="323">
        <f t="shared" si="6"/>
        <v>45089</v>
      </c>
      <c r="G40" s="324">
        <v>0</v>
      </c>
      <c r="H40" s="325" t="e">
        <f t="shared" si="8"/>
        <v>#N/A</v>
      </c>
      <c r="I40" s="325" t="e">
        <f t="shared" si="9"/>
        <v>#N/A</v>
      </c>
      <c r="J40" s="325" t="e">
        <f t="shared" si="7"/>
        <v>#N/A</v>
      </c>
      <c r="K40" s="378">
        <f t="shared" si="10"/>
        <v>45087</v>
      </c>
      <c r="S40" s="327" t="e">
        <f t="shared" si="1"/>
        <v>#N/A</v>
      </c>
      <c r="T40" s="328">
        <f t="shared" si="2"/>
        <v>45107</v>
      </c>
    </row>
    <row r="41" spans="2:28" x14ac:dyDescent="0.35">
      <c r="B41" s="319">
        <f t="shared" si="3"/>
        <v>21</v>
      </c>
      <c r="C41" s="373">
        <f t="shared" si="4"/>
        <v>45138</v>
      </c>
      <c r="D41" s="383">
        <f t="shared" si="5"/>
        <v>31</v>
      </c>
      <c r="E41" s="380" t="str">
        <f t="shared" si="0"/>
        <v>Yes</v>
      </c>
      <c r="F41" s="323">
        <f t="shared" si="6"/>
        <v>45119</v>
      </c>
      <c r="G41" s="324">
        <v>0</v>
      </c>
      <c r="H41" s="325" t="e">
        <f t="shared" si="8"/>
        <v>#N/A</v>
      </c>
      <c r="I41" s="325" t="e">
        <f t="shared" si="9"/>
        <v>#N/A</v>
      </c>
      <c r="J41" s="325" t="e">
        <f t="shared" si="7"/>
        <v>#N/A</v>
      </c>
      <c r="K41" s="378">
        <f t="shared" si="10"/>
        <v>45117</v>
      </c>
      <c r="S41" s="327" t="e">
        <f t="shared" si="1"/>
        <v>#N/A</v>
      </c>
      <c r="T41" s="328">
        <f t="shared" si="2"/>
        <v>45138</v>
      </c>
    </row>
    <row r="42" spans="2:28" x14ac:dyDescent="0.35">
      <c r="B42" s="319">
        <f t="shared" si="3"/>
        <v>22</v>
      </c>
      <c r="C42" s="373">
        <f t="shared" si="4"/>
        <v>45169</v>
      </c>
      <c r="D42" s="383">
        <f t="shared" si="5"/>
        <v>31</v>
      </c>
      <c r="E42" s="380" t="str">
        <f t="shared" si="0"/>
        <v>Yes</v>
      </c>
      <c r="F42" s="323">
        <f t="shared" si="6"/>
        <v>45150</v>
      </c>
      <c r="G42" s="324">
        <v>0</v>
      </c>
      <c r="H42" s="325" t="e">
        <f t="shared" si="8"/>
        <v>#N/A</v>
      </c>
      <c r="I42" s="325" t="e">
        <f t="shared" si="9"/>
        <v>#N/A</v>
      </c>
      <c r="J42" s="325" t="e">
        <f t="shared" si="7"/>
        <v>#N/A</v>
      </c>
      <c r="K42" s="378">
        <f t="shared" si="10"/>
        <v>45148</v>
      </c>
      <c r="L42" s="358"/>
      <c r="S42" s="327" t="e">
        <f t="shared" si="1"/>
        <v>#N/A</v>
      </c>
      <c r="T42" s="328">
        <f t="shared" si="2"/>
        <v>45169</v>
      </c>
    </row>
    <row r="43" spans="2:28" x14ac:dyDescent="0.35">
      <c r="B43" s="319">
        <f t="shared" si="3"/>
        <v>23</v>
      </c>
      <c r="C43" s="373">
        <f t="shared" si="4"/>
        <v>45199</v>
      </c>
      <c r="D43" s="383">
        <f t="shared" si="5"/>
        <v>30</v>
      </c>
      <c r="E43" s="380" t="str">
        <f t="shared" si="0"/>
        <v>Yes</v>
      </c>
      <c r="F43" s="323">
        <f t="shared" si="6"/>
        <v>45181</v>
      </c>
      <c r="G43" s="324">
        <v>0</v>
      </c>
      <c r="H43" s="325" t="e">
        <f t="shared" si="8"/>
        <v>#N/A</v>
      </c>
      <c r="I43" s="325" t="e">
        <f t="shared" si="9"/>
        <v>#N/A</v>
      </c>
      <c r="J43" s="325" t="e">
        <f t="shared" si="7"/>
        <v>#N/A</v>
      </c>
      <c r="K43" s="378">
        <f t="shared" si="10"/>
        <v>45179</v>
      </c>
      <c r="L43" s="384"/>
      <c r="S43" s="327" t="e">
        <f t="shared" si="1"/>
        <v>#N/A</v>
      </c>
      <c r="T43" s="328">
        <f t="shared" si="2"/>
        <v>45199</v>
      </c>
    </row>
    <row r="44" spans="2:28" x14ac:dyDescent="0.35">
      <c r="B44" s="319">
        <f t="shared" si="3"/>
        <v>24</v>
      </c>
      <c r="C44" s="373">
        <f t="shared" si="4"/>
        <v>45230</v>
      </c>
      <c r="D44" s="383">
        <f t="shared" si="5"/>
        <v>11</v>
      </c>
      <c r="E44" s="380" t="str">
        <f t="shared" si="0"/>
        <v>No</v>
      </c>
      <c r="F44" s="323">
        <f t="shared" si="6"/>
        <v>45211</v>
      </c>
      <c r="G44" s="324">
        <v>0</v>
      </c>
      <c r="H44" s="325" t="e">
        <f t="shared" si="8"/>
        <v>#N/A</v>
      </c>
      <c r="I44" s="325" t="str">
        <f t="shared" si="9"/>
        <v/>
      </c>
      <c r="J44" s="325" t="e">
        <f t="shared" si="7"/>
        <v>#N/A</v>
      </c>
      <c r="K44" s="378" t="str">
        <f t="shared" si="10"/>
        <v/>
      </c>
      <c r="L44" s="385"/>
      <c r="S44" s="327" t="str">
        <f t="shared" si="1"/>
        <v/>
      </c>
      <c r="T44" s="328">
        <f t="shared" si="2"/>
        <v>45230</v>
      </c>
    </row>
    <row r="45" spans="2:28" x14ac:dyDescent="0.35">
      <c r="B45" s="319">
        <f t="shared" si="3"/>
        <v>25</v>
      </c>
      <c r="C45" s="373">
        <f t="shared" si="4"/>
        <v>45260</v>
      </c>
      <c r="D45" s="383" t="str">
        <f t="shared" si="5"/>
        <v/>
      </c>
      <c r="E45" s="380" t="str">
        <f t="shared" si="0"/>
        <v/>
      </c>
      <c r="F45" s="323" t="str">
        <f t="shared" si="6"/>
        <v/>
      </c>
      <c r="G45" s="324">
        <v>0</v>
      </c>
      <c r="H45" s="325" t="str">
        <f t="shared" si="8"/>
        <v/>
      </c>
      <c r="I45" s="325" t="str">
        <f t="shared" si="9"/>
        <v/>
      </c>
      <c r="J45" s="325" t="str">
        <f t="shared" si="7"/>
        <v/>
      </c>
      <c r="K45" s="378" t="str">
        <f t="shared" si="10"/>
        <v/>
      </c>
      <c r="M45" s="386"/>
      <c r="S45" s="327" t="str">
        <f t="shared" si="1"/>
        <v/>
      </c>
      <c r="T45" s="328">
        <f t="shared" si="2"/>
        <v>45260</v>
      </c>
      <c r="AB45" s="67">
        <f>7390/1.881</f>
        <v>3928.7612971823496</v>
      </c>
    </row>
    <row r="46" spans="2:28" x14ac:dyDescent="0.35">
      <c r="B46" s="319">
        <f t="shared" si="3"/>
        <v>26</v>
      </c>
      <c r="C46" s="373">
        <f t="shared" si="4"/>
        <v>45291</v>
      </c>
      <c r="D46" s="383" t="str">
        <f t="shared" si="5"/>
        <v/>
      </c>
      <c r="E46" s="380" t="str">
        <f t="shared" si="0"/>
        <v/>
      </c>
      <c r="F46" s="323" t="str">
        <f t="shared" si="6"/>
        <v/>
      </c>
      <c r="G46" s="324">
        <v>0</v>
      </c>
      <c r="H46" s="325" t="str">
        <f t="shared" si="8"/>
        <v/>
      </c>
      <c r="I46" s="325" t="str">
        <f t="shared" si="9"/>
        <v/>
      </c>
      <c r="J46" s="325" t="str">
        <f t="shared" si="7"/>
        <v/>
      </c>
      <c r="K46" s="378" t="str">
        <f t="shared" si="10"/>
        <v/>
      </c>
      <c r="M46" s="386"/>
      <c r="S46" s="327" t="str">
        <f t="shared" si="1"/>
        <v/>
      </c>
      <c r="T46" s="328">
        <f t="shared" si="2"/>
        <v>45291</v>
      </c>
    </row>
    <row r="47" spans="2:28" x14ac:dyDescent="0.35">
      <c r="B47" s="319">
        <f t="shared" si="3"/>
        <v>27</v>
      </c>
      <c r="C47" s="373">
        <f t="shared" si="4"/>
        <v>45322</v>
      </c>
      <c r="D47" s="383" t="str">
        <f t="shared" si="5"/>
        <v/>
      </c>
      <c r="E47" s="380" t="str">
        <f t="shared" si="0"/>
        <v/>
      </c>
      <c r="F47" s="323" t="str">
        <f t="shared" si="6"/>
        <v/>
      </c>
      <c r="G47" s="324">
        <v>100</v>
      </c>
      <c r="H47" s="325" t="str">
        <f t="shared" si="8"/>
        <v/>
      </c>
      <c r="I47" s="325" t="str">
        <f t="shared" si="9"/>
        <v/>
      </c>
      <c r="J47" s="325" t="str">
        <f t="shared" si="7"/>
        <v/>
      </c>
      <c r="K47" s="378" t="str">
        <f t="shared" si="10"/>
        <v/>
      </c>
      <c r="M47" s="386"/>
      <c r="S47" s="327" t="str">
        <f t="shared" si="1"/>
        <v/>
      </c>
      <c r="T47" s="328">
        <f t="shared" si="2"/>
        <v>45322</v>
      </c>
    </row>
    <row r="48" spans="2:28" x14ac:dyDescent="0.35">
      <c r="B48" s="319">
        <f t="shared" si="3"/>
        <v>28</v>
      </c>
      <c r="C48" s="373">
        <f t="shared" si="4"/>
        <v>45351</v>
      </c>
      <c r="D48" s="383" t="str">
        <f t="shared" si="5"/>
        <v/>
      </c>
      <c r="E48" s="380" t="str">
        <f t="shared" si="0"/>
        <v/>
      </c>
      <c r="F48" s="323" t="str">
        <f t="shared" si="6"/>
        <v/>
      </c>
      <c r="G48" s="324">
        <v>0</v>
      </c>
      <c r="H48" s="325" t="str">
        <f t="shared" si="8"/>
        <v/>
      </c>
      <c r="I48" s="325" t="str">
        <f t="shared" si="9"/>
        <v/>
      </c>
      <c r="J48" s="325" t="str">
        <f t="shared" si="7"/>
        <v/>
      </c>
      <c r="K48" s="378" t="str">
        <f t="shared" si="10"/>
        <v/>
      </c>
      <c r="M48" s="386"/>
      <c r="S48" s="327" t="str">
        <f t="shared" si="1"/>
        <v/>
      </c>
      <c r="T48" s="328">
        <f t="shared" si="2"/>
        <v>45351</v>
      </c>
    </row>
    <row r="49" spans="2:20" x14ac:dyDescent="0.35">
      <c r="B49" s="319">
        <f t="shared" si="3"/>
        <v>29</v>
      </c>
      <c r="C49" s="373">
        <f t="shared" si="4"/>
        <v>45382</v>
      </c>
      <c r="D49" s="383" t="str">
        <f t="shared" si="5"/>
        <v/>
      </c>
      <c r="E49" s="380" t="str">
        <f t="shared" si="0"/>
        <v/>
      </c>
      <c r="F49" s="323" t="str">
        <f t="shared" si="6"/>
        <v/>
      </c>
      <c r="G49" s="324">
        <v>0</v>
      </c>
      <c r="H49" s="325" t="str">
        <f t="shared" si="8"/>
        <v/>
      </c>
      <c r="I49" s="325" t="str">
        <f t="shared" si="9"/>
        <v/>
      </c>
      <c r="J49" s="325" t="str">
        <f t="shared" si="7"/>
        <v/>
      </c>
      <c r="K49" s="378" t="str">
        <f t="shared" si="10"/>
        <v/>
      </c>
      <c r="M49" s="386"/>
      <c r="S49" s="327" t="str">
        <f t="shared" si="1"/>
        <v/>
      </c>
      <c r="T49" s="328">
        <f t="shared" si="2"/>
        <v>45382</v>
      </c>
    </row>
    <row r="50" spans="2:20" x14ac:dyDescent="0.35">
      <c r="B50" s="319">
        <f t="shared" si="3"/>
        <v>30</v>
      </c>
      <c r="C50" s="373">
        <f t="shared" si="4"/>
        <v>45412</v>
      </c>
      <c r="D50" s="383" t="str">
        <f t="shared" si="5"/>
        <v/>
      </c>
      <c r="E50" s="380" t="str">
        <f t="shared" si="0"/>
        <v/>
      </c>
      <c r="F50" s="323" t="str">
        <f t="shared" si="6"/>
        <v/>
      </c>
      <c r="G50" s="324">
        <v>0</v>
      </c>
      <c r="H50" s="325" t="str">
        <f t="shared" si="8"/>
        <v/>
      </c>
      <c r="I50" s="325" t="str">
        <f t="shared" si="9"/>
        <v/>
      </c>
      <c r="J50" s="325" t="str">
        <f t="shared" si="7"/>
        <v/>
      </c>
      <c r="K50" s="378" t="str">
        <f t="shared" si="10"/>
        <v/>
      </c>
      <c r="M50" s="386"/>
      <c r="S50" s="327" t="str">
        <f t="shared" si="1"/>
        <v/>
      </c>
      <c r="T50" s="328">
        <f t="shared" si="2"/>
        <v>45412</v>
      </c>
    </row>
    <row r="51" spans="2:20" x14ac:dyDescent="0.35">
      <c r="B51" s="319">
        <f t="shared" si="3"/>
        <v>31</v>
      </c>
      <c r="C51" s="373">
        <f t="shared" si="4"/>
        <v>45443</v>
      </c>
      <c r="D51" s="383" t="str">
        <f t="shared" si="5"/>
        <v/>
      </c>
      <c r="E51" s="380" t="str">
        <f t="shared" si="0"/>
        <v/>
      </c>
      <c r="F51" s="323" t="str">
        <f t="shared" si="6"/>
        <v/>
      </c>
      <c r="G51" s="324">
        <v>0</v>
      </c>
      <c r="H51" s="325" t="str">
        <f t="shared" si="8"/>
        <v/>
      </c>
      <c r="I51" s="325" t="str">
        <f t="shared" si="9"/>
        <v/>
      </c>
      <c r="J51" s="325" t="str">
        <f t="shared" si="7"/>
        <v/>
      </c>
      <c r="K51" s="378" t="str">
        <f t="shared" si="10"/>
        <v/>
      </c>
      <c r="M51" s="386"/>
      <c r="S51" s="327" t="str">
        <f t="shared" si="1"/>
        <v/>
      </c>
      <c r="T51" s="328">
        <f t="shared" si="2"/>
        <v>45443</v>
      </c>
    </row>
    <row r="52" spans="2:20" x14ac:dyDescent="0.35">
      <c r="B52" s="319">
        <f t="shared" si="3"/>
        <v>32</v>
      </c>
      <c r="C52" s="373">
        <f t="shared" si="4"/>
        <v>45473</v>
      </c>
      <c r="D52" s="383" t="str">
        <f t="shared" si="5"/>
        <v/>
      </c>
      <c r="E52" s="380" t="str">
        <f t="shared" si="0"/>
        <v/>
      </c>
      <c r="F52" s="323" t="str">
        <f t="shared" si="6"/>
        <v/>
      </c>
      <c r="G52" s="324">
        <v>0</v>
      </c>
      <c r="H52" s="325" t="str">
        <f t="shared" si="8"/>
        <v/>
      </c>
      <c r="I52" s="325" t="str">
        <f t="shared" si="9"/>
        <v/>
      </c>
      <c r="J52" s="325" t="str">
        <f t="shared" si="7"/>
        <v/>
      </c>
      <c r="K52" s="378" t="str">
        <f t="shared" si="10"/>
        <v/>
      </c>
      <c r="M52" s="386"/>
      <c r="S52" s="327" t="str">
        <f t="shared" si="1"/>
        <v/>
      </c>
      <c r="T52" s="328">
        <f t="shared" si="2"/>
        <v>45473</v>
      </c>
    </row>
    <row r="53" spans="2:20" x14ac:dyDescent="0.35">
      <c r="B53" s="319">
        <f t="shared" si="3"/>
        <v>33</v>
      </c>
      <c r="C53" s="373">
        <f t="shared" si="4"/>
        <v>45504</v>
      </c>
      <c r="D53" s="383" t="str">
        <f t="shared" si="5"/>
        <v/>
      </c>
      <c r="E53" s="380" t="str">
        <f t="shared" si="0"/>
        <v/>
      </c>
      <c r="F53" s="323" t="str">
        <f t="shared" si="6"/>
        <v/>
      </c>
      <c r="G53" s="324">
        <v>0</v>
      </c>
      <c r="H53" s="325" t="str">
        <f t="shared" si="8"/>
        <v/>
      </c>
      <c r="I53" s="325" t="str">
        <f t="shared" si="9"/>
        <v/>
      </c>
      <c r="J53" s="325" t="str">
        <f t="shared" si="7"/>
        <v/>
      </c>
      <c r="K53" s="378" t="str">
        <f t="shared" si="10"/>
        <v/>
      </c>
      <c r="M53" s="386"/>
      <c r="S53" s="327" t="str">
        <f t="shared" si="1"/>
        <v/>
      </c>
      <c r="T53" s="328">
        <f t="shared" si="2"/>
        <v>45504</v>
      </c>
    </row>
    <row r="54" spans="2:20" x14ac:dyDescent="0.35">
      <c r="B54" s="319">
        <f t="shared" si="3"/>
        <v>34</v>
      </c>
      <c r="C54" s="373">
        <f t="shared" si="4"/>
        <v>45535</v>
      </c>
      <c r="D54" s="383" t="str">
        <f t="shared" si="5"/>
        <v/>
      </c>
      <c r="E54" s="380" t="str">
        <f t="shared" si="0"/>
        <v/>
      </c>
      <c r="F54" s="323" t="str">
        <f t="shared" si="6"/>
        <v/>
      </c>
      <c r="G54" s="324">
        <v>0</v>
      </c>
      <c r="H54" s="325" t="str">
        <f t="shared" si="8"/>
        <v/>
      </c>
      <c r="I54" s="325" t="str">
        <f t="shared" si="9"/>
        <v/>
      </c>
      <c r="J54" s="325" t="str">
        <f t="shared" si="7"/>
        <v/>
      </c>
      <c r="K54" s="378" t="str">
        <f t="shared" si="10"/>
        <v/>
      </c>
      <c r="M54" s="386"/>
      <c r="S54" s="327" t="str">
        <f t="shared" si="1"/>
        <v/>
      </c>
      <c r="T54" s="328">
        <f t="shared" si="2"/>
        <v>45535</v>
      </c>
    </row>
    <row r="55" spans="2:20" x14ac:dyDescent="0.35">
      <c r="B55" s="319">
        <f t="shared" si="3"/>
        <v>35</v>
      </c>
      <c r="C55" s="373">
        <f t="shared" si="4"/>
        <v>45565</v>
      </c>
      <c r="D55" s="383" t="str">
        <f t="shared" si="5"/>
        <v/>
      </c>
      <c r="E55" s="380" t="str">
        <f t="shared" si="0"/>
        <v/>
      </c>
      <c r="F55" s="323" t="str">
        <f t="shared" si="6"/>
        <v/>
      </c>
      <c r="G55" s="324">
        <v>0</v>
      </c>
      <c r="H55" s="325" t="str">
        <f t="shared" si="8"/>
        <v/>
      </c>
      <c r="I55" s="325" t="str">
        <f t="shared" si="9"/>
        <v/>
      </c>
      <c r="J55" s="325" t="str">
        <f t="shared" si="7"/>
        <v/>
      </c>
      <c r="K55" s="378" t="str">
        <f t="shared" si="10"/>
        <v/>
      </c>
      <c r="M55" s="386"/>
      <c r="S55" s="327" t="str">
        <f t="shared" si="1"/>
        <v/>
      </c>
      <c r="T55" s="328">
        <f t="shared" si="2"/>
        <v>45565</v>
      </c>
    </row>
    <row r="56" spans="2:20" x14ac:dyDescent="0.35">
      <c r="B56" s="319">
        <f t="shared" si="3"/>
        <v>36</v>
      </c>
      <c r="C56" s="373">
        <f t="shared" si="4"/>
        <v>45596</v>
      </c>
      <c r="D56" s="383" t="str">
        <f t="shared" si="5"/>
        <v/>
      </c>
      <c r="E56" s="380" t="str">
        <f t="shared" si="0"/>
        <v/>
      </c>
      <c r="F56" s="323" t="str">
        <f t="shared" si="6"/>
        <v/>
      </c>
      <c r="G56" s="324">
        <v>0</v>
      </c>
      <c r="H56" s="325" t="str">
        <f t="shared" si="8"/>
        <v/>
      </c>
      <c r="I56" s="325" t="str">
        <f t="shared" si="9"/>
        <v/>
      </c>
      <c r="J56" s="325" t="str">
        <f t="shared" si="7"/>
        <v/>
      </c>
      <c r="K56" s="378" t="str">
        <f t="shared" si="10"/>
        <v/>
      </c>
      <c r="M56" s="386"/>
      <c r="S56" s="327" t="str">
        <f t="shared" si="1"/>
        <v/>
      </c>
      <c r="T56" s="328">
        <f t="shared" si="2"/>
        <v>45596</v>
      </c>
    </row>
    <row r="57" spans="2:20" ht="25.5" x14ac:dyDescent="0.35">
      <c r="D57" s="370" t="s">
        <v>3262</v>
      </c>
      <c r="F57" s="387" t="s">
        <v>3263</v>
      </c>
      <c r="G57" s="387" t="s">
        <v>3263</v>
      </c>
      <c r="H57" s="388" t="e">
        <f>SUM(H20:H56)</f>
        <v>#N/A</v>
      </c>
      <c r="I57" s="388" t="e">
        <f>SUM(I20:I56)+D12</f>
        <v>#N/A</v>
      </c>
      <c r="J57" s="388" t="e">
        <f>SUM(J20:J56)+D12</f>
        <v>#N/A</v>
      </c>
      <c r="M57" s="389"/>
      <c r="S57" s="388" t="e">
        <f>SUM(S20:S55)</f>
        <v>#N/A</v>
      </c>
    </row>
    <row r="58" spans="2:20" x14ac:dyDescent="0.35">
      <c r="D58" s="208" t="s">
        <v>3264</v>
      </c>
      <c r="H58" s="208">
        <f>COUNT(H20:H56)</f>
        <v>0</v>
      </c>
      <c r="I58" s="208">
        <f>COUNTIF(I20:I56,"&gt;0")</f>
        <v>0</v>
      </c>
      <c r="J58" s="208">
        <f>COUNT(J20:J56)</f>
        <v>0</v>
      </c>
      <c r="M58" s="390"/>
      <c r="S58" s="391">
        <f>COUNT(S20:S55)</f>
        <v>0</v>
      </c>
      <c r="T58" s="67" t="s">
        <v>3265</v>
      </c>
    </row>
    <row r="60" spans="2:20" x14ac:dyDescent="0.35">
      <c r="E60" s="392" t="s">
        <v>3266</v>
      </c>
      <c r="F60" s="393" t="e">
        <f>$D$10-H20</f>
        <v>#N/A</v>
      </c>
      <c r="G60" s="393" t="e">
        <f>$D$10-J20</f>
        <v>#N/A</v>
      </c>
    </row>
    <row r="61" spans="2:20" x14ac:dyDescent="0.35">
      <c r="E61" s="394" t="s">
        <v>3267</v>
      </c>
      <c r="F61" s="395">
        <f>$D$8-1</f>
        <v>23</v>
      </c>
      <c r="G61" s="395">
        <f>$D$8-1</f>
        <v>23</v>
      </c>
    </row>
    <row r="62" spans="2:20" x14ac:dyDescent="0.35">
      <c r="E62" s="394" t="s">
        <v>3268</v>
      </c>
      <c r="F62" s="395" t="str">
        <f>VLOOKUP($D$8,B20:K56,8)</f>
        <v/>
      </c>
      <c r="G62" s="395" t="e">
        <f>VLOOKUP($D$8,B20:K56,9)</f>
        <v>#N/A</v>
      </c>
      <c r="H62" s="395" t="str">
        <f>VLOOKUP($D$8,$B$20:$K$56,10)</f>
        <v/>
      </c>
      <c r="I62" s="396"/>
    </row>
    <row r="63" spans="2:20" x14ac:dyDescent="0.35">
      <c r="E63" s="394" t="s">
        <v>3269</v>
      </c>
      <c r="F63" s="395" t="e">
        <f>VLOOKUP(Penultimate_Month,B20:K56,8)</f>
        <v>#N/A</v>
      </c>
      <c r="G63" s="395" t="e">
        <f>VLOOKUP(Penultimate_Month,B20:K56,9)</f>
        <v>#N/A</v>
      </c>
      <c r="H63" s="395">
        <f>VLOOKUP(Penultimate_Month,$B$20:$K$56,10)</f>
        <v>45179</v>
      </c>
      <c r="I63" s="396"/>
    </row>
    <row r="64" spans="2:20" x14ac:dyDescent="0.35">
      <c r="E64" s="394"/>
    </row>
    <row r="65" spans="4:4" x14ac:dyDescent="0.35">
      <c r="D65" s="208" t="s">
        <v>3270</v>
      </c>
    </row>
  </sheetData>
  <mergeCells count="3">
    <mergeCell ref="S19:T19"/>
    <mergeCell ref="O24:P24"/>
    <mergeCell ref="M22:P22"/>
  </mergeCells>
  <conditionalFormatting sqref="E20:E56">
    <cfRule type="cellIs" dxfId="66" priority="2" operator="equal">
      <formula>"No"</formula>
    </cfRule>
  </conditionalFormatting>
  <conditionalFormatting sqref="H20:J56">
    <cfRule type="expression" dxfId="65" priority="3">
      <formula>IF(AND(H20&lt;&gt;$D$10,H20&lt;&gt;""),TRUE,FALSE)</formula>
    </cfRule>
  </conditionalFormatting>
  <conditionalFormatting sqref="K20:K56">
    <cfRule type="expression" dxfId="64" priority="4">
      <formula>IF(DAY(K20)&lt;&gt;$D$15,TRUE,FALSE)</formula>
    </cfRule>
  </conditionalFormatting>
  <conditionalFormatting sqref="M22">
    <cfRule type="expression" dxfId="63" priority="1">
      <formula>IF(DAY(M22)&lt;&gt;$D$15,TRUE,FALSE)</formula>
    </cfRule>
  </conditionalFormatting>
  <pageMargins left="0.25" right="0.25" top="0.75" bottom="0.75" header="0.3" footer="0.3"/>
  <pageSetup paperSize="9" scale="28"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8EF9B-B651-4D3F-9B0A-ED1CDEFA8F4D}">
  <sheetPr codeName="Sheet29">
    <pageSetUpPr fitToPage="1"/>
  </sheetPr>
  <dimension ref="A1:AL72"/>
  <sheetViews>
    <sheetView topLeftCell="A16" zoomScale="70" zoomScaleNormal="70" workbookViewId="0">
      <selection activeCell="H35" sqref="H35"/>
    </sheetView>
  </sheetViews>
  <sheetFormatPr defaultRowHeight="18" x14ac:dyDescent="0.35"/>
  <cols>
    <col min="1" max="1" width="11.5703125" style="287" customWidth="1"/>
    <col min="2" max="2" width="9.28515625" style="67" bestFit="1" customWidth="1"/>
    <col min="3" max="3" width="9.42578125" style="67" customWidth="1"/>
    <col min="4" max="4" width="14.42578125" style="208" customWidth="1"/>
    <col min="5" max="5" width="6.140625" style="208" customWidth="1"/>
    <col min="6" max="7" width="10.7109375" style="208" customWidth="1"/>
    <col min="8" max="9" width="14.85546875" style="208" customWidth="1"/>
    <col min="10" max="10" width="11.28515625" style="208" customWidth="1"/>
    <col min="11" max="11" width="9.140625" style="208"/>
    <col min="12" max="12" width="9.140625" style="67"/>
    <col min="13" max="13" width="9.85546875" style="67" bestFit="1" customWidth="1"/>
    <col min="14" max="14" width="10.7109375" style="67" bestFit="1" customWidth="1"/>
    <col min="15" max="15" width="11.42578125" style="67" customWidth="1"/>
    <col min="16" max="16" width="19.42578125" style="67" customWidth="1"/>
    <col min="17" max="18" width="9.140625" style="67"/>
    <col min="19" max="19" width="11.28515625" style="67" bestFit="1" customWidth="1"/>
    <col min="20" max="20" width="9.28515625" style="67" bestFit="1" customWidth="1"/>
    <col min="21" max="22" width="9.140625" style="67"/>
    <col min="23" max="25" width="9.28515625" style="67" bestFit="1" customWidth="1"/>
    <col min="26" max="27" width="9.140625" style="67"/>
    <col min="28" max="28" width="9.28515625" style="67" bestFit="1" customWidth="1"/>
    <col min="29" max="16384" width="9.140625" style="67"/>
  </cols>
  <sheetData>
    <row r="1" spans="1:38" ht="28.5" x14ac:dyDescent="0.55000000000000004">
      <c r="A1" s="283" t="s">
        <v>3214</v>
      </c>
      <c r="B1" s="284"/>
      <c r="C1" s="284"/>
      <c r="D1" s="285"/>
      <c r="E1" s="285"/>
      <c r="F1" s="285"/>
      <c r="G1" s="285"/>
      <c r="H1" s="285"/>
      <c r="I1" s="285"/>
      <c r="J1" s="285"/>
      <c r="K1" s="285"/>
      <c r="L1" s="286"/>
      <c r="M1" s="287"/>
      <c r="N1" s="287"/>
      <c r="O1" s="287"/>
      <c r="P1" s="287"/>
      <c r="Q1" s="287"/>
      <c r="R1" s="287"/>
      <c r="S1" s="287"/>
      <c r="T1" s="287"/>
      <c r="U1" s="287"/>
      <c r="V1" s="287"/>
      <c r="W1" s="287"/>
      <c r="X1" s="287"/>
      <c r="Y1" s="287"/>
      <c r="Z1" s="287"/>
      <c r="AA1" s="287"/>
      <c r="AB1" s="287"/>
      <c r="AC1" s="287"/>
      <c r="AD1" s="287"/>
      <c r="AE1" s="287"/>
      <c r="AF1" s="287"/>
      <c r="AG1" s="287"/>
      <c r="AH1" s="287"/>
      <c r="AI1" s="287"/>
      <c r="AJ1" s="287"/>
      <c r="AK1" s="287"/>
      <c r="AL1" s="287"/>
    </row>
    <row r="2" spans="1:38" s="287" customFormat="1" ht="6" customHeight="1" x14ac:dyDescent="0.55000000000000004">
      <c r="A2" s="288"/>
      <c r="B2" s="289"/>
      <c r="C2" s="289"/>
      <c r="D2" s="290"/>
      <c r="E2" s="290"/>
      <c r="F2" s="290"/>
      <c r="G2" s="290"/>
      <c r="H2" s="290"/>
      <c r="I2" s="290"/>
      <c r="J2" s="290"/>
      <c r="K2" s="290"/>
      <c r="L2" s="289"/>
    </row>
    <row r="3" spans="1:38" x14ac:dyDescent="0.35">
      <c r="B3" s="287"/>
      <c r="C3" s="291" t="s">
        <v>364</v>
      </c>
      <c r="D3" s="292" t="e">
        <f>'Deal lead sheet'!C36*12+D4</f>
        <v>#N/A</v>
      </c>
      <c r="E3" s="293"/>
      <c r="F3" s="293"/>
      <c r="G3" s="293"/>
      <c r="H3" s="293"/>
      <c r="I3" s="293"/>
      <c r="J3" s="293"/>
      <c r="K3" s="287"/>
      <c r="L3" s="287"/>
      <c r="M3" s="294" t="s">
        <v>3215</v>
      </c>
      <c r="N3" s="287"/>
      <c r="O3" s="287"/>
      <c r="P3" s="287"/>
      <c r="Q3" s="287"/>
      <c r="R3" s="287"/>
      <c r="S3" s="287"/>
      <c r="T3" s="287"/>
      <c r="U3" s="287"/>
      <c r="V3" s="287"/>
      <c r="W3" s="287"/>
      <c r="X3" s="287"/>
      <c r="Y3" s="287"/>
      <c r="Z3" s="287"/>
      <c r="AA3" s="287"/>
      <c r="AB3" s="287"/>
      <c r="AC3" s="287"/>
      <c r="AD3" s="287"/>
      <c r="AE3" s="287"/>
      <c r="AF3" s="287"/>
      <c r="AG3" s="287"/>
      <c r="AH3" s="287"/>
      <c r="AI3" s="287"/>
      <c r="AJ3" s="287"/>
      <c r="AK3" s="287"/>
    </row>
    <row r="4" spans="1:38" x14ac:dyDescent="0.35">
      <c r="B4" s="287"/>
      <c r="C4" s="291" t="s">
        <v>3216</v>
      </c>
      <c r="D4" s="292" t="e">
        <f>'Deal lead sheet'!C37</f>
        <v>#N/A</v>
      </c>
      <c r="E4" s="293"/>
      <c r="F4" s="293"/>
      <c r="G4" s="293"/>
      <c r="H4" s="293"/>
      <c r="I4" s="293"/>
      <c r="J4" s="293"/>
      <c r="K4" s="287"/>
      <c r="L4" s="287"/>
      <c r="M4" s="295" t="s">
        <v>3217</v>
      </c>
      <c r="N4" s="287"/>
      <c r="O4" s="287"/>
      <c r="P4" s="287"/>
      <c r="Q4" s="296" t="s">
        <v>3218</v>
      </c>
      <c r="R4" s="287"/>
      <c r="S4" s="287"/>
      <c r="T4" s="287"/>
      <c r="U4" s="287"/>
      <c r="V4" s="287"/>
      <c r="W4" s="287"/>
      <c r="X4" s="287"/>
      <c r="Y4" s="287"/>
      <c r="Z4" s="287"/>
      <c r="AA4" s="287"/>
      <c r="AB4" s="287"/>
      <c r="AC4" s="287"/>
      <c r="AD4" s="287"/>
      <c r="AE4" s="287"/>
      <c r="AF4" s="287"/>
      <c r="AG4" s="287"/>
      <c r="AH4" s="287"/>
      <c r="AI4" s="287"/>
      <c r="AJ4" s="287"/>
      <c r="AK4" s="287"/>
    </row>
    <row r="5" spans="1:38" x14ac:dyDescent="0.35">
      <c r="B5" s="287"/>
      <c r="C5" s="291" t="s">
        <v>3219</v>
      </c>
      <c r="D5" s="297" t="e">
        <f>D3-D4</f>
        <v>#N/A</v>
      </c>
      <c r="E5" s="293"/>
      <c r="F5" s="293"/>
      <c r="G5" s="293"/>
      <c r="H5" s="293"/>
      <c r="I5" s="293"/>
      <c r="J5" s="293"/>
      <c r="K5" s="287"/>
      <c r="L5" s="287"/>
      <c r="M5" s="295" t="s">
        <v>3220</v>
      </c>
      <c r="N5" s="287"/>
      <c r="O5" s="287"/>
      <c r="P5" s="287"/>
      <c r="Q5" s="287"/>
      <c r="R5" s="287"/>
      <c r="S5" s="287"/>
      <c r="T5" s="287"/>
      <c r="U5" s="287"/>
      <c r="V5" s="287"/>
      <c r="W5" s="287"/>
      <c r="X5" s="287"/>
      <c r="Y5" s="287"/>
      <c r="Z5" s="287"/>
      <c r="AA5" s="287"/>
      <c r="AB5" s="287"/>
      <c r="AC5" s="287"/>
      <c r="AD5" s="287"/>
      <c r="AE5" s="287"/>
      <c r="AF5" s="287"/>
      <c r="AG5" s="287"/>
      <c r="AH5" s="287"/>
      <c r="AI5" s="287"/>
      <c r="AJ5" s="287"/>
      <c r="AK5" s="287"/>
    </row>
    <row r="6" spans="1:38" x14ac:dyDescent="0.35">
      <c r="B6" s="287"/>
      <c r="C6" s="291" t="s">
        <v>293</v>
      </c>
      <c r="D6" s="298" t="e">
        <f>'Deal lead sheet'!C33</f>
        <v>#N/A</v>
      </c>
      <c r="E6" s="293"/>
      <c r="F6" s="293"/>
      <c r="G6" s="293"/>
      <c r="H6" s="293"/>
      <c r="I6" s="293"/>
      <c r="J6" s="293"/>
      <c r="K6" s="287"/>
      <c r="L6" s="287"/>
      <c r="M6" s="295" t="s">
        <v>3221</v>
      </c>
      <c r="N6" s="287"/>
      <c r="O6" s="287"/>
      <c r="P6" s="287"/>
      <c r="Q6" s="287"/>
      <c r="R6" s="287"/>
      <c r="S6" s="287"/>
      <c r="T6" s="287"/>
      <c r="U6" s="287"/>
      <c r="V6" s="287"/>
      <c r="W6" s="287"/>
      <c r="X6" s="287"/>
      <c r="Y6" s="287"/>
      <c r="Z6" s="287"/>
      <c r="AA6" s="287"/>
      <c r="AB6" s="287"/>
      <c r="AC6" s="287"/>
      <c r="AD6" s="287"/>
      <c r="AE6" s="287"/>
      <c r="AF6" s="287"/>
      <c r="AG6" s="287"/>
      <c r="AH6" s="287"/>
      <c r="AI6" s="287"/>
      <c r="AJ6" s="287"/>
      <c r="AK6" s="287"/>
    </row>
    <row r="7" spans="1:38" x14ac:dyDescent="0.35">
      <c r="B7" s="287"/>
      <c r="C7" s="291" t="s">
        <v>3222</v>
      </c>
      <c r="D7" s="1233" t="e">
        <f>'Deal lead sheet'!C34</f>
        <v>#N/A</v>
      </c>
      <c r="E7" s="300"/>
      <c r="F7" s="293"/>
      <c r="G7" s="293"/>
      <c r="H7" s="293"/>
      <c r="I7" s="293"/>
      <c r="J7" s="293"/>
      <c r="K7" s="287"/>
      <c r="L7" s="287"/>
      <c r="M7" s="295" t="s">
        <v>3223</v>
      </c>
      <c r="N7" s="287"/>
      <c r="O7" s="287"/>
      <c r="P7" s="287"/>
      <c r="Q7" s="287"/>
      <c r="R7" s="287"/>
      <c r="S7" s="287"/>
      <c r="T7" s="287"/>
      <c r="U7" s="287"/>
      <c r="V7" s="287"/>
      <c r="W7" s="287"/>
      <c r="X7" s="287"/>
      <c r="Y7" s="287"/>
      <c r="Z7" s="287"/>
      <c r="AA7" s="287"/>
      <c r="AB7" s="287"/>
      <c r="AC7" s="287"/>
      <c r="AD7" s="287"/>
      <c r="AE7" s="287"/>
      <c r="AF7" s="287"/>
      <c r="AG7" s="287"/>
      <c r="AH7" s="287"/>
      <c r="AI7" s="287"/>
      <c r="AJ7" s="287"/>
      <c r="AK7" s="287"/>
    </row>
    <row r="8" spans="1:38" x14ac:dyDescent="0.35">
      <c r="B8" s="287"/>
      <c r="C8" s="291" t="s">
        <v>3224</v>
      </c>
      <c r="D8" s="301">
        <f>'Deal lead sheet'!C32</f>
        <v>24</v>
      </c>
      <c r="E8" s="293"/>
      <c r="F8" s="293"/>
      <c r="G8" s="293"/>
      <c r="H8" s="293"/>
      <c r="I8" s="293"/>
      <c r="J8" s="293"/>
      <c r="K8" s="287"/>
      <c r="L8" s="287"/>
      <c r="M8" s="295" t="s">
        <v>3225</v>
      </c>
      <c r="N8" s="287"/>
      <c r="O8" s="287"/>
      <c r="P8" s="287"/>
      <c r="Q8" s="287"/>
      <c r="R8" s="287"/>
      <c r="S8" s="287"/>
      <c r="T8" s="287"/>
      <c r="U8" s="287"/>
      <c r="V8" s="287"/>
      <c r="W8" s="287"/>
      <c r="X8" s="287"/>
      <c r="Y8" s="287"/>
      <c r="Z8" s="287"/>
      <c r="AA8" s="287"/>
      <c r="AB8" s="287"/>
      <c r="AC8" s="287"/>
      <c r="AD8" s="287"/>
      <c r="AE8" s="287"/>
      <c r="AF8" s="287"/>
      <c r="AG8" s="287"/>
      <c r="AH8" s="287"/>
      <c r="AI8" s="287"/>
      <c r="AJ8" s="287"/>
      <c r="AK8" s="287"/>
    </row>
    <row r="9" spans="1:38" x14ac:dyDescent="0.35">
      <c r="B9" s="287"/>
      <c r="C9" s="302" t="s">
        <v>3226</v>
      </c>
      <c r="D9" s="303" t="e">
        <f>D7+1</f>
        <v>#N/A</v>
      </c>
      <c r="E9" s="293"/>
      <c r="F9" s="293"/>
      <c r="G9" s="293"/>
      <c r="H9" s="293"/>
      <c r="I9" s="293"/>
      <c r="J9" s="293"/>
      <c r="K9" s="293"/>
      <c r="L9" s="287"/>
      <c r="N9" s="287"/>
      <c r="O9" s="287"/>
      <c r="P9" s="287"/>
      <c r="Q9" s="287"/>
      <c r="R9" s="287"/>
      <c r="S9" s="287"/>
      <c r="T9" s="287"/>
      <c r="U9" s="287"/>
      <c r="V9" s="287"/>
      <c r="W9" s="287"/>
      <c r="X9" s="287"/>
      <c r="Y9" s="287"/>
      <c r="Z9" s="287"/>
      <c r="AA9" s="287"/>
      <c r="AB9" s="287"/>
      <c r="AC9" s="287"/>
      <c r="AD9" s="287"/>
      <c r="AE9" s="287"/>
      <c r="AF9" s="287"/>
      <c r="AG9" s="287"/>
      <c r="AH9" s="287"/>
      <c r="AI9" s="287"/>
      <c r="AJ9" s="287"/>
      <c r="AK9" s="287"/>
    </row>
    <row r="10" spans="1:38" x14ac:dyDescent="0.35">
      <c r="B10" s="287"/>
      <c r="C10" s="302" t="s">
        <v>3227</v>
      </c>
      <c r="D10" s="304" t="e">
        <f>(D6*D5)/12</f>
        <v>#N/A</v>
      </c>
      <c r="E10" s="293"/>
      <c r="F10" s="293"/>
      <c r="G10" s="293"/>
      <c r="H10" s="293"/>
      <c r="I10" s="293"/>
      <c r="J10" s="293"/>
      <c r="K10" s="293"/>
      <c r="L10" s="287"/>
      <c r="M10" s="295" t="s">
        <v>3228</v>
      </c>
      <c r="N10" s="287"/>
      <c r="O10" s="287"/>
      <c r="P10" s="287"/>
      <c r="Q10" s="287"/>
      <c r="R10" s="287"/>
      <c r="S10" s="287"/>
      <c r="T10" s="287"/>
      <c r="U10" s="287"/>
      <c r="V10" s="287"/>
      <c r="W10" s="287"/>
      <c r="X10" s="287"/>
      <c r="Y10" s="287"/>
      <c r="Z10" s="287"/>
      <c r="AA10" s="287"/>
      <c r="AB10" s="287"/>
      <c r="AC10" s="287"/>
      <c r="AD10" s="287"/>
      <c r="AE10" s="287"/>
      <c r="AF10" s="287"/>
      <c r="AG10" s="287"/>
      <c r="AH10" s="287"/>
      <c r="AI10" s="287"/>
      <c r="AJ10" s="287"/>
      <c r="AK10" s="287"/>
    </row>
    <row r="11" spans="1:38" x14ac:dyDescent="0.35">
      <c r="B11" s="287"/>
      <c r="C11" s="302" t="s">
        <v>3229</v>
      </c>
      <c r="D11" s="304" t="e">
        <f>(D6*D5)/365</f>
        <v>#N/A</v>
      </c>
      <c r="E11" s="293"/>
      <c r="F11" s="293"/>
      <c r="G11" s="293"/>
      <c r="H11" s="293"/>
      <c r="I11" s="293"/>
      <c r="J11" s="293"/>
      <c r="K11" s="293"/>
      <c r="L11" s="287"/>
      <c r="M11" s="287"/>
      <c r="N11" s="287"/>
      <c r="O11" s="287"/>
      <c r="P11" s="287"/>
      <c r="Q11" s="287"/>
      <c r="R11" s="287"/>
      <c r="S11" s="287"/>
      <c r="T11" s="287"/>
      <c r="U11" s="287"/>
      <c r="V11" s="287"/>
      <c r="W11" s="287"/>
      <c r="X11" s="287"/>
      <c r="Y11" s="287"/>
      <c r="Z11" s="287"/>
      <c r="AA11" s="287"/>
      <c r="AB11" s="287"/>
      <c r="AC11" s="287"/>
      <c r="AD11" s="287"/>
      <c r="AE11" s="287"/>
      <c r="AF11" s="287"/>
      <c r="AG11" s="287"/>
      <c r="AH11" s="287"/>
      <c r="AI11" s="287"/>
      <c r="AJ11" s="287"/>
      <c r="AK11" s="287"/>
    </row>
    <row r="12" spans="1:38" x14ac:dyDescent="0.35">
      <c r="B12" s="287"/>
      <c r="C12" s="302" t="str">
        <f>"Rolled interest"&amp;IF(Rate_Type="Tracker"," (Using full rate)","")</f>
        <v>Rolled interest</v>
      </c>
      <c r="D12" s="304" t="e">
        <f>Rolled_Owed</f>
        <v>#N/A</v>
      </c>
      <c r="E12" s="293"/>
      <c r="F12" s="293"/>
      <c r="G12" s="293"/>
      <c r="H12" s="293"/>
      <c r="I12" s="293"/>
      <c r="J12" s="293"/>
      <c r="K12" s="293"/>
      <c r="L12" s="287"/>
      <c r="M12" s="287"/>
      <c r="N12" s="287"/>
      <c r="O12" s="287"/>
      <c r="P12" s="287"/>
      <c r="Q12" s="287"/>
      <c r="R12" s="287"/>
      <c r="S12" s="287"/>
      <c r="T12" s="287"/>
      <c r="U12" s="287"/>
      <c r="V12" s="287"/>
      <c r="W12" s="287"/>
      <c r="X12" s="287"/>
      <c r="Y12" s="287"/>
      <c r="Z12" s="287"/>
      <c r="AA12" s="287"/>
      <c r="AB12" s="287"/>
      <c r="AC12" s="287"/>
      <c r="AD12" s="287"/>
      <c r="AE12" s="287"/>
      <c r="AF12" s="287"/>
      <c r="AG12" s="287"/>
      <c r="AH12" s="287"/>
      <c r="AI12" s="287"/>
      <c r="AJ12" s="287"/>
      <c r="AK12" s="287"/>
    </row>
    <row r="13" spans="1:38" x14ac:dyDescent="0.35">
      <c r="B13" s="287"/>
      <c r="C13" s="291" t="s">
        <v>3230</v>
      </c>
      <c r="D13" s="305" t="e">
        <f>D10*D8</f>
        <v>#N/A</v>
      </c>
      <c r="E13" s="293"/>
      <c r="F13" s="293"/>
      <c r="G13" s="293"/>
      <c r="H13" s="293"/>
      <c r="I13" s="293"/>
      <c r="J13" s="293"/>
      <c r="K13" s="287"/>
      <c r="L13" s="287"/>
      <c r="M13" s="287"/>
      <c r="N13" s="287"/>
      <c r="O13" s="287"/>
      <c r="P13" s="287"/>
      <c r="Q13" s="287"/>
      <c r="R13" s="287"/>
      <c r="S13" s="287"/>
      <c r="T13" s="287"/>
      <c r="U13" s="287"/>
      <c r="V13" s="287"/>
      <c r="W13" s="287"/>
      <c r="X13" s="287"/>
      <c r="Y13" s="287"/>
      <c r="Z13" s="287"/>
      <c r="AA13" s="287"/>
      <c r="AB13" s="287"/>
      <c r="AC13" s="287"/>
      <c r="AD13" s="287"/>
      <c r="AE13" s="287"/>
      <c r="AF13" s="287"/>
      <c r="AG13" s="287"/>
      <c r="AH13" s="287"/>
      <c r="AI13" s="287"/>
      <c r="AJ13" s="287"/>
      <c r="AK13" s="287"/>
    </row>
    <row r="14" spans="1:38" x14ac:dyDescent="0.35">
      <c r="B14" s="287"/>
      <c r="C14" s="291" t="s">
        <v>3231</v>
      </c>
      <c r="D14" s="306">
        <f>'Deal lead sheet'!C43</f>
        <v>44481</v>
      </c>
      <c r="E14" s="307" t="s">
        <v>3232</v>
      </c>
      <c r="F14" s="308"/>
      <c r="G14" s="308"/>
      <c r="H14" s="293"/>
      <c r="I14" s="293"/>
      <c r="J14" s="293"/>
      <c r="K14" s="287"/>
      <c r="L14" s="287"/>
      <c r="M14" s="287"/>
      <c r="N14" s="287"/>
      <c r="O14" s="287"/>
      <c r="P14" s="287"/>
      <c r="Q14" s="287"/>
      <c r="R14" s="287"/>
      <c r="S14" s="287"/>
      <c r="T14" s="287"/>
      <c r="U14" s="287"/>
      <c r="V14" s="287"/>
      <c r="W14" s="287"/>
      <c r="X14" s="287"/>
      <c r="Y14" s="287"/>
      <c r="Z14" s="287"/>
      <c r="AA14" s="287"/>
      <c r="AB14" s="287"/>
      <c r="AC14" s="287"/>
      <c r="AD14" s="287"/>
      <c r="AE14" s="287"/>
      <c r="AF14" s="287"/>
      <c r="AG14" s="287"/>
      <c r="AH14" s="287"/>
      <c r="AI14" s="287"/>
      <c r="AJ14" s="287"/>
      <c r="AK14" s="287"/>
    </row>
    <row r="15" spans="1:38" x14ac:dyDescent="0.35">
      <c r="B15" s="287"/>
      <c r="C15" s="291" t="s">
        <v>3233</v>
      </c>
      <c r="D15" s="309">
        <v>10</v>
      </c>
      <c r="E15" s="307" t="s">
        <v>3234</v>
      </c>
      <c r="F15" s="308"/>
      <c r="G15" s="308"/>
      <c r="H15" s="293"/>
      <c r="I15" s="293"/>
      <c r="J15" s="293"/>
      <c r="K15" s="287"/>
      <c r="L15" s="287"/>
      <c r="M15" s="287"/>
      <c r="N15" s="287"/>
      <c r="O15" s="287"/>
      <c r="P15" s="287"/>
      <c r="Q15" s="287"/>
      <c r="R15" s="287"/>
      <c r="S15" s="287"/>
      <c r="T15" s="310" t="e">
        <f>IF(D16="No",0,1)</f>
        <v>#N/A</v>
      </c>
      <c r="U15" s="311" t="s">
        <v>3235</v>
      </c>
      <c r="V15" s="287"/>
      <c r="W15" s="287"/>
      <c r="X15" s="287"/>
      <c r="Y15" s="287"/>
      <c r="Z15" s="287"/>
      <c r="AA15" s="287"/>
      <c r="AB15" s="287"/>
      <c r="AC15" s="287"/>
      <c r="AD15" s="287"/>
      <c r="AE15" s="287"/>
      <c r="AF15" s="287"/>
      <c r="AG15" s="287"/>
      <c r="AH15" s="287"/>
      <c r="AI15" s="287"/>
      <c r="AJ15" s="287"/>
      <c r="AK15" s="287"/>
    </row>
    <row r="16" spans="1:38" x14ac:dyDescent="0.35">
      <c r="B16" s="287"/>
      <c r="C16" s="302" t="s">
        <v>3271</v>
      </c>
      <c r="D16" s="312" t="e">
        <f>IF(D7=0,IF(DAY(D14)&lt;15,"Yes","No"),"Yes")</f>
        <v>#N/A</v>
      </c>
      <c r="E16" s="307" t="s">
        <v>3237</v>
      </c>
      <c r="F16" s="308"/>
      <c r="G16" s="308"/>
      <c r="H16" s="293"/>
      <c r="I16" s="293"/>
      <c r="J16" s="293"/>
      <c r="K16" s="287"/>
      <c r="L16" s="287"/>
      <c r="N16" s="287"/>
      <c r="O16" s="287"/>
      <c r="P16" s="287"/>
      <c r="Q16" s="287"/>
      <c r="R16" s="287"/>
      <c r="S16" s="287"/>
      <c r="T16" s="310">
        <f>IF(D15&lt;DAY(D14),1,0)</f>
        <v>1</v>
      </c>
      <c r="U16" s="311" t="s">
        <v>3238</v>
      </c>
      <c r="V16" s="287"/>
      <c r="W16" s="287"/>
      <c r="X16" s="287"/>
      <c r="Y16" s="287"/>
      <c r="Z16" s="287"/>
      <c r="AA16" s="287"/>
      <c r="AB16" s="287"/>
      <c r="AC16" s="287"/>
      <c r="AD16" s="287"/>
      <c r="AE16" s="287"/>
      <c r="AF16" s="287"/>
      <c r="AG16" s="287"/>
      <c r="AH16" s="287"/>
      <c r="AI16" s="287"/>
      <c r="AJ16" s="287"/>
      <c r="AK16" s="287"/>
    </row>
    <row r="17" spans="1:37" x14ac:dyDescent="0.35">
      <c r="B17" s="287"/>
      <c r="C17" s="313"/>
      <c r="D17" s="293"/>
      <c r="E17" s="293"/>
      <c r="F17" s="293"/>
      <c r="G17" s="293"/>
      <c r="H17" s="293"/>
      <c r="I17" s="293"/>
      <c r="J17" s="293"/>
      <c r="K17" s="287"/>
      <c r="L17" s="287"/>
      <c r="M17" s="287"/>
      <c r="N17" s="287"/>
      <c r="O17" s="287"/>
      <c r="P17" s="287"/>
      <c r="Q17" s="287"/>
      <c r="R17" s="287"/>
      <c r="S17" s="287"/>
      <c r="T17" s="310">
        <f>IF(DAY($D$14)&lt;15,0,1)</f>
        <v>0</v>
      </c>
      <c r="U17" s="311" t="s">
        <v>3239</v>
      </c>
      <c r="V17" s="287"/>
      <c r="W17" s="287"/>
      <c r="X17" s="287"/>
      <c r="Y17" s="287"/>
      <c r="Z17" s="287"/>
      <c r="AA17" s="287"/>
      <c r="AB17" s="287"/>
      <c r="AC17" s="287"/>
      <c r="AD17" s="287"/>
      <c r="AE17" s="287"/>
      <c r="AF17" s="287"/>
      <c r="AG17" s="287"/>
      <c r="AH17" s="287"/>
      <c r="AI17" s="287"/>
      <c r="AJ17" s="287"/>
      <c r="AK17" s="287"/>
    </row>
    <row r="18" spans="1:37" s="69" customFormat="1" x14ac:dyDescent="0.35">
      <c r="A18" s="287"/>
      <c r="B18" s="67"/>
      <c r="C18" s="314" t="s">
        <v>3240</v>
      </c>
      <c r="D18" s="293"/>
      <c r="E18" s="293"/>
      <c r="F18" s="293"/>
      <c r="G18" s="293"/>
      <c r="H18" s="293"/>
      <c r="I18" s="293"/>
      <c r="J18" s="315"/>
      <c r="K18" s="315"/>
      <c r="L18" s="315"/>
      <c r="M18" s="315"/>
      <c r="N18" s="315"/>
      <c r="O18" s="315"/>
      <c r="P18" s="315"/>
      <c r="Q18" s="315"/>
      <c r="R18" s="315"/>
      <c r="S18" s="315"/>
      <c r="T18" s="315"/>
      <c r="U18" s="315"/>
      <c r="V18" s="315"/>
      <c r="W18" s="315"/>
      <c r="X18" s="315"/>
      <c r="Y18" s="315"/>
      <c r="Z18" s="293" t="s">
        <v>2151</v>
      </c>
      <c r="AA18" s="315"/>
      <c r="AB18" s="315"/>
      <c r="AC18" s="315"/>
      <c r="AD18" s="315"/>
      <c r="AE18" s="315"/>
      <c r="AF18" s="315"/>
      <c r="AG18" s="315"/>
      <c r="AH18" s="315"/>
      <c r="AI18" s="315"/>
      <c r="AJ18" s="315"/>
      <c r="AK18" s="315"/>
    </row>
    <row r="19" spans="1:37" ht="38.25" customHeight="1" x14ac:dyDescent="0.35">
      <c r="A19" s="315"/>
      <c r="B19" s="316" t="s">
        <v>3241</v>
      </c>
      <c r="C19" s="317" t="s">
        <v>3242</v>
      </c>
      <c r="D19" s="317" t="s">
        <v>3243</v>
      </c>
      <c r="E19" s="317" t="s">
        <v>3244</v>
      </c>
      <c r="F19" s="318" t="s">
        <v>3245</v>
      </c>
      <c r="G19" s="318" t="s">
        <v>3246</v>
      </c>
      <c r="H19" s="318" t="s">
        <v>3247</v>
      </c>
      <c r="I19" s="318" t="s">
        <v>1262</v>
      </c>
      <c r="J19" s="318" t="s">
        <v>3248</v>
      </c>
      <c r="K19" s="318" t="s">
        <v>3249</v>
      </c>
      <c r="L19" s="318"/>
      <c r="M19" s="287"/>
      <c r="N19" s="287"/>
      <c r="O19" s="287"/>
      <c r="P19" s="287"/>
      <c r="Q19" s="287"/>
      <c r="R19" s="287"/>
      <c r="S19" s="3773" t="s">
        <v>3250</v>
      </c>
      <c r="T19" s="3774"/>
    </row>
    <row r="20" spans="1:37" x14ac:dyDescent="0.35">
      <c r="B20" s="319">
        <v>0</v>
      </c>
      <c r="C20" s="320" t="str">
        <f t="shared" ref="C20:C56" si="0">TEXT(F20,"mmm yy")</f>
        <v>Oct 21</v>
      </c>
      <c r="D20" s="321">
        <f>IF(B20&lt;=$D$8,_xlfn.DAYS(EOMONTH(F20,0),F20)+1,"")</f>
        <v>20</v>
      </c>
      <c r="E20" s="322" t="str">
        <f t="shared" ref="E20:E56" si="1">IF(B20&lt;=$D$8,IF(_xlfn.DAYS(EOMONTH(F20,0),DATE(YEAR(F20),MONTH(F20),1))+1=D20,"Yes","No"),"")</f>
        <v>No</v>
      </c>
      <c r="F20" s="323">
        <f>D14</f>
        <v>44481</v>
      </c>
      <c r="G20" s="324">
        <v>0</v>
      </c>
      <c r="H20" s="325" t="e">
        <f>IF(B20&gt;$D$8,"",IF(E20="No",D20*$D$11,$D$10))</f>
        <v>#N/A</v>
      </c>
      <c r="I20" s="325" t="e">
        <f>IF($D$7=0,H20,IF(B20&lt;$D$7,0,IF(B20&lt;$D$8,$D$10,"")))</f>
        <v>#N/A</v>
      </c>
      <c r="J20" s="325" t="e">
        <f>IF($D$7&gt;0,I20,IF($D$16="No","",IF(AND(DD_In_Month1=0,B20=1),H20+H19,IF(AND(Final_Month_DD_Req=0,B20=$D$8),0,H20))))</f>
        <v>#N/A</v>
      </c>
      <c r="K20" s="320" t="e">
        <f>IF(AND(Final_Month_DD_Req=0,B20=$D$8),"",IF(AND(E20="No",B20=0),IF(DD_In_Month1=0,"",TEXT(F20+7,"dd mmm yy")),IF(B20&lt;$D$8,TEXT($D$15,"00")&amp;" "&amp;TEXT(F20,"mmm")&amp;" "&amp;TEXT(F20,"yy"),IF(B20&gt;$D$8,"",IF($E$20="Yes","","1 "&amp;TEXT(F20,"mmm")&amp;" "&amp;TEXT(F20,"yy"))))))</f>
        <v>#N/A</v>
      </c>
      <c r="L20" s="326" t="e">
        <f>IF(D16="No","No time to take DD in completion month",IF(E20="no","Partial DD taken in 1st month","1st month DD taken as full month"))</f>
        <v>#N/A</v>
      </c>
      <c r="M20" s="287"/>
      <c r="N20" s="287"/>
      <c r="O20" s="287"/>
      <c r="P20" s="287"/>
      <c r="Q20" s="287"/>
      <c r="R20" s="287"/>
      <c r="S20" s="327" t="e">
        <f t="shared" ref="S20:S56" si="2">IF(B20&lt;$D$8,$D$10,"")</f>
        <v>#N/A</v>
      </c>
      <c r="T20" s="328" t="str">
        <f t="shared" ref="T20:T56" si="3">C20</f>
        <v>Oct 21</v>
      </c>
      <c r="W20" s="329" t="s">
        <v>3251</v>
      </c>
      <c r="X20" s="329"/>
      <c r="Y20" s="329"/>
    </row>
    <row r="21" spans="1:37" x14ac:dyDescent="0.35">
      <c r="B21" s="319">
        <f t="shared" ref="B21:B56" si="4">B20+1</f>
        <v>1</v>
      </c>
      <c r="C21" s="320" t="str">
        <f t="shared" si="0"/>
        <v>Nov 21</v>
      </c>
      <c r="D21" s="321">
        <f t="shared" ref="D21:D56" si="5">IF(B21&lt;$D$8,_xlfn.DAYS(EOMONTH(F21,0),DATE(YEAR(F21),MONTH(F21),1))+1,IF(B21=$D$8,$W$22-1,""))</f>
        <v>30</v>
      </c>
      <c r="E21" s="322" t="str">
        <f t="shared" si="1"/>
        <v>Yes</v>
      </c>
      <c r="F21" s="323">
        <f t="shared" ref="F21:F56" si="6">IF(B21&gt;$D$8,"",EDATE(F20,1))</f>
        <v>44512</v>
      </c>
      <c r="G21" s="324">
        <v>0</v>
      </c>
      <c r="H21" s="325" t="e">
        <f t="shared" ref="H21:H56" si="7">IF(B21&gt;$D$8,"",IF(AND(E21="No",B21=1),$D$10-$H$20,IF(B21=Penultimate_Month,IF(Final_Month_DD_Req=1,$D$10,$D$10),IF(AND(E21="No",B21=$D$8),Month1_Remainder,$D$10))))</f>
        <v>#N/A</v>
      </c>
      <c r="I21" s="325" t="e">
        <f t="shared" ref="I21:I56" si="8">IF($D$7=0,H21,IF(B21&lt;$D$7,0,IF(B21&lt;$D$8,$D$10,"")))</f>
        <v>#N/A</v>
      </c>
      <c r="J21" s="325" t="e">
        <f t="shared" ref="J21:J56" si="9">IF($D$7&gt;0,I21,IF(AND(DD_In_Month1=0,B21=1),H21+H20,IF(AND(Final_Month_DD_Req=0,B21=$D$8),"",IF(AND(Final_Month_DD_Req=0,B21=Penultimate_Month),$D$10+Month1_Remainder,H21))))</f>
        <v>#N/A</v>
      </c>
      <c r="K21" s="320" t="str">
        <f t="shared" ref="K21:K56" si="10">IF(AND(Final_Month_DD_Req=0,B21=$D$8),"",IF(AND(E21="No",B21=0),IF(DD_In_Month1=0,"",TEXT(F21+7,"dd mmm yy")),IF(B21&lt;$D$8,TEXT($D$15,"00")&amp;" "&amp;TEXT(F21,"mmm")&amp;" "&amp;TEXT(F21,"yy"),IF(B21&gt;$D$8,"",IF($E$20="Yes","","01 "&amp;TEXT(F21,"mmm")&amp;" "&amp;TEXT(F21,"yy"))))))</f>
        <v>10 Nov 21</v>
      </c>
      <c r="L21" s="287"/>
      <c r="M21" s="287"/>
      <c r="N21" s="287"/>
      <c r="O21" s="287"/>
      <c r="P21" s="287"/>
      <c r="Q21" s="287"/>
      <c r="R21" s="287"/>
      <c r="S21" s="327" t="e">
        <f t="shared" si="2"/>
        <v>#N/A</v>
      </c>
      <c r="T21" s="328" t="str">
        <f t="shared" si="3"/>
        <v>Nov 21</v>
      </c>
      <c r="W21" s="329" t="s">
        <v>3252</v>
      </c>
      <c r="X21" s="329" t="s">
        <v>3241</v>
      </c>
      <c r="Y21" s="329" t="s">
        <v>3253</v>
      </c>
    </row>
    <row r="22" spans="1:37" x14ac:dyDescent="0.35">
      <c r="B22" s="319">
        <f t="shared" si="4"/>
        <v>2</v>
      </c>
      <c r="C22" s="320" t="str">
        <f t="shared" si="0"/>
        <v>Dec 21</v>
      </c>
      <c r="D22" s="321">
        <f t="shared" si="5"/>
        <v>31</v>
      </c>
      <c r="E22" s="322" t="str">
        <f t="shared" si="1"/>
        <v>Yes</v>
      </c>
      <c r="F22" s="323">
        <f t="shared" si="6"/>
        <v>44542</v>
      </c>
      <c r="G22" s="324">
        <v>0</v>
      </c>
      <c r="H22" s="325" t="e">
        <f t="shared" si="7"/>
        <v>#N/A</v>
      </c>
      <c r="I22" s="325" t="e">
        <f t="shared" si="8"/>
        <v>#N/A</v>
      </c>
      <c r="J22" s="325" t="e">
        <f t="shared" si="9"/>
        <v>#N/A</v>
      </c>
      <c r="K22" s="320" t="str">
        <f t="shared" si="10"/>
        <v>10 Dec 21</v>
      </c>
      <c r="L22" s="330" t="s">
        <v>3254</v>
      </c>
      <c r="M22" s="331" t="s">
        <v>3255</v>
      </c>
      <c r="N22" s="332"/>
      <c r="O22" s="333"/>
      <c r="P22" s="287"/>
      <c r="Q22" s="287"/>
      <c r="R22" s="287"/>
      <c r="S22" s="327" t="e">
        <f t="shared" si="2"/>
        <v>#N/A</v>
      </c>
      <c r="T22" s="328" t="str">
        <f t="shared" si="3"/>
        <v>Dec 21</v>
      </c>
      <c r="W22" s="329">
        <f>DAY(D14)</f>
        <v>12</v>
      </c>
      <c r="X22" s="329">
        <f>MONTH(D14)</f>
        <v>10</v>
      </c>
      <c r="Y22" s="329">
        <f>YEAR(D14)</f>
        <v>2021</v>
      </c>
    </row>
    <row r="23" spans="1:37" x14ac:dyDescent="0.35">
      <c r="B23" s="319">
        <f t="shared" si="4"/>
        <v>3</v>
      </c>
      <c r="C23" s="320" t="str">
        <f t="shared" si="0"/>
        <v>Jan 22</v>
      </c>
      <c r="D23" s="321">
        <f t="shared" si="5"/>
        <v>31</v>
      </c>
      <c r="E23" s="322" t="str">
        <f t="shared" si="1"/>
        <v>Yes</v>
      </c>
      <c r="F23" s="323">
        <f t="shared" si="6"/>
        <v>44573</v>
      </c>
      <c r="G23" s="324">
        <v>0</v>
      </c>
      <c r="H23" s="325" t="e">
        <f t="shared" si="7"/>
        <v>#N/A</v>
      </c>
      <c r="I23" s="325" t="e">
        <f t="shared" si="8"/>
        <v>#N/A</v>
      </c>
      <c r="J23" s="325" t="e">
        <f t="shared" si="9"/>
        <v>#N/A</v>
      </c>
      <c r="K23" s="320" t="str">
        <f t="shared" si="10"/>
        <v>10 Jan 22</v>
      </c>
      <c r="L23" s="287"/>
      <c r="M23" s="287"/>
      <c r="N23" s="287"/>
      <c r="O23" s="287"/>
      <c r="P23" s="287"/>
      <c r="Q23" s="287"/>
      <c r="R23" s="287"/>
      <c r="S23" s="327" t="e">
        <f t="shared" si="2"/>
        <v>#N/A</v>
      </c>
      <c r="T23" s="328" t="str">
        <f t="shared" si="3"/>
        <v>Jan 22</v>
      </c>
    </row>
    <row r="24" spans="1:37" x14ac:dyDescent="0.35">
      <c r="B24" s="319">
        <f t="shared" si="4"/>
        <v>4</v>
      </c>
      <c r="C24" s="320" t="str">
        <f t="shared" si="0"/>
        <v>Feb 22</v>
      </c>
      <c r="D24" s="321">
        <f t="shared" si="5"/>
        <v>28</v>
      </c>
      <c r="E24" s="322" t="str">
        <f t="shared" si="1"/>
        <v>Yes</v>
      </c>
      <c r="F24" s="323">
        <f t="shared" si="6"/>
        <v>44604</v>
      </c>
      <c r="G24" s="324">
        <v>0</v>
      </c>
      <c r="H24" s="325" t="e">
        <f t="shared" si="7"/>
        <v>#N/A</v>
      </c>
      <c r="I24" s="325" t="e">
        <f t="shared" si="8"/>
        <v>#N/A</v>
      </c>
      <c r="J24" s="325" t="e">
        <f t="shared" si="9"/>
        <v>#N/A</v>
      </c>
      <c r="K24" s="320" t="str">
        <f t="shared" si="10"/>
        <v>10 Feb 22</v>
      </c>
      <c r="L24" s="287"/>
      <c r="M24" s="287"/>
      <c r="N24" s="287"/>
      <c r="O24" s="3778" t="s">
        <v>3256</v>
      </c>
      <c r="P24" s="3778"/>
      <c r="Q24" s="287"/>
      <c r="R24" s="287"/>
      <c r="S24" s="327" t="e">
        <f t="shared" si="2"/>
        <v>#N/A</v>
      </c>
      <c r="T24" s="328" t="str">
        <f t="shared" si="3"/>
        <v>Feb 22</v>
      </c>
    </row>
    <row r="25" spans="1:37" x14ac:dyDescent="0.35">
      <c r="B25" s="319">
        <f t="shared" si="4"/>
        <v>5</v>
      </c>
      <c r="C25" s="320" t="str">
        <f t="shared" si="0"/>
        <v>Mar 22</v>
      </c>
      <c r="D25" s="321">
        <f t="shared" si="5"/>
        <v>31</v>
      </c>
      <c r="E25" s="322" t="str">
        <f t="shared" si="1"/>
        <v>Yes</v>
      </c>
      <c r="F25" s="323">
        <f t="shared" si="6"/>
        <v>44632</v>
      </c>
      <c r="G25" s="324">
        <v>0</v>
      </c>
      <c r="H25" s="325" t="e">
        <f t="shared" si="7"/>
        <v>#N/A</v>
      </c>
      <c r="I25" s="325" t="e">
        <f t="shared" si="8"/>
        <v>#N/A</v>
      </c>
      <c r="J25" s="325" t="e">
        <f t="shared" si="9"/>
        <v>#N/A</v>
      </c>
      <c r="K25" s="320" t="str">
        <f t="shared" si="10"/>
        <v>10 Mar 22</v>
      </c>
      <c r="L25" s="287"/>
      <c r="M25" s="287"/>
      <c r="N25" s="287"/>
      <c r="O25" s="334" t="s">
        <v>3257</v>
      </c>
      <c r="P25" s="334" t="s">
        <v>3258</v>
      </c>
      <c r="Q25" s="287"/>
      <c r="R25" s="287"/>
      <c r="S25" s="327" t="e">
        <f t="shared" si="2"/>
        <v>#N/A</v>
      </c>
      <c r="T25" s="328" t="str">
        <f t="shared" si="3"/>
        <v>Mar 22</v>
      </c>
    </row>
    <row r="26" spans="1:37" x14ac:dyDescent="0.35">
      <c r="B26" s="319">
        <f t="shared" si="4"/>
        <v>6</v>
      </c>
      <c r="C26" s="320" t="str">
        <f t="shared" si="0"/>
        <v>Apr 22</v>
      </c>
      <c r="D26" s="321">
        <f t="shared" si="5"/>
        <v>30</v>
      </c>
      <c r="E26" s="322" t="str">
        <f t="shared" si="1"/>
        <v>Yes</v>
      </c>
      <c r="F26" s="323">
        <f t="shared" si="6"/>
        <v>44663</v>
      </c>
      <c r="G26" s="324">
        <v>0</v>
      </c>
      <c r="H26" s="325" t="e">
        <f t="shared" si="7"/>
        <v>#N/A</v>
      </c>
      <c r="I26" s="325" t="e">
        <f t="shared" si="8"/>
        <v>#N/A</v>
      </c>
      <c r="J26" s="325" t="e">
        <f t="shared" si="9"/>
        <v>#N/A</v>
      </c>
      <c r="K26" s="320" t="str">
        <f t="shared" si="10"/>
        <v>10 Apr 22</v>
      </c>
      <c r="L26" s="287"/>
      <c r="M26" s="335"/>
      <c r="N26" s="336" t="s">
        <v>3259</v>
      </c>
      <c r="O26" s="337" t="e">
        <f>IF($J$20="",J21,J20)</f>
        <v>#N/A</v>
      </c>
      <c r="P26" s="337" t="e">
        <f>IF($J$20="",K21,K20)</f>
        <v>#N/A</v>
      </c>
      <c r="Q26" s="287"/>
      <c r="R26" s="287"/>
      <c r="S26" s="327" t="e">
        <f t="shared" si="2"/>
        <v>#N/A</v>
      </c>
      <c r="T26" s="328" t="str">
        <f t="shared" si="3"/>
        <v>Apr 22</v>
      </c>
    </row>
    <row r="27" spans="1:37" x14ac:dyDescent="0.35">
      <c r="B27" s="319">
        <f t="shared" si="4"/>
        <v>7</v>
      </c>
      <c r="C27" s="320" t="str">
        <f t="shared" si="0"/>
        <v>May 22</v>
      </c>
      <c r="D27" s="321">
        <f t="shared" si="5"/>
        <v>31</v>
      </c>
      <c r="E27" s="322" t="str">
        <f t="shared" si="1"/>
        <v>Yes</v>
      </c>
      <c r="F27" s="323">
        <f t="shared" si="6"/>
        <v>44693</v>
      </c>
      <c r="G27" s="324">
        <v>0</v>
      </c>
      <c r="H27" s="325" t="e">
        <f t="shared" si="7"/>
        <v>#N/A</v>
      </c>
      <c r="I27" s="325" t="e">
        <f t="shared" si="8"/>
        <v>#N/A</v>
      </c>
      <c r="J27" s="325" t="e">
        <f t="shared" si="9"/>
        <v>#N/A</v>
      </c>
      <c r="K27" s="320" t="str">
        <f t="shared" si="10"/>
        <v>10 May 22</v>
      </c>
      <c r="L27" s="287"/>
      <c r="M27" s="335"/>
      <c r="N27" s="336" t="str">
        <f>"Then "&amp;TEXT(COUNTIF(J20:J56,$D$10),"#0")&amp;" payments of:"</f>
        <v>Then 37 payments of:</v>
      </c>
      <c r="O27" s="338" t="e">
        <f>$D$10</f>
        <v>#N/A</v>
      </c>
      <c r="P27" s="320" t="str">
        <f>"On day "&amp;TEXT(D15,"##")&amp;" of the month"</f>
        <v>On day 10 of the month</v>
      </c>
      <c r="Q27" s="287"/>
      <c r="R27" s="287"/>
      <c r="S27" s="327" t="e">
        <f t="shared" si="2"/>
        <v>#N/A</v>
      </c>
      <c r="T27" s="328" t="str">
        <f t="shared" si="3"/>
        <v>May 22</v>
      </c>
    </row>
    <row r="28" spans="1:37" x14ac:dyDescent="0.35">
      <c r="B28" s="319">
        <f t="shared" si="4"/>
        <v>8</v>
      </c>
      <c r="C28" s="320" t="str">
        <f t="shared" si="0"/>
        <v>Jun 22</v>
      </c>
      <c r="D28" s="321">
        <f t="shared" si="5"/>
        <v>30</v>
      </c>
      <c r="E28" s="322" t="str">
        <f t="shared" si="1"/>
        <v>Yes</v>
      </c>
      <c r="F28" s="323">
        <f t="shared" si="6"/>
        <v>44724</v>
      </c>
      <c r="G28" s="324">
        <v>0</v>
      </c>
      <c r="H28" s="325" t="e">
        <f t="shared" si="7"/>
        <v>#N/A</v>
      </c>
      <c r="I28" s="325" t="e">
        <f t="shared" si="8"/>
        <v>#N/A</v>
      </c>
      <c r="J28" s="325" t="e">
        <f t="shared" si="9"/>
        <v>#N/A</v>
      </c>
      <c r="K28" s="320" t="str">
        <f t="shared" si="10"/>
        <v>10 Jun 22</v>
      </c>
      <c r="L28" s="287"/>
      <c r="M28" s="335"/>
      <c r="N28" s="336" t="s">
        <v>3260</v>
      </c>
      <c r="O28" s="338" t="e">
        <f>IF(F62="",F63,F62)</f>
        <v>#N/A</v>
      </c>
      <c r="P28" s="338" t="e">
        <f>IF(F62="",H63,H62)</f>
        <v>#N/A</v>
      </c>
      <c r="Q28" s="287"/>
      <c r="R28" s="287"/>
      <c r="S28" s="327" t="e">
        <f t="shared" si="2"/>
        <v>#N/A</v>
      </c>
      <c r="T28" s="328" t="str">
        <f t="shared" si="3"/>
        <v>Jun 22</v>
      </c>
    </row>
    <row r="29" spans="1:37" x14ac:dyDescent="0.35">
      <c r="B29" s="319">
        <f t="shared" si="4"/>
        <v>9</v>
      </c>
      <c r="C29" s="320" t="str">
        <f t="shared" si="0"/>
        <v>Jul 22</v>
      </c>
      <c r="D29" s="321">
        <f t="shared" si="5"/>
        <v>31</v>
      </c>
      <c r="E29" s="322" t="str">
        <f t="shared" si="1"/>
        <v>Yes</v>
      </c>
      <c r="F29" s="323">
        <f t="shared" si="6"/>
        <v>44754</v>
      </c>
      <c r="G29" s="324">
        <v>0</v>
      </c>
      <c r="H29" s="325" t="e">
        <f t="shared" si="7"/>
        <v>#N/A</v>
      </c>
      <c r="I29" s="325" t="e">
        <f t="shared" si="8"/>
        <v>#N/A</v>
      </c>
      <c r="J29" s="325" t="e">
        <f t="shared" si="9"/>
        <v>#N/A</v>
      </c>
      <c r="K29" s="320" t="str">
        <f t="shared" si="10"/>
        <v>10 Jul 22</v>
      </c>
      <c r="L29" s="287"/>
      <c r="M29" s="287"/>
      <c r="N29" s="336" t="s">
        <v>3261</v>
      </c>
      <c r="O29" s="338" t="e">
        <f>J57</f>
        <v>#N/A</v>
      </c>
      <c r="P29" s="287"/>
      <c r="Q29" s="287"/>
      <c r="R29" s="287"/>
      <c r="S29" s="327" t="e">
        <f t="shared" si="2"/>
        <v>#N/A</v>
      </c>
      <c r="T29" s="328" t="str">
        <f t="shared" si="3"/>
        <v>Jul 22</v>
      </c>
    </row>
    <row r="30" spans="1:37" x14ac:dyDescent="0.35">
      <c r="B30" s="319">
        <f t="shared" si="4"/>
        <v>10</v>
      </c>
      <c r="C30" s="320" t="str">
        <f t="shared" si="0"/>
        <v>Aug 22</v>
      </c>
      <c r="D30" s="321">
        <f t="shared" si="5"/>
        <v>31</v>
      </c>
      <c r="E30" s="322" t="str">
        <f t="shared" si="1"/>
        <v>Yes</v>
      </c>
      <c r="F30" s="323">
        <f t="shared" si="6"/>
        <v>44785</v>
      </c>
      <c r="G30" s="324">
        <v>0</v>
      </c>
      <c r="H30" s="325" t="e">
        <f t="shared" si="7"/>
        <v>#N/A</v>
      </c>
      <c r="I30" s="325" t="e">
        <f t="shared" si="8"/>
        <v>#N/A</v>
      </c>
      <c r="J30" s="325" t="e">
        <f t="shared" si="9"/>
        <v>#N/A</v>
      </c>
      <c r="K30" s="320" t="str">
        <f t="shared" si="10"/>
        <v>10 Aug 22</v>
      </c>
      <c r="L30" s="287"/>
      <c r="M30" s="287"/>
      <c r="N30" s="287"/>
      <c r="O30" s="287"/>
      <c r="P30" s="287"/>
      <c r="Q30" s="287"/>
      <c r="R30" s="287"/>
      <c r="S30" s="327" t="e">
        <f t="shared" si="2"/>
        <v>#N/A</v>
      </c>
      <c r="T30" s="328" t="str">
        <f t="shared" si="3"/>
        <v>Aug 22</v>
      </c>
    </row>
    <row r="31" spans="1:37" x14ac:dyDescent="0.35">
      <c r="B31" s="319">
        <f t="shared" si="4"/>
        <v>11</v>
      </c>
      <c r="C31" s="320" t="str">
        <f t="shared" si="0"/>
        <v>Sep 22</v>
      </c>
      <c r="D31" s="321">
        <f t="shared" si="5"/>
        <v>30</v>
      </c>
      <c r="E31" s="322" t="str">
        <f t="shared" si="1"/>
        <v>Yes</v>
      </c>
      <c r="F31" s="323">
        <f t="shared" si="6"/>
        <v>44816</v>
      </c>
      <c r="G31" s="324">
        <v>0</v>
      </c>
      <c r="H31" s="325" t="e">
        <f t="shared" si="7"/>
        <v>#N/A</v>
      </c>
      <c r="I31" s="325" t="e">
        <f t="shared" si="8"/>
        <v>#N/A</v>
      </c>
      <c r="J31" s="325" t="e">
        <f t="shared" si="9"/>
        <v>#N/A</v>
      </c>
      <c r="K31" s="320" t="str">
        <f t="shared" si="10"/>
        <v>10 Sep 22</v>
      </c>
      <c r="L31" s="287"/>
      <c r="M31" s="287"/>
      <c r="N31" s="287"/>
      <c r="O31" s="287"/>
      <c r="P31" s="287"/>
      <c r="Q31" s="287"/>
      <c r="R31" s="287"/>
      <c r="S31" s="327" t="e">
        <f t="shared" si="2"/>
        <v>#N/A</v>
      </c>
      <c r="T31" s="328" t="str">
        <f t="shared" si="3"/>
        <v>Sep 22</v>
      </c>
    </row>
    <row r="32" spans="1:37" x14ac:dyDescent="0.35">
      <c r="B32" s="319">
        <f t="shared" si="4"/>
        <v>12</v>
      </c>
      <c r="C32" s="320" t="str">
        <f t="shared" si="0"/>
        <v>Oct 22</v>
      </c>
      <c r="D32" s="321">
        <f t="shared" si="5"/>
        <v>31</v>
      </c>
      <c r="E32" s="322" t="str">
        <f t="shared" si="1"/>
        <v>Yes</v>
      </c>
      <c r="F32" s="323">
        <f t="shared" si="6"/>
        <v>44846</v>
      </c>
      <c r="G32" s="324">
        <v>0</v>
      </c>
      <c r="H32" s="325" t="e">
        <f t="shared" si="7"/>
        <v>#N/A</v>
      </c>
      <c r="I32" s="325" t="e">
        <f t="shared" si="8"/>
        <v>#N/A</v>
      </c>
      <c r="J32" s="325" t="e">
        <f t="shared" si="9"/>
        <v>#N/A</v>
      </c>
      <c r="K32" s="320" t="str">
        <f t="shared" si="10"/>
        <v>10 Oct 22</v>
      </c>
      <c r="L32" s="287"/>
      <c r="M32" s="287"/>
      <c r="N32" s="287"/>
      <c r="O32" s="287"/>
      <c r="P32" s="287"/>
      <c r="Q32" s="287"/>
      <c r="R32" s="287"/>
      <c r="S32" s="327" t="e">
        <f t="shared" si="2"/>
        <v>#N/A</v>
      </c>
      <c r="T32" s="328" t="str">
        <f t="shared" si="3"/>
        <v>Oct 22</v>
      </c>
    </row>
    <row r="33" spans="2:28" x14ac:dyDescent="0.35">
      <c r="B33" s="319">
        <f t="shared" si="4"/>
        <v>13</v>
      </c>
      <c r="C33" s="320" t="str">
        <f t="shared" si="0"/>
        <v>Nov 22</v>
      </c>
      <c r="D33" s="321">
        <f t="shared" si="5"/>
        <v>30</v>
      </c>
      <c r="E33" s="322" t="str">
        <f t="shared" si="1"/>
        <v>Yes</v>
      </c>
      <c r="F33" s="323">
        <f t="shared" si="6"/>
        <v>44877</v>
      </c>
      <c r="G33" s="324">
        <v>0</v>
      </c>
      <c r="H33" s="325" t="e">
        <f t="shared" si="7"/>
        <v>#N/A</v>
      </c>
      <c r="I33" s="325" t="e">
        <f t="shared" si="8"/>
        <v>#N/A</v>
      </c>
      <c r="J33" s="325" t="e">
        <f t="shared" si="9"/>
        <v>#N/A</v>
      </c>
      <c r="K33" s="320" t="str">
        <f t="shared" si="10"/>
        <v>10 Nov 22</v>
      </c>
      <c r="L33" s="287"/>
      <c r="M33" s="287"/>
      <c r="O33" s="287"/>
      <c r="P33" s="287"/>
      <c r="Q33" s="287"/>
      <c r="R33" s="287"/>
      <c r="S33" s="327" t="e">
        <f t="shared" si="2"/>
        <v>#N/A</v>
      </c>
      <c r="T33" s="328" t="str">
        <f t="shared" si="3"/>
        <v>Nov 22</v>
      </c>
    </row>
    <row r="34" spans="2:28" x14ac:dyDescent="0.35">
      <c r="B34" s="319">
        <f t="shared" si="4"/>
        <v>14</v>
      </c>
      <c r="C34" s="320" t="str">
        <f t="shared" si="0"/>
        <v>Dec 22</v>
      </c>
      <c r="D34" s="321">
        <f t="shared" si="5"/>
        <v>31</v>
      </c>
      <c r="E34" s="322" t="str">
        <f t="shared" si="1"/>
        <v>Yes</v>
      </c>
      <c r="F34" s="323">
        <f t="shared" si="6"/>
        <v>44907</v>
      </c>
      <c r="G34" s="324">
        <v>0</v>
      </c>
      <c r="H34" s="325" t="e">
        <f t="shared" si="7"/>
        <v>#N/A</v>
      </c>
      <c r="I34" s="325" t="e">
        <f t="shared" si="8"/>
        <v>#N/A</v>
      </c>
      <c r="J34" s="325" t="e">
        <f t="shared" si="9"/>
        <v>#N/A</v>
      </c>
      <c r="K34" s="320" t="str">
        <f t="shared" si="10"/>
        <v>10 Dec 22</v>
      </c>
      <c r="L34" s="287"/>
      <c r="M34" s="287"/>
      <c r="N34" s="287"/>
      <c r="O34" s="287"/>
      <c r="P34" s="287"/>
      <c r="Q34" s="287"/>
      <c r="R34" s="287"/>
      <c r="S34" s="327" t="e">
        <f t="shared" si="2"/>
        <v>#N/A</v>
      </c>
      <c r="T34" s="328" t="str">
        <f t="shared" si="3"/>
        <v>Dec 22</v>
      </c>
    </row>
    <row r="35" spans="2:28" x14ac:dyDescent="0.35">
      <c r="B35" s="319">
        <f t="shared" si="4"/>
        <v>15</v>
      </c>
      <c r="C35" s="320" t="str">
        <f t="shared" si="0"/>
        <v>Jan 23</v>
      </c>
      <c r="D35" s="321">
        <f t="shared" si="5"/>
        <v>31</v>
      </c>
      <c r="E35" s="322" t="str">
        <f t="shared" si="1"/>
        <v>Yes</v>
      </c>
      <c r="F35" s="323">
        <f t="shared" si="6"/>
        <v>44938</v>
      </c>
      <c r="G35" s="324">
        <v>0</v>
      </c>
      <c r="H35" s="325" t="e">
        <f t="shared" si="7"/>
        <v>#N/A</v>
      </c>
      <c r="I35" s="325" t="e">
        <f t="shared" si="8"/>
        <v>#N/A</v>
      </c>
      <c r="J35" s="325" t="e">
        <f t="shared" si="9"/>
        <v>#N/A</v>
      </c>
      <c r="K35" s="320" t="str">
        <f t="shared" si="10"/>
        <v>10 Jan 23</v>
      </c>
      <c r="L35" s="287"/>
      <c r="M35" s="287"/>
      <c r="N35" s="287"/>
      <c r="O35" s="287"/>
      <c r="P35" s="287"/>
      <c r="Q35" s="287"/>
      <c r="R35" s="287"/>
      <c r="S35" s="327" t="e">
        <f t="shared" si="2"/>
        <v>#N/A</v>
      </c>
      <c r="T35" s="328" t="str">
        <f t="shared" si="3"/>
        <v>Jan 23</v>
      </c>
    </row>
    <row r="36" spans="2:28" x14ac:dyDescent="0.35">
      <c r="B36" s="319">
        <f t="shared" si="4"/>
        <v>16</v>
      </c>
      <c r="C36" s="320" t="str">
        <f t="shared" si="0"/>
        <v>Feb 23</v>
      </c>
      <c r="D36" s="321">
        <f t="shared" si="5"/>
        <v>28</v>
      </c>
      <c r="E36" s="322" t="str">
        <f t="shared" si="1"/>
        <v>Yes</v>
      </c>
      <c r="F36" s="323">
        <f t="shared" si="6"/>
        <v>44969</v>
      </c>
      <c r="G36" s="324">
        <v>0</v>
      </c>
      <c r="H36" s="325" t="e">
        <f t="shared" si="7"/>
        <v>#N/A</v>
      </c>
      <c r="I36" s="325" t="e">
        <f t="shared" si="8"/>
        <v>#N/A</v>
      </c>
      <c r="J36" s="325" t="e">
        <f t="shared" si="9"/>
        <v>#N/A</v>
      </c>
      <c r="K36" s="320" t="str">
        <f t="shared" si="10"/>
        <v>10 Feb 23</v>
      </c>
      <c r="L36" s="287"/>
      <c r="M36" s="287"/>
      <c r="N36" s="287"/>
      <c r="O36" s="287"/>
      <c r="P36" s="287"/>
      <c r="Q36" s="287"/>
      <c r="R36" s="287"/>
      <c r="S36" s="327" t="e">
        <f t="shared" si="2"/>
        <v>#N/A</v>
      </c>
      <c r="T36" s="328" t="str">
        <f t="shared" si="3"/>
        <v>Feb 23</v>
      </c>
    </row>
    <row r="37" spans="2:28" x14ac:dyDescent="0.35">
      <c r="B37" s="319">
        <f t="shared" si="4"/>
        <v>17</v>
      </c>
      <c r="C37" s="320" t="str">
        <f t="shared" si="0"/>
        <v>Mar 23</v>
      </c>
      <c r="D37" s="321">
        <f t="shared" si="5"/>
        <v>31</v>
      </c>
      <c r="E37" s="322" t="str">
        <f t="shared" si="1"/>
        <v>Yes</v>
      </c>
      <c r="F37" s="323">
        <f t="shared" si="6"/>
        <v>44997</v>
      </c>
      <c r="G37" s="324">
        <v>0</v>
      </c>
      <c r="H37" s="325" t="e">
        <f t="shared" si="7"/>
        <v>#N/A</v>
      </c>
      <c r="I37" s="325" t="e">
        <f t="shared" si="8"/>
        <v>#N/A</v>
      </c>
      <c r="J37" s="325" t="e">
        <f t="shared" si="9"/>
        <v>#N/A</v>
      </c>
      <c r="K37" s="320" t="str">
        <f t="shared" si="10"/>
        <v>10 Mar 23</v>
      </c>
      <c r="L37" s="287"/>
      <c r="M37" s="287"/>
      <c r="N37" s="287"/>
      <c r="O37" s="287"/>
      <c r="P37" s="287"/>
      <c r="Q37" s="287"/>
      <c r="R37" s="287"/>
      <c r="S37" s="327" t="e">
        <f t="shared" si="2"/>
        <v>#N/A</v>
      </c>
      <c r="T37" s="328" t="str">
        <f t="shared" si="3"/>
        <v>Mar 23</v>
      </c>
    </row>
    <row r="38" spans="2:28" x14ac:dyDescent="0.35">
      <c r="B38" s="319">
        <f t="shared" si="4"/>
        <v>18</v>
      </c>
      <c r="C38" s="320" t="str">
        <f t="shared" si="0"/>
        <v>Apr 23</v>
      </c>
      <c r="D38" s="321">
        <f t="shared" si="5"/>
        <v>30</v>
      </c>
      <c r="E38" s="322" t="str">
        <f t="shared" si="1"/>
        <v>Yes</v>
      </c>
      <c r="F38" s="323">
        <f t="shared" si="6"/>
        <v>45028</v>
      </c>
      <c r="G38" s="324">
        <v>0</v>
      </c>
      <c r="H38" s="325" t="e">
        <f t="shared" si="7"/>
        <v>#N/A</v>
      </c>
      <c r="I38" s="325" t="e">
        <f t="shared" si="8"/>
        <v>#N/A</v>
      </c>
      <c r="J38" s="325" t="e">
        <f t="shared" si="9"/>
        <v>#N/A</v>
      </c>
      <c r="K38" s="320" t="str">
        <f t="shared" si="10"/>
        <v>10 Apr 23</v>
      </c>
      <c r="L38" s="287"/>
      <c r="M38" s="287"/>
      <c r="N38" s="287"/>
      <c r="O38" s="287"/>
      <c r="P38" s="287"/>
      <c r="Q38" s="287"/>
      <c r="R38" s="287"/>
      <c r="S38" s="327" t="e">
        <f t="shared" si="2"/>
        <v>#N/A</v>
      </c>
      <c r="T38" s="328" t="str">
        <f t="shared" si="3"/>
        <v>Apr 23</v>
      </c>
    </row>
    <row r="39" spans="2:28" x14ac:dyDescent="0.35">
      <c r="B39" s="319">
        <f t="shared" si="4"/>
        <v>19</v>
      </c>
      <c r="C39" s="320" t="str">
        <f t="shared" si="0"/>
        <v>May 23</v>
      </c>
      <c r="D39" s="321">
        <f t="shared" si="5"/>
        <v>31</v>
      </c>
      <c r="E39" s="322" t="str">
        <f t="shared" si="1"/>
        <v>Yes</v>
      </c>
      <c r="F39" s="323">
        <f t="shared" si="6"/>
        <v>45058</v>
      </c>
      <c r="G39" s="324">
        <v>0</v>
      </c>
      <c r="H39" s="325" t="e">
        <f t="shared" si="7"/>
        <v>#N/A</v>
      </c>
      <c r="I39" s="325" t="e">
        <f t="shared" si="8"/>
        <v>#N/A</v>
      </c>
      <c r="J39" s="325" t="e">
        <f t="shared" si="9"/>
        <v>#N/A</v>
      </c>
      <c r="K39" s="320" t="str">
        <f t="shared" si="10"/>
        <v>10 May 23</v>
      </c>
      <c r="L39" s="287"/>
      <c r="M39" s="287"/>
      <c r="N39" s="287"/>
      <c r="O39" s="287"/>
      <c r="P39" s="287"/>
      <c r="Q39" s="287"/>
      <c r="R39" s="287"/>
      <c r="S39" s="327" t="e">
        <f t="shared" si="2"/>
        <v>#N/A</v>
      </c>
      <c r="T39" s="328" t="str">
        <f t="shared" si="3"/>
        <v>May 23</v>
      </c>
    </row>
    <row r="40" spans="2:28" x14ac:dyDescent="0.35">
      <c r="B40" s="319">
        <f t="shared" si="4"/>
        <v>20</v>
      </c>
      <c r="C40" s="320" t="str">
        <f t="shared" si="0"/>
        <v>Jun 23</v>
      </c>
      <c r="D40" s="321">
        <f t="shared" si="5"/>
        <v>30</v>
      </c>
      <c r="E40" s="322" t="str">
        <f t="shared" si="1"/>
        <v>Yes</v>
      </c>
      <c r="F40" s="323">
        <f t="shared" si="6"/>
        <v>45089</v>
      </c>
      <c r="G40" s="324">
        <v>0</v>
      </c>
      <c r="H40" s="325" t="e">
        <f t="shared" si="7"/>
        <v>#N/A</v>
      </c>
      <c r="I40" s="325" t="e">
        <f t="shared" si="8"/>
        <v>#N/A</v>
      </c>
      <c r="J40" s="325" t="e">
        <f t="shared" si="9"/>
        <v>#N/A</v>
      </c>
      <c r="K40" s="320" t="str">
        <f t="shared" si="10"/>
        <v>10 Jun 23</v>
      </c>
      <c r="L40" s="287"/>
      <c r="M40" s="287"/>
      <c r="N40" s="287"/>
      <c r="O40" s="287"/>
      <c r="P40" s="287"/>
      <c r="Q40" s="287"/>
      <c r="R40" s="287"/>
      <c r="S40" s="327" t="e">
        <f t="shared" si="2"/>
        <v>#N/A</v>
      </c>
      <c r="T40" s="328" t="str">
        <f t="shared" si="3"/>
        <v>Jun 23</v>
      </c>
    </row>
    <row r="41" spans="2:28" x14ac:dyDescent="0.35">
      <c r="B41" s="319">
        <f t="shared" si="4"/>
        <v>21</v>
      </c>
      <c r="C41" s="320" t="str">
        <f t="shared" si="0"/>
        <v>Jul 23</v>
      </c>
      <c r="D41" s="321">
        <f t="shared" si="5"/>
        <v>31</v>
      </c>
      <c r="E41" s="322" t="str">
        <f t="shared" si="1"/>
        <v>Yes</v>
      </c>
      <c r="F41" s="323">
        <f t="shared" si="6"/>
        <v>45119</v>
      </c>
      <c r="G41" s="324">
        <v>0</v>
      </c>
      <c r="H41" s="325" t="e">
        <f t="shared" si="7"/>
        <v>#N/A</v>
      </c>
      <c r="I41" s="325" t="e">
        <f t="shared" si="8"/>
        <v>#N/A</v>
      </c>
      <c r="J41" s="325" t="e">
        <f t="shared" si="9"/>
        <v>#N/A</v>
      </c>
      <c r="K41" s="320" t="str">
        <f t="shared" si="10"/>
        <v>10 Jul 23</v>
      </c>
      <c r="L41" s="287"/>
      <c r="M41" s="287"/>
      <c r="N41" s="287"/>
      <c r="O41" s="287"/>
      <c r="P41" s="287"/>
      <c r="Q41" s="287"/>
      <c r="R41" s="287"/>
      <c r="S41" s="327" t="e">
        <f t="shared" si="2"/>
        <v>#N/A</v>
      </c>
      <c r="T41" s="328" t="str">
        <f t="shared" si="3"/>
        <v>Jul 23</v>
      </c>
    </row>
    <row r="42" spans="2:28" x14ac:dyDescent="0.35">
      <c r="B42" s="319">
        <f t="shared" si="4"/>
        <v>22</v>
      </c>
      <c r="C42" s="320" t="str">
        <f t="shared" si="0"/>
        <v>Aug 23</v>
      </c>
      <c r="D42" s="321">
        <f t="shared" si="5"/>
        <v>31</v>
      </c>
      <c r="E42" s="322" t="str">
        <f t="shared" si="1"/>
        <v>Yes</v>
      </c>
      <c r="F42" s="323">
        <f t="shared" si="6"/>
        <v>45150</v>
      </c>
      <c r="G42" s="324">
        <v>0</v>
      </c>
      <c r="H42" s="325" t="e">
        <f t="shared" si="7"/>
        <v>#N/A</v>
      </c>
      <c r="I42" s="325" t="e">
        <f t="shared" si="8"/>
        <v>#N/A</v>
      </c>
      <c r="J42" s="325" t="e">
        <f t="shared" si="9"/>
        <v>#N/A</v>
      </c>
      <c r="K42" s="320" t="str">
        <f t="shared" si="10"/>
        <v>10 Aug 23</v>
      </c>
      <c r="L42" s="296"/>
      <c r="M42" s="287"/>
      <c r="N42" s="287"/>
      <c r="O42" s="287"/>
      <c r="P42" s="287"/>
      <c r="Q42" s="287"/>
      <c r="R42" s="287"/>
      <c r="S42" s="327" t="e">
        <f t="shared" si="2"/>
        <v>#N/A</v>
      </c>
      <c r="T42" s="328" t="str">
        <f t="shared" si="3"/>
        <v>Aug 23</v>
      </c>
    </row>
    <row r="43" spans="2:28" x14ac:dyDescent="0.35">
      <c r="B43" s="319">
        <f t="shared" si="4"/>
        <v>23</v>
      </c>
      <c r="C43" s="320" t="str">
        <f t="shared" si="0"/>
        <v>Sep 23</v>
      </c>
      <c r="D43" s="321">
        <f t="shared" si="5"/>
        <v>30</v>
      </c>
      <c r="E43" s="322" t="str">
        <f t="shared" si="1"/>
        <v>Yes</v>
      </c>
      <c r="F43" s="323">
        <f t="shared" si="6"/>
        <v>45181</v>
      </c>
      <c r="G43" s="324">
        <v>0</v>
      </c>
      <c r="H43" s="325" t="e">
        <f t="shared" si="7"/>
        <v>#N/A</v>
      </c>
      <c r="I43" s="325" t="e">
        <f t="shared" si="8"/>
        <v>#N/A</v>
      </c>
      <c r="J43" s="325" t="e">
        <f t="shared" si="9"/>
        <v>#N/A</v>
      </c>
      <c r="K43" s="320" t="str">
        <f t="shared" si="10"/>
        <v>10 Sep 23</v>
      </c>
      <c r="L43" s="339"/>
      <c r="M43" s="287"/>
      <c r="N43" s="287"/>
      <c r="O43" s="287"/>
      <c r="P43" s="287"/>
      <c r="Q43" s="287"/>
      <c r="R43" s="287"/>
      <c r="S43" s="327" t="e">
        <f t="shared" si="2"/>
        <v>#N/A</v>
      </c>
      <c r="T43" s="328" t="str">
        <f t="shared" si="3"/>
        <v>Sep 23</v>
      </c>
    </row>
    <row r="44" spans="2:28" x14ac:dyDescent="0.35">
      <c r="B44" s="319">
        <f t="shared" si="4"/>
        <v>24</v>
      </c>
      <c r="C44" s="320" t="str">
        <f t="shared" si="0"/>
        <v>Oct 23</v>
      </c>
      <c r="D44" s="321">
        <f t="shared" si="5"/>
        <v>11</v>
      </c>
      <c r="E44" s="322" t="str">
        <f t="shared" si="1"/>
        <v>No</v>
      </c>
      <c r="F44" s="323">
        <f t="shared" si="6"/>
        <v>45211</v>
      </c>
      <c r="G44" s="324">
        <v>0</v>
      </c>
      <c r="H44" s="325" t="e">
        <f t="shared" si="7"/>
        <v>#N/A</v>
      </c>
      <c r="I44" s="325" t="e">
        <f t="shared" si="8"/>
        <v>#N/A</v>
      </c>
      <c r="J44" s="325" t="e">
        <f t="shared" si="9"/>
        <v>#N/A</v>
      </c>
      <c r="K44" s="320" t="str">
        <f t="shared" si="10"/>
        <v/>
      </c>
      <c r="L44" s="340"/>
      <c r="M44" s="287"/>
      <c r="N44" s="287"/>
      <c r="O44" s="287"/>
      <c r="P44" s="287"/>
      <c r="Q44" s="287"/>
      <c r="R44" s="287"/>
      <c r="S44" s="327" t="str">
        <f t="shared" si="2"/>
        <v/>
      </c>
      <c r="T44" s="328" t="str">
        <f t="shared" si="3"/>
        <v>Oct 23</v>
      </c>
    </row>
    <row r="45" spans="2:28" x14ac:dyDescent="0.35">
      <c r="B45" s="319">
        <f t="shared" si="4"/>
        <v>25</v>
      </c>
      <c r="C45" s="320" t="str">
        <f t="shared" si="0"/>
        <v/>
      </c>
      <c r="D45" s="321" t="str">
        <f t="shared" si="5"/>
        <v/>
      </c>
      <c r="E45" s="322" t="str">
        <f t="shared" si="1"/>
        <v/>
      </c>
      <c r="F45" s="323" t="str">
        <f t="shared" si="6"/>
        <v/>
      </c>
      <c r="G45" s="324">
        <v>0</v>
      </c>
      <c r="H45" s="325" t="str">
        <f t="shared" si="7"/>
        <v/>
      </c>
      <c r="I45" s="325" t="e">
        <f t="shared" si="8"/>
        <v>#N/A</v>
      </c>
      <c r="J45" s="325" t="e">
        <f t="shared" si="9"/>
        <v>#N/A</v>
      </c>
      <c r="K45" s="320" t="str">
        <f t="shared" si="10"/>
        <v/>
      </c>
      <c r="L45" s="287"/>
      <c r="M45" s="341"/>
      <c r="N45" s="287"/>
      <c r="O45" s="287"/>
      <c r="P45" s="287"/>
      <c r="Q45" s="287"/>
      <c r="R45" s="287"/>
      <c r="S45" s="327" t="str">
        <f t="shared" si="2"/>
        <v/>
      </c>
      <c r="T45" s="328" t="str">
        <f t="shared" si="3"/>
        <v/>
      </c>
      <c r="AB45" s="67">
        <f>7390/1.881</f>
        <v>3928.7612971823496</v>
      </c>
    </row>
    <row r="46" spans="2:28" x14ac:dyDescent="0.35">
      <c r="B46" s="319">
        <f t="shared" si="4"/>
        <v>26</v>
      </c>
      <c r="C46" s="320" t="str">
        <f t="shared" si="0"/>
        <v/>
      </c>
      <c r="D46" s="321" t="str">
        <f t="shared" si="5"/>
        <v/>
      </c>
      <c r="E46" s="322" t="str">
        <f t="shared" si="1"/>
        <v/>
      </c>
      <c r="F46" s="323" t="str">
        <f t="shared" si="6"/>
        <v/>
      </c>
      <c r="G46" s="324">
        <v>0</v>
      </c>
      <c r="H46" s="325" t="str">
        <f t="shared" si="7"/>
        <v/>
      </c>
      <c r="I46" s="325" t="e">
        <f t="shared" si="8"/>
        <v>#N/A</v>
      </c>
      <c r="J46" s="325" t="e">
        <f t="shared" si="9"/>
        <v>#N/A</v>
      </c>
      <c r="K46" s="320" t="str">
        <f t="shared" si="10"/>
        <v/>
      </c>
      <c r="L46" s="287"/>
      <c r="M46" s="341"/>
      <c r="N46" s="287"/>
      <c r="O46" s="287"/>
      <c r="P46" s="287"/>
      <c r="Q46" s="287"/>
      <c r="R46" s="287"/>
      <c r="S46" s="327" t="str">
        <f t="shared" si="2"/>
        <v/>
      </c>
      <c r="T46" s="328" t="str">
        <f t="shared" si="3"/>
        <v/>
      </c>
    </row>
    <row r="47" spans="2:28" x14ac:dyDescent="0.35">
      <c r="B47" s="319">
        <f t="shared" si="4"/>
        <v>27</v>
      </c>
      <c r="C47" s="320" t="str">
        <f t="shared" si="0"/>
        <v/>
      </c>
      <c r="D47" s="321" t="str">
        <f t="shared" si="5"/>
        <v/>
      </c>
      <c r="E47" s="322" t="str">
        <f t="shared" si="1"/>
        <v/>
      </c>
      <c r="F47" s="323" t="str">
        <f t="shared" si="6"/>
        <v/>
      </c>
      <c r="G47" s="324">
        <v>0</v>
      </c>
      <c r="H47" s="325" t="str">
        <f t="shared" si="7"/>
        <v/>
      </c>
      <c r="I47" s="325" t="e">
        <f t="shared" si="8"/>
        <v>#N/A</v>
      </c>
      <c r="J47" s="325" t="e">
        <f t="shared" si="9"/>
        <v>#N/A</v>
      </c>
      <c r="K47" s="320" t="str">
        <f t="shared" si="10"/>
        <v/>
      </c>
      <c r="L47" s="287"/>
      <c r="M47" s="341"/>
      <c r="N47" s="287"/>
      <c r="O47" s="287"/>
      <c r="P47" s="287"/>
      <c r="Q47" s="287"/>
      <c r="R47" s="287"/>
      <c r="S47" s="327" t="str">
        <f t="shared" si="2"/>
        <v/>
      </c>
      <c r="T47" s="328" t="str">
        <f t="shared" si="3"/>
        <v/>
      </c>
    </row>
    <row r="48" spans="2:28" x14ac:dyDescent="0.35">
      <c r="B48" s="319">
        <f t="shared" si="4"/>
        <v>28</v>
      </c>
      <c r="C48" s="320" t="str">
        <f t="shared" si="0"/>
        <v/>
      </c>
      <c r="D48" s="321" t="str">
        <f t="shared" si="5"/>
        <v/>
      </c>
      <c r="E48" s="322" t="str">
        <f t="shared" si="1"/>
        <v/>
      </c>
      <c r="F48" s="323" t="str">
        <f t="shared" si="6"/>
        <v/>
      </c>
      <c r="G48" s="324">
        <v>0</v>
      </c>
      <c r="H48" s="325" t="str">
        <f t="shared" si="7"/>
        <v/>
      </c>
      <c r="I48" s="325" t="e">
        <f t="shared" si="8"/>
        <v>#N/A</v>
      </c>
      <c r="J48" s="325" t="e">
        <f t="shared" si="9"/>
        <v>#N/A</v>
      </c>
      <c r="K48" s="320" t="str">
        <f t="shared" si="10"/>
        <v/>
      </c>
      <c r="L48" s="287"/>
      <c r="M48" s="341"/>
      <c r="N48" s="287"/>
      <c r="O48" s="287"/>
      <c r="P48" s="287"/>
      <c r="Q48" s="287"/>
      <c r="R48" s="287"/>
      <c r="S48" s="327" t="str">
        <f t="shared" si="2"/>
        <v/>
      </c>
      <c r="T48" s="328" t="str">
        <f t="shared" si="3"/>
        <v/>
      </c>
    </row>
    <row r="49" spans="2:20" x14ac:dyDescent="0.35">
      <c r="B49" s="319">
        <f t="shared" si="4"/>
        <v>29</v>
      </c>
      <c r="C49" s="320" t="str">
        <f t="shared" si="0"/>
        <v/>
      </c>
      <c r="D49" s="321" t="str">
        <f t="shared" si="5"/>
        <v/>
      </c>
      <c r="E49" s="322" t="str">
        <f t="shared" si="1"/>
        <v/>
      </c>
      <c r="F49" s="323" t="str">
        <f t="shared" si="6"/>
        <v/>
      </c>
      <c r="G49" s="324">
        <v>0</v>
      </c>
      <c r="H49" s="325" t="str">
        <f t="shared" si="7"/>
        <v/>
      </c>
      <c r="I49" s="325" t="e">
        <f t="shared" si="8"/>
        <v>#N/A</v>
      </c>
      <c r="J49" s="325" t="e">
        <f t="shared" si="9"/>
        <v>#N/A</v>
      </c>
      <c r="K49" s="320" t="str">
        <f t="shared" si="10"/>
        <v/>
      </c>
      <c r="L49" s="287"/>
      <c r="M49" s="341"/>
      <c r="N49" s="287"/>
      <c r="O49" s="287"/>
      <c r="P49" s="287"/>
      <c r="Q49" s="287"/>
      <c r="R49" s="287"/>
      <c r="S49" s="327" t="str">
        <f t="shared" si="2"/>
        <v/>
      </c>
      <c r="T49" s="328" t="str">
        <f t="shared" si="3"/>
        <v/>
      </c>
    </row>
    <row r="50" spans="2:20" x14ac:dyDescent="0.35">
      <c r="B50" s="319">
        <f t="shared" si="4"/>
        <v>30</v>
      </c>
      <c r="C50" s="320" t="str">
        <f t="shared" si="0"/>
        <v/>
      </c>
      <c r="D50" s="321" t="str">
        <f t="shared" si="5"/>
        <v/>
      </c>
      <c r="E50" s="322" t="str">
        <f t="shared" si="1"/>
        <v/>
      </c>
      <c r="F50" s="323" t="str">
        <f t="shared" si="6"/>
        <v/>
      </c>
      <c r="G50" s="324">
        <v>0</v>
      </c>
      <c r="H50" s="325" t="str">
        <f t="shared" si="7"/>
        <v/>
      </c>
      <c r="I50" s="325" t="e">
        <f t="shared" si="8"/>
        <v>#N/A</v>
      </c>
      <c r="J50" s="325" t="e">
        <f t="shared" si="9"/>
        <v>#N/A</v>
      </c>
      <c r="K50" s="320" t="str">
        <f t="shared" si="10"/>
        <v/>
      </c>
      <c r="L50" s="287"/>
      <c r="M50" s="341"/>
      <c r="N50" s="287"/>
      <c r="O50" s="287"/>
      <c r="P50" s="287"/>
      <c r="Q50" s="287"/>
      <c r="R50" s="287"/>
      <c r="S50" s="327" t="str">
        <f t="shared" si="2"/>
        <v/>
      </c>
      <c r="T50" s="328" t="str">
        <f t="shared" si="3"/>
        <v/>
      </c>
    </row>
    <row r="51" spans="2:20" x14ac:dyDescent="0.35">
      <c r="B51" s="319">
        <f t="shared" si="4"/>
        <v>31</v>
      </c>
      <c r="C51" s="320" t="str">
        <f t="shared" si="0"/>
        <v/>
      </c>
      <c r="D51" s="321" t="str">
        <f t="shared" si="5"/>
        <v/>
      </c>
      <c r="E51" s="322" t="str">
        <f t="shared" si="1"/>
        <v/>
      </c>
      <c r="F51" s="323" t="str">
        <f t="shared" si="6"/>
        <v/>
      </c>
      <c r="G51" s="324">
        <v>0</v>
      </c>
      <c r="H51" s="325" t="str">
        <f t="shared" si="7"/>
        <v/>
      </c>
      <c r="I51" s="325" t="e">
        <f t="shared" si="8"/>
        <v>#N/A</v>
      </c>
      <c r="J51" s="325" t="e">
        <f t="shared" si="9"/>
        <v>#N/A</v>
      </c>
      <c r="K51" s="320" t="str">
        <f t="shared" si="10"/>
        <v/>
      </c>
      <c r="L51" s="287"/>
      <c r="M51" s="341"/>
      <c r="N51" s="287"/>
      <c r="O51" s="287"/>
      <c r="P51" s="287"/>
      <c r="Q51" s="287"/>
      <c r="R51" s="287"/>
      <c r="S51" s="327" t="str">
        <f t="shared" si="2"/>
        <v/>
      </c>
      <c r="T51" s="328" t="str">
        <f t="shared" si="3"/>
        <v/>
      </c>
    </row>
    <row r="52" spans="2:20" x14ac:dyDescent="0.35">
      <c r="B52" s="319">
        <f t="shared" si="4"/>
        <v>32</v>
      </c>
      <c r="C52" s="320" t="str">
        <f t="shared" si="0"/>
        <v/>
      </c>
      <c r="D52" s="321" t="str">
        <f t="shared" si="5"/>
        <v/>
      </c>
      <c r="E52" s="322" t="str">
        <f t="shared" si="1"/>
        <v/>
      </c>
      <c r="F52" s="323" t="str">
        <f t="shared" si="6"/>
        <v/>
      </c>
      <c r="G52" s="324">
        <v>0</v>
      </c>
      <c r="H52" s="325" t="str">
        <f t="shared" si="7"/>
        <v/>
      </c>
      <c r="I52" s="325" t="e">
        <f t="shared" si="8"/>
        <v>#N/A</v>
      </c>
      <c r="J52" s="325" t="e">
        <f t="shared" si="9"/>
        <v>#N/A</v>
      </c>
      <c r="K52" s="320" t="str">
        <f t="shared" si="10"/>
        <v/>
      </c>
      <c r="L52" s="287"/>
      <c r="M52" s="341"/>
      <c r="N52" s="287"/>
      <c r="O52" s="287"/>
      <c r="P52" s="287"/>
      <c r="Q52" s="287"/>
      <c r="R52" s="287"/>
      <c r="S52" s="327" t="str">
        <f t="shared" si="2"/>
        <v/>
      </c>
      <c r="T52" s="328" t="str">
        <f t="shared" si="3"/>
        <v/>
      </c>
    </row>
    <row r="53" spans="2:20" x14ac:dyDescent="0.35">
      <c r="B53" s="319">
        <f t="shared" si="4"/>
        <v>33</v>
      </c>
      <c r="C53" s="320" t="str">
        <f t="shared" si="0"/>
        <v/>
      </c>
      <c r="D53" s="321" t="str">
        <f t="shared" si="5"/>
        <v/>
      </c>
      <c r="E53" s="322" t="str">
        <f t="shared" si="1"/>
        <v/>
      </c>
      <c r="F53" s="323" t="str">
        <f t="shared" si="6"/>
        <v/>
      </c>
      <c r="G53" s="324">
        <v>0</v>
      </c>
      <c r="H53" s="325" t="str">
        <f t="shared" si="7"/>
        <v/>
      </c>
      <c r="I53" s="325" t="e">
        <f t="shared" si="8"/>
        <v>#N/A</v>
      </c>
      <c r="J53" s="325" t="e">
        <f t="shared" si="9"/>
        <v>#N/A</v>
      </c>
      <c r="K53" s="320" t="str">
        <f t="shared" si="10"/>
        <v/>
      </c>
      <c r="L53" s="287"/>
      <c r="M53" s="341"/>
      <c r="N53" s="287"/>
      <c r="O53" s="287"/>
      <c r="P53" s="287"/>
      <c r="Q53" s="287"/>
      <c r="R53" s="287"/>
      <c r="S53" s="327" t="str">
        <f t="shared" si="2"/>
        <v/>
      </c>
      <c r="T53" s="328" t="str">
        <f t="shared" si="3"/>
        <v/>
      </c>
    </row>
    <row r="54" spans="2:20" x14ac:dyDescent="0.35">
      <c r="B54" s="319">
        <f t="shared" si="4"/>
        <v>34</v>
      </c>
      <c r="C54" s="320" t="str">
        <f t="shared" si="0"/>
        <v/>
      </c>
      <c r="D54" s="321" t="str">
        <f t="shared" si="5"/>
        <v/>
      </c>
      <c r="E54" s="322" t="str">
        <f t="shared" si="1"/>
        <v/>
      </c>
      <c r="F54" s="323" t="str">
        <f t="shared" si="6"/>
        <v/>
      </c>
      <c r="G54" s="324">
        <v>0</v>
      </c>
      <c r="H54" s="325" t="str">
        <f t="shared" si="7"/>
        <v/>
      </c>
      <c r="I54" s="325" t="e">
        <f t="shared" si="8"/>
        <v>#N/A</v>
      </c>
      <c r="J54" s="325" t="e">
        <f t="shared" si="9"/>
        <v>#N/A</v>
      </c>
      <c r="K54" s="320" t="str">
        <f t="shared" si="10"/>
        <v/>
      </c>
      <c r="L54" s="287"/>
      <c r="M54" s="341"/>
      <c r="N54" s="287"/>
      <c r="O54" s="287"/>
      <c r="P54" s="287"/>
      <c r="Q54" s="287"/>
      <c r="R54" s="287"/>
      <c r="S54" s="327" t="str">
        <f t="shared" si="2"/>
        <v/>
      </c>
      <c r="T54" s="328" t="str">
        <f t="shared" si="3"/>
        <v/>
      </c>
    </row>
    <row r="55" spans="2:20" x14ac:dyDescent="0.35">
      <c r="B55" s="319">
        <f t="shared" si="4"/>
        <v>35</v>
      </c>
      <c r="C55" s="320" t="str">
        <f t="shared" si="0"/>
        <v/>
      </c>
      <c r="D55" s="321" t="str">
        <f t="shared" si="5"/>
        <v/>
      </c>
      <c r="E55" s="322" t="str">
        <f t="shared" si="1"/>
        <v/>
      </c>
      <c r="F55" s="323" t="str">
        <f t="shared" si="6"/>
        <v/>
      </c>
      <c r="G55" s="324">
        <v>0</v>
      </c>
      <c r="H55" s="325" t="str">
        <f t="shared" si="7"/>
        <v/>
      </c>
      <c r="I55" s="325" t="e">
        <f t="shared" si="8"/>
        <v>#N/A</v>
      </c>
      <c r="J55" s="325" t="e">
        <f t="shared" si="9"/>
        <v>#N/A</v>
      </c>
      <c r="K55" s="320" t="str">
        <f t="shared" si="10"/>
        <v/>
      </c>
      <c r="L55" s="287"/>
      <c r="M55" s="341"/>
      <c r="N55" s="287"/>
      <c r="O55" s="287"/>
      <c r="P55" s="287"/>
      <c r="Q55" s="287"/>
      <c r="R55" s="287"/>
      <c r="S55" s="327" t="str">
        <f t="shared" si="2"/>
        <v/>
      </c>
      <c r="T55" s="328" t="str">
        <f t="shared" si="3"/>
        <v/>
      </c>
    </row>
    <row r="56" spans="2:20" x14ac:dyDescent="0.35">
      <c r="B56" s="319">
        <f t="shared" si="4"/>
        <v>36</v>
      </c>
      <c r="C56" s="320" t="str">
        <f t="shared" si="0"/>
        <v/>
      </c>
      <c r="D56" s="321" t="str">
        <f t="shared" si="5"/>
        <v/>
      </c>
      <c r="E56" s="322" t="str">
        <f t="shared" si="1"/>
        <v/>
      </c>
      <c r="F56" s="323" t="str">
        <f t="shared" si="6"/>
        <v/>
      </c>
      <c r="G56" s="324">
        <v>0</v>
      </c>
      <c r="H56" s="325" t="str">
        <f t="shared" si="7"/>
        <v/>
      </c>
      <c r="I56" s="325" t="e">
        <f t="shared" si="8"/>
        <v>#N/A</v>
      </c>
      <c r="J56" s="325" t="e">
        <f t="shared" si="9"/>
        <v>#N/A</v>
      </c>
      <c r="K56" s="320" t="str">
        <f t="shared" si="10"/>
        <v/>
      </c>
      <c r="L56" s="287"/>
      <c r="M56" s="341"/>
      <c r="N56" s="287"/>
      <c r="O56" s="287"/>
      <c r="P56" s="287"/>
      <c r="Q56" s="287"/>
      <c r="R56" s="287"/>
      <c r="S56" s="327" t="str">
        <f t="shared" si="2"/>
        <v/>
      </c>
      <c r="T56" s="328" t="str">
        <f t="shared" si="3"/>
        <v/>
      </c>
    </row>
    <row r="57" spans="2:20" s="287" customFormat="1" ht="25.5" x14ac:dyDescent="0.35">
      <c r="D57" s="313" t="s">
        <v>3262</v>
      </c>
      <c r="E57" s="293"/>
      <c r="F57" s="342" t="s">
        <v>3263</v>
      </c>
      <c r="G57" s="342" t="s">
        <v>3263</v>
      </c>
      <c r="H57" s="343" t="e">
        <f>SUM(H20:H56)</f>
        <v>#N/A</v>
      </c>
      <c r="I57" s="343" t="e">
        <f>SUM(I20:I56)+D12</f>
        <v>#N/A</v>
      </c>
      <c r="J57" s="343" t="e">
        <f>SUM(J20:J56)</f>
        <v>#N/A</v>
      </c>
      <c r="K57" s="293"/>
      <c r="M57" s="344"/>
      <c r="S57" s="343" t="e">
        <f>SUM(S20:S55)</f>
        <v>#N/A</v>
      </c>
    </row>
    <row r="58" spans="2:20" s="287" customFormat="1" x14ac:dyDescent="0.35">
      <c r="D58" s="293" t="s">
        <v>3264</v>
      </c>
      <c r="E58" s="293"/>
      <c r="F58" s="293"/>
      <c r="G58" s="293"/>
      <c r="H58" s="293">
        <f>COUNT(H20:H56)</f>
        <v>0</v>
      </c>
      <c r="I58" s="293">
        <f>COUNTIF(I20:I56,"&gt;0")</f>
        <v>0</v>
      </c>
      <c r="J58" s="293">
        <f>COUNT(J20:J56)</f>
        <v>0</v>
      </c>
      <c r="K58" s="293"/>
      <c r="M58" s="345"/>
      <c r="S58" s="346">
        <f>COUNT(S20:S55)</f>
        <v>0</v>
      </c>
      <c r="T58" s="287" t="s">
        <v>3265</v>
      </c>
    </row>
    <row r="59" spans="2:20" s="287" customFormat="1" x14ac:dyDescent="0.35">
      <c r="D59" s="293"/>
      <c r="E59" s="293"/>
      <c r="F59" s="293"/>
      <c r="G59" s="293"/>
      <c r="H59" s="293"/>
      <c r="I59" s="293"/>
      <c r="J59" s="293"/>
      <c r="K59" s="293"/>
    </row>
    <row r="60" spans="2:20" s="287" customFormat="1" x14ac:dyDescent="0.35">
      <c r="D60" s="293"/>
      <c r="E60" s="347" t="s">
        <v>3266</v>
      </c>
      <c r="F60" s="348" t="e">
        <f>$D$10-H20</f>
        <v>#N/A</v>
      </c>
      <c r="G60" s="348" t="e">
        <f>$D$10-J20</f>
        <v>#N/A</v>
      </c>
      <c r="H60" s="293"/>
      <c r="I60" s="293"/>
      <c r="J60" s="293"/>
      <c r="K60" s="293"/>
    </row>
    <row r="61" spans="2:20" s="287" customFormat="1" x14ac:dyDescent="0.35">
      <c r="D61" s="293"/>
      <c r="E61" s="349" t="s">
        <v>3267</v>
      </c>
      <c r="F61" s="350">
        <f>$D$8-1</f>
        <v>23</v>
      </c>
      <c r="G61" s="350">
        <f>$D$8-1</f>
        <v>23</v>
      </c>
      <c r="H61" s="293"/>
      <c r="I61" s="293"/>
      <c r="J61" s="293"/>
      <c r="K61" s="293"/>
    </row>
    <row r="62" spans="2:20" s="287" customFormat="1" x14ac:dyDescent="0.35">
      <c r="D62" s="293"/>
      <c r="E62" s="349" t="s">
        <v>3268</v>
      </c>
      <c r="F62" s="350" t="e">
        <f>VLOOKUP($D$8,B20:K56,7)</f>
        <v>#N/A</v>
      </c>
      <c r="G62" s="350" t="e">
        <f>VLOOKUP($D$8,B20:K56,7)</f>
        <v>#N/A</v>
      </c>
      <c r="H62" s="350" t="str">
        <f>VLOOKUP($D$8,$B$20:$K$56,10)</f>
        <v/>
      </c>
      <c r="I62" s="351"/>
      <c r="J62" s="293"/>
      <c r="K62" s="293"/>
    </row>
    <row r="63" spans="2:20" s="287" customFormat="1" x14ac:dyDescent="0.35">
      <c r="D63" s="293"/>
      <c r="E63" s="349" t="s">
        <v>3269</v>
      </c>
      <c r="F63" s="350" t="e">
        <f>VLOOKUP(Penultimate_Month,B20:K56,7)</f>
        <v>#N/A</v>
      </c>
      <c r="G63" s="350" t="e">
        <f>VLOOKUP(Penultimate_Month,B20:K56,7)</f>
        <v>#N/A</v>
      </c>
      <c r="H63" s="350" t="str">
        <f>VLOOKUP(Penultimate_Month,$B$20:$K$56,10)</f>
        <v>10 Sep 23</v>
      </c>
      <c r="I63" s="351"/>
      <c r="J63" s="293"/>
      <c r="K63" s="293"/>
    </row>
    <row r="64" spans="2:20" s="287" customFormat="1" x14ac:dyDescent="0.35">
      <c r="D64" s="293"/>
      <c r="E64" s="349"/>
      <c r="F64" s="293"/>
      <c r="G64" s="293"/>
      <c r="H64" s="293"/>
      <c r="I64" s="293"/>
      <c r="J64" s="293"/>
      <c r="K64" s="293"/>
    </row>
    <row r="65" spans="4:18" s="287" customFormat="1" x14ac:dyDescent="0.35">
      <c r="D65" s="293" t="s">
        <v>3270</v>
      </c>
      <c r="E65" s="293"/>
      <c r="F65" s="293"/>
      <c r="G65" s="293"/>
      <c r="H65" s="293"/>
      <c r="I65" s="293"/>
      <c r="J65" s="293"/>
      <c r="K65" s="293"/>
    </row>
    <row r="66" spans="4:18" s="287" customFormat="1" x14ac:dyDescent="0.35">
      <c r="D66" s="293"/>
      <c r="E66" s="293"/>
      <c r="F66" s="293"/>
      <c r="G66" s="293"/>
      <c r="H66" s="293"/>
      <c r="I66" s="293"/>
      <c r="J66" s="293"/>
      <c r="K66" s="293"/>
    </row>
    <row r="67" spans="4:18" s="287" customFormat="1" x14ac:dyDescent="0.35">
      <c r="D67" s="293"/>
      <c r="E67" s="293"/>
      <c r="F67" s="293"/>
      <c r="G67" s="293"/>
      <c r="H67" s="293"/>
      <c r="I67" s="293"/>
      <c r="J67" s="293"/>
      <c r="K67" s="293"/>
    </row>
    <row r="68" spans="4:18" s="287" customFormat="1" x14ac:dyDescent="0.35">
      <c r="D68" s="293"/>
      <c r="E68" s="293"/>
      <c r="F68" s="293"/>
      <c r="G68" s="293"/>
      <c r="H68" s="293"/>
      <c r="I68" s="293"/>
      <c r="J68" s="293"/>
      <c r="K68" s="293"/>
    </row>
    <row r="69" spans="4:18" s="287" customFormat="1" x14ac:dyDescent="0.35">
      <c r="D69" s="293"/>
      <c r="E69" s="293"/>
      <c r="F69" s="293"/>
      <c r="G69" s="293"/>
      <c r="H69" s="293"/>
      <c r="I69" s="293"/>
      <c r="J69" s="293"/>
      <c r="K69" s="293"/>
    </row>
    <row r="70" spans="4:18" s="287" customFormat="1" x14ac:dyDescent="0.35">
      <c r="D70" s="293"/>
      <c r="E70" s="293"/>
      <c r="F70" s="293"/>
      <c r="G70" s="293"/>
      <c r="H70" s="293"/>
      <c r="I70" s="293"/>
      <c r="J70" s="293"/>
      <c r="K70" s="293"/>
    </row>
    <row r="71" spans="4:18" x14ac:dyDescent="0.35">
      <c r="N71" s="287"/>
      <c r="O71" s="287"/>
      <c r="P71" s="287"/>
      <c r="Q71" s="287"/>
      <c r="R71" s="287"/>
    </row>
    <row r="72" spans="4:18" x14ac:dyDescent="0.35">
      <c r="N72" s="287"/>
      <c r="O72" s="287"/>
      <c r="P72" s="287"/>
      <c r="Q72" s="287"/>
      <c r="R72" s="287"/>
    </row>
  </sheetData>
  <mergeCells count="2">
    <mergeCell ref="S19:T19"/>
    <mergeCell ref="O24:P24"/>
  </mergeCells>
  <conditionalFormatting sqref="E20:E56">
    <cfRule type="cellIs" dxfId="62" priority="3" operator="equal">
      <formula>"No"</formula>
    </cfRule>
  </conditionalFormatting>
  <conditionalFormatting sqref="H20:J56">
    <cfRule type="expression" dxfId="61" priority="4">
      <formula>IF(AND(H20&lt;&gt;$D$10,H20&lt;&gt;""),TRUE,FALSE)</formula>
    </cfRule>
  </conditionalFormatting>
  <conditionalFormatting sqref="K20:K56">
    <cfRule type="expression" dxfId="60" priority="5">
      <formula>IF(DAY(K20)&lt;&gt;$D$15,TRUE,FALSE)</formula>
    </cfRule>
  </conditionalFormatting>
  <conditionalFormatting sqref="M22">
    <cfRule type="expression" dxfId="59" priority="2">
      <formula>IF(DAY(M22)&lt;&gt;$D$15,TRUE,FALSE)</formula>
    </cfRule>
  </conditionalFormatting>
  <pageMargins left="0.25" right="0.25" top="0.75" bottom="0.75" header="0.3" footer="0.3"/>
  <pageSetup paperSize="9" scale="2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66863-BCBE-4256-9586-98087F8E0B82}">
  <sheetPr codeName="Sheet30">
    <tabColor theme="8" tint="0.79998168889431442"/>
    <pageSetUpPr fitToPage="1"/>
  </sheetPr>
  <dimension ref="A1:L87"/>
  <sheetViews>
    <sheetView showGridLines="0" topLeftCell="A41" zoomScaleNormal="100" workbookViewId="0">
      <selection activeCell="C57" sqref="C57:D57"/>
    </sheetView>
  </sheetViews>
  <sheetFormatPr defaultColWidth="0" defaultRowHeight="18" zeroHeight="1" x14ac:dyDescent="0.35"/>
  <cols>
    <col min="1" max="1" width="9.85546875" style="66" customWidth="1"/>
    <col min="2" max="2" width="39" style="66" bestFit="1" customWidth="1"/>
    <col min="3" max="3" width="37.5703125" style="67" customWidth="1"/>
    <col min="4" max="4" width="30.7109375" style="67" customWidth="1"/>
    <col min="5" max="5" width="35.140625" style="67" customWidth="1"/>
    <col min="6" max="6" width="11.5703125" style="67" customWidth="1"/>
    <col min="7" max="7" width="13.5703125" style="67" customWidth="1"/>
    <col min="8" max="8" width="3.85546875" style="67" bestFit="1" customWidth="1"/>
    <col min="9" max="11" width="9.140625" style="67" customWidth="1"/>
    <col min="12" max="12" width="10.7109375" style="67" hidden="1" customWidth="1"/>
    <col min="13" max="16384" width="9.140625" style="67" hidden="1"/>
  </cols>
  <sheetData>
    <row r="1" spans="1:8" ht="18.75" thickBot="1" x14ac:dyDescent="0.4"/>
    <row r="2" spans="1:8" ht="23.25" thickBot="1" x14ac:dyDescent="0.4">
      <c r="B2" s="203" t="s">
        <v>3272</v>
      </c>
      <c r="C2" s="204" t="str">
        <f>IF('Deal lead sheet'!C5="","",'Deal lead sheet'!C5)</f>
        <v>xxxxxxx</v>
      </c>
      <c r="D2" s="205" t="s">
        <v>3273</v>
      </c>
      <c r="E2" s="206">
        <f>IF('Deal lead sheet'!C43="","",'Deal lead sheet'!C43)</f>
        <v>44481</v>
      </c>
      <c r="G2" s="207" t="s">
        <v>3274</v>
      </c>
      <c r="H2" s="208">
        <f>COUNTIF(E12:E73,"-")</f>
        <v>2</v>
      </c>
    </row>
    <row r="3" spans="1:8" ht="36.75" customHeight="1" thickBot="1" x14ac:dyDescent="0.4">
      <c r="B3" s="209" t="s">
        <v>3275</v>
      </c>
      <c r="C3" s="210" t="str">
        <f>'Deal lead sheet'!C12</f>
        <v>xxxxxxx</v>
      </c>
      <c r="D3" s="211" t="s">
        <v>3276</v>
      </c>
      <c r="E3" s="206">
        <f>'Deal lead sheet'!C44</f>
        <v>45211</v>
      </c>
      <c r="G3" s="212" t="s">
        <v>3277</v>
      </c>
      <c r="H3" s="208">
        <f>COUNTIF(E11:E73,'Product Data'!AG10)+COUNTIF(E11:E73,#REF!)+COUNTIF(E11:E73,'Product Data'!AH10)</f>
        <v>6</v>
      </c>
    </row>
    <row r="4" spans="1:8" ht="22.5" x14ac:dyDescent="0.35">
      <c r="B4" s="209"/>
      <c r="C4" s="210" t="str">
        <f>IF('Deal lead sheet'!C16="",""," and ")</f>
        <v/>
      </c>
      <c r="D4" s="3813" t="s">
        <v>3278</v>
      </c>
      <c r="E4" s="3809" t="str">
        <f>IF('Deal lead sheet'!C20="","",'Deal lead sheet'!C20)</f>
        <v/>
      </c>
      <c r="G4" s="214" t="s">
        <v>3279</v>
      </c>
      <c r="H4" s="208">
        <f>COUNTIF(E11:E73,'Product Data'!AG9)+COUNTIF(E11:E73,#REF!)+COUNTIF(E11:E73,'Product Data'!AH9)</f>
        <v>28</v>
      </c>
    </row>
    <row r="5" spans="1:8" ht="36.75" customHeight="1" thickBot="1" x14ac:dyDescent="0.4">
      <c r="B5" s="215"/>
      <c r="C5" s="216" t="str">
        <f>IF('Deal lead sheet'!C16="","",'Deal lead sheet'!C16)</f>
        <v/>
      </c>
      <c r="D5" s="3814"/>
      <c r="E5" s="3810"/>
      <c r="G5" s="217" t="s">
        <v>673</v>
      </c>
      <c r="H5" s="208">
        <f>COUNTIF(E12:E73,'Product Data'!AG11)</f>
        <v>11</v>
      </c>
    </row>
    <row r="6" spans="1:8" ht="23.25" thickBot="1" x14ac:dyDescent="0.45">
      <c r="B6" s="218"/>
      <c r="C6" s="69"/>
      <c r="D6" s="129"/>
      <c r="G6" s="219" t="s">
        <v>3280</v>
      </c>
      <c r="H6" s="208">
        <f>COUNTIF(E12:E73,'Product Data'!AH11)</f>
        <v>2</v>
      </c>
    </row>
    <row r="7" spans="1:8" ht="36.75" customHeight="1" x14ac:dyDescent="0.35">
      <c r="B7" s="220" t="s">
        <v>3281</v>
      </c>
      <c r="C7" s="221" t="str">
        <f>IF('Deal lead sheet'!C7="","",'Deal lead sheet'!C7)</f>
        <v/>
      </c>
      <c r="D7" s="222" t="s">
        <v>3282</v>
      </c>
      <c r="E7" s="223">
        <f>'Deal lead sheet'!C15</f>
        <v>0</v>
      </c>
      <c r="G7" s="224" t="s">
        <v>3283</v>
      </c>
      <c r="H7" s="208">
        <f>COUNTA(C11:D73)-1</f>
        <v>50</v>
      </c>
    </row>
    <row r="8" spans="1:8" ht="33.75" customHeight="1" thickBot="1" x14ac:dyDescent="0.4">
      <c r="B8" s="225"/>
      <c r="C8" s="216"/>
      <c r="D8" s="226" t="s">
        <v>3284</v>
      </c>
      <c r="E8" s="227">
        <f>'Deal lead sheet'!C14</f>
        <v>0</v>
      </c>
    </row>
    <row r="9" spans="1:8" ht="18.75" thickBot="1" x14ac:dyDescent="0.4">
      <c r="C9" s="66"/>
    </row>
    <row r="10" spans="1:8" ht="24.75" thickBot="1" x14ac:dyDescent="0.4">
      <c r="B10" s="228" t="s">
        <v>3285</v>
      </c>
      <c r="C10" s="229" t="s">
        <v>3286</v>
      </c>
      <c r="D10" s="230"/>
      <c r="E10" s="231" t="s">
        <v>3287</v>
      </c>
      <c r="G10" s="130"/>
    </row>
    <row r="11" spans="1:8" ht="18.75" thickBot="1" x14ac:dyDescent="0.4">
      <c r="B11" s="251"/>
      <c r="C11" s="249"/>
      <c r="E11" s="252"/>
      <c r="G11" s="130"/>
    </row>
    <row r="12" spans="1:8" ht="15" customHeight="1" x14ac:dyDescent="0.35">
      <c r="A12" s="3787">
        <v>1</v>
      </c>
      <c r="B12" s="3790" t="s">
        <v>3288</v>
      </c>
      <c r="C12" s="3793" t="s">
        <v>3289</v>
      </c>
      <c r="D12" s="3794"/>
      <c r="E12" s="253" t="s">
        <v>33</v>
      </c>
      <c r="G12" s="130"/>
    </row>
    <row r="13" spans="1:8" ht="15" customHeight="1" x14ac:dyDescent="0.35">
      <c r="A13" s="3788"/>
      <c r="B13" s="3791"/>
      <c r="C13" s="3781" t="s">
        <v>3290</v>
      </c>
      <c r="D13" s="3782"/>
      <c r="E13" s="254" t="s">
        <v>33</v>
      </c>
      <c r="G13" s="130"/>
    </row>
    <row r="14" spans="1:8" ht="15" customHeight="1" thickBot="1" x14ac:dyDescent="0.4">
      <c r="A14" s="3789"/>
      <c r="B14" s="3792"/>
      <c r="C14" s="3785" t="s">
        <v>3291</v>
      </c>
      <c r="D14" s="3786"/>
      <c r="E14" s="255" t="s">
        <v>33</v>
      </c>
      <c r="G14" s="130"/>
    </row>
    <row r="15" spans="1:8" ht="20.25" thickBot="1" x14ac:dyDescent="0.4">
      <c r="A15" s="67"/>
      <c r="B15" s="256"/>
      <c r="C15" s="249"/>
      <c r="E15" s="243"/>
      <c r="G15" s="130"/>
    </row>
    <row r="16" spans="1:8" ht="15" customHeight="1" x14ac:dyDescent="0.35">
      <c r="A16" s="3787">
        <v>2</v>
      </c>
      <c r="B16" s="3790" t="s">
        <v>3292</v>
      </c>
      <c r="C16" s="3793" t="s">
        <v>3293</v>
      </c>
      <c r="D16" s="3794"/>
      <c r="E16" s="253" t="s">
        <v>661</v>
      </c>
      <c r="G16" s="130"/>
    </row>
    <row r="17" spans="1:7" ht="15" customHeight="1" thickBot="1" x14ac:dyDescent="0.4">
      <c r="A17" s="3789"/>
      <c r="B17" s="3792"/>
      <c r="C17" s="3785" t="s">
        <v>3294</v>
      </c>
      <c r="D17" s="3786"/>
      <c r="E17" s="255" t="s">
        <v>33</v>
      </c>
      <c r="G17" s="130"/>
    </row>
    <row r="18" spans="1:7" ht="20.25" thickBot="1" x14ac:dyDescent="0.4">
      <c r="A18" s="257"/>
      <c r="B18" s="256"/>
      <c r="C18" s="249"/>
      <c r="E18" s="243"/>
      <c r="G18" s="130"/>
    </row>
    <row r="19" spans="1:7" ht="15" customHeight="1" x14ac:dyDescent="0.35">
      <c r="A19" s="3787">
        <v>3</v>
      </c>
      <c r="B19" s="3790" t="s">
        <v>3295</v>
      </c>
      <c r="C19" s="3793" t="s">
        <v>3296</v>
      </c>
      <c r="D19" s="3796"/>
      <c r="E19" s="253" t="s">
        <v>674</v>
      </c>
      <c r="G19" s="130"/>
    </row>
    <row r="20" spans="1:7" x14ac:dyDescent="0.35">
      <c r="A20" s="3788"/>
      <c r="B20" s="3791"/>
      <c r="C20" s="258" t="s">
        <v>3297</v>
      </c>
      <c r="D20" s="259">
        <f>'Deal lead sheet'!C78</f>
        <v>0</v>
      </c>
      <c r="E20" s="254" t="s">
        <v>680</v>
      </c>
      <c r="G20" s="130"/>
    </row>
    <row r="21" spans="1:7" x14ac:dyDescent="0.35">
      <c r="A21" s="3788"/>
      <c r="B21" s="3791"/>
      <c r="C21" s="3781" t="s">
        <v>3298</v>
      </c>
      <c r="D21" s="3795"/>
      <c r="E21" s="254" t="s">
        <v>674</v>
      </c>
      <c r="G21" s="130"/>
    </row>
    <row r="22" spans="1:7" ht="18.75" thickBot="1" x14ac:dyDescent="0.4">
      <c r="A22" s="3789"/>
      <c r="B22" s="3792"/>
      <c r="C22" s="3785" t="s">
        <v>3299</v>
      </c>
      <c r="D22" s="3786"/>
      <c r="E22" s="255" t="s">
        <v>680</v>
      </c>
      <c r="G22" s="130"/>
    </row>
    <row r="23" spans="1:7" ht="20.25" thickBot="1" x14ac:dyDescent="0.4">
      <c r="A23" s="260"/>
      <c r="B23" s="261"/>
      <c r="C23" s="249"/>
      <c r="D23" s="249"/>
      <c r="E23" s="262"/>
      <c r="G23" s="130"/>
    </row>
    <row r="24" spans="1:7" ht="20.25" thickBot="1" x14ac:dyDescent="0.4">
      <c r="A24" s="263">
        <v>4</v>
      </c>
      <c r="B24" s="264" t="s">
        <v>3300</v>
      </c>
      <c r="C24" s="3779" t="s">
        <v>3301</v>
      </c>
      <c r="D24" s="3780"/>
      <c r="E24" s="265" t="s">
        <v>673</v>
      </c>
      <c r="G24" s="130"/>
    </row>
    <row r="25" spans="1:7" ht="20.25" thickBot="1" x14ac:dyDescent="0.4">
      <c r="A25" s="260"/>
      <c r="B25" s="261"/>
      <c r="E25" s="266"/>
      <c r="G25" s="130"/>
    </row>
    <row r="26" spans="1:7" ht="15" customHeight="1" x14ac:dyDescent="0.35">
      <c r="A26" s="3787">
        <v>5</v>
      </c>
      <c r="B26" s="3790" t="s">
        <v>3302</v>
      </c>
      <c r="C26" s="3793" t="s">
        <v>3303</v>
      </c>
      <c r="D26" s="3794"/>
      <c r="E26" s="253" t="s">
        <v>661</v>
      </c>
      <c r="G26" s="130"/>
    </row>
    <row r="27" spans="1:7" ht="15" customHeight="1" x14ac:dyDescent="0.35">
      <c r="A27" s="3788"/>
      <c r="B27" s="3791"/>
      <c r="C27" s="3781" t="s">
        <v>3304</v>
      </c>
      <c r="D27" s="3782"/>
      <c r="E27" s="254" t="s">
        <v>661</v>
      </c>
      <c r="G27" s="130"/>
    </row>
    <row r="28" spans="1:7" ht="15" customHeight="1" x14ac:dyDescent="0.35">
      <c r="A28" s="3788"/>
      <c r="B28" s="3791"/>
      <c r="C28" s="3781" t="s">
        <v>3305</v>
      </c>
      <c r="D28" s="3782"/>
      <c r="E28" s="254" t="s">
        <v>661</v>
      </c>
      <c r="G28" s="130"/>
    </row>
    <row r="29" spans="1:7" ht="15" customHeight="1" x14ac:dyDescent="0.35">
      <c r="A29" s="3788"/>
      <c r="B29" s="3791"/>
      <c r="C29" s="3781" t="s">
        <v>3306</v>
      </c>
      <c r="D29" s="3782"/>
      <c r="E29" s="254" t="s">
        <v>661</v>
      </c>
      <c r="G29" s="130"/>
    </row>
    <row r="30" spans="1:7" ht="15" customHeight="1" x14ac:dyDescent="0.35">
      <c r="A30" s="3788"/>
      <c r="B30" s="3791"/>
      <c r="C30" s="3781" t="s">
        <v>3307</v>
      </c>
      <c r="D30" s="3782"/>
      <c r="E30" s="254" t="s">
        <v>661</v>
      </c>
      <c r="G30" s="130"/>
    </row>
    <row r="31" spans="1:7" ht="15" customHeight="1" x14ac:dyDescent="0.35">
      <c r="A31" s="3788"/>
      <c r="B31" s="3791"/>
      <c r="C31" s="267" t="s">
        <v>3308</v>
      </c>
      <c r="D31" s="268"/>
      <c r="E31" s="254" t="s">
        <v>661</v>
      </c>
      <c r="G31" s="130"/>
    </row>
    <row r="32" spans="1:7" ht="15" customHeight="1" x14ac:dyDescent="0.35">
      <c r="A32" s="3788"/>
      <c r="B32" s="3791"/>
      <c r="C32" s="267" t="s">
        <v>3309</v>
      </c>
      <c r="D32" s="268"/>
      <c r="E32" s="254" t="s">
        <v>661</v>
      </c>
      <c r="G32" s="130"/>
    </row>
    <row r="33" spans="1:7" ht="15" customHeight="1" x14ac:dyDescent="0.35">
      <c r="A33" s="3788"/>
      <c r="B33" s="3791"/>
      <c r="C33" s="3781" t="s">
        <v>3310</v>
      </c>
      <c r="D33" s="3782"/>
      <c r="E33" s="254" t="s">
        <v>661</v>
      </c>
      <c r="G33" s="130"/>
    </row>
    <row r="34" spans="1:7" ht="15" customHeight="1" x14ac:dyDescent="0.35">
      <c r="A34" s="3788"/>
      <c r="B34" s="3791"/>
      <c r="C34" s="3781" t="s">
        <v>3311</v>
      </c>
      <c r="D34" s="3782"/>
      <c r="E34" s="254" t="s">
        <v>661</v>
      </c>
      <c r="G34" s="130"/>
    </row>
    <row r="35" spans="1:7" ht="15" customHeight="1" x14ac:dyDescent="0.35">
      <c r="A35" s="3788"/>
      <c r="B35" s="3791"/>
      <c r="C35" s="3781" t="s">
        <v>3312</v>
      </c>
      <c r="D35" s="3782"/>
      <c r="E35" s="254" t="s">
        <v>661</v>
      </c>
      <c r="G35" s="130"/>
    </row>
    <row r="36" spans="1:7" ht="15" customHeight="1" x14ac:dyDescent="0.35">
      <c r="A36" s="3788"/>
      <c r="B36" s="3791"/>
      <c r="C36" s="3781" t="s">
        <v>3313</v>
      </c>
      <c r="D36" s="3782"/>
      <c r="E36" s="254" t="s">
        <v>661</v>
      </c>
      <c r="G36" s="130"/>
    </row>
    <row r="37" spans="1:7" ht="15" customHeight="1" x14ac:dyDescent="0.35">
      <c r="A37" s="3788"/>
      <c r="B37" s="3791"/>
      <c r="C37" s="3781" t="s">
        <v>3314</v>
      </c>
      <c r="D37" s="3782"/>
      <c r="E37" s="254" t="s">
        <v>661</v>
      </c>
      <c r="G37" s="130"/>
    </row>
    <row r="38" spans="1:7" ht="15" customHeight="1" x14ac:dyDescent="0.35">
      <c r="A38" s="3788"/>
      <c r="B38" s="3791"/>
      <c r="C38" s="3781" t="s">
        <v>3315</v>
      </c>
      <c r="D38" s="3782"/>
      <c r="E38" s="254" t="s">
        <v>661</v>
      </c>
      <c r="G38" s="130"/>
    </row>
    <row r="39" spans="1:7" ht="15" customHeight="1" x14ac:dyDescent="0.35">
      <c r="A39" s="3788"/>
      <c r="B39" s="3791"/>
      <c r="C39" s="269" t="s">
        <v>3316</v>
      </c>
      <c r="D39" s="270"/>
      <c r="E39" s="271" t="s">
        <v>661</v>
      </c>
      <c r="G39" s="130"/>
    </row>
    <row r="40" spans="1:7" ht="15.75" customHeight="1" thickBot="1" x14ac:dyDescent="0.4">
      <c r="A40" s="3789"/>
      <c r="B40" s="3792"/>
      <c r="C40" s="3785" t="s">
        <v>3317</v>
      </c>
      <c r="D40" s="3786"/>
      <c r="E40" s="255" t="s">
        <v>661</v>
      </c>
      <c r="G40" s="130"/>
    </row>
    <row r="41" spans="1:7" ht="20.25" thickBot="1" x14ac:dyDescent="0.4">
      <c r="A41" s="260"/>
      <c r="B41" s="261"/>
      <c r="C41" s="249"/>
      <c r="D41" s="272"/>
      <c r="E41" s="243"/>
      <c r="G41" s="130"/>
    </row>
    <row r="42" spans="1:7" x14ac:dyDescent="0.35">
      <c r="A42" s="3787">
        <v>6</v>
      </c>
      <c r="B42" s="3790" t="s">
        <v>3318</v>
      </c>
      <c r="C42" s="3793" t="s">
        <v>3319</v>
      </c>
      <c r="D42" s="3794"/>
      <c r="E42" s="273" t="s">
        <v>27</v>
      </c>
      <c r="G42" s="130"/>
    </row>
    <row r="43" spans="1:7" ht="15" customHeight="1" x14ac:dyDescent="0.35">
      <c r="A43" s="3788"/>
      <c r="B43" s="3791"/>
      <c r="C43" s="3781" t="s">
        <v>3320</v>
      </c>
      <c r="D43" s="3782"/>
      <c r="E43" s="274"/>
      <c r="G43" s="130"/>
    </row>
    <row r="44" spans="1:7" ht="15" customHeight="1" x14ac:dyDescent="0.35">
      <c r="A44" s="3788"/>
      <c r="B44" s="3791"/>
      <c r="C44" s="3781" t="s">
        <v>3321</v>
      </c>
      <c r="D44" s="3782"/>
      <c r="E44" s="253" t="str">
        <f t="shared" ref="E44:E49" si="0">IF($E$42="Yes","-","N/A")</f>
        <v>N/A</v>
      </c>
      <c r="G44" s="130"/>
    </row>
    <row r="45" spans="1:7" ht="15" customHeight="1" x14ac:dyDescent="0.35">
      <c r="A45" s="3788"/>
      <c r="B45" s="3791"/>
      <c r="C45" s="3811" t="s">
        <v>3322</v>
      </c>
      <c r="D45" s="3812"/>
      <c r="E45" s="254" t="str">
        <f t="shared" si="0"/>
        <v>N/A</v>
      </c>
      <c r="G45" s="130"/>
    </row>
    <row r="46" spans="1:7" ht="15" customHeight="1" x14ac:dyDescent="0.35">
      <c r="A46" s="3788"/>
      <c r="B46" s="3791"/>
      <c r="C46" s="3781" t="s">
        <v>3323</v>
      </c>
      <c r="D46" s="3782"/>
      <c r="E46" s="254" t="str">
        <f t="shared" si="0"/>
        <v>N/A</v>
      </c>
      <c r="G46" s="130"/>
    </row>
    <row r="47" spans="1:7" ht="15" customHeight="1" x14ac:dyDescent="0.35">
      <c r="A47" s="3788"/>
      <c r="B47" s="3791"/>
      <c r="C47" s="3781" t="s">
        <v>3324</v>
      </c>
      <c r="D47" s="3782"/>
      <c r="E47" s="254" t="str">
        <f t="shared" si="0"/>
        <v>N/A</v>
      </c>
      <c r="G47" s="130"/>
    </row>
    <row r="48" spans="1:7" ht="15" customHeight="1" x14ac:dyDescent="0.35">
      <c r="A48" s="3788"/>
      <c r="B48" s="3791"/>
      <c r="C48" s="3781" t="s">
        <v>3325</v>
      </c>
      <c r="D48" s="3782"/>
      <c r="E48" s="254" t="str">
        <f t="shared" si="0"/>
        <v>N/A</v>
      </c>
      <c r="G48" s="130"/>
    </row>
    <row r="49" spans="1:8" ht="15" customHeight="1" thickBot="1" x14ac:dyDescent="0.4">
      <c r="A49" s="3789"/>
      <c r="B49" s="3792"/>
      <c r="C49" s="3785" t="s">
        <v>3326</v>
      </c>
      <c r="D49" s="3786"/>
      <c r="E49" s="255" t="str">
        <f t="shared" si="0"/>
        <v>N/A</v>
      </c>
      <c r="G49" s="130"/>
    </row>
    <row r="50" spans="1:8" ht="20.25" thickBot="1" x14ac:dyDescent="0.4">
      <c r="A50" s="67"/>
      <c r="B50" s="256"/>
      <c r="C50" s="249"/>
      <c r="D50" s="249"/>
      <c r="E50" s="243"/>
      <c r="G50" s="130"/>
    </row>
    <row r="51" spans="1:8" x14ac:dyDescent="0.35">
      <c r="A51" s="3787">
        <v>7</v>
      </c>
      <c r="B51" s="3790" t="s">
        <v>3327</v>
      </c>
      <c r="C51" s="3793" t="s">
        <v>3328</v>
      </c>
      <c r="D51" s="3794"/>
      <c r="E51" s="253" t="s">
        <v>673</v>
      </c>
      <c r="G51" s="130"/>
    </row>
    <row r="52" spans="1:8" ht="15" customHeight="1" x14ac:dyDescent="0.35">
      <c r="A52" s="3788"/>
      <c r="B52" s="3791"/>
      <c r="C52" s="3781" t="s">
        <v>3329</v>
      </c>
      <c r="D52" s="3782"/>
      <c r="E52" s="254" t="s">
        <v>661</v>
      </c>
      <c r="G52" s="130"/>
    </row>
    <row r="53" spans="1:8" ht="15.75" customHeight="1" thickBot="1" x14ac:dyDescent="0.4">
      <c r="A53" s="3789"/>
      <c r="B53" s="3792"/>
      <c r="C53" s="3785" t="s">
        <v>3330</v>
      </c>
      <c r="D53" s="3786"/>
      <c r="E53" s="255" t="s">
        <v>661</v>
      </c>
      <c r="G53" s="130"/>
    </row>
    <row r="54" spans="1:8" ht="20.25" thickBot="1" x14ac:dyDescent="0.4">
      <c r="A54" s="260"/>
      <c r="B54" s="261"/>
      <c r="C54" s="249"/>
      <c r="D54" s="249"/>
      <c r="E54" s="243"/>
      <c r="G54" s="130"/>
    </row>
    <row r="55" spans="1:8" x14ac:dyDescent="0.35">
      <c r="A55" s="3787">
        <v>8</v>
      </c>
      <c r="B55" s="3790" t="s">
        <v>3331</v>
      </c>
      <c r="C55" s="3797" t="s">
        <v>3332</v>
      </c>
      <c r="D55" s="3798"/>
      <c r="E55" s="275" t="s">
        <v>661</v>
      </c>
      <c r="G55" s="130"/>
      <c r="H55" s="130"/>
    </row>
    <row r="56" spans="1:8" ht="15" customHeight="1" x14ac:dyDescent="0.35">
      <c r="A56" s="3788"/>
      <c r="B56" s="3791"/>
      <c r="C56" s="3801" t="s">
        <v>3333</v>
      </c>
      <c r="D56" s="3802"/>
      <c r="E56" s="276" t="s">
        <v>661</v>
      </c>
      <c r="G56" s="130"/>
      <c r="H56" s="130"/>
    </row>
    <row r="57" spans="1:8" ht="15.75" customHeight="1" thickBot="1" x14ac:dyDescent="0.4">
      <c r="A57" s="3789"/>
      <c r="B57" s="3792"/>
      <c r="C57" s="3799" t="s">
        <v>3334</v>
      </c>
      <c r="D57" s="3800"/>
      <c r="E57" s="277" t="s">
        <v>661</v>
      </c>
      <c r="G57" s="130"/>
      <c r="H57" s="130"/>
    </row>
    <row r="58" spans="1:8" ht="20.25" thickBot="1" x14ac:dyDescent="0.4">
      <c r="A58" s="260"/>
      <c r="B58" s="261"/>
      <c r="C58" s="249"/>
      <c r="D58" s="249"/>
      <c r="E58" s="243"/>
      <c r="G58" s="130"/>
      <c r="H58" s="130"/>
    </row>
    <row r="59" spans="1:8" x14ac:dyDescent="0.35">
      <c r="A59" s="3787">
        <v>9</v>
      </c>
      <c r="B59" s="3804" t="s">
        <v>3335</v>
      </c>
      <c r="C59" s="3797" t="s">
        <v>3336</v>
      </c>
      <c r="D59" s="3798"/>
      <c r="E59" s="278" t="str">
        <f>IF($E$42="Yes","-","N/A")</f>
        <v>N/A</v>
      </c>
      <c r="G59" s="130"/>
    </row>
    <row r="60" spans="1:8" x14ac:dyDescent="0.35">
      <c r="A60" s="3788"/>
      <c r="B60" s="3805"/>
      <c r="C60" s="3781" t="s">
        <v>3337</v>
      </c>
      <c r="D60" s="3782"/>
      <c r="E60" s="278" t="str">
        <f>IF($E$42="Yes","-","N/A")</f>
        <v>N/A</v>
      </c>
      <c r="G60" s="130"/>
    </row>
    <row r="61" spans="1:8" x14ac:dyDescent="0.35">
      <c r="A61" s="3788"/>
      <c r="B61" s="3805"/>
      <c r="C61" s="3799" t="s">
        <v>3338</v>
      </c>
      <c r="D61" s="3800"/>
      <c r="E61" s="278" t="str">
        <f>IF($E$42="Yes","-","N/A")</f>
        <v>N/A</v>
      </c>
      <c r="G61" s="130"/>
    </row>
    <row r="62" spans="1:8" x14ac:dyDescent="0.35">
      <c r="A62" s="3788"/>
      <c r="B62" s="3805"/>
      <c r="E62" s="242"/>
      <c r="G62" s="130"/>
    </row>
    <row r="63" spans="1:8" ht="15" customHeight="1" x14ac:dyDescent="0.35">
      <c r="A63" s="3788"/>
      <c r="B63" s="3805"/>
      <c r="C63" s="3797" t="s">
        <v>3339</v>
      </c>
      <c r="D63" s="3798"/>
      <c r="E63" s="275" t="s">
        <v>661</v>
      </c>
      <c r="G63" s="130"/>
    </row>
    <row r="64" spans="1:8" ht="15" customHeight="1" x14ac:dyDescent="0.35">
      <c r="A64" s="3788"/>
      <c r="B64" s="3805"/>
      <c r="C64" s="3801" t="s">
        <v>3337</v>
      </c>
      <c r="D64" s="3802"/>
      <c r="E64" s="276" t="s">
        <v>27</v>
      </c>
      <c r="G64" s="130"/>
    </row>
    <row r="65" spans="1:7" ht="15" customHeight="1" x14ac:dyDescent="0.35">
      <c r="A65" s="3788"/>
      <c r="B65" s="3805"/>
      <c r="C65" s="3799" t="s">
        <v>3338</v>
      </c>
      <c r="D65" s="3800"/>
      <c r="E65" s="277" t="s">
        <v>27</v>
      </c>
      <c r="G65" s="130"/>
    </row>
    <row r="66" spans="1:7" x14ac:dyDescent="0.35">
      <c r="A66" s="3788"/>
      <c r="B66" s="3805"/>
      <c r="E66" s="279"/>
      <c r="G66" s="130"/>
    </row>
    <row r="67" spans="1:7" ht="15" customHeight="1" x14ac:dyDescent="0.35">
      <c r="A67" s="3788"/>
      <c r="B67" s="3805"/>
      <c r="C67" s="3808" t="s">
        <v>3340</v>
      </c>
      <c r="D67" s="3794"/>
      <c r="E67" s="253" t="s">
        <v>661</v>
      </c>
      <c r="G67" s="130"/>
    </row>
    <row r="68" spans="1:7" ht="15" customHeight="1" x14ac:dyDescent="0.35">
      <c r="A68" s="3788"/>
      <c r="B68" s="3805"/>
      <c r="C68" s="3807" t="s">
        <v>3337</v>
      </c>
      <c r="D68" s="3782"/>
      <c r="E68" s="254" t="s">
        <v>27</v>
      </c>
      <c r="G68" s="130"/>
    </row>
    <row r="69" spans="1:7" ht="15" customHeight="1" x14ac:dyDescent="0.35">
      <c r="A69" s="3788"/>
      <c r="B69" s="3805"/>
      <c r="C69" s="3803" t="s">
        <v>3338</v>
      </c>
      <c r="D69" s="3786"/>
      <c r="E69" s="255" t="s">
        <v>27</v>
      </c>
      <c r="G69" s="130"/>
    </row>
    <row r="70" spans="1:7" ht="15" customHeight="1" x14ac:dyDescent="0.35">
      <c r="A70" s="3788"/>
      <c r="B70" s="3805"/>
      <c r="C70" s="280"/>
      <c r="E70" s="242"/>
      <c r="G70" s="130"/>
    </row>
    <row r="71" spans="1:7" ht="12.75" customHeight="1" x14ac:dyDescent="0.35">
      <c r="A71" s="3788"/>
      <c r="B71" s="3805"/>
      <c r="C71" s="3783" t="s">
        <v>3341</v>
      </c>
      <c r="D71" s="3784"/>
      <c r="E71" s="278" t="s">
        <v>27</v>
      </c>
    </row>
    <row r="72" spans="1:7" ht="15" customHeight="1" thickBot="1" x14ac:dyDescent="0.4">
      <c r="A72" s="3789"/>
      <c r="B72" s="3806"/>
      <c r="C72" s="3799" t="s">
        <v>3342</v>
      </c>
      <c r="D72" s="3800"/>
      <c r="E72" s="275" t="s">
        <v>33</v>
      </c>
    </row>
    <row r="73" spans="1:7" ht="18.75" customHeight="1" thickBot="1" x14ac:dyDescent="0.4">
      <c r="A73" s="67"/>
      <c r="B73" s="245"/>
      <c r="C73" s="246"/>
      <c r="D73" s="247"/>
      <c r="E73" s="248"/>
    </row>
    <row r="74" spans="1:7" x14ac:dyDescent="0.35">
      <c r="E74" s="281"/>
    </row>
    <row r="75" spans="1:7" x14ac:dyDescent="0.35">
      <c r="E75" s="281"/>
    </row>
    <row r="76" spans="1:7" x14ac:dyDescent="0.35">
      <c r="E76" s="282"/>
    </row>
    <row r="77" spans="1:7" x14ac:dyDescent="0.35">
      <c r="E77" s="282"/>
    </row>
    <row r="78" spans="1:7" x14ac:dyDescent="0.35">
      <c r="E78" s="282"/>
    </row>
    <row r="79" spans="1:7" x14ac:dyDescent="0.35">
      <c r="E79" s="282"/>
    </row>
    <row r="80" spans="1:7" x14ac:dyDescent="0.35">
      <c r="E80" s="282"/>
    </row>
    <row r="81" spans="5:5" x14ac:dyDescent="0.35">
      <c r="E81" s="282"/>
    </row>
    <row r="82" spans="5:5" x14ac:dyDescent="0.35">
      <c r="E82" s="282"/>
    </row>
    <row r="83" spans="5:5" x14ac:dyDescent="0.35">
      <c r="E83" s="282"/>
    </row>
    <row r="84" spans="5:5" x14ac:dyDescent="0.35">
      <c r="E84" s="282"/>
    </row>
    <row r="85" spans="5:5" x14ac:dyDescent="0.35"/>
    <row r="86" spans="5:5" x14ac:dyDescent="0.35"/>
    <row r="87" spans="5:5" x14ac:dyDescent="0.35"/>
  </sheetData>
  <mergeCells count="64">
    <mergeCell ref="B42:B49"/>
    <mergeCell ref="A42:A49"/>
    <mergeCell ref="C52:D52"/>
    <mergeCell ref="C51:D51"/>
    <mergeCell ref="C29:D29"/>
    <mergeCell ref="A51:A53"/>
    <mergeCell ref="C49:D49"/>
    <mergeCell ref="E4:E5"/>
    <mergeCell ref="A55:A57"/>
    <mergeCell ref="C34:D34"/>
    <mergeCell ref="B55:B57"/>
    <mergeCell ref="B26:B40"/>
    <mergeCell ref="C45:D45"/>
    <mergeCell ref="C44:D44"/>
    <mergeCell ref="C43:D43"/>
    <mergeCell ref="C42:D42"/>
    <mergeCell ref="A26:A40"/>
    <mergeCell ref="C56:D56"/>
    <mergeCell ref="C27:D27"/>
    <mergeCell ref="C26:D26"/>
    <mergeCell ref="D4:D5"/>
    <mergeCell ref="C14:D14"/>
    <mergeCell ref="C13:D13"/>
    <mergeCell ref="A59:A72"/>
    <mergeCell ref="C55:D55"/>
    <mergeCell ref="C53:D53"/>
    <mergeCell ref="C65:D65"/>
    <mergeCell ref="C64:D64"/>
    <mergeCell ref="C63:D63"/>
    <mergeCell ref="C59:D59"/>
    <mergeCell ref="C57:D57"/>
    <mergeCell ref="B51:B53"/>
    <mergeCell ref="C72:D72"/>
    <mergeCell ref="C69:D69"/>
    <mergeCell ref="B59:B72"/>
    <mergeCell ref="C68:D68"/>
    <mergeCell ref="C67:D67"/>
    <mergeCell ref="C60:D60"/>
    <mergeCell ref="C61:D61"/>
    <mergeCell ref="C12:D12"/>
    <mergeCell ref="C17:D17"/>
    <mergeCell ref="C16:D16"/>
    <mergeCell ref="C22:D22"/>
    <mergeCell ref="C21:D21"/>
    <mergeCell ref="C19:D19"/>
    <mergeCell ref="A12:A14"/>
    <mergeCell ref="B12:B14"/>
    <mergeCell ref="B16:B17"/>
    <mergeCell ref="B19:B22"/>
    <mergeCell ref="A16:A17"/>
    <mergeCell ref="A19:A22"/>
    <mergeCell ref="C24:D24"/>
    <mergeCell ref="C35:D35"/>
    <mergeCell ref="C37:D37"/>
    <mergeCell ref="C71:D71"/>
    <mergeCell ref="C30:D30"/>
    <mergeCell ref="C33:D33"/>
    <mergeCell ref="C28:D28"/>
    <mergeCell ref="C40:D40"/>
    <mergeCell ref="C36:D36"/>
    <mergeCell ref="C48:D48"/>
    <mergeCell ref="C47:D47"/>
    <mergeCell ref="C46:D46"/>
    <mergeCell ref="C38:D38"/>
  </mergeCells>
  <conditionalFormatting sqref="E11:E74">
    <cfRule type="cellIs" dxfId="58" priority="1" operator="equal">
      <formula>"N/A"</formula>
    </cfRule>
    <cfRule type="cellIs" dxfId="57" priority="123" operator="equal">
      <formula>#REF!</formula>
    </cfRule>
    <cfRule type="cellIs" dxfId="56" priority="124" operator="equal">
      <formula>#REF!</formula>
    </cfRule>
    <cfRule type="cellIs" dxfId="55" priority="125" operator="equal">
      <formula>#REF!</formula>
    </cfRule>
    <cfRule type="cellIs" dxfId="54" priority="126" operator="equal">
      <formula>#REF!</formula>
    </cfRule>
  </conditionalFormatting>
  <dataValidations count="1">
    <dataValidation type="list" allowBlank="1" showInputMessage="1" showErrorMessage="1" sqref="E16 E19 E21 E24 E26:E40 E51:E53 E67 E63 E59" xr:uid="{0DB0C666-3BD8-4C10-9FC5-D61FF44F7BC5}">
      <formula1>#REF!</formula1>
    </dataValidation>
  </dataValidations>
  <pageMargins left="0.70866141732283472" right="0.70866141732283472" top="0.74803149606299213" bottom="0.74803149606299213" header="0.31496062992125984" footer="0.31496062992125984"/>
  <pageSetup paperSize="9" scale="57" orientation="portrait" r:id="rId1"/>
  <headerFooter>
    <oddFooter>&amp;L&amp;D</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B3492E0-5000-42BA-9BF4-CEB9EBA7A907}">
          <x14:formula1>
            <xm:f>'Product Data'!$AH$9:$AH$13</xm:f>
          </x14:formula1>
          <xm:sqref>E60:E61 E68:E69 E64:E65 E71:E72 E55:E57 E44:E49 E42 E22 E20 E17 E12:E14</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B6646-EFFB-43F8-8A49-58005389DE00}">
  <sheetPr codeName="Sheet31">
    <tabColor theme="8" tint="0.79998168889431442"/>
    <pageSetUpPr fitToPage="1"/>
  </sheetPr>
  <dimension ref="B1:H47"/>
  <sheetViews>
    <sheetView showGridLines="0" zoomScale="70" zoomScaleNormal="70" workbookViewId="0">
      <selection activeCell="G15" sqref="G15"/>
    </sheetView>
  </sheetViews>
  <sheetFormatPr defaultRowHeight="18" x14ac:dyDescent="0.35"/>
  <cols>
    <col min="1" max="1" width="9.140625" style="67"/>
    <col min="2" max="2" width="27.140625" style="67" bestFit="1" customWidth="1"/>
    <col min="3" max="3" width="42.5703125" style="67" customWidth="1"/>
    <col min="4" max="4" width="21" style="67" bestFit="1" customWidth="1"/>
    <col min="5" max="5" width="28.5703125" style="67" bestFit="1" customWidth="1"/>
    <col min="6" max="6" width="17.5703125" style="67" customWidth="1"/>
    <col min="7" max="7" width="23.42578125" style="67" customWidth="1"/>
    <col min="8" max="10" width="9.140625" style="67"/>
    <col min="11" max="11" width="10.7109375" style="67" customWidth="1"/>
    <col min="12" max="16384" width="9.140625" style="67"/>
  </cols>
  <sheetData>
    <row r="1" spans="2:8" ht="18.75" thickBot="1" x14ac:dyDescent="0.4"/>
    <row r="2" spans="2:8" ht="23.25" thickBot="1" x14ac:dyDescent="0.4">
      <c r="B2" s="203" t="s">
        <v>3272</v>
      </c>
      <c r="C2" s="204" t="str">
        <f>'Check prior'!C2</f>
        <v>xxxxxxx</v>
      </c>
      <c r="D2" s="205" t="s">
        <v>3273</v>
      </c>
      <c r="E2" s="206">
        <f>'Check prior'!E2</f>
        <v>44481</v>
      </c>
      <c r="G2" s="207" t="s">
        <v>3274</v>
      </c>
      <c r="H2" s="208">
        <f>COUNTIF(E12:E50,"-")</f>
        <v>0</v>
      </c>
    </row>
    <row r="3" spans="2:8" ht="23.25" thickBot="1" x14ac:dyDescent="0.4">
      <c r="B3" s="209" t="s">
        <v>3275</v>
      </c>
      <c r="C3" s="210" t="str">
        <f>'Check prior'!C3</f>
        <v>xxxxxxx</v>
      </c>
      <c r="D3" s="211" t="s">
        <v>3276</v>
      </c>
      <c r="E3" s="206">
        <f>'Check prior'!E3</f>
        <v>45211</v>
      </c>
      <c r="G3" s="212" t="s">
        <v>3277</v>
      </c>
      <c r="H3" s="208">
        <f>COUNTIF(E11:E63,'Product Data'!AG10)+COUNTIF(E11:E63,'Product Data'!AH10)</f>
        <v>0</v>
      </c>
    </row>
    <row r="4" spans="2:8" ht="22.5" x14ac:dyDescent="0.35">
      <c r="B4" s="209"/>
      <c r="C4" s="213" t="str">
        <f>'Check prior'!C4</f>
        <v/>
      </c>
      <c r="D4" s="3813" t="s">
        <v>3278</v>
      </c>
      <c r="E4" s="3824" t="str">
        <f>'Check prior'!E4</f>
        <v/>
      </c>
      <c r="G4" s="214" t="s">
        <v>3279</v>
      </c>
      <c r="H4" s="208">
        <f>COUNTIF(E11:E63,'Product Data'!AG9)+COUNTIF(E11:E63,'Product Data'!AH9)</f>
        <v>27</v>
      </c>
    </row>
    <row r="5" spans="2:8" ht="23.25" thickBot="1" x14ac:dyDescent="0.4">
      <c r="B5" s="215"/>
      <c r="C5" s="216" t="str">
        <f>'Check prior'!C5</f>
        <v/>
      </c>
      <c r="D5" s="3814"/>
      <c r="E5" s="3825"/>
      <c r="G5" s="217" t="s">
        <v>673</v>
      </c>
      <c r="H5" s="208">
        <f>COUNTIF(E12:E63,'Product Data'!AG11)</f>
        <v>0</v>
      </c>
    </row>
    <row r="6" spans="2:8" ht="23.25" thickBot="1" x14ac:dyDescent="0.45">
      <c r="B6" s="218"/>
      <c r="C6" s="69"/>
      <c r="D6" s="129"/>
      <c r="G6" s="219" t="s">
        <v>3280</v>
      </c>
      <c r="H6" s="208">
        <f>COUNTIF(E12:E63,'Product Data'!AH11)</f>
        <v>0</v>
      </c>
    </row>
    <row r="7" spans="2:8" ht="22.5" x14ac:dyDescent="0.35">
      <c r="B7" s="220" t="s">
        <v>3281</v>
      </c>
      <c r="C7" s="221" t="str">
        <f>'Check prior'!C7</f>
        <v/>
      </c>
      <c r="D7" s="222" t="s">
        <v>3282</v>
      </c>
      <c r="E7" s="223">
        <f>'Deal lead sheet'!C15</f>
        <v>0</v>
      </c>
      <c r="G7" s="224" t="s">
        <v>3283</v>
      </c>
      <c r="H7" s="208">
        <f>COUNTA(C11:D50)-1</f>
        <v>27</v>
      </c>
    </row>
    <row r="8" spans="2:8" ht="20.25" thickBot="1" x14ac:dyDescent="0.4">
      <c r="B8" s="225"/>
      <c r="C8" s="216"/>
      <c r="D8" s="226" t="s">
        <v>3284</v>
      </c>
      <c r="E8" s="227">
        <f>'Deal lead sheet'!C14</f>
        <v>0</v>
      </c>
    </row>
    <row r="9" spans="2:8" ht="18.75" thickBot="1" x14ac:dyDescent="0.4"/>
    <row r="10" spans="2:8" ht="24.75" thickBot="1" x14ac:dyDescent="0.4">
      <c r="B10" s="228" t="s">
        <v>3285</v>
      </c>
      <c r="C10" s="229" t="s">
        <v>3286</v>
      </c>
      <c r="D10" s="230"/>
      <c r="E10" s="231" t="s">
        <v>3287</v>
      </c>
      <c r="F10" s="130"/>
    </row>
    <row r="11" spans="2:8" ht="15" customHeight="1" x14ac:dyDescent="0.35">
      <c r="B11" s="232"/>
      <c r="C11" s="233"/>
      <c r="D11" s="233"/>
      <c r="E11" s="234"/>
      <c r="F11" s="130"/>
    </row>
    <row r="12" spans="2:8" x14ac:dyDescent="0.35">
      <c r="B12" s="3826" t="s">
        <v>3251</v>
      </c>
      <c r="C12" s="3833" t="s">
        <v>3343</v>
      </c>
      <c r="D12" s="3834"/>
      <c r="E12" s="235" t="s">
        <v>33</v>
      </c>
      <c r="F12" s="130"/>
    </row>
    <row r="13" spans="2:8" x14ac:dyDescent="0.35">
      <c r="B13" s="3827"/>
      <c r="C13" s="3817" t="s">
        <v>3344</v>
      </c>
      <c r="D13" s="3818"/>
      <c r="E13" s="236" t="s">
        <v>33</v>
      </c>
      <c r="F13" s="130"/>
    </row>
    <row r="14" spans="2:8" ht="43.5" customHeight="1" x14ac:dyDescent="0.35">
      <c r="B14" s="3827"/>
      <c r="C14" s="3817" t="s">
        <v>3345</v>
      </c>
      <c r="D14" s="3818"/>
      <c r="E14" s="236" t="s">
        <v>33</v>
      </c>
      <c r="F14" s="130"/>
    </row>
    <row r="15" spans="2:8" ht="31.5" customHeight="1" x14ac:dyDescent="0.35">
      <c r="B15" s="3827"/>
      <c r="C15" s="3837" t="s">
        <v>3346</v>
      </c>
      <c r="D15" s="3829"/>
      <c r="E15" s="236" t="s">
        <v>33</v>
      </c>
      <c r="F15" s="130"/>
    </row>
    <row r="16" spans="2:8" x14ac:dyDescent="0.35">
      <c r="B16" s="3827"/>
      <c r="C16" s="3817" t="s">
        <v>3347</v>
      </c>
      <c r="D16" s="3818"/>
      <c r="E16" s="236" t="s">
        <v>33</v>
      </c>
      <c r="F16" s="130"/>
    </row>
    <row r="17" spans="2:6" x14ac:dyDescent="0.35">
      <c r="B17" s="3827"/>
      <c r="C17" s="3817" t="s">
        <v>3348</v>
      </c>
      <c r="D17" s="3818"/>
      <c r="E17" s="236" t="s">
        <v>33</v>
      </c>
      <c r="F17" s="130"/>
    </row>
    <row r="18" spans="2:6" ht="15" customHeight="1" x14ac:dyDescent="0.35">
      <c r="B18" s="3827"/>
      <c r="C18" s="3837" t="s">
        <v>3349</v>
      </c>
      <c r="D18" s="3829"/>
      <c r="E18" s="236" t="s">
        <v>33</v>
      </c>
      <c r="F18" s="130"/>
    </row>
    <row r="19" spans="2:6" x14ac:dyDescent="0.35">
      <c r="B19" s="3827"/>
      <c r="C19" s="3817" t="s">
        <v>3350</v>
      </c>
      <c r="D19" s="3818"/>
      <c r="E19" s="236" t="s">
        <v>33</v>
      </c>
      <c r="F19" s="130"/>
    </row>
    <row r="20" spans="2:6" x14ac:dyDescent="0.35">
      <c r="B20" s="3827"/>
      <c r="C20" s="3817" t="s">
        <v>3351</v>
      </c>
      <c r="D20" s="3818"/>
      <c r="E20" s="236" t="s">
        <v>33</v>
      </c>
    </row>
    <row r="21" spans="2:6" x14ac:dyDescent="0.35">
      <c r="B21" s="3827"/>
      <c r="C21" s="3817" t="s">
        <v>3352</v>
      </c>
      <c r="D21" s="3818"/>
      <c r="E21" s="236" t="s">
        <v>33</v>
      </c>
      <c r="F21" s="130"/>
    </row>
    <row r="22" spans="2:6" x14ac:dyDescent="0.35">
      <c r="B22" s="3827"/>
      <c r="C22" s="3835" t="s">
        <v>3353</v>
      </c>
      <c r="D22" s="3836"/>
      <c r="E22" s="237" t="s">
        <v>33</v>
      </c>
      <c r="F22" s="130"/>
    </row>
    <row r="23" spans="2:6" x14ac:dyDescent="0.35">
      <c r="B23" s="238"/>
      <c r="C23" s="239"/>
      <c r="D23" s="240"/>
      <c r="E23" s="241"/>
      <c r="F23" s="130"/>
    </row>
    <row r="24" spans="2:6" x14ac:dyDescent="0.35">
      <c r="B24" s="3826" t="s">
        <v>3354</v>
      </c>
      <c r="C24" s="3831" t="s">
        <v>3355</v>
      </c>
      <c r="D24" s="3832"/>
      <c r="E24" s="235" t="s">
        <v>33</v>
      </c>
      <c r="F24" s="130"/>
    </row>
    <row r="25" spans="2:6" x14ac:dyDescent="0.35">
      <c r="B25" s="3827"/>
      <c r="C25" s="3829" t="s">
        <v>3356</v>
      </c>
      <c r="D25" s="3830"/>
      <c r="E25" s="236" t="s">
        <v>33</v>
      </c>
      <c r="F25" s="130"/>
    </row>
    <row r="26" spans="2:6" x14ac:dyDescent="0.35">
      <c r="B26" s="3827"/>
      <c r="C26" s="3829" t="s">
        <v>3357</v>
      </c>
      <c r="D26" s="3830"/>
      <c r="E26" s="236" t="s">
        <v>33</v>
      </c>
      <c r="F26" s="130"/>
    </row>
    <row r="27" spans="2:6" x14ac:dyDescent="0.35">
      <c r="B27" s="3827"/>
      <c r="C27" s="3829" t="s">
        <v>3358</v>
      </c>
      <c r="D27" s="3830"/>
      <c r="E27" s="236" t="s">
        <v>33</v>
      </c>
      <c r="F27" s="130"/>
    </row>
    <row r="28" spans="2:6" x14ac:dyDescent="0.35">
      <c r="B28" s="3827"/>
      <c r="C28" s="3829" t="s">
        <v>3359</v>
      </c>
      <c r="D28" s="3830"/>
      <c r="E28" s="236" t="s">
        <v>33</v>
      </c>
      <c r="F28" s="130"/>
    </row>
    <row r="29" spans="2:6" x14ac:dyDescent="0.35">
      <c r="B29" s="3828"/>
      <c r="C29" s="3819" t="s">
        <v>3360</v>
      </c>
      <c r="D29" s="3820"/>
      <c r="E29" s="237" t="s">
        <v>33</v>
      </c>
      <c r="F29" s="130"/>
    </row>
    <row r="30" spans="2:6" x14ac:dyDescent="0.35">
      <c r="B30" s="238"/>
      <c r="C30" s="239"/>
      <c r="D30" s="240"/>
      <c r="E30" s="241"/>
      <c r="F30" s="130"/>
    </row>
    <row r="31" spans="2:6" ht="14.25" customHeight="1" x14ac:dyDescent="0.35">
      <c r="B31" s="3821" t="s">
        <v>3361</v>
      </c>
      <c r="C31" s="3797" t="s">
        <v>3336</v>
      </c>
      <c r="D31" s="3798"/>
      <c r="E31" s="235" t="s">
        <v>33</v>
      </c>
      <c r="F31" s="130"/>
    </row>
    <row r="32" spans="2:6" ht="14.25" customHeight="1" x14ac:dyDescent="0.35">
      <c r="B32" s="3822"/>
      <c r="C32" s="3781" t="s">
        <v>3337</v>
      </c>
      <c r="D32" s="3782"/>
      <c r="E32" s="236" t="s">
        <v>33</v>
      </c>
      <c r="F32" s="130"/>
    </row>
    <row r="33" spans="2:6" x14ac:dyDescent="0.35">
      <c r="B33" s="3822"/>
      <c r="C33" s="3799" t="s">
        <v>3338</v>
      </c>
      <c r="D33" s="3800"/>
      <c r="E33" s="236" t="s">
        <v>33</v>
      </c>
      <c r="F33" s="130"/>
    </row>
    <row r="34" spans="2:6" ht="14.25" customHeight="1" x14ac:dyDescent="0.35">
      <c r="B34" s="3822"/>
      <c r="E34" s="242"/>
      <c r="F34" s="130"/>
    </row>
    <row r="35" spans="2:6" ht="15" customHeight="1" x14ac:dyDescent="0.35">
      <c r="B35" s="3822"/>
      <c r="C35" s="3797" t="s">
        <v>3339</v>
      </c>
      <c r="D35" s="3798"/>
      <c r="E35" s="235" t="s">
        <v>33</v>
      </c>
    </row>
    <row r="36" spans="2:6" ht="15" customHeight="1" x14ac:dyDescent="0.35">
      <c r="B36" s="3822"/>
      <c r="C36" s="3801" t="s">
        <v>3337</v>
      </c>
      <c r="D36" s="3802"/>
      <c r="E36" s="236" t="s">
        <v>33</v>
      </c>
    </row>
    <row r="37" spans="2:6" ht="15" customHeight="1" x14ac:dyDescent="0.35">
      <c r="B37" s="3822"/>
      <c r="C37" s="3799" t="s">
        <v>3338</v>
      </c>
      <c r="D37" s="3800"/>
      <c r="E37" s="237" t="s">
        <v>33</v>
      </c>
    </row>
    <row r="38" spans="2:6" x14ac:dyDescent="0.35">
      <c r="B38" s="3822"/>
      <c r="E38" s="243"/>
    </row>
    <row r="39" spans="2:6" ht="15" customHeight="1" x14ac:dyDescent="0.35">
      <c r="B39" s="3822"/>
      <c r="C39" s="3808" t="s">
        <v>3340</v>
      </c>
      <c r="D39" s="3794"/>
      <c r="E39" s="235" t="s">
        <v>33</v>
      </c>
    </row>
    <row r="40" spans="2:6" ht="15" customHeight="1" x14ac:dyDescent="0.35">
      <c r="B40" s="3822"/>
      <c r="C40" s="3807" t="s">
        <v>3337</v>
      </c>
      <c r="D40" s="3782"/>
      <c r="E40" s="236" t="s">
        <v>33</v>
      </c>
    </row>
    <row r="41" spans="2:6" ht="15" customHeight="1" x14ac:dyDescent="0.35">
      <c r="B41" s="3823"/>
      <c r="C41" s="3803" t="s">
        <v>3338</v>
      </c>
      <c r="D41" s="3786"/>
      <c r="E41" s="237" t="s">
        <v>33</v>
      </c>
    </row>
    <row r="42" spans="2:6" x14ac:dyDescent="0.35">
      <c r="B42" s="238"/>
      <c r="E42" s="243"/>
    </row>
    <row r="43" spans="2:6" x14ac:dyDescent="0.35">
      <c r="B43" s="244" t="s">
        <v>3362</v>
      </c>
      <c r="C43" s="3815" t="s">
        <v>3363</v>
      </c>
      <c r="D43" s="3816"/>
      <c r="E43" s="235" t="s">
        <v>33</v>
      </c>
    </row>
    <row r="44" spans="2:6" ht="18.75" thickBot="1" x14ac:dyDescent="0.4">
      <c r="B44" s="245"/>
      <c r="C44" s="246"/>
      <c r="D44" s="247"/>
      <c r="E44" s="248"/>
    </row>
    <row r="45" spans="2:6" x14ac:dyDescent="0.35">
      <c r="B45" s="249"/>
      <c r="C45" s="250"/>
      <c r="D45" s="240"/>
      <c r="E45" s="130"/>
      <c r="F45" s="130"/>
    </row>
    <row r="47" spans="2:6" x14ac:dyDescent="0.35">
      <c r="C47" s="67" t="s">
        <v>3364</v>
      </c>
    </row>
  </sheetData>
  <mergeCells count="32">
    <mergeCell ref="E4:E5"/>
    <mergeCell ref="B12:B22"/>
    <mergeCell ref="B24:B29"/>
    <mergeCell ref="C28:D28"/>
    <mergeCell ref="C27:D27"/>
    <mergeCell ref="C26:D26"/>
    <mergeCell ref="C25:D25"/>
    <mergeCell ref="C24:D24"/>
    <mergeCell ref="C12:D12"/>
    <mergeCell ref="C16:D16"/>
    <mergeCell ref="C22:D22"/>
    <mergeCell ref="C21:D21"/>
    <mergeCell ref="C18:D18"/>
    <mergeCell ref="C15:D15"/>
    <mergeCell ref="B31:B41"/>
    <mergeCell ref="C32:D32"/>
    <mergeCell ref="C33:D33"/>
    <mergeCell ref="C41:D41"/>
    <mergeCell ref="C40:D40"/>
    <mergeCell ref="C43:D43"/>
    <mergeCell ref="C36:D36"/>
    <mergeCell ref="C37:D37"/>
    <mergeCell ref="C39:D39"/>
    <mergeCell ref="D4:D5"/>
    <mergeCell ref="C20:D20"/>
    <mergeCell ref="C19:D19"/>
    <mergeCell ref="C17:D17"/>
    <mergeCell ref="C14:D14"/>
    <mergeCell ref="C13:D13"/>
    <mergeCell ref="C35:D35"/>
    <mergeCell ref="C31:D31"/>
    <mergeCell ref="C29:D29"/>
  </mergeCells>
  <conditionalFormatting sqref="E11:E29 E31:E33 E35:E37 E39:E41 E43 E45">
    <cfRule type="cellIs" dxfId="53" priority="128" operator="equal">
      <formula>#REF!</formula>
    </cfRule>
  </conditionalFormatting>
  <conditionalFormatting sqref="E11:E29 E31:E45">
    <cfRule type="cellIs" dxfId="52" priority="129" operator="equal">
      <formula>#REF!</formula>
    </cfRule>
    <cfRule type="cellIs" dxfId="51" priority="130" operator="equal">
      <formula>#REF!</formula>
    </cfRule>
  </conditionalFormatting>
  <conditionalFormatting sqref="E34 E38 E42">
    <cfRule type="cellIs" dxfId="50" priority="146" operator="equal">
      <formula>#REF!</formula>
    </cfRule>
    <cfRule type="cellIs" dxfId="49" priority="147" operator="equal">
      <formula>#REF!</formula>
    </cfRule>
    <cfRule type="cellIs" dxfId="48" priority="149" operator="equal">
      <formula>#REF!</formula>
    </cfRule>
    <cfRule type="cellIs" dxfId="47" priority="152" operator="equal">
      <formula>#REF!</formula>
    </cfRule>
  </conditionalFormatting>
  <conditionalFormatting sqref="E44">
    <cfRule type="cellIs" dxfId="46" priority="1" operator="equal">
      <formula>"N/A"</formula>
    </cfRule>
    <cfRule type="cellIs" dxfId="45" priority="170" operator="equal">
      <formula>#REF!</formula>
    </cfRule>
  </conditionalFormatting>
  <dataValidations count="2">
    <dataValidation type="list" allowBlank="1" showInputMessage="1" showErrorMessage="1" sqref="D45" xr:uid="{2AF258AA-E532-492C-929A-91F810D68BDD}">
      <formula1>"Yes - In file, No - Still pending"</formula1>
    </dataValidation>
    <dataValidation type="list" allowBlank="1" showInputMessage="1" showErrorMessage="1" sqref="D30 D42 C44 D23" xr:uid="{C51341BF-4451-4084-BEBE-21D2F21407B8}">
      <formula1>"Yes , No "</formula1>
    </dataValidation>
  </dataValidations>
  <pageMargins left="0.51181102362204722" right="0.51181102362204722" top="0.55118110236220474" bottom="0.55118110236220474" header="0" footer="0"/>
  <pageSetup paperSize="9" scale="77" orientation="portrait" horizontalDpi="4294967295" verticalDpi="4294967295" r:id="rId1"/>
  <headerFooter>
    <oddFooter>&amp;L&amp;D</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D38C4ED8-E40D-40E8-9C3B-82D984B6BB80}">
          <x14:formula1>
            <xm:f>'Product Data'!$AH$9:$AH$13</xm:f>
          </x14:formula1>
          <xm:sqref>E12:E22 E31:E41 E43 E24:E29</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E2396-0A52-4D34-9E0E-12DDE9D3A682}">
  <sheetPr codeName="Sheet32">
    <tabColor theme="7" tint="0.39997558519241921"/>
    <pageSetUpPr fitToPage="1"/>
  </sheetPr>
  <dimension ref="A1:AK211"/>
  <sheetViews>
    <sheetView topLeftCell="A70" zoomScaleNormal="100" zoomScalePageLayoutView="85" workbookViewId="0">
      <selection activeCell="D19" sqref="D19:E19"/>
    </sheetView>
  </sheetViews>
  <sheetFormatPr defaultColWidth="9.140625" defaultRowHeight="19.5" x14ac:dyDescent="0.4"/>
  <cols>
    <col min="1" max="1" width="2.5703125" style="125" customWidth="1"/>
    <col min="2" max="2" width="22.140625" style="128" customWidth="1"/>
    <col min="3" max="3" width="46.28515625" style="127" customWidth="1"/>
    <col min="4" max="4" width="13.7109375" style="128" bestFit="1" customWidth="1"/>
    <col min="5" max="5" width="10.85546875" style="128" bestFit="1" customWidth="1"/>
    <col min="6" max="6" width="14" style="128" customWidth="1"/>
    <col min="7" max="7" width="10.85546875" style="128" bestFit="1" customWidth="1"/>
    <col min="8" max="8" width="16" style="128" bestFit="1" customWidth="1"/>
    <col min="9" max="9" width="8" style="128" bestFit="1" customWidth="1"/>
    <col min="10" max="10" width="12.85546875" style="129" customWidth="1"/>
    <col min="11" max="11" width="20.5703125" style="130" bestFit="1" customWidth="1"/>
    <col min="12" max="12" width="2.140625" style="130" customWidth="1"/>
    <col min="13" max="13" width="12.28515625" style="130" bestFit="1" customWidth="1"/>
    <col min="14" max="14" width="12.85546875" style="130" bestFit="1" customWidth="1"/>
    <col min="15" max="15" width="11.140625" style="130" bestFit="1" customWidth="1"/>
    <col min="16" max="16" width="7.5703125" style="130" bestFit="1" customWidth="1"/>
    <col min="17" max="17" width="8.5703125" style="130" customWidth="1"/>
    <col min="18" max="18" width="12" style="130" bestFit="1" customWidth="1"/>
    <col min="19" max="19" width="12" style="130" customWidth="1"/>
    <col min="20" max="21" width="8.85546875" style="130" customWidth="1"/>
    <col min="22" max="22" width="13.7109375" style="130" customWidth="1"/>
    <col min="23" max="23" width="11.85546875" style="130" customWidth="1"/>
    <col min="24" max="25" width="5.7109375" style="130" customWidth="1"/>
    <col min="26" max="26" width="12.28515625" style="130" customWidth="1"/>
    <col min="27" max="27" width="38.85546875" style="130" customWidth="1"/>
    <col min="28" max="28" width="18.7109375" style="67" customWidth="1"/>
    <col min="29" max="29" width="6.28515625" style="130" customWidth="1"/>
    <col min="30" max="30" width="18.85546875" style="67" customWidth="1"/>
    <col min="31" max="31" width="9.140625" style="67" customWidth="1"/>
    <col min="32" max="37" width="9.140625" style="67"/>
    <col min="38" max="16384" width="9.140625" style="128"/>
  </cols>
  <sheetData>
    <row r="1" spans="1:37" x14ac:dyDescent="0.4">
      <c r="B1" s="126">
        <f ca="1">TODAY()</f>
        <v>45989</v>
      </c>
      <c r="K1" s="67" t="s">
        <v>3365</v>
      </c>
      <c r="L1" s="130">
        <v>1</v>
      </c>
      <c r="M1" s="130">
        <v>1</v>
      </c>
      <c r="N1" s="131"/>
      <c r="O1" s="67"/>
      <c r="R1" s="130" t="s">
        <v>3366</v>
      </c>
      <c r="S1" s="67" t="str">
        <f t="shared" ref="S1:S6" si="0">"Repayment (serviced by "&amp;R1&amp;")"</f>
        <v>Repayment (serviced by Cheque)</v>
      </c>
      <c r="AA1" s="67"/>
      <c r="AK1" s="128"/>
    </row>
    <row r="2" spans="1:37" x14ac:dyDescent="0.4">
      <c r="K2" s="130" t="s">
        <v>3367</v>
      </c>
      <c r="L2" s="130">
        <f>L1+1</f>
        <v>2</v>
      </c>
      <c r="M2" s="130">
        <v>1</v>
      </c>
      <c r="N2" s="131"/>
      <c r="Q2" s="67"/>
      <c r="R2" s="67" t="s">
        <v>190</v>
      </c>
      <c r="S2" s="67" t="str">
        <f t="shared" si="0"/>
        <v>Repayment (serviced by Direct Debit)</v>
      </c>
      <c r="AA2" s="67"/>
      <c r="AK2" s="128"/>
    </row>
    <row r="3" spans="1:37" x14ac:dyDescent="0.4">
      <c r="B3" s="132">
        <f>IF('Deal lead sheet'!C20="",0,1)</f>
        <v>0</v>
      </c>
      <c r="K3" s="67" t="s">
        <v>3368</v>
      </c>
      <c r="L3" s="130">
        <f t="shared" ref="L3:L9" si="1">L2+1</f>
        <v>3</v>
      </c>
      <c r="M3" s="130">
        <v>2</v>
      </c>
      <c r="N3" s="131"/>
      <c r="O3" s="67"/>
      <c r="Q3" s="67"/>
      <c r="R3" s="67" t="s">
        <v>3369</v>
      </c>
      <c r="S3" s="67" t="str">
        <f t="shared" si="0"/>
        <v>Repayment (serviced by Direct Credit)</v>
      </c>
      <c r="AA3" s="67"/>
      <c r="AK3" s="128"/>
    </row>
    <row r="4" spans="1:37" x14ac:dyDescent="0.4">
      <c r="B4" s="133" t="str">
        <f>IF(B3=1,"Company","Borrower")&amp;" name:"</f>
        <v>Borrower name:</v>
      </c>
      <c r="C4" s="134" t="str">
        <f>IF(B3=1,'Deal lead sheet'!C20,'Deal lead sheet'!C12)</f>
        <v>xxxxxxx</v>
      </c>
      <c r="K4" s="67" t="s">
        <v>3370</v>
      </c>
      <c r="L4" s="130">
        <f t="shared" si="1"/>
        <v>4</v>
      </c>
      <c r="M4" s="67">
        <v>3</v>
      </c>
      <c r="N4" s="130" t="s">
        <v>3371</v>
      </c>
      <c r="O4" s="67"/>
      <c r="Q4" s="67"/>
      <c r="R4" s="67" t="s">
        <v>680</v>
      </c>
      <c r="S4" s="67" t="str">
        <f t="shared" si="0"/>
        <v>Repayment (serviced by -)</v>
      </c>
      <c r="AA4" s="67"/>
      <c r="AK4" s="128"/>
    </row>
    <row r="5" spans="1:37" x14ac:dyDescent="0.4">
      <c r="C5" s="134" t="str">
        <f>IF(B3=0,IF('Deal lead sheet'!C16="","","and"),"")</f>
        <v/>
      </c>
      <c r="K5" s="67" t="s">
        <v>3372</v>
      </c>
      <c r="L5" s="130">
        <f t="shared" si="1"/>
        <v>5</v>
      </c>
      <c r="M5" s="67">
        <v>3</v>
      </c>
      <c r="N5" s="67" t="str">
        <f>S1</f>
        <v>Repayment (serviced by Cheque)</v>
      </c>
      <c r="O5" s="67"/>
      <c r="Q5" s="67"/>
      <c r="R5" s="67" t="s">
        <v>680</v>
      </c>
      <c r="S5" s="67" t="str">
        <f t="shared" si="0"/>
        <v>Repayment (serviced by -)</v>
      </c>
      <c r="AA5" s="67"/>
      <c r="AK5" s="128"/>
    </row>
    <row r="6" spans="1:37" x14ac:dyDescent="0.4">
      <c r="C6" s="134" t="str">
        <f>IF(B3=0,IF('Deal lead sheet'!C16="","",'Deal lead sheet'!C16),"")</f>
        <v/>
      </c>
      <c r="K6" s="67" t="s">
        <v>3373</v>
      </c>
      <c r="L6" s="130">
        <f t="shared" si="1"/>
        <v>6</v>
      </c>
      <c r="M6" s="67">
        <v>3</v>
      </c>
      <c r="N6" s="67" t="str">
        <f>S2</f>
        <v>Repayment (serviced by Direct Debit)</v>
      </c>
      <c r="O6" s="67"/>
      <c r="Q6" s="67"/>
      <c r="R6" s="67" t="s">
        <v>680</v>
      </c>
      <c r="S6" s="67" t="str">
        <f t="shared" si="0"/>
        <v>Repayment (serviced by -)</v>
      </c>
      <c r="AA6" s="67"/>
      <c r="AK6" s="128"/>
    </row>
    <row r="7" spans="1:37" x14ac:dyDescent="0.4">
      <c r="B7" s="135" t="str">
        <f>IF(B3=1,"Company","Borrower")&amp;" address:"</f>
        <v>Borrower address:</v>
      </c>
      <c r="C7" s="127">
        <f>'Deal lead sheet'!C13</f>
        <v>0</v>
      </c>
      <c r="K7" s="67" t="s">
        <v>3374</v>
      </c>
      <c r="L7" s="130">
        <f t="shared" si="1"/>
        <v>7</v>
      </c>
      <c r="M7" s="67">
        <v>3</v>
      </c>
      <c r="N7" s="67" t="str">
        <f>S3</f>
        <v>Repayment (serviced by Direct Credit)</v>
      </c>
      <c r="O7" s="67"/>
      <c r="Q7" s="67"/>
      <c r="R7" s="67"/>
      <c r="S7" s="128"/>
      <c r="AA7" s="67"/>
      <c r="AK7" s="128"/>
    </row>
    <row r="8" spans="1:37" x14ac:dyDescent="0.4">
      <c r="C8" s="127" t="str">
        <f>IF('Deal lead sheet'!C17=0,"",'Deal lead sheet'!C17=0)</f>
        <v/>
      </c>
      <c r="K8" s="67" t="s">
        <v>3375</v>
      </c>
      <c r="L8" s="130">
        <f t="shared" si="1"/>
        <v>8</v>
      </c>
      <c r="M8" s="67">
        <v>4</v>
      </c>
      <c r="N8" s="130" t="s">
        <v>3376</v>
      </c>
      <c r="O8" s="67"/>
      <c r="Q8" s="67"/>
      <c r="R8" s="67"/>
      <c r="AA8" s="67"/>
      <c r="AK8" s="128"/>
    </row>
    <row r="9" spans="1:37" ht="20.25" thickBot="1" x14ac:dyDescent="0.45">
      <c r="K9" s="67" t="s">
        <v>3377</v>
      </c>
      <c r="L9" s="130">
        <f t="shared" si="1"/>
        <v>9</v>
      </c>
      <c r="M9" s="130">
        <v>5</v>
      </c>
      <c r="N9" s="130" t="s">
        <v>3376</v>
      </c>
      <c r="O9" s="67"/>
      <c r="Q9" s="67"/>
      <c r="R9" s="67"/>
      <c r="AA9" s="67"/>
      <c r="AK9" s="128"/>
    </row>
    <row r="10" spans="1:37" s="139" customFormat="1" ht="21.75" customHeight="1" thickBot="1" x14ac:dyDescent="0.4">
      <c r="A10" s="136"/>
      <c r="B10" s="3838" t="str">
        <f>"Reference : "&amp;'Deal lead sheet'!C5&amp;" "&amp;'Deal lead sheet'!C23</f>
        <v xml:space="preserve">Reference : xxxxxxx </v>
      </c>
      <c r="C10" s="3839"/>
      <c r="D10" s="3839"/>
      <c r="E10" s="3839"/>
      <c r="F10" s="3839"/>
      <c r="G10" s="3839"/>
      <c r="H10" s="3839"/>
      <c r="I10" s="3839"/>
      <c r="J10" s="3839"/>
      <c r="K10" s="137" t="s">
        <v>3364</v>
      </c>
      <c r="L10" s="137"/>
      <c r="M10" s="137">
        <v>0</v>
      </c>
      <c r="N10" s="137"/>
      <c r="O10" s="67"/>
      <c r="P10" s="138"/>
      <c r="Q10" s="67"/>
      <c r="R10" s="67"/>
      <c r="S10" s="138"/>
      <c r="T10" s="138"/>
      <c r="U10" s="138"/>
      <c r="V10" s="138"/>
      <c r="W10" s="138"/>
      <c r="X10" s="138"/>
      <c r="Y10" s="138"/>
      <c r="Z10" s="138"/>
      <c r="AA10" s="137"/>
      <c r="AB10" s="137"/>
      <c r="AC10" s="138"/>
      <c r="AD10" s="137"/>
      <c r="AE10" s="137"/>
      <c r="AF10" s="137"/>
      <c r="AG10" s="137"/>
      <c r="AH10" s="137"/>
      <c r="AI10" s="137"/>
      <c r="AJ10" s="137"/>
    </row>
    <row r="11" spans="1:37" x14ac:dyDescent="0.4">
      <c r="B11" s="133"/>
      <c r="C11" s="140"/>
      <c r="K11" s="67"/>
      <c r="L11" s="67"/>
      <c r="M11" s="67"/>
      <c r="N11" s="67"/>
      <c r="O11" s="67"/>
    </row>
    <row r="12" spans="1:37" x14ac:dyDescent="0.4">
      <c r="B12" s="141" t="s">
        <v>3378</v>
      </c>
      <c r="C12" s="141"/>
      <c r="D12" s="3847">
        <f>+'Deal lead sheet'!C32</f>
        <v>24</v>
      </c>
      <c r="E12" s="3847"/>
    </row>
    <row r="13" spans="1:37" ht="20.25" thickBot="1" x14ac:dyDescent="0.45">
      <c r="B13" s="141" t="s">
        <v>3379</v>
      </c>
      <c r="C13" s="141"/>
      <c r="D13" s="3847" t="e">
        <f>+'Deal lead sheet'!C34</f>
        <v>#N/A</v>
      </c>
      <c r="E13" s="3847"/>
    </row>
    <row r="14" spans="1:37" ht="16.5" customHeight="1" thickBot="1" x14ac:dyDescent="0.45">
      <c r="B14" s="141" t="s">
        <v>3380</v>
      </c>
      <c r="C14" s="141"/>
      <c r="D14" s="3847" t="e">
        <f>+D12-D13</f>
        <v>#N/A</v>
      </c>
      <c r="E14" s="3847"/>
      <c r="N14" s="3842" t="s">
        <v>3381</v>
      </c>
      <c r="O14" s="3843"/>
    </row>
    <row r="15" spans="1:37" ht="16.5" customHeight="1" thickBot="1" x14ac:dyDescent="0.45">
      <c r="B15" s="141" t="s">
        <v>3382</v>
      </c>
      <c r="C15" s="141"/>
      <c r="D15" s="3848" t="e">
        <f>+'Deal lead sheet'!C38</f>
        <v>#N/A</v>
      </c>
      <c r="E15" s="3848"/>
      <c r="N15" s="3840" t="str">
        <f>'Deal lead sheet'!C28</f>
        <v>ZBL</v>
      </c>
      <c r="O15" s="3841"/>
      <c r="P15" s="142" t="str">
        <f>_xlfn.VALUETOTEXT(IFERROR(INDEX(Funders!$H$2:$H$26,MATCH(N15,Funders!$A$2:$A$26,0)),""),0)</f>
        <v>Logo_13</v>
      </c>
    </row>
    <row r="16" spans="1:37" ht="20.25" thickBot="1" x14ac:dyDescent="0.45">
      <c r="B16" s="141" t="s">
        <v>3383</v>
      </c>
      <c r="C16" s="141"/>
      <c r="D16" s="3848" t="e">
        <f>+'Deal lead sheet'!C36</f>
        <v>#N/A</v>
      </c>
      <c r="E16" s="3848"/>
    </row>
    <row r="17" spans="1:31" ht="20.25" thickBot="1" x14ac:dyDescent="0.45">
      <c r="B17" s="141" t="s">
        <v>3384</v>
      </c>
      <c r="C17" s="141"/>
      <c r="D17" s="3849" t="e">
        <f>D27*D16</f>
        <v>#N/A</v>
      </c>
      <c r="E17" s="3849"/>
      <c r="M17" s="67"/>
      <c r="N17" s="3844" t="s">
        <v>3385</v>
      </c>
      <c r="O17" s="3845"/>
    </row>
    <row r="18" spans="1:31" ht="20.25" thickBot="1" x14ac:dyDescent="0.45">
      <c r="B18" s="141" t="s">
        <v>3386</v>
      </c>
      <c r="C18" s="141"/>
      <c r="D18" s="3848">
        <v>0.03</v>
      </c>
      <c r="E18" s="3848"/>
      <c r="N18" s="3853" t="s">
        <v>3369</v>
      </c>
      <c r="O18" s="3854"/>
    </row>
    <row r="19" spans="1:31" ht="20.25" thickBot="1" x14ac:dyDescent="0.45">
      <c r="B19" s="141" t="s">
        <v>3387</v>
      </c>
      <c r="C19" s="141"/>
      <c r="D19" s="3846">
        <f>'Deal lead sheet'!C43+12</f>
        <v>44493</v>
      </c>
      <c r="E19" s="3846"/>
    </row>
    <row r="20" spans="1:31" ht="15.75" customHeight="1" x14ac:dyDescent="0.4">
      <c r="B20" s="141" t="s">
        <v>3388</v>
      </c>
      <c r="C20" s="141"/>
      <c r="D20" s="3846">
        <f>'Deal lead sheet'!C44</f>
        <v>45211</v>
      </c>
      <c r="E20" s="3846"/>
      <c r="M20" s="143">
        <f ca="1">IF(AND($O$43="less",B39&gt;=$O$41),1,0)</f>
        <v>0</v>
      </c>
      <c r="N20" s="3844" t="s">
        <v>3389</v>
      </c>
      <c r="O20" s="3845"/>
    </row>
    <row r="21" spans="1:31" ht="16.5" customHeight="1" thickBot="1" x14ac:dyDescent="0.45">
      <c r="B21" s="133"/>
      <c r="C21" s="144"/>
      <c r="D21" s="145"/>
      <c r="M21" s="143">
        <f ca="1">IF(AND($O$43="less",B40&gt;=$O$41),1,0)</f>
        <v>0</v>
      </c>
      <c r="N21" s="146" t="s">
        <v>3390</v>
      </c>
      <c r="O21" s="147" cm="1">
        <f t="array" ref="O21:P21">'Deal lead sheet'!C45:D45</f>
        <v>0</v>
      </c>
      <c r="P21" s="130">
        <v>0</v>
      </c>
    </row>
    <row r="22" spans="1:31" ht="20.25" thickBot="1" x14ac:dyDescent="0.45">
      <c r="B22" s="148" t="s">
        <v>3391</v>
      </c>
      <c r="C22" s="149" t="s">
        <v>3392</v>
      </c>
      <c r="D22" s="145"/>
      <c r="N22" s="150" t="s">
        <v>1028</v>
      </c>
      <c r="O22" s="151">
        <f>D12+O21</f>
        <v>24</v>
      </c>
    </row>
    <row r="23" spans="1:31" ht="47.25" customHeight="1" thickBot="1" x14ac:dyDescent="0.45">
      <c r="B23" s="3850" t="str">
        <f ca="1">"Security :  "&amp;'Deal lead sheet'!C23&amp;IF('Deal lead sheet'!C24="",""," and "&amp;'Deal lead sheet'!C24)&amp;IF('Deal lead sheet'!C25="",""," and "&amp;'Deal lead sheet'!C25)&amp;IF('Deal lead sheet'!C26="",""," and "&amp;'Deal lead sheet'!C26)&amp;IF('Deal lead sheet'!C27="",""," and "&amp;'Deal lead sheet'!C27)&amp;Funders!E2</f>
        <v>Security :   and 0 and N/A
 - Loan is registered in the name of Zircon Bridging Limited</v>
      </c>
      <c r="C23" s="3850"/>
      <c r="D23" s="3850"/>
      <c r="E23" s="3850"/>
      <c r="F23" s="3850"/>
      <c r="G23" s="3850"/>
      <c r="H23" s="3850"/>
      <c r="I23" s="3850"/>
      <c r="J23" s="3850"/>
      <c r="K23" s="3858" t="s">
        <v>3393</v>
      </c>
      <c r="L23" s="3858"/>
      <c r="M23" s="3858"/>
      <c r="N23" s="3858"/>
      <c r="O23" s="3858"/>
      <c r="P23" s="3858"/>
      <c r="Q23" s="3858"/>
      <c r="R23" s="3858"/>
      <c r="V23" s="152"/>
      <c r="AD23" s="130" t="s">
        <v>3371</v>
      </c>
    </row>
    <row r="24" spans="1:31" ht="20.25" hidden="1" thickBot="1" x14ac:dyDescent="0.45">
      <c r="B24" s="153"/>
      <c r="E24" s="125">
        <v>1</v>
      </c>
      <c r="F24" s="125">
        <v>2</v>
      </c>
      <c r="G24" s="125">
        <v>3</v>
      </c>
      <c r="H24" s="125">
        <v>4</v>
      </c>
      <c r="I24" s="125">
        <v>5</v>
      </c>
      <c r="K24" s="67"/>
      <c r="L24" s="67"/>
      <c r="M24" s="67"/>
      <c r="N24" s="67"/>
      <c r="O24" s="67"/>
      <c r="P24" s="67"/>
      <c r="Q24" s="67"/>
      <c r="R24" s="67"/>
      <c r="S24" s="154"/>
      <c r="W24" s="155">
        <f>D19</f>
        <v>44493</v>
      </c>
      <c r="AB24" s="67">
        <v>1</v>
      </c>
      <c r="AC24" s="155"/>
      <c r="AD24" s="67" t="str">
        <f>INDEX(S1:S7,MATCH(N18,R1:R7,0))</f>
        <v>Repayment (serviced by Direct Credit)</v>
      </c>
    </row>
    <row r="25" spans="1:31" ht="16.5" customHeight="1" x14ac:dyDescent="0.4">
      <c r="B25" s="3866" t="s">
        <v>3394</v>
      </c>
      <c r="C25" s="3813" t="s">
        <v>3395</v>
      </c>
      <c r="D25" s="3851"/>
      <c r="E25" s="3861" t="s">
        <v>3396</v>
      </c>
      <c r="F25" s="3862"/>
      <c r="G25" s="3861" t="s">
        <v>3397</v>
      </c>
      <c r="H25" s="3863"/>
      <c r="I25" s="3862"/>
      <c r="J25" s="3864" t="s">
        <v>3398</v>
      </c>
      <c r="K25" s="130" t="s">
        <v>3399</v>
      </c>
      <c r="M25" s="67" t="s">
        <v>3394</v>
      </c>
      <c r="N25" s="67" t="s">
        <v>3400</v>
      </c>
      <c r="O25" s="130" t="s">
        <v>3401</v>
      </c>
      <c r="P25" s="67" t="s">
        <v>3402</v>
      </c>
      <c r="Q25" s="67" t="s">
        <v>3403</v>
      </c>
      <c r="R25" s="67" t="s">
        <v>3404</v>
      </c>
      <c r="S25" s="67" t="s">
        <v>3404</v>
      </c>
      <c r="T25" s="130" t="s">
        <v>3405</v>
      </c>
      <c r="V25" s="3609" t="s">
        <v>3406</v>
      </c>
      <c r="W25" s="3609"/>
      <c r="X25" s="67"/>
      <c r="Y25" s="67" t="s">
        <v>3399</v>
      </c>
      <c r="Z25" s="67" t="s">
        <v>102</v>
      </c>
      <c r="AA25" s="67"/>
      <c r="AB25" s="67" t="s">
        <v>3365</v>
      </c>
      <c r="AC25" s="66" t="s">
        <v>85</v>
      </c>
      <c r="AD25" s="67" t="s">
        <v>3407</v>
      </c>
    </row>
    <row r="26" spans="1:31" ht="16.5" customHeight="1" thickBot="1" x14ac:dyDescent="0.45">
      <c r="B26" s="3867"/>
      <c r="C26" s="3814"/>
      <c r="D26" s="3852"/>
      <c r="E26" s="156" t="s">
        <v>3405</v>
      </c>
      <c r="F26" s="157" t="s">
        <v>3408</v>
      </c>
      <c r="G26" s="156" t="s">
        <v>3405</v>
      </c>
      <c r="H26" s="158" t="s">
        <v>3409</v>
      </c>
      <c r="I26" s="157" t="s">
        <v>3408</v>
      </c>
      <c r="J26" s="3865"/>
      <c r="K26" s="67"/>
      <c r="L26" s="67"/>
      <c r="M26" s="67"/>
      <c r="N26" s="67"/>
      <c r="O26" s="67"/>
      <c r="P26" s="67"/>
      <c r="Q26" s="67"/>
      <c r="R26" s="67"/>
      <c r="S26" s="159" t="e">
        <f>IF(R26&gt;0,R26,IF(P26="",$D$16,$D$18))</f>
        <v>#N/A</v>
      </c>
      <c r="T26" s="152"/>
      <c r="U26" s="152"/>
    </row>
    <row r="27" spans="1:31" x14ac:dyDescent="0.4">
      <c r="B27" s="160">
        <f>$D$19</f>
        <v>44493</v>
      </c>
      <c r="C27" s="127" t="s">
        <v>3410</v>
      </c>
      <c r="D27" s="161" t="e">
        <f>'Deal lead sheet'!C33</f>
        <v>#N/A</v>
      </c>
      <c r="E27" s="162"/>
      <c r="F27" s="163" t="e">
        <f>+'Deal lead sheet'!C33</f>
        <v>#N/A</v>
      </c>
      <c r="G27" s="164"/>
      <c r="H27" s="165"/>
      <c r="I27" s="166"/>
      <c r="J27" s="167" t="e">
        <f t="shared" ref="J27:J38" ca="1" si="2">OFFSET(J27,-1,0)+SUM(E27:F27)-SUM(G27:I27)</f>
        <v>#N/A</v>
      </c>
      <c r="K27" s="67"/>
      <c r="L27" s="67"/>
      <c r="M27" s="67"/>
      <c r="N27" s="168"/>
      <c r="O27" s="67"/>
      <c r="P27" s="67"/>
      <c r="Q27" s="67"/>
      <c r="R27" s="67"/>
      <c r="S27" s="159" t="e">
        <f ca="1">IF(R27&gt;0,R27,IF(P27="",OFFSET(S27,-1,0),$D$18))</f>
        <v>#N/A</v>
      </c>
      <c r="T27" s="152"/>
      <c r="U27" s="152"/>
      <c r="AD27" s="128"/>
    </row>
    <row r="28" spans="1:31" x14ac:dyDescent="0.4">
      <c r="B28" s="160">
        <f>$D$19</f>
        <v>44493</v>
      </c>
      <c r="C28" s="127" t="s">
        <v>3411</v>
      </c>
      <c r="D28" s="161" t="e">
        <f>Rolled_Owed</f>
        <v>#N/A</v>
      </c>
      <c r="E28" s="169"/>
      <c r="F28" s="163"/>
      <c r="G28" s="169"/>
      <c r="H28" s="165"/>
      <c r="I28" s="163"/>
      <c r="J28" s="167" t="e">
        <f t="shared" ca="1" si="2"/>
        <v>#N/A</v>
      </c>
      <c r="K28" s="67"/>
      <c r="L28" s="67"/>
      <c r="M28" s="67"/>
      <c r="N28" s="168"/>
      <c r="O28" s="67"/>
      <c r="P28" s="67"/>
      <c r="Q28" s="67"/>
      <c r="R28" s="67"/>
      <c r="S28" s="159" t="e">
        <f t="shared" ref="S28:S91" ca="1" si="3">IF(R28&gt;0,R28,IF(P28="",OFFSET(S28,-1,0),$D$18))</f>
        <v>#N/A</v>
      </c>
      <c r="T28" s="152" t="e">
        <f ca="1">OFFSET(J28,-1,0)*S28</f>
        <v>#N/A</v>
      </c>
      <c r="U28" s="152"/>
      <c r="AD28" s="128"/>
    </row>
    <row r="29" spans="1:31" x14ac:dyDescent="0.4">
      <c r="B29" s="160">
        <f>$D$19</f>
        <v>44493</v>
      </c>
      <c r="C29" s="127" t="s">
        <v>3412</v>
      </c>
      <c r="D29" s="161" t="e">
        <f>D15*D27</f>
        <v>#N/A</v>
      </c>
      <c r="E29" s="169"/>
      <c r="F29" s="163"/>
      <c r="G29" s="169"/>
      <c r="H29" s="165"/>
      <c r="I29" s="163"/>
      <c r="J29" s="167" t="e">
        <f t="shared" ca="1" si="2"/>
        <v>#N/A</v>
      </c>
      <c r="K29" s="67"/>
      <c r="L29" s="67"/>
      <c r="M29" s="67"/>
      <c r="N29" s="168"/>
      <c r="O29" s="67"/>
      <c r="P29" s="67"/>
      <c r="Q29" s="67"/>
      <c r="R29" s="67"/>
      <c r="S29" s="159" t="e">
        <f t="shared" ca="1" si="3"/>
        <v>#N/A</v>
      </c>
      <c r="T29" s="152" t="e">
        <f t="shared" ref="T29:T92" ca="1" si="4">OFFSET(J29,-1,0)*S29</f>
        <v>#N/A</v>
      </c>
      <c r="U29" s="152"/>
    </row>
    <row r="30" spans="1:31" ht="20.25" thickBot="1" x14ac:dyDescent="0.45">
      <c r="B30" s="160">
        <f>$D$19</f>
        <v>44493</v>
      </c>
      <c r="C30" s="127" t="s">
        <v>3413</v>
      </c>
      <c r="D30" s="161" t="e">
        <f>+'Deal lead sheet'!C41</f>
        <v>#N/A</v>
      </c>
      <c r="E30" s="170"/>
      <c r="F30" s="171"/>
      <c r="G30" s="170"/>
      <c r="H30" s="172"/>
      <c r="I30" s="171"/>
      <c r="J30" s="167" t="e">
        <f t="shared" ca="1" si="2"/>
        <v>#N/A</v>
      </c>
      <c r="K30" s="67"/>
      <c r="L30" s="67"/>
      <c r="M30" s="67"/>
      <c r="N30" s="168"/>
      <c r="O30" s="67"/>
      <c r="P30" s="67"/>
      <c r="Q30" s="67"/>
      <c r="R30" s="67"/>
      <c r="S30" s="159" t="e">
        <f t="shared" ca="1" si="3"/>
        <v>#N/A</v>
      </c>
      <c r="T30" s="152" t="e">
        <f t="shared" ca="1" si="4"/>
        <v>#N/A</v>
      </c>
      <c r="U30" s="152"/>
      <c r="V30" s="67"/>
      <c r="W30" s="67"/>
      <c r="X30" s="67"/>
      <c r="Y30" s="67"/>
      <c r="Z30" s="67"/>
      <c r="AA30" s="67"/>
      <c r="AC30" s="67"/>
    </row>
    <row r="31" spans="1:31" ht="20.25" thickBot="1" x14ac:dyDescent="0.45">
      <c r="A31" s="173"/>
      <c r="B31" s="3859" t="s">
        <v>3414</v>
      </c>
      <c r="C31" s="3860"/>
      <c r="D31" s="3860"/>
      <c r="E31" s="3860"/>
      <c r="F31" s="3860"/>
      <c r="G31" s="3860"/>
      <c r="H31" s="3860"/>
      <c r="I31" s="3860"/>
      <c r="J31" s="174" t="e">
        <f t="shared" ca="1" si="2"/>
        <v>#N/A</v>
      </c>
      <c r="K31" s="67"/>
      <c r="L31" s="67"/>
      <c r="M31" s="67"/>
      <c r="N31" s="168"/>
      <c r="O31" s="67"/>
      <c r="P31" s="67"/>
      <c r="Q31" s="67"/>
      <c r="R31" s="67"/>
      <c r="S31" s="159" t="e">
        <f t="shared" ca="1" si="3"/>
        <v>#N/A</v>
      </c>
      <c r="T31" s="152" t="e">
        <f t="shared" ca="1" si="4"/>
        <v>#N/A</v>
      </c>
      <c r="U31" s="152"/>
      <c r="V31" s="67"/>
      <c r="W31" s="67"/>
      <c r="X31" s="67"/>
      <c r="Y31" s="67"/>
      <c r="Z31" s="67"/>
      <c r="AA31" s="67"/>
      <c r="AC31" s="67"/>
    </row>
    <row r="32" spans="1:31" x14ac:dyDescent="0.4">
      <c r="A32" s="173"/>
      <c r="B32" s="160">
        <f t="shared" ref="B32:B37" si="5">IF(M32="",W32,M32)</f>
        <v>44493</v>
      </c>
      <c r="C32" s="175" t="str">
        <f t="shared" ref="C32:C37" si="6">AA32</f>
        <v>Interest due 24/10/21 to 24/11/21</v>
      </c>
      <c r="D32" s="161"/>
      <c r="E32" s="176" t="e">
        <f t="shared" ref="E32:I37" ca="1" si="7">IF($Y32=E$24,$Z32,"")</f>
        <v>#N/A</v>
      </c>
      <c r="F32" s="177" t="str">
        <f t="shared" si="7"/>
        <v/>
      </c>
      <c r="G32" s="176" t="str">
        <f t="shared" si="7"/>
        <v/>
      </c>
      <c r="H32" s="178" t="str">
        <f t="shared" si="7"/>
        <v/>
      </c>
      <c r="I32" s="177" t="str">
        <f t="shared" si="7"/>
        <v/>
      </c>
      <c r="J32" s="167" t="e">
        <f t="shared" ca="1" si="2"/>
        <v>#N/A</v>
      </c>
      <c r="K32" s="179"/>
      <c r="L32" s="130">
        <f t="shared" ref="L32:L91" si="8">IF(K32="",0,INDEX($M$1:$M$10,MATCH(K32,$K$1:$K$10,0)))</f>
        <v>0</v>
      </c>
      <c r="M32" s="180">
        <f>W32</f>
        <v>44493</v>
      </c>
      <c r="N32" s="181"/>
      <c r="O32" s="179" t="str">
        <f t="shared" ref="O32:O63" si="9">IFERROR(IF(L32=0,"",IF(L32&lt;=2,AB32,INDEX($N$1:$N$10,MATCH(K32,$K$1:$K$10,0)))),"")</f>
        <v/>
      </c>
      <c r="P32" s="179"/>
      <c r="Q32" s="130">
        <f t="shared" ref="Q32:Q91" si="10">Q31+IF(P32="",0,1)</f>
        <v>0</v>
      </c>
      <c r="R32" s="182"/>
      <c r="S32" s="159" t="e">
        <f t="shared" ca="1" si="3"/>
        <v>#N/A</v>
      </c>
      <c r="T32" s="152" t="e">
        <f t="shared" ca="1" si="4"/>
        <v>#N/A</v>
      </c>
      <c r="U32" s="152">
        <f>IF(OR(L32=2,L32&gt;3),1,0)</f>
        <v>0</v>
      </c>
      <c r="V32" s="183">
        <v>0</v>
      </c>
      <c r="W32" s="184">
        <f t="shared" ref="W32:W37" si="11">IF(V32&gt;$O$22,"",EDATE($W$24,V32))</f>
        <v>44493</v>
      </c>
      <c r="X32" s="152">
        <f>IF(V32&gt;$O$22,0,COUNTIFS($V$26:V32,V32,$L$26:L32,0))</f>
        <v>1</v>
      </c>
      <c r="Y32" s="152">
        <f>IF(L32=0,IF(X32=0,0,IF(X32=1,1,3)),L32)</f>
        <v>1</v>
      </c>
      <c r="Z32" s="152" t="e">
        <f ca="1">IF(N32="",AE32,N32)</f>
        <v>#N/A</v>
      </c>
      <c r="AA32" s="152" t="str">
        <f>IF(O32="",IF(X32=0,"",IF(X32=1,AB32,AD32)),O32)</f>
        <v>Interest due 24/10/21 to 24/11/21</v>
      </c>
      <c r="AB32" s="152" t="str">
        <f t="shared" ref="AB32:AB63" si="12">IF(Q32=1,"Default ","")&amp;"Interest due "&amp;TEXT(B32,"dd/mm/yy")&amp;" to "&amp;TEXT(DATE(YEAR(B32),MONTH(B32)+1,DAY(B32)),"dd/mm/yy")</f>
        <v>Interest due 24/10/21 to 24/11/21</v>
      </c>
      <c r="AC32" s="152" t="e">
        <f t="shared" ref="AC32:AC63" si="13">IF(V32&lt;=$D$13,1,0)</f>
        <v>#N/A</v>
      </c>
      <c r="AD32" s="128" t="e">
        <f t="shared" ref="AD32:AD63" si="14">IF(AC32=1,$AD$23,$AD$24)</f>
        <v>#N/A</v>
      </c>
      <c r="AE32" s="67" t="e">
        <f t="shared" ref="AE32:AE63" ca="1" si="15">SUMIFS(T:T,W:W,W32,Y:Y,1)</f>
        <v>#N/A</v>
      </c>
    </row>
    <row r="33" spans="1:31" x14ac:dyDescent="0.4">
      <c r="A33" s="173"/>
      <c r="B33" s="160">
        <f t="shared" ca="1" si="5"/>
        <v>44493</v>
      </c>
      <c r="C33" s="185" t="e">
        <f t="shared" ca="1" si="6"/>
        <v>#N/A</v>
      </c>
      <c r="D33" s="161"/>
      <c r="E33" s="169" t="str">
        <f t="shared" ca="1" si="7"/>
        <v/>
      </c>
      <c r="F33" s="163" t="str">
        <f t="shared" ca="1" si="7"/>
        <v/>
      </c>
      <c r="G33" s="169" t="e">
        <f t="shared" ca="1" si="7"/>
        <v>#N/A</v>
      </c>
      <c r="H33" s="165" t="str">
        <f t="shared" ca="1" si="7"/>
        <v/>
      </c>
      <c r="I33" s="163" t="str">
        <f t="shared" ca="1" si="7"/>
        <v/>
      </c>
      <c r="J33" s="167" t="e">
        <f t="shared" ca="1" si="2"/>
        <v>#N/A</v>
      </c>
      <c r="K33" s="179"/>
      <c r="L33" s="130">
        <f t="shared" si="8"/>
        <v>0</v>
      </c>
      <c r="M33" s="180">
        <f t="shared" ref="M33:M96" ca="1" si="16">W33</f>
        <v>44493</v>
      </c>
      <c r="N33" s="181"/>
      <c r="O33" s="179" t="str">
        <f t="shared" si="9"/>
        <v/>
      </c>
      <c r="P33" s="179"/>
      <c r="Q33" s="130">
        <f t="shared" si="10"/>
        <v>0</v>
      </c>
      <c r="R33" s="182"/>
      <c r="S33" s="159" t="e">
        <f t="shared" ca="1" si="3"/>
        <v>#N/A</v>
      </c>
      <c r="T33" s="152" t="e">
        <f t="shared" ca="1" si="4"/>
        <v>#N/A</v>
      </c>
      <c r="U33" s="152">
        <f t="shared" ref="U33:U96" si="17">IF(OR(L33=2,L33&gt;3),1,0)</f>
        <v>0</v>
      </c>
      <c r="V33" s="183">
        <f ca="1">OFFSET(V33,-1,0)+IF(COUNTIF(OFFSET($B$32,0,0,ROW(V33)-ROW($B$32)),OFFSET(B33,-1,0))&gt;=2,1,0)</f>
        <v>0</v>
      </c>
      <c r="W33" s="184">
        <f t="shared" ca="1" si="11"/>
        <v>44493</v>
      </c>
      <c r="X33" s="152">
        <f ca="1">IF(V33&gt;$O$22,0,COUNTIFS($V$26:V33,V33,$L$26:L33,0))</f>
        <v>2</v>
      </c>
      <c r="Y33" s="152">
        <f t="shared" ref="Y33:Y96" ca="1" si="18">IF(L33=0,IF(X33=0,0,IF(X33=1,1,3)),L33)</f>
        <v>3</v>
      </c>
      <c r="Z33" s="152" t="e">
        <f t="shared" ref="Z33:Z96" ca="1" si="19">IF(N33="",AE33,N33)</f>
        <v>#N/A</v>
      </c>
      <c r="AA33" s="152" t="e">
        <f t="shared" ref="AA33:AA96" ca="1" si="20">IF(O33="",IF(X33=0,"",IF(X33=1,AB33,AD33)),O33)</f>
        <v>#N/A</v>
      </c>
      <c r="AB33" s="152" t="str">
        <f t="shared" ca="1" si="12"/>
        <v>Interest due 24/10/21 to 24/11/21</v>
      </c>
      <c r="AC33" s="152" t="e">
        <f t="shared" ca="1" si="13"/>
        <v>#N/A</v>
      </c>
      <c r="AD33" s="128" t="e">
        <f t="shared" ca="1" si="14"/>
        <v>#N/A</v>
      </c>
      <c r="AE33" s="67" t="e">
        <f t="shared" ca="1" si="15"/>
        <v>#N/A</v>
      </c>
    </row>
    <row r="34" spans="1:31" x14ac:dyDescent="0.4">
      <c r="A34" s="173"/>
      <c r="B34" s="160">
        <f t="shared" ca="1" si="5"/>
        <v>44524</v>
      </c>
      <c r="C34" s="185" t="str">
        <f t="shared" ca="1" si="6"/>
        <v>Interest due 24/11/21 to 24/12/21</v>
      </c>
      <c r="D34" s="161"/>
      <c r="E34" s="169" t="e">
        <f t="shared" ca="1" si="7"/>
        <v>#N/A</v>
      </c>
      <c r="F34" s="163" t="str">
        <f t="shared" ca="1" si="7"/>
        <v/>
      </c>
      <c r="G34" s="169" t="str">
        <f t="shared" ca="1" si="7"/>
        <v/>
      </c>
      <c r="H34" s="165" t="str">
        <f t="shared" ca="1" si="7"/>
        <v/>
      </c>
      <c r="I34" s="163" t="str">
        <f t="shared" ca="1" si="7"/>
        <v/>
      </c>
      <c r="J34" s="167" t="e">
        <f t="shared" ca="1" si="2"/>
        <v>#N/A</v>
      </c>
      <c r="K34" s="179"/>
      <c r="L34" s="130">
        <f t="shared" si="8"/>
        <v>0</v>
      </c>
      <c r="M34" s="180">
        <f t="shared" ca="1" si="16"/>
        <v>44524</v>
      </c>
      <c r="N34" s="181"/>
      <c r="O34" s="179" t="str">
        <f t="shared" si="9"/>
        <v/>
      </c>
      <c r="P34" s="179"/>
      <c r="Q34" s="130">
        <f t="shared" si="10"/>
        <v>0</v>
      </c>
      <c r="R34" s="182"/>
      <c r="S34" s="159" t="e">
        <f t="shared" ca="1" si="3"/>
        <v>#N/A</v>
      </c>
      <c r="T34" s="152" t="e">
        <f t="shared" ca="1" si="4"/>
        <v>#N/A</v>
      </c>
      <c r="U34" s="152">
        <f t="shared" si="17"/>
        <v>0</v>
      </c>
      <c r="V34" s="183">
        <f ca="1">OFFSET(V34,-1,0)+IF(COUNTIFS(OFFSET($B$32,0,0,ROW(V34)-ROW($B$32)),OFFSET(B34,-1,0),OFFSET($U$32,0,0,ROW(V34)-ROW($U$32)),0)&gt;=2,1,0)</f>
        <v>1</v>
      </c>
      <c r="W34" s="184">
        <f t="shared" ca="1" si="11"/>
        <v>44524</v>
      </c>
      <c r="X34" s="152">
        <f ca="1">IF(V34&gt;$O$22,0,COUNTIFS($V$26:V34,V34,$L$26:L34,0))</f>
        <v>1</v>
      </c>
      <c r="Y34" s="152">
        <f t="shared" ca="1" si="18"/>
        <v>1</v>
      </c>
      <c r="Z34" s="152" t="e">
        <f t="shared" ca="1" si="19"/>
        <v>#N/A</v>
      </c>
      <c r="AA34" s="152" t="str">
        <f t="shared" ca="1" si="20"/>
        <v>Interest due 24/11/21 to 24/12/21</v>
      </c>
      <c r="AB34" s="152" t="str">
        <f t="shared" ca="1" si="12"/>
        <v>Interest due 24/11/21 to 24/12/21</v>
      </c>
      <c r="AC34" s="152" t="e">
        <f t="shared" ca="1" si="13"/>
        <v>#N/A</v>
      </c>
      <c r="AD34" s="128" t="e">
        <f t="shared" ca="1" si="14"/>
        <v>#N/A</v>
      </c>
      <c r="AE34" s="67" t="e">
        <f t="shared" ca="1" si="15"/>
        <v>#N/A</v>
      </c>
    </row>
    <row r="35" spans="1:31" x14ac:dyDescent="0.4">
      <c r="A35" s="173"/>
      <c r="B35" s="160">
        <f t="shared" ca="1" si="5"/>
        <v>44524</v>
      </c>
      <c r="C35" s="185" t="e">
        <f t="shared" ca="1" si="6"/>
        <v>#N/A</v>
      </c>
      <c r="D35" s="161"/>
      <c r="E35" s="169" t="str">
        <f t="shared" ca="1" si="7"/>
        <v/>
      </c>
      <c r="F35" s="163" t="str">
        <f t="shared" ca="1" si="7"/>
        <v/>
      </c>
      <c r="G35" s="169" t="e">
        <f t="shared" ca="1" si="7"/>
        <v>#N/A</v>
      </c>
      <c r="H35" s="165" t="str">
        <f t="shared" ca="1" si="7"/>
        <v/>
      </c>
      <c r="I35" s="163" t="str">
        <f t="shared" ca="1" si="7"/>
        <v/>
      </c>
      <c r="J35" s="167" t="e">
        <f t="shared" ca="1" si="2"/>
        <v>#N/A</v>
      </c>
      <c r="K35" s="179"/>
      <c r="L35" s="130">
        <f t="shared" si="8"/>
        <v>0</v>
      </c>
      <c r="M35" s="180">
        <f t="shared" ca="1" si="16"/>
        <v>44524</v>
      </c>
      <c r="N35" s="181"/>
      <c r="O35" s="179" t="str">
        <f t="shared" si="9"/>
        <v/>
      </c>
      <c r="P35" s="179"/>
      <c r="Q35" s="130">
        <f t="shared" si="10"/>
        <v>0</v>
      </c>
      <c r="R35" s="182"/>
      <c r="S35" s="159" t="e">
        <f t="shared" ca="1" si="3"/>
        <v>#N/A</v>
      </c>
      <c r="T35" s="152" t="e">
        <f t="shared" ca="1" si="4"/>
        <v>#N/A</v>
      </c>
      <c r="U35" s="152">
        <f t="shared" si="17"/>
        <v>0</v>
      </c>
      <c r="V35" s="183">
        <f ca="1">OFFSET(V35,-1,0)+IF(COUNTIFS(OFFSET($B$32,0,0,ROW(V35)-ROW($B$32)),OFFSET(B35,-1,0),OFFSET($U$32,0,0,ROW(V35)-ROW($U$32)),0)&gt;=2,1,0)</f>
        <v>1</v>
      </c>
      <c r="W35" s="184">
        <f t="shared" ca="1" si="11"/>
        <v>44524</v>
      </c>
      <c r="X35" s="152">
        <f ca="1">IF(V35&gt;$O$22,0,COUNTIFS($V$26:V35,V35,$L$26:L35,0))</f>
        <v>2</v>
      </c>
      <c r="Y35" s="152">
        <f t="shared" ca="1" si="18"/>
        <v>3</v>
      </c>
      <c r="Z35" s="152" t="e">
        <f t="shared" ca="1" si="19"/>
        <v>#N/A</v>
      </c>
      <c r="AA35" s="152" t="e">
        <f t="shared" ca="1" si="20"/>
        <v>#N/A</v>
      </c>
      <c r="AB35" s="152" t="str">
        <f t="shared" ca="1" si="12"/>
        <v>Interest due 24/11/21 to 24/12/21</v>
      </c>
      <c r="AC35" s="152" t="e">
        <f t="shared" ca="1" si="13"/>
        <v>#N/A</v>
      </c>
      <c r="AD35" s="128" t="e">
        <f t="shared" ca="1" si="14"/>
        <v>#N/A</v>
      </c>
      <c r="AE35" s="67" t="e">
        <f t="shared" ca="1" si="15"/>
        <v>#N/A</v>
      </c>
    </row>
    <row r="36" spans="1:31" x14ac:dyDescent="0.4">
      <c r="A36" s="173"/>
      <c r="B36" s="160">
        <f t="shared" ca="1" si="5"/>
        <v>44554</v>
      </c>
      <c r="C36" s="185" t="str">
        <f t="shared" ca="1" si="6"/>
        <v>Interest due 24/12/21 to 24/01/22</v>
      </c>
      <c r="D36" s="161"/>
      <c r="E36" s="169" t="e">
        <f t="shared" ca="1" si="7"/>
        <v>#N/A</v>
      </c>
      <c r="F36" s="163" t="str">
        <f t="shared" ca="1" si="7"/>
        <v/>
      </c>
      <c r="G36" s="169" t="str">
        <f t="shared" ca="1" si="7"/>
        <v/>
      </c>
      <c r="H36" s="165" t="str">
        <f t="shared" ca="1" si="7"/>
        <v/>
      </c>
      <c r="I36" s="163" t="str">
        <f t="shared" ca="1" si="7"/>
        <v/>
      </c>
      <c r="J36" s="167" t="e">
        <f t="shared" ca="1" si="2"/>
        <v>#N/A</v>
      </c>
      <c r="K36" s="179"/>
      <c r="L36" s="130">
        <f t="shared" si="8"/>
        <v>0</v>
      </c>
      <c r="M36" s="180">
        <f t="shared" ca="1" si="16"/>
        <v>44554</v>
      </c>
      <c r="N36" s="181"/>
      <c r="O36" s="179" t="str">
        <f t="shared" si="9"/>
        <v/>
      </c>
      <c r="P36" s="179"/>
      <c r="Q36" s="130">
        <f t="shared" si="10"/>
        <v>0</v>
      </c>
      <c r="R36" s="182"/>
      <c r="S36" s="159" t="e">
        <f t="shared" ca="1" si="3"/>
        <v>#N/A</v>
      </c>
      <c r="T36" s="152" t="e">
        <f t="shared" ca="1" si="4"/>
        <v>#N/A</v>
      </c>
      <c r="U36" s="152">
        <f t="shared" si="17"/>
        <v>0</v>
      </c>
      <c r="V36" s="183">
        <f ca="1">OFFSET(V36,-1,0)+IF(COUNTIFS(OFFSET($B$32,0,0,ROW(V36)-ROW($B$32)),OFFSET(B36,-1,0),OFFSET($U$32,0,0,ROW(V36)-ROW($U$32)),0)&gt;=2,1,0)</f>
        <v>2</v>
      </c>
      <c r="W36" s="184">
        <f t="shared" ca="1" si="11"/>
        <v>44554</v>
      </c>
      <c r="X36" s="152">
        <f ca="1">IF(V36&gt;$O$22,0,COUNTIFS($V$26:V36,V36,$L$26:L36,0))</f>
        <v>1</v>
      </c>
      <c r="Y36" s="152">
        <f t="shared" ca="1" si="18"/>
        <v>1</v>
      </c>
      <c r="Z36" s="152" t="e">
        <f t="shared" ca="1" si="19"/>
        <v>#N/A</v>
      </c>
      <c r="AA36" s="152" t="str">
        <f t="shared" ca="1" si="20"/>
        <v>Interest due 24/12/21 to 24/01/22</v>
      </c>
      <c r="AB36" s="152" t="str">
        <f t="shared" ca="1" si="12"/>
        <v>Interest due 24/12/21 to 24/01/22</v>
      </c>
      <c r="AC36" s="152" t="e">
        <f t="shared" ca="1" si="13"/>
        <v>#N/A</v>
      </c>
      <c r="AD36" s="128" t="e">
        <f t="shared" ca="1" si="14"/>
        <v>#N/A</v>
      </c>
      <c r="AE36" s="67" t="e">
        <f t="shared" ca="1" si="15"/>
        <v>#N/A</v>
      </c>
    </row>
    <row r="37" spans="1:31" ht="20.25" thickBot="1" x14ac:dyDescent="0.45">
      <c r="A37" s="173"/>
      <c r="B37" s="160">
        <f t="shared" ca="1" si="5"/>
        <v>44554</v>
      </c>
      <c r="C37" s="185" t="e">
        <f t="shared" ca="1" si="6"/>
        <v>#N/A</v>
      </c>
      <c r="D37" s="161"/>
      <c r="E37" s="169" t="str">
        <f t="shared" ca="1" si="7"/>
        <v/>
      </c>
      <c r="F37" s="163" t="str">
        <f t="shared" ca="1" si="7"/>
        <v/>
      </c>
      <c r="G37" s="169" t="e">
        <f t="shared" ca="1" si="7"/>
        <v>#N/A</v>
      </c>
      <c r="H37" s="165" t="str">
        <f t="shared" ca="1" si="7"/>
        <v/>
      </c>
      <c r="I37" s="163" t="str">
        <f t="shared" ca="1" si="7"/>
        <v/>
      </c>
      <c r="J37" s="167" t="e">
        <f t="shared" ca="1" si="2"/>
        <v>#N/A</v>
      </c>
      <c r="K37" s="179"/>
      <c r="L37" s="130">
        <f t="shared" si="8"/>
        <v>0</v>
      </c>
      <c r="M37" s="180">
        <f t="shared" ca="1" si="16"/>
        <v>44554</v>
      </c>
      <c r="N37" s="181"/>
      <c r="O37" s="179" t="str">
        <f t="shared" si="9"/>
        <v/>
      </c>
      <c r="P37" s="179"/>
      <c r="Q37" s="130">
        <f t="shared" si="10"/>
        <v>0</v>
      </c>
      <c r="R37" s="182"/>
      <c r="S37" s="159" t="e">
        <f t="shared" ca="1" si="3"/>
        <v>#N/A</v>
      </c>
      <c r="T37" s="152" t="e">
        <f t="shared" ca="1" si="4"/>
        <v>#N/A</v>
      </c>
      <c r="U37" s="152">
        <f t="shared" si="17"/>
        <v>0</v>
      </c>
      <c r="V37" s="183">
        <f ca="1">OFFSET(V37,-1,0)+IF(COUNTIFS(OFFSET($B$32,0,0,ROW(V37)-ROW($B$32)),OFFSET(B37,-1,0),OFFSET($U$32,0,0,ROW(V37)-ROW($U$32)),0)&gt;=2,1,0)</f>
        <v>2</v>
      </c>
      <c r="W37" s="184">
        <f t="shared" ca="1" si="11"/>
        <v>44554</v>
      </c>
      <c r="X37" s="152">
        <f ca="1">IF(V37&gt;$O$22,0,COUNTIFS($V$26:V37,V37,$L$26:L37,0))</f>
        <v>2</v>
      </c>
      <c r="Y37" s="152">
        <f t="shared" ca="1" si="18"/>
        <v>3</v>
      </c>
      <c r="Z37" s="152" t="e">
        <f t="shared" ca="1" si="19"/>
        <v>#N/A</v>
      </c>
      <c r="AA37" s="152" t="e">
        <f t="shared" ca="1" si="20"/>
        <v>#N/A</v>
      </c>
      <c r="AB37" s="152" t="str">
        <f t="shared" ca="1" si="12"/>
        <v>Interest due 24/12/21 to 24/01/22</v>
      </c>
      <c r="AC37" s="152" t="e">
        <f t="shared" ca="1" si="13"/>
        <v>#N/A</v>
      </c>
      <c r="AD37" s="128" t="e">
        <f t="shared" ca="1" si="14"/>
        <v>#N/A</v>
      </c>
      <c r="AE37" s="67" t="e">
        <f t="shared" ca="1" si="15"/>
        <v>#N/A</v>
      </c>
    </row>
    <row r="38" spans="1:31" ht="20.25" thickBot="1" x14ac:dyDescent="0.45">
      <c r="A38" s="173"/>
      <c r="B38" s="3859" t="s">
        <v>3415</v>
      </c>
      <c r="C38" s="3860"/>
      <c r="D38" s="3860"/>
      <c r="E38" s="3860"/>
      <c r="F38" s="3860"/>
      <c r="G38" s="3860"/>
      <c r="H38" s="3860"/>
      <c r="I38" s="3860"/>
      <c r="J38" s="174" t="e">
        <f t="shared" ca="1" si="2"/>
        <v>#N/A</v>
      </c>
      <c r="K38" s="186"/>
      <c r="L38" s="130">
        <f t="shared" si="8"/>
        <v>0</v>
      </c>
      <c r="M38" s="180">
        <f t="shared" si="16"/>
        <v>0</v>
      </c>
      <c r="N38" s="181"/>
      <c r="O38" s="179" t="str">
        <f t="shared" si="9"/>
        <v/>
      </c>
      <c r="P38" s="179"/>
      <c r="Q38" s="130">
        <f t="shared" si="10"/>
        <v>0</v>
      </c>
      <c r="R38" s="182"/>
      <c r="S38" s="159" t="e">
        <f t="shared" ca="1" si="3"/>
        <v>#N/A</v>
      </c>
      <c r="T38" s="152" t="e">
        <f t="shared" ca="1" si="4"/>
        <v>#N/A</v>
      </c>
      <c r="U38" s="152">
        <f t="shared" si="17"/>
        <v>0</v>
      </c>
      <c r="V38" s="183"/>
      <c r="W38" s="184"/>
      <c r="X38" s="152">
        <f ca="1">IF(V38&gt;$O$22,0,COUNTIFS($V$26:V38,V38,$L$26:L38,0))</f>
        <v>2</v>
      </c>
      <c r="Y38" s="152">
        <f t="shared" ca="1" si="18"/>
        <v>3</v>
      </c>
      <c r="Z38" s="152">
        <f t="shared" ca="1" si="19"/>
        <v>0</v>
      </c>
      <c r="AA38" s="152" t="e">
        <f t="shared" ca="1" si="20"/>
        <v>#N/A</v>
      </c>
      <c r="AB38" s="152" t="e">
        <f t="shared" si="12"/>
        <v>#VALUE!</v>
      </c>
      <c r="AC38" s="152" t="e">
        <f t="shared" si="13"/>
        <v>#N/A</v>
      </c>
      <c r="AD38" s="128" t="e">
        <f t="shared" si="14"/>
        <v>#N/A</v>
      </c>
      <c r="AE38" s="67">
        <f t="shared" ca="1" si="15"/>
        <v>0</v>
      </c>
    </row>
    <row r="39" spans="1:31" x14ac:dyDescent="0.4">
      <c r="B39" s="160">
        <f t="shared" ref="B39:B70" ca="1" si="21">IF(M39="",W39,M39)</f>
        <v>44585</v>
      </c>
      <c r="C39" s="185" t="str">
        <f t="shared" ref="C39:C102" ca="1" si="22">AA39</f>
        <v>Interest due 24/01/22 to 24/02/22</v>
      </c>
      <c r="D39" s="161"/>
      <c r="E39" s="176" t="e">
        <f t="shared" ref="E39:I48" ca="1" si="23">IF($Y39=E$24,$Z39,"")</f>
        <v>#N/A</v>
      </c>
      <c r="F39" s="177" t="str">
        <f t="shared" ca="1" si="23"/>
        <v/>
      </c>
      <c r="G39" s="176" t="str">
        <f t="shared" ca="1" si="23"/>
        <v/>
      </c>
      <c r="H39" s="178" t="str">
        <f t="shared" ca="1" si="23"/>
        <v/>
      </c>
      <c r="I39" s="177" t="str">
        <f t="shared" ca="1" si="23"/>
        <v/>
      </c>
      <c r="J39" s="167" t="e">
        <f ca="1">IF(B39="","",OFFSET(J39,-1,0)+SUM(E39:F39)-SUM(G39:I39))</f>
        <v>#N/A</v>
      </c>
      <c r="K39" s="179"/>
      <c r="L39" s="130">
        <f t="shared" si="8"/>
        <v>0</v>
      </c>
      <c r="M39" s="180">
        <f t="shared" ca="1" si="16"/>
        <v>44585</v>
      </c>
      <c r="N39" s="181"/>
      <c r="O39" s="179" t="str">
        <f t="shared" si="9"/>
        <v/>
      </c>
      <c r="P39" s="179"/>
      <c r="Q39" s="130">
        <f t="shared" si="10"/>
        <v>0</v>
      </c>
      <c r="R39" s="182"/>
      <c r="S39" s="159" t="e">
        <f t="shared" ca="1" si="3"/>
        <v>#N/A</v>
      </c>
      <c r="T39" s="152" t="e">
        <f t="shared" ca="1" si="4"/>
        <v>#N/A</v>
      </c>
      <c r="U39" s="152">
        <f t="shared" si="17"/>
        <v>0</v>
      </c>
      <c r="V39" s="183">
        <f ca="1">OFFSET(V39,-2,0)+IF(COUNTIFS(OFFSET($B$32,0,0,ROW(V39)-ROW($B$32)),OFFSET(B39,-2,0),OFFSET($U$32,0,0,ROW(V39)-ROW($U$32)),0)&gt;=2,1,0)</f>
        <v>3</v>
      </c>
      <c r="W39" s="184">
        <f t="shared" ref="W39:W70" ca="1" si="24">IF(V39&gt;$O$22,"",EDATE($W$24,V39))</f>
        <v>44585</v>
      </c>
      <c r="X39" s="152">
        <f ca="1">IF(V39&gt;$O$22,0,COUNTIFS($V$26:V39,V39,$L$26:L39,0))</f>
        <v>1</v>
      </c>
      <c r="Y39" s="152">
        <f t="shared" ca="1" si="18"/>
        <v>1</v>
      </c>
      <c r="Z39" s="152" t="e">
        <f t="shared" ca="1" si="19"/>
        <v>#N/A</v>
      </c>
      <c r="AA39" s="152" t="str">
        <f t="shared" ca="1" si="20"/>
        <v>Interest due 24/01/22 to 24/02/22</v>
      </c>
      <c r="AB39" s="152" t="str">
        <f t="shared" ca="1" si="12"/>
        <v>Interest due 24/01/22 to 24/02/22</v>
      </c>
      <c r="AC39" s="152" t="e">
        <f t="shared" ca="1" si="13"/>
        <v>#N/A</v>
      </c>
      <c r="AD39" s="128" t="e">
        <f t="shared" ca="1" si="14"/>
        <v>#N/A</v>
      </c>
      <c r="AE39" s="67" t="e">
        <f t="shared" ca="1" si="15"/>
        <v>#N/A</v>
      </c>
    </row>
    <row r="40" spans="1:31" x14ac:dyDescent="0.4">
      <c r="B40" s="160">
        <f t="shared" ca="1" si="21"/>
        <v>44585</v>
      </c>
      <c r="C40" s="185" t="e">
        <f t="shared" ca="1" si="22"/>
        <v>#N/A</v>
      </c>
      <c r="D40" s="161"/>
      <c r="E40" s="169" t="str">
        <f t="shared" ca="1" si="23"/>
        <v/>
      </c>
      <c r="F40" s="163" t="str">
        <f t="shared" ca="1" si="23"/>
        <v/>
      </c>
      <c r="G40" s="169" t="e">
        <f t="shared" ca="1" si="23"/>
        <v>#N/A</v>
      </c>
      <c r="H40" s="165" t="str">
        <f t="shared" ca="1" si="23"/>
        <v/>
      </c>
      <c r="I40" s="163" t="str">
        <f t="shared" ca="1" si="23"/>
        <v/>
      </c>
      <c r="J40" s="167" t="e">
        <f t="shared" ref="J40:J103" ca="1" si="25">IF(B40="","",OFFSET(J40,-1,0)+SUM(E40:F40)-SUM(G40:I40))</f>
        <v>#N/A</v>
      </c>
      <c r="K40" s="179"/>
      <c r="L40" s="130">
        <f t="shared" si="8"/>
        <v>0</v>
      </c>
      <c r="M40" s="180">
        <f t="shared" ca="1" si="16"/>
        <v>44585</v>
      </c>
      <c r="N40" s="181"/>
      <c r="O40" s="179" t="str">
        <f t="shared" si="9"/>
        <v/>
      </c>
      <c r="P40" s="179"/>
      <c r="Q40" s="130">
        <f t="shared" si="10"/>
        <v>0</v>
      </c>
      <c r="R40" s="182"/>
      <c r="S40" s="159" t="e">
        <f t="shared" ca="1" si="3"/>
        <v>#N/A</v>
      </c>
      <c r="T40" s="152" t="e">
        <f t="shared" ca="1" si="4"/>
        <v>#N/A</v>
      </c>
      <c r="U40" s="152">
        <f t="shared" si="17"/>
        <v>0</v>
      </c>
      <c r="V40" s="183">
        <f t="shared" ref="V40:V71" ca="1" si="26">OFFSET(V40,-1,0)+IF(COUNTIFS(OFFSET($B$32,0,0,ROW(V40)-ROW($B$32)),OFFSET(B40,-1,0),OFFSET($U$32,0,0,ROW(V40)-ROW($U$32)),0)&gt;=2,1,0)</f>
        <v>3</v>
      </c>
      <c r="W40" s="184">
        <f t="shared" ca="1" si="24"/>
        <v>44585</v>
      </c>
      <c r="X40" s="152">
        <f ca="1">IF(V40&gt;$O$22,0,COUNTIFS($V$26:V40,V40,$L$26:L40,0))</f>
        <v>2</v>
      </c>
      <c r="Y40" s="152">
        <f t="shared" ca="1" si="18"/>
        <v>3</v>
      </c>
      <c r="Z40" s="152" t="e">
        <f t="shared" ca="1" si="19"/>
        <v>#N/A</v>
      </c>
      <c r="AA40" s="152" t="e">
        <f t="shared" ca="1" si="20"/>
        <v>#N/A</v>
      </c>
      <c r="AB40" s="152" t="str">
        <f t="shared" ca="1" si="12"/>
        <v>Interest due 24/01/22 to 24/02/22</v>
      </c>
      <c r="AC40" s="152" t="e">
        <f t="shared" ca="1" si="13"/>
        <v>#N/A</v>
      </c>
      <c r="AD40" s="128" t="e">
        <f t="shared" ca="1" si="14"/>
        <v>#N/A</v>
      </c>
      <c r="AE40" s="67" t="e">
        <f t="shared" ca="1" si="15"/>
        <v>#N/A</v>
      </c>
    </row>
    <row r="41" spans="1:31" x14ac:dyDescent="0.4">
      <c r="B41" s="160">
        <f t="shared" ca="1" si="21"/>
        <v>44616</v>
      </c>
      <c r="C41" s="185" t="str">
        <f t="shared" ca="1" si="22"/>
        <v>Interest due 24/02/22 to 24/03/22</v>
      </c>
      <c r="D41" s="161"/>
      <c r="E41" s="169" t="e">
        <f t="shared" ca="1" si="23"/>
        <v>#N/A</v>
      </c>
      <c r="F41" s="163" t="str">
        <f t="shared" ca="1" si="23"/>
        <v/>
      </c>
      <c r="G41" s="169" t="str">
        <f t="shared" ca="1" si="23"/>
        <v/>
      </c>
      <c r="H41" s="165" t="str">
        <f t="shared" ca="1" si="23"/>
        <v/>
      </c>
      <c r="I41" s="163" t="str">
        <f t="shared" ca="1" si="23"/>
        <v/>
      </c>
      <c r="J41" s="167" t="e">
        <f t="shared" ca="1" si="25"/>
        <v>#N/A</v>
      </c>
      <c r="K41" s="179"/>
      <c r="L41" s="130">
        <f t="shared" si="8"/>
        <v>0</v>
      </c>
      <c r="M41" s="180">
        <f t="shared" ca="1" si="16"/>
        <v>44616</v>
      </c>
      <c r="N41" s="181"/>
      <c r="O41" s="179" t="str">
        <f t="shared" si="9"/>
        <v/>
      </c>
      <c r="P41" s="179"/>
      <c r="Q41" s="130">
        <f t="shared" si="10"/>
        <v>0</v>
      </c>
      <c r="R41" s="182"/>
      <c r="S41" s="159" t="e">
        <f t="shared" ca="1" si="3"/>
        <v>#N/A</v>
      </c>
      <c r="T41" s="152" t="e">
        <f t="shared" ca="1" si="4"/>
        <v>#N/A</v>
      </c>
      <c r="U41" s="152">
        <f t="shared" si="17"/>
        <v>0</v>
      </c>
      <c r="V41" s="183">
        <f t="shared" ca="1" si="26"/>
        <v>4</v>
      </c>
      <c r="W41" s="184">
        <f t="shared" ca="1" si="24"/>
        <v>44616</v>
      </c>
      <c r="X41" s="152">
        <f ca="1">IF(V41&gt;$O$22,0,COUNTIFS($V$26:V41,V41,$L$26:L41,0))</f>
        <v>1</v>
      </c>
      <c r="Y41" s="152">
        <f t="shared" ca="1" si="18"/>
        <v>1</v>
      </c>
      <c r="Z41" s="152" t="e">
        <f t="shared" ca="1" si="19"/>
        <v>#N/A</v>
      </c>
      <c r="AA41" s="152" t="str">
        <f t="shared" ca="1" si="20"/>
        <v>Interest due 24/02/22 to 24/03/22</v>
      </c>
      <c r="AB41" s="152" t="str">
        <f t="shared" ca="1" si="12"/>
        <v>Interest due 24/02/22 to 24/03/22</v>
      </c>
      <c r="AC41" s="152" t="e">
        <f t="shared" ca="1" si="13"/>
        <v>#N/A</v>
      </c>
      <c r="AD41" s="128" t="e">
        <f t="shared" ca="1" si="14"/>
        <v>#N/A</v>
      </c>
      <c r="AE41" s="67" t="e">
        <f t="shared" ca="1" si="15"/>
        <v>#N/A</v>
      </c>
    </row>
    <row r="42" spans="1:31" x14ac:dyDescent="0.4">
      <c r="B42" s="160">
        <f t="shared" ca="1" si="21"/>
        <v>44616</v>
      </c>
      <c r="C42" s="185" t="e">
        <f t="shared" ca="1" si="22"/>
        <v>#N/A</v>
      </c>
      <c r="D42" s="161"/>
      <c r="E42" s="169" t="str">
        <f t="shared" ca="1" si="23"/>
        <v/>
      </c>
      <c r="F42" s="163" t="str">
        <f t="shared" ca="1" si="23"/>
        <v/>
      </c>
      <c r="G42" s="169" t="e">
        <f t="shared" ca="1" si="23"/>
        <v>#N/A</v>
      </c>
      <c r="H42" s="165" t="str">
        <f t="shared" ca="1" si="23"/>
        <v/>
      </c>
      <c r="I42" s="163" t="str">
        <f t="shared" ca="1" si="23"/>
        <v/>
      </c>
      <c r="J42" s="167" t="e">
        <f t="shared" ca="1" si="25"/>
        <v>#N/A</v>
      </c>
      <c r="K42" s="179"/>
      <c r="L42" s="130">
        <f t="shared" si="8"/>
        <v>0</v>
      </c>
      <c r="M42" s="180">
        <f t="shared" ca="1" si="16"/>
        <v>44616</v>
      </c>
      <c r="N42" s="181"/>
      <c r="O42" s="179" t="str">
        <f t="shared" si="9"/>
        <v/>
      </c>
      <c r="P42" s="179"/>
      <c r="Q42" s="130">
        <f t="shared" si="10"/>
        <v>0</v>
      </c>
      <c r="R42" s="182"/>
      <c r="S42" s="159" t="e">
        <f t="shared" ca="1" si="3"/>
        <v>#N/A</v>
      </c>
      <c r="T42" s="152" t="e">
        <f t="shared" ca="1" si="4"/>
        <v>#N/A</v>
      </c>
      <c r="U42" s="152">
        <f t="shared" si="17"/>
        <v>0</v>
      </c>
      <c r="V42" s="183">
        <f t="shared" ca="1" si="26"/>
        <v>4</v>
      </c>
      <c r="W42" s="184">
        <f t="shared" ca="1" si="24"/>
        <v>44616</v>
      </c>
      <c r="X42" s="152">
        <f ca="1">IF(V42&gt;$O$22,0,COUNTIFS($V$26:V42,V42,$L$26:L42,0))</f>
        <v>2</v>
      </c>
      <c r="Y42" s="152">
        <f t="shared" ca="1" si="18"/>
        <v>3</v>
      </c>
      <c r="Z42" s="152" t="e">
        <f t="shared" ca="1" si="19"/>
        <v>#N/A</v>
      </c>
      <c r="AA42" s="152" t="e">
        <f t="shared" ca="1" si="20"/>
        <v>#N/A</v>
      </c>
      <c r="AB42" s="152" t="str">
        <f t="shared" ca="1" si="12"/>
        <v>Interest due 24/02/22 to 24/03/22</v>
      </c>
      <c r="AC42" s="152" t="e">
        <f t="shared" ca="1" si="13"/>
        <v>#N/A</v>
      </c>
      <c r="AD42" s="128" t="e">
        <f t="shared" ca="1" si="14"/>
        <v>#N/A</v>
      </c>
      <c r="AE42" s="67" t="e">
        <f t="shared" ca="1" si="15"/>
        <v>#N/A</v>
      </c>
    </row>
    <row r="43" spans="1:31" x14ac:dyDescent="0.4">
      <c r="B43" s="160">
        <f t="shared" ca="1" si="21"/>
        <v>44644</v>
      </c>
      <c r="C43" s="185" t="str">
        <f t="shared" ca="1" si="22"/>
        <v>Interest due 24/03/22 to 24/04/22</v>
      </c>
      <c r="D43" s="161"/>
      <c r="E43" s="169" t="e">
        <f t="shared" ca="1" si="23"/>
        <v>#N/A</v>
      </c>
      <c r="F43" s="163" t="str">
        <f t="shared" ca="1" si="23"/>
        <v/>
      </c>
      <c r="G43" s="169" t="str">
        <f t="shared" ca="1" si="23"/>
        <v/>
      </c>
      <c r="H43" s="165" t="str">
        <f t="shared" ca="1" si="23"/>
        <v/>
      </c>
      <c r="I43" s="163" t="str">
        <f t="shared" ca="1" si="23"/>
        <v/>
      </c>
      <c r="J43" s="167" t="e">
        <f t="shared" ca="1" si="25"/>
        <v>#N/A</v>
      </c>
      <c r="K43" s="179"/>
      <c r="L43" s="130">
        <f t="shared" si="8"/>
        <v>0</v>
      </c>
      <c r="M43" s="180">
        <f t="shared" ca="1" si="16"/>
        <v>44644</v>
      </c>
      <c r="N43" s="181"/>
      <c r="O43" s="179" t="str">
        <f t="shared" si="9"/>
        <v/>
      </c>
      <c r="P43" s="179"/>
      <c r="Q43" s="130">
        <f t="shared" si="10"/>
        <v>0</v>
      </c>
      <c r="R43" s="182"/>
      <c r="S43" s="159" t="e">
        <f t="shared" ca="1" si="3"/>
        <v>#N/A</v>
      </c>
      <c r="T43" s="152" t="e">
        <f t="shared" ca="1" si="4"/>
        <v>#N/A</v>
      </c>
      <c r="U43" s="152">
        <f t="shared" si="17"/>
        <v>0</v>
      </c>
      <c r="V43" s="183">
        <f t="shared" ca="1" si="26"/>
        <v>5</v>
      </c>
      <c r="W43" s="184">
        <f t="shared" ca="1" si="24"/>
        <v>44644</v>
      </c>
      <c r="X43" s="152">
        <f ca="1">IF(V43&gt;$O$22,0,COUNTIFS($V$26:V43,V43,$L$26:L43,0))</f>
        <v>1</v>
      </c>
      <c r="Y43" s="152">
        <f t="shared" ca="1" si="18"/>
        <v>1</v>
      </c>
      <c r="Z43" s="152" t="e">
        <f t="shared" ca="1" si="19"/>
        <v>#N/A</v>
      </c>
      <c r="AA43" s="152" t="str">
        <f t="shared" ca="1" si="20"/>
        <v>Interest due 24/03/22 to 24/04/22</v>
      </c>
      <c r="AB43" s="152" t="str">
        <f t="shared" ca="1" si="12"/>
        <v>Interest due 24/03/22 to 24/04/22</v>
      </c>
      <c r="AC43" s="152" t="e">
        <f t="shared" ca="1" si="13"/>
        <v>#N/A</v>
      </c>
      <c r="AD43" s="128" t="e">
        <f t="shared" ca="1" si="14"/>
        <v>#N/A</v>
      </c>
      <c r="AE43" s="67" t="e">
        <f t="shared" ca="1" si="15"/>
        <v>#N/A</v>
      </c>
    </row>
    <row r="44" spans="1:31" x14ac:dyDescent="0.4">
      <c r="B44" s="160">
        <f t="shared" ca="1" si="21"/>
        <v>44644</v>
      </c>
      <c r="C44" s="185" t="e">
        <f t="shared" ca="1" si="22"/>
        <v>#N/A</v>
      </c>
      <c r="D44" s="161"/>
      <c r="E44" s="169" t="str">
        <f t="shared" ca="1" si="23"/>
        <v/>
      </c>
      <c r="F44" s="163" t="str">
        <f t="shared" ca="1" si="23"/>
        <v/>
      </c>
      <c r="G44" s="169" t="e">
        <f t="shared" ca="1" si="23"/>
        <v>#N/A</v>
      </c>
      <c r="H44" s="165" t="str">
        <f t="shared" ca="1" si="23"/>
        <v/>
      </c>
      <c r="I44" s="163" t="str">
        <f t="shared" ca="1" si="23"/>
        <v/>
      </c>
      <c r="J44" s="167" t="e">
        <f t="shared" ca="1" si="25"/>
        <v>#N/A</v>
      </c>
      <c r="K44" s="179"/>
      <c r="L44" s="130">
        <f t="shared" si="8"/>
        <v>0</v>
      </c>
      <c r="M44" s="180">
        <f t="shared" ca="1" si="16"/>
        <v>44644</v>
      </c>
      <c r="N44" s="181"/>
      <c r="O44" s="179" t="str">
        <f t="shared" si="9"/>
        <v/>
      </c>
      <c r="P44" s="179"/>
      <c r="Q44" s="130">
        <f t="shared" si="10"/>
        <v>0</v>
      </c>
      <c r="R44" s="182"/>
      <c r="S44" s="159" t="e">
        <f t="shared" ca="1" si="3"/>
        <v>#N/A</v>
      </c>
      <c r="T44" s="152" t="e">
        <f t="shared" ca="1" si="4"/>
        <v>#N/A</v>
      </c>
      <c r="U44" s="152">
        <f t="shared" si="17"/>
        <v>0</v>
      </c>
      <c r="V44" s="183">
        <f t="shared" ca="1" si="26"/>
        <v>5</v>
      </c>
      <c r="W44" s="184">
        <f t="shared" ca="1" si="24"/>
        <v>44644</v>
      </c>
      <c r="X44" s="152">
        <f ca="1">IF(V44&gt;$O$22,0,COUNTIFS($V$26:V44,V44,$L$26:L44,0))</f>
        <v>2</v>
      </c>
      <c r="Y44" s="152">
        <f t="shared" ca="1" si="18"/>
        <v>3</v>
      </c>
      <c r="Z44" s="152" t="e">
        <f t="shared" ca="1" si="19"/>
        <v>#N/A</v>
      </c>
      <c r="AA44" s="152" t="e">
        <f t="shared" ca="1" si="20"/>
        <v>#N/A</v>
      </c>
      <c r="AB44" s="152" t="str">
        <f t="shared" ca="1" si="12"/>
        <v>Interest due 24/03/22 to 24/04/22</v>
      </c>
      <c r="AC44" s="152" t="e">
        <f t="shared" ca="1" si="13"/>
        <v>#N/A</v>
      </c>
      <c r="AD44" s="128" t="e">
        <f t="shared" ca="1" si="14"/>
        <v>#N/A</v>
      </c>
      <c r="AE44" s="67" t="e">
        <f t="shared" ca="1" si="15"/>
        <v>#N/A</v>
      </c>
    </row>
    <row r="45" spans="1:31" x14ac:dyDescent="0.4">
      <c r="B45" s="160">
        <f t="shared" ca="1" si="21"/>
        <v>44675</v>
      </c>
      <c r="C45" s="185" t="str">
        <f t="shared" ca="1" si="22"/>
        <v>Interest due 24/04/22 to 24/05/22</v>
      </c>
      <c r="D45" s="161"/>
      <c r="E45" s="169" t="e">
        <f t="shared" ca="1" si="23"/>
        <v>#N/A</v>
      </c>
      <c r="F45" s="163" t="str">
        <f t="shared" ca="1" si="23"/>
        <v/>
      </c>
      <c r="G45" s="169" t="str">
        <f t="shared" ca="1" si="23"/>
        <v/>
      </c>
      <c r="H45" s="165" t="str">
        <f t="shared" ca="1" si="23"/>
        <v/>
      </c>
      <c r="I45" s="163" t="str">
        <f t="shared" ca="1" si="23"/>
        <v/>
      </c>
      <c r="J45" s="167" t="e">
        <f t="shared" ca="1" si="25"/>
        <v>#N/A</v>
      </c>
      <c r="K45" s="179"/>
      <c r="L45" s="130">
        <f t="shared" si="8"/>
        <v>0</v>
      </c>
      <c r="M45" s="180">
        <f t="shared" ca="1" si="16"/>
        <v>44675</v>
      </c>
      <c r="N45" s="181"/>
      <c r="O45" s="179" t="str">
        <f t="shared" si="9"/>
        <v/>
      </c>
      <c r="P45" s="179"/>
      <c r="Q45" s="130">
        <f t="shared" si="10"/>
        <v>0</v>
      </c>
      <c r="R45" s="182"/>
      <c r="S45" s="159" t="e">
        <f t="shared" ca="1" si="3"/>
        <v>#N/A</v>
      </c>
      <c r="T45" s="152" t="e">
        <f t="shared" ca="1" si="4"/>
        <v>#N/A</v>
      </c>
      <c r="U45" s="152">
        <f t="shared" si="17"/>
        <v>0</v>
      </c>
      <c r="V45" s="183">
        <f t="shared" ca="1" si="26"/>
        <v>6</v>
      </c>
      <c r="W45" s="184">
        <f t="shared" ca="1" si="24"/>
        <v>44675</v>
      </c>
      <c r="X45" s="152">
        <f ca="1">IF(V45&gt;$O$22,0,COUNTIFS($V$26:V45,V45,$L$26:L45,0))</f>
        <v>1</v>
      </c>
      <c r="Y45" s="152">
        <f t="shared" ca="1" si="18"/>
        <v>1</v>
      </c>
      <c r="Z45" s="152" t="e">
        <f t="shared" ca="1" si="19"/>
        <v>#N/A</v>
      </c>
      <c r="AA45" s="152" t="str">
        <f t="shared" ca="1" si="20"/>
        <v>Interest due 24/04/22 to 24/05/22</v>
      </c>
      <c r="AB45" s="152" t="str">
        <f t="shared" ca="1" si="12"/>
        <v>Interest due 24/04/22 to 24/05/22</v>
      </c>
      <c r="AC45" s="152" t="e">
        <f t="shared" ca="1" si="13"/>
        <v>#N/A</v>
      </c>
      <c r="AD45" s="128" t="e">
        <f t="shared" ca="1" si="14"/>
        <v>#N/A</v>
      </c>
      <c r="AE45" s="67" t="e">
        <f t="shared" ca="1" si="15"/>
        <v>#N/A</v>
      </c>
    </row>
    <row r="46" spans="1:31" x14ac:dyDescent="0.4">
      <c r="B46" s="160">
        <f t="shared" ca="1" si="21"/>
        <v>44675</v>
      </c>
      <c r="C46" s="185" t="e">
        <f t="shared" ca="1" si="22"/>
        <v>#N/A</v>
      </c>
      <c r="D46" s="161"/>
      <c r="E46" s="169" t="str">
        <f t="shared" ca="1" si="23"/>
        <v/>
      </c>
      <c r="F46" s="163" t="str">
        <f t="shared" ca="1" si="23"/>
        <v/>
      </c>
      <c r="G46" s="169" t="e">
        <f t="shared" ca="1" si="23"/>
        <v>#N/A</v>
      </c>
      <c r="H46" s="165" t="str">
        <f t="shared" ca="1" si="23"/>
        <v/>
      </c>
      <c r="I46" s="163" t="str">
        <f t="shared" ca="1" si="23"/>
        <v/>
      </c>
      <c r="J46" s="167" t="e">
        <f t="shared" ca="1" si="25"/>
        <v>#N/A</v>
      </c>
      <c r="K46" s="179"/>
      <c r="L46" s="130">
        <f t="shared" si="8"/>
        <v>0</v>
      </c>
      <c r="M46" s="180">
        <f t="shared" ca="1" si="16"/>
        <v>44675</v>
      </c>
      <c r="N46" s="181"/>
      <c r="O46" s="179" t="str">
        <f t="shared" si="9"/>
        <v/>
      </c>
      <c r="P46" s="179"/>
      <c r="Q46" s="130">
        <f t="shared" si="10"/>
        <v>0</v>
      </c>
      <c r="R46" s="182"/>
      <c r="S46" s="159" t="e">
        <f t="shared" ca="1" si="3"/>
        <v>#N/A</v>
      </c>
      <c r="T46" s="152" t="e">
        <f t="shared" ca="1" si="4"/>
        <v>#N/A</v>
      </c>
      <c r="U46" s="152">
        <f t="shared" si="17"/>
        <v>0</v>
      </c>
      <c r="V46" s="183">
        <f t="shared" ca="1" si="26"/>
        <v>6</v>
      </c>
      <c r="W46" s="184">
        <f t="shared" ca="1" si="24"/>
        <v>44675</v>
      </c>
      <c r="X46" s="152">
        <f ca="1">IF(V46&gt;$O$22,0,COUNTIFS($V$26:V46,V46,$L$26:L46,0))</f>
        <v>2</v>
      </c>
      <c r="Y46" s="152">
        <f t="shared" ca="1" si="18"/>
        <v>3</v>
      </c>
      <c r="Z46" s="152" t="e">
        <f t="shared" ca="1" si="19"/>
        <v>#N/A</v>
      </c>
      <c r="AA46" s="152" t="e">
        <f t="shared" ca="1" si="20"/>
        <v>#N/A</v>
      </c>
      <c r="AB46" s="152" t="str">
        <f t="shared" ca="1" si="12"/>
        <v>Interest due 24/04/22 to 24/05/22</v>
      </c>
      <c r="AC46" s="152" t="e">
        <f t="shared" ca="1" si="13"/>
        <v>#N/A</v>
      </c>
      <c r="AD46" s="128" t="e">
        <f t="shared" ca="1" si="14"/>
        <v>#N/A</v>
      </c>
      <c r="AE46" s="67" t="e">
        <f t="shared" ca="1" si="15"/>
        <v>#N/A</v>
      </c>
    </row>
    <row r="47" spans="1:31" x14ac:dyDescent="0.4">
      <c r="B47" s="160">
        <f t="shared" ca="1" si="21"/>
        <v>44705</v>
      </c>
      <c r="C47" s="185" t="str">
        <f t="shared" ca="1" si="22"/>
        <v>Interest due 24/05/22 to 24/06/22</v>
      </c>
      <c r="D47" s="161"/>
      <c r="E47" s="169" t="e">
        <f t="shared" ca="1" si="23"/>
        <v>#N/A</v>
      </c>
      <c r="F47" s="163" t="str">
        <f t="shared" ca="1" si="23"/>
        <v/>
      </c>
      <c r="G47" s="169" t="str">
        <f t="shared" ca="1" si="23"/>
        <v/>
      </c>
      <c r="H47" s="165" t="str">
        <f t="shared" ca="1" si="23"/>
        <v/>
      </c>
      <c r="I47" s="163" t="str">
        <f t="shared" ca="1" si="23"/>
        <v/>
      </c>
      <c r="J47" s="167" t="e">
        <f t="shared" ca="1" si="25"/>
        <v>#N/A</v>
      </c>
      <c r="K47" s="179"/>
      <c r="L47" s="130">
        <f t="shared" si="8"/>
        <v>0</v>
      </c>
      <c r="M47" s="180">
        <f t="shared" ca="1" si="16"/>
        <v>44705</v>
      </c>
      <c r="N47" s="181"/>
      <c r="O47" s="179" t="str">
        <f t="shared" si="9"/>
        <v/>
      </c>
      <c r="P47" s="179"/>
      <c r="Q47" s="130">
        <f t="shared" si="10"/>
        <v>0</v>
      </c>
      <c r="R47" s="182"/>
      <c r="S47" s="159" t="e">
        <f t="shared" ca="1" si="3"/>
        <v>#N/A</v>
      </c>
      <c r="T47" s="152" t="e">
        <f t="shared" ca="1" si="4"/>
        <v>#N/A</v>
      </c>
      <c r="U47" s="152">
        <f t="shared" si="17"/>
        <v>0</v>
      </c>
      <c r="V47" s="183">
        <f t="shared" ca="1" si="26"/>
        <v>7</v>
      </c>
      <c r="W47" s="184">
        <f t="shared" ca="1" si="24"/>
        <v>44705</v>
      </c>
      <c r="X47" s="152">
        <f ca="1">IF(V47&gt;$O$22,0,COUNTIFS($V$26:V47,V47,$L$26:L47,0))</f>
        <v>1</v>
      </c>
      <c r="Y47" s="152">
        <f t="shared" ca="1" si="18"/>
        <v>1</v>
      </c>
      <c r="Z47" s="152" t="e">
        <f t="shared" ca="1" si="19"/>
        <v>#N/A</v>
      </c>
      <c r="AA47" s="152" t="str">
        <f t="shared" ca="1" si="20"/>
        <v>Interest due 24/05/22 to 24/06/22</v>
      </c>
      <c r="AB47" s="152" t="str">
        <f t="shared" ca="1" si="12"/>
        <v>Interest due 24/05/22 to 24/06/22</v>
      </c>
      <c r="AC47" s="152" t="e">
        <f t="shared" ca="1" si="13"/>
        <v>#N/A</v>
      </c>
      <c r="AD47" s="128" t="e">
        <f t="shared" ca="1" si="14"/>
        <v>#N/A</v>
      </c>
      <c r="AE47" s="67" t="e">
        <f t="shared" ca="1" si="15"/>
        <v>#N/A</v>
      </c>
    </row>
    <row r="48" spans="1:31" x14ac:dyDescent="0.4">
      <c r="B48" s="160">
        <f t="shared" ca="1" si="21"/>
        <v>44705</v>
      </c>
      <c r="C48" s="185" t="e">
        <f t="shared" ca="1" si="22"/>
        <v>#N/A</v>
      </c>
      <c r="D48" s="161"/>
      <c r="E48" s="169" t="str">
        <f t="shared" ca="1" si="23"/>
        <v/>
      </c>
      <c r="F48" s="163" t="str">
        <f t="shared" ca="1" si="23"/>
        <v/>
      </c>
      <c r="G48" s="169" t="e">
        <f t="shared" ca="1" si="23"/>
        <v>#N/A</v>
      </c>
      <c r="H48" s="165" t="str">
        <f t="shared" ca="1" si="23"/>
        <v/>
      </c>
      <c r="I48" s="163" t="str">
        <f t="shared" ca="1" si="23"/>
        <v/>
      </c>
      <c r="J48" s="167" t="e">
        <f t="shared" ca="1" si="25"/>
        <v>#N/A</v>
      </c>
      <c r="K48" s="179"/>
      <c r="L48" s="130">
        <f t="shared" si="8"/>
        <v>0</v>
      </c>
      <c r="M48" s="180">
        <f t="shared" ca="1" si="16"/>
        <v>44705</v>
      </c>
      <c r="N48" s="181"/>
      <c r="O48" s="179" t="str">
        <f t="shared" si="9"/>
        <v/>
      </c>
      <c r="P48" s="179"/>
      <c r="Q48" s="130">
        <f t="shared" si="10"/>
        <v>0</v>
      </c>
      <c r="R48" s="182"/>
      <c r="S48" s="159" t="e">
        <f t="shared" ca="1" si="3"/>
        <v>#N/A</v>
      </c>
      <c r="T48" s="152" t="e">
        <f t="shared" ca="1" si="4"/>
        <v>#N/A</v>
      </c>
      <c r="U48" s="152">
        <f t="shared" si="17"/>
        <v>0</v>
      </c>
      <c r="V48" s="183">
        <f t="shared" ca="1" si="26"/>
        <v>7</v>
      </c>
      <c r="W48" s="184">
        <f t="shared" ca="1" si="24"/>
        <v>44705</v>
      </c>
      <c r="X48" s="152">
        <f ca="1">IF(V48&gt;$O$22,0,COUNTIFS($V$26:V48,V48,$L$26:L48,0))</f>
        <v>2</v>
      </c>
      <c r="Y48" s="152">
        <f t="shared" ca="1" si="18"/>
        <v>3</v>
      </c>
      <c r="Z48" s="152" t="e">
        <f t="shared" ca="1" si="19"/>
        <v>#N/A</v>
      </c>
      <c r="AA48" s="152" t="e">
        <f t="shared" ca="1" si="20"/>
        <v>#N/A</v>
      </c>
      <c r="AB48" s="152" t="str">
        <f t="shared" ca="1" si="12"/>
        <v>Interest due 24/05/22 to 24/06/22</v>
      </c>
      <c r="AC48" s="152" t="e">
        <f t="shared" ca="1" si="13"/>
        <v>#N/A</v>
      </c>
      <c r="AD48" s="128" t="e">
        <f t="shared" ca="1" si="14"/>
        <v>#N/A</v>
      </c>
      <c r="AE48" s="67" t="e">
        <f t="shared" ca="1" si="15"/>
        <v>#N/A</v>
      </c>
    </row>
    <row r="49" spans="2:31" x14ac:dyDescent="0.4">
      <c r="B49" s="160">
        <f t="shared" ca="1" si="21"/>
        <v>44736</v>
      </c>
      <c r="C49" s="185" t="str">
        <f t="shared" ca="1" si="22"/>
        <v>Interest due 24/06/22 to 24/07/22</v>
      </c>
      <c r="D49" s="161"/>
      <c r="E49" s="169" t="e">
        <f t="shared" ref="E49:I58" ca="1" si="27">IF($Y49=E$24,$Z49,"")</f>
        <v>#N/A</v>
      </c>
      <c r="F49" s="163" t="str">
        <f t="shared" ca="1" si="27"/>
        <v/>
      </c>
      <c r="G49" s="169" t="str">
        <f t="shared" ca="1" si="27"/>
        <v/>
      </c>
      <c r="H49" s="165" t="str">
        <f t="shared" ca="1" si="27"/>
        <v/>
      </c>
      <c r="I49" s="163" t="str">
        <f t="shared" ca="1" si="27"/>
        <v/>
      </c>
      <c r="J49" s="167" t="e">
        <f t="shared" ca="1" si="25"/>
        <v>#N/A</v>
      </c>
      <c r="K49" s="179"/>
      <c r="L49" s="130">
        <f t="shared" si="8"/>
        <v>0</v>
      </c>
      <c r="M49" s="180">
        <f t="shared" ca="1" si="16"/>
        <v>44736</v>
      </c>
      <c r="N49" s="181"/>
      <c r="O49" s="179" t="str">
        <f t="shared" si="9"/>
        <v/>
      </c>
      <c r="P49" s="179"/>
      <c r="Q49" s="130">
        <f t="shared" si="10"/>
        <v>0</v>
      </c>
      <c r="R49" s="182"/>
      <c r="S49" s="159" t="e">
        <f t="shared" ca="1" si="3"/>
        <v>#N/A</v>
      </c>
      <c r="T49" s="152" t="e">
        <f t="shared" ca="1" si="4"/>
        <v>#N/A</v>
      </c>
      <c r="U49" s="152">
        <f t="shared" si="17"/>
        <v>0</v>
      </c>
      <c r="V49" s="183">
        <f t="shared" ca="1" si="26"/>
        <v>8</v>
      </c>
      <c r="W49" s="184">
        <f t="shared" ca="1" si="24"/>
        <v>44736</v>
      </c>
      <c r="X49" s="152">
        <f ca="1">IF(V49&gt;$O$22,0,COUNTIFS($V$26:V49,V49,$L$26:L49,0))</f>
        <v>1</v>
      </c>
      <c r="Y49" s="152">
        <f t="shared" ca="1" si="18"/>
        <v>1</v>
      </c>
      <c r="Z49" s="152" t="e">
        <f t="shared" ca="1" si="19"/>
        <v>#N/A</v>
      </c>
      <c r="AA49" s="152" t="str">
        <f t="shared" ca="1" si="20"/>
        <v>Interest due 24/06/22 to 24/07/22</v>
      </c>
      <c r="AB49" s="152" t="str">
        <f t="shared" ca="1" si="12"/>
        <v>Interest due 24/06/22 to 24/07/22</v>
      </c>
      <c r="AC49" s="152" t="e">
        <f t="shared" ca="1" si="13"/>
        <v>#N/A</v>
      </c>
      <c r="AD49" s="128" t="e">
        <f t="shared" ca="1" si="14"/>
        <v>#N/A</v>
      </c>
      <c r="AE49" s="67" t="e">
        <f t="shared" ca="1" si="15"/>
        <v>#N/A</v>
      </c>
    </row>
    <row r="50" spans="2:31" x14ac:dyDescent="0.4">
      <c r="B50" s="160">
        <f t="shared" ca="1" si="21"/>
        <v>44736</v>
      </c>
      <c r="C50" s="185" t="e">
        <f t="shared" ca="1" si="22"/>
        <v>#N/A</v>
      </c>
      <c r="D50" s="161"/>
      <c r="E50" s="169" t="str">
        <f t="shared" ca="1" si="27"/>
        <v/>
      </c>
      <c r="F50" s="163" t="str">
        <f t="shared" ca="1" si="27"/>
        <v/>
      </c>
      <c r="G50" s="169" t="e">
        <f t="shared" ca="1" si="27"/>
        <v>#N/A</v>
      </c>
      <c r="H50" s="165" t="str">
        <f t="shared" ca="1" si="27"/>
        <v/>
      </c>
      <c r="I50" s="163" t="str">
        <f t="shared" ca="1" si="27"/>
        <v/>
      </c>
      <c r="J50" s="167" t="e">
        <f t="shared" ca="1" si="25"/>
        <v>#N/A</v>
      </c>
      <c r="K50" s="179"/>
      <c r="L50" s="130">
        <f t="shared" si="8"/>
        <v>0</v>
      </c>
      <c r="M50" s="180">
        <f t="shared" ca="1" si="16"/>
        <v>44736</v>
      </c>
      <c r="N50" s="181"/>
      <c r="O50" s="179" t="str">
        <f t="shared" si="9"/>
        <v/>
      </c>
      <c r="P50" s="179"/>
      <c r="Q50" s="130">
        <v>0</v>
      </c>
      <c r="R50" s="182"/>
      <c r="S50" s="159" t="e">
        <f t="shared" ca="1" si="3"/>
        <v>#N/A</v>
      </c>
      <c r="T50" s="152" t="e">
        <f t="shared" ca="1" si="4"/>
        <v>#N/A</v>
      </c>
      <c r="U50" s="152">
        <f t="shared" si="17"/>
        <v>0</v>
      </c>
      <c r="V50" s="183">
        <f t="shared" ca="1" si="26"/>
        <v>8</v>
      </c>
      <c r="W50" s="184">
        <f t="shared" ca="1" si="24"/>
        <v>44736</v>
      </c>
      <c r="X50" s="152">
        <f ca="1">IF(V50&gt;$O$22,0,COUNTIFS($V$26:V50,V50,$L$26:L50,0))</f>
        <v>2</v>
      </c>
      <c r="Y50" s="152">
        <f t="shared" ca="1" si="18"/>
        <v>3</v>
      </c>
      <c r="Z50" s="152" t="e">
        <f t="shared" ca="1" si="19"/>
        <v>#N/A</v>
      </c>
      <c r="AA50" s="152" t="e">
        <f t="shared" ca="1" si="20"/>
        <v>#N/A</v>
      </c>
      <c r="AB50" s="152" t="str">
        <f t="shared" ca="1" si="12"/>
        <v>Interest due 24/06/22 to 24/07/22</v>
      </c>
      <c r="AC50" s="152" t="e">
        <f t="shared" ca="1" si="13"/>
        <v>#N/A</v>
      </c>
      <c r="AD50" s="128" t="e">
        <f t="shared" ca="1" si="14"/>
        <v>#N/A</v>
      </c>
      <c r="AE50" s="67" t="e">
        <f t="shared" ca="1" si="15"/>
        <v>#N/A</v>
      </c>
    </row>
    <row r="51" spans="2:31" x14ac:dyDescent="0.4">
      <c r="B51" s="160">
        <f t="shared" ca="1" si="21"/>
        <v>44766</v>
      </c>
      <c r="C51" s="185" t="str">
        <f t="shared" ca="1" si="22"/>
        <v>Interest due 24/07/22 to 24/08/22</v>
      </c>
      <c r="D51" s="187"/>
      <c r="E51" s="169" t="e">
        <f t="shared" ca="1" si="27"/>
        <v>#N/A</v>
      </c>
      <c r="F51" s="163" t="str">
        <f t="shared" ca="1" si="27"/>
        <v/>
      </c>
      <c r="G51" s="169" t="str">
        <f t="shared" ca="1" si="27"/>
        <v/>
      </c>
      <c r="H51" s="165" t="str">
        <f t="shared" ca="1" si="27"/>
        <v/>
      </c>
      <c r="I51" s="163" t="str">
        <f t="shared" ca="1" si="27"/>
        <v/>
      </c>
      <c r="J51" s="167" t="e">
        <f t="shared" ca="1" si="25"/>
        <v>#N/A</v>
      </c>
      <c r="K51" s="179"/>
      <c r="L51" s="130">
        <f t="shared" si="8"/>
        <v>0</v>
      </c>
      <c r="M51" s="180">
        <f t="shared" ca="1" si="16"/>
        <v>44766</v>
      </c>
      <c r="N51" s="181"/>
      <c r="O51" s="179" t="str">
        <f t="shared" si="9"/>
        <v/>
      </c>
      <c r="P51" s="179"/>
      <c r="Q51" s="130">
        <f t="shared" si="10"/>
        <v>0</v>
      </c>
      <c r="R51" s="182"/>
      <c r="S51" s="159" t="e">
        <f t="shared" ca="1" si="3"/>
        <v>#N/A</v>
      </c>
      <c r="T51" s="152" t="e">
        <f t="shared" ca="1" si="4"/>
        <v>#N/A</v>
      </c>
      <c r="U51" s="152">
        <f t="shared" si="17"/>
        <v>0</v>
      </c>
      <c r="V51" s="183">
        <f t="shared" ca="1" si="26"/>
        <v>9</v>
      </c>
      <c r="W51" s="184">
        <f t="shared" ca="1" si="24"/>
        <v>44766</v>
      </c>
      <c r="X51" s="152">
        <f ca="1">IF(V51&gt;$O$22,0,COUNTIFS($V$26:V51,V51,$L$26:L51,0))</f>
        <v>1</v>
      </c>
      <c r="Y51" s="152">
        <f t="shared" ca="1" si="18"/>
        <v>1</v>
      </c>
      <c r="Z51" s="152" t="e">
        <f t="shared" ca="1" si="19"/>
        <v>#N/A</v>
      </c>
      <c r="AA51" s="152" t="str">
        <f t="shared" ca="1" si="20"/>
        <v>Interest due 24/07/22 to 24/08/22</v>
      </c>
      <c r="AB51" s="152" t="str">
        <f t="shared" ca="1" si="12"/>
        <v>Interest due 24/07/22 to 24/08/22</v>
      </c>
      <c r="AC51" s="152" t="e">
        <f t="shared" ca="1" si="13"/>
        <v>#N/A</v>
      </c>
      <c r="AD51" s="128" t="e">
        <f t="shared" ca="1" si="14"/>
        <v>#N/A</v>
      </c>
      <c r="AE51" s="67" t="e">
        <f t="shared" ca="1" si="15"/>
        <v>#N/A</v>
      </c>
    </row>
    <row r="52" spans="2:31" x14ac:dyDescent="0.4">
      <c r="B52" s="160">
        <f t="shared" ca="1" si="21"/>
        <v>44766</v>
      </c>
      <c r="C52" s="185" t="e">
        <f t="shared" ca="1" si="22"/>
        <v>#N/A</v>
      </c>
      <c r="D52" s="187"/>
      <c r="E52" s="188" t="str">
        <f t="shared" ca="1" si="27"/>
        <v/>
      </c>
      <c r="F52" s="189" t="str">
        <f t="shared" ca="1" si="27"/>
        <v/>
      </c>
      <c r="G52" s="169" t="e">
        <f t="shared" ca="1" si="27"/>
        <v>#N/A</v>
      </c>
      <c r="H52" s="190" t="str">
        <f t="shared" ca="1" si="27"/>
        <v/>
      </c>
      <c r="I52" s="163" t="str">
        <f t="shared" ca="1" si="27"/>
        <v/>
      </c>
      <c r="J52" s="167" t="e">
        <f t="shared" ca="1" si="25"/>
        <v>#N/A</v>
      </c>
      <c r="K52" s="179"/>
      <c r="L52" s="130">
        <f t="shared" si="8"/>
        <v>0</v>
      </c>
      <c r="M52" s="180">
        <f t="shared" ca="1" si="16"/>
        <v>44766</v>
      </c>
      <c r="N52" s="181"/>
      <c r="O52" s="179" t="str">
        <f t="shared" si="9"/>
        <v/>
      </c>
      <c r="P52" s="179"/>
      <c r="Q52" s="130">
        <f t="shared" si="10"/>
        <v>0</v>
      </c>
      <c r="R52" s="182"/>
      <c r="S52" s="159" t="e">
        <f t="shared" ca="1" si="3"/>
        <v>#N/A</v>
      </c>
      <c r="T52" s="152" t="e">
        <f t="shared" ca="1" si="4"/>
        <v>#N/A</v>
      </c>
      <c r="U52" s="152">
        <f t="shared" si="17"/>
        <v>0</v>
      </c>
      <c r="V52" s="183">
        <f t="shared" ca="1" si="26"/>
        <v>9</v>
      </c>
      <c r="W52" s="184">
        <f t="shared" ca="1" si="24"/>
        <v>44766</v>
      </c>
      <c r="X52" s="152">
        <f ca="1">IF(V52&gt;$O$22,0,COUNTIFS($V$26:V52,V52,$L$26:L52,0))</f>
        <v>2</v>
      </c>
      <c r="Y52" s="152">
        <f t="shared" ca="1" si="18"/>
        <v>3</v>
      </c>
      <c r="Z52" s="152" t="e">
        <f t="shared" ca="1" si="19"/>
        <v>#N/A</v>
      </c>
      <c r="AA52" s="152" t="e">
        <f t="shared" ca="1" si="20"/>
        <v>#N/A</v>
      </c>
      <c r="AB52" s="152" t="str">
        <f t="shared" ca="1" si="12"/>
        <v>Interest due 24/07/22 to 24/08/22</v>
      </c>
      <c r="AC52" s="152" t="e">
        <f t="shared" ca="1" si="13"/>
        <v>#N/A</v>
      </c>
      <c r="AD52" s="128" t="e">
        <f t="shared" ca="1" si="14"/>
        <v>#N/A</v>
      </c>
      <c r="AE52" s="67" t="e">
        <f t="shared" ca="1" si="15"/>
        <v>#N/A</v>
      </c>
    </row>
    <row r="53" spans="2:31" x14ac:dyDescent="0.4">
      <c r="B53" s="160">
        <f t="shared" ca="1" si="21"/>
        <v>44797</v>
      </c>
      <c r="C53" s="185" t="str">
        <f t="shared" ca="1" si="22"/>
        <v>Interest due 24/08/22 to 24/09/22</v>
      </c>
      <c r="D53" s="187"/>
      <c r="E53" s="169" t="e">
        <f t="shared" ca="1" si="27"/>
        <v>#N/A</v>
      </c>
      <c r="F53" s="163" t="str">
        <f t="shared" ca="1" si="27"/>
        <v/>
      </c>
      <c r="G53" s="169" t="str">
        <f t="shared" ca="1" si="27"/>
        <v/>
      </c>
      <c r="H53" s="165" t="str">
        <f t="shared" ca="1" si="27"/>
        <v/>
      </c>
      <c r="I53" s="163" t="str">
        <f t="shared" ca="1" si="27"/>
        <v/>
      </c>
      <c r="J53" s="167" t="e">
        <f t="shared" ca="1" si="25"/>
        <v>#N/A</v>
      </c>
      <c r="K53" s="179"/>
      <c r="L53" s="130">
        <f t="shared" si="8"/>
        <v>0</v>
      </c>
      <c r="M53" s="180">
        <f t="shared" ca="1" si="16"/>
        <v>44797</v>
      </c>
      <c r="N53" s="181"/>
      <c r="O53" s="179" t="str">
        <f t="shared" si="9"/>
        <v/>
      </c>
      <c r="P53" s="179"/>
      <c r="Q53" s="130">
        <f t="shared" si="10"/>
        <v>0</v>
      </c>
      <c r="R53" s="182"/>
      <c r="S53" s="159" t="e">
        <f t="shared" ca="1" si="3"/>
        <v>#N/A</v>
      </c>
      <c r="T53" s="152" t="e">
        <f t="shared" ca="1" si="4"/>
        <v>#N/A</v>
      </c>
      <c r="U53" s="152">
        <f t="shared" si="17"/>
        <v>0</v>
      </c>
      <c r="V53" s="183">
        <f t="shared" ca="1" si="26"/>
        <v>10</v>
      </c>
      <c r="W53" s="184">
        <f t="shared" ca="1" si="24"/>
        <v>44797</v>
      </c>
      <c r="X53" s="152">
        <f ca="1">IF(V53&gt;$O$22,0,COUNTIFS($V$26:V53,V53,$L$26:L53,0))</f>
        <v>1</v>
      </c>
      <c r="Y53" s="152">
        <f t="shared" ca="1" si="18"/>
        <v>1</v>
      </c>
      <c r="Z53" s="152" t="e">
        <f t="shared" ca="1" si="19"/>
        <v>#N/A</v>
      </c>
      <c r="AA53" s="152" t="str">
        <f t="shared" ca="1" si="20"/>
        <v>Interest due 24/08/22 to 24/09/22</v>
      </c>
      <c r="AB53" s="152" t="str">
        <f t="shared" ca="1" si="12"/>
        <v>Interest due 24/08/22 to 24/09/22</v>
      </c>
      <c r="AC53" s="152" t="e">
        <f t="shared" ca="1" si="13"/>
        <v>#N/A</v>
      </c>
      <c r="AD53" s="128" t="e">
        <f t="shared" ca="1" si="14"/>
        <v>#N/A</v>
      </c>
      <c r="AE53" s="67" t="e">
        <f t="shared" ca="1" si="15"/>
        <v>#N/A</v>
      </c>
    </row>
    <row r="54" spans="2:31" x14ac:dyDescent="0.4">
      <c r="B54" s="160">
        <f t="shared" ca="1" si="21"/>
        <v>44797</v>
      </c>
      <c r="C54" s="185" t="e">
        <f t="shared" ca="1" si="22"/>
        <v>#N/A</v>
      </c>
      <c r="D54" s="187"/>
      <c r="E54" s="188" t="str">
        <f t="shared" ca="1" si="27"/>
        <v/>
      </c>
      <c r="F54" s="189" t="str">
        <f t="shared" ca="1" si="27"/>
        <v/>
      </c>
      <c r="G54" s="169" t="e">
        <f t="shared" ca="1" si="27"/>
        <v>#N/A</v>
      </c>
      <c r="H54" s="190" t="str">
        <f t="shared" ca="1" si="27"/>
        <v/>
      </c>
      <c r="I54" s="163" t="str">
        <f t="shared" ca="1" si="27"/>
        <v/>
      </c>
      <c r="J54" s="167" t="e">
        <f t="shared" ca="1" si="25"/>
        <v>#N/A</v>
      </c>
      <c r="K54" s="179"/>
      <c r="L54" s="130">
        <f t="shared" si="8"/>
        <v>0</v>
      </c>
      <c r="M54" s="180">
        <f t="shared" ca="1" si="16"/>
        <v>44797</v>
      </c>
      <c r="N54" s="181"/>
      <c r="O54" s="179" t="str">
        <f t="shared" si="9"/>
        <v/>
      </c>
      <c r="P54" s="179"/>
      <c r="Q54" s="130">
        <f t="shared" si="10"/>
        <v>0</v>
      </c>
      <c r="R54" s="182"/>
      <c r="S54" s="159" t="e">
        <f t="shared" ca="1" si="3"/>
        <v>#N/A</v>
      </c>
      <c r="T54" s="152" t="e">
        <f t="shared" ca="1" si="4"/>
        <v>#N/A</v>
      </c>
      <c r="U54" s="152">
        <f t="shared" si="17"/>
        <v>0</v>
      </c>
      <c r="V54" s="183">
        <f t="shared" ca="1" si="26"/>
        <v>10</v>
      </c>
      <c r="W54" s="184">
        <f t="shared" ca="1" si="24"/>
        <v>44797</v>
      </c>
      <c r="X54" s="152">
        <f ca="1">IF(V54&gt;$O$22,0,COUNTIFS($V$26:V54,V54,$L$26:L54,0))</f>
        <v>2</v>
      </c>
      <c r="Y54" s="152">
        <f t="shared" ca="1" si="18"/>
        <v>3</v>
      </c>
      <c r="Z54" s="152" t="e">
        <f t="shared" ca="1" si="19"/>
        <v>#N/A</v>
      </c>
      <c r="AA54" s="152" t="e">
        <f t="shared" ca="1" si="20"/>
        <v>#N/A</v>
      </c>
      <c r="AB54" s="152" t="str">
        <f t="shared" ca="1" si="12"/>
        <v>Interest due 24/08/22 to 24/09/22</v>
      </c>
      <c r="AC54" s="152" t="e">
        <f t="shared" ca="1" si="13"/>
        <v>#N/A</v>
      </c>
      <c r="AD54" s="128" t="e">
        <f t="shared" ca="1" si="14"/>
        <v>#N/A</v>
      </c>
      <c r="AE54" s="67" t="e">
        <f t="shared" ca="1" si="15"/>
        <v>#N/A</v>
      </c>
    </row>
    <row r="55" spans="2:31" x14ac:dyDescent="0.4">
      <c r="B55" s="160">
        <f t="shared" ca="1" si="21"/>
        <v>44828</v>
      </c>
      <c r="C55" s="185" t="str">
        <f t="shared" ca="1" si="22"/>
        <v>Interest due 24/09/22 to 24/10/22</v>
      </c>
      <c r="D55" s="187"/>
      <c r="E55" s="169" t="e">
        <f t="shared" ca="1" si="27"/>
        <v>#N/A</v>
      </c>
      <c r="F55" s="163" t="str">
        <f t="shared" ca="1" si="27"/>
        <v/>
      </c>
      <c r="G55" s="169" t="str">
        <f t="shared" ca="1" si="27"/>
        <v/>
      </c>
      <c r="H55" s="165" t="str">
        <f t="shared" ca="1" si="27"/>
        <v/>
      </c>
      <c r="I55" s="163" t="str">
        <f t="shared" ca="1" si="27"/>
        <v/>
      </c>
      <c r="J55" s="167" t="e">
        <f t="shared" ca="1" si="25"/>
        <v>#N/A</v>
      </c>
      <c r="K55" s="179"/>
      <c r="L55" s="130">
        <f t="shared" si="8"/>
        <v>0</v>
      </c>
      <c r="M55" s="180">
        <f t="shared" ca="1" si="16"/>
        <v>44828</v>
      </c>
      <c r="N55" s="181"/>
      <c r="O55" s="179" t="str">
        <f t="shared" si="9"/>
        <v/>
      </c>
      <c r="P55" s="179"/>
      <c r="Q55" s="130">
        <f t="shared" si="10"/>
        <v>0</v>
      </c>
      <c r="R55" s="182"/>
      <c r="S55" s="159" t="e">
        <f t="shared" ca="1" si="3"/>
        <v>#N/A</v>
      </c>
      <c r="T55" s="152" t="e">
        <f t="shared" ca="1" si="4"/>
        <v>#N/A</v>
      </c>
      <c r="U55" s="152">
        <f t="shared" si="17"/>
        <v>0</v>
      </c>
      <c r="V55" s="183">
        <f t="shared" ca="1" si="26"/>
        <v>11</v>
      </c>
      <c r="W55" s="184">
        <f t="shared" ca="1" si="24"/>
        <v>44828</v>
      </c>
      <c r="X55" s="152">
        <f ca="1">IF(V55&gt;$O$22,0,COUNTIFS($V$26:V55,V55,$L$26:L55,0))</f>
        <v>1</v>
      </c>
      <c r="Y55" s="152">
        <f t="shared" ca="1" si="18"/>
        <v>1</v>
      </c>
      <c r="Z55" s="152" t="e">
        <f t="shared" ca="1" si="19"/>
        <v>#N/A</v>
      </c>
      <c r="AA55" s="152" t="str">
        <f t="shared" ca="1" si="20"/>
        <v>Interest due 24/09/22 to 24/10/22</v>
      </c>
      <c r="AB55" s="152" t="str">
        <f t="shared" ca="1" si="12"/>
        <v>Interest due 24/09/22 to 24/10/22</v>
      </c>
      <c r="AC55" s="152" t="e">
        <f t="shared" ca="1" si="13"/>
        <v>#N/A</v>
      </c>
      <c r="AD55" s="128" t="e">
        <f t="shared" ca="1" si="14"/>
        <v>#N/A</v>
      </c>
      <c r="AE55" s="67" t="e">
        <f t="shared" ca="1" si="15"/>
        <v>#N/A</v>
      </c>
    </row>
    <row r="56" spans="2:31" x14ac:dyDescent="0.4">
      <c r="B56" s="160">
        <f t="shared" ca="1" si="21"/>
        <v>44828</v>
      </c>
      <c r="C56" s="185" t="e">
        <f t="shared" ca="1" si="22"/>
        <v>#N/A</v>
      </c>
      <c r="D56" s="187"/>
      <c r="E56" s="188" t="str">
        <f t="shared" ca="1" si="27"/>
        <v/>
      </c>
      <c r="F56" s="189" t="str">
        <f t="shared" ca="1" si="27"/>
        <v/>
      </c>
      <c r="G56" s="169" t="e">
        <f t="shared" ca="1" si="27"/>
        <v>#N/A</v>
      </c>
      <c r="H56" s="190" t="str">
        <f t="shared" ca="1" si="27"/>
        <v/>
      </c>
      <c r="I56" s="163" t="str">
        <f t="shared" ca="1" si="27"/>
        <v/>
      </c>
      <c r="J56" s="167" t="e">
        <f t="shared" ca="1" si="25"/>
        <v>#N/A</v>
      </c>
      <c r="K56" s="179"/>
      <c r="L56" s="130">
        <f t="shared" si="8"/>
        <v>0</v>
      </c>
      <c r="M56" s="180">
        <f t="shared" ca="1" si="16"/>
        <v>44828</v>
      </c>
      <c r="N56" s="181"/>
      <c r="O56" s="179" t="str">
        <f t="shared" si="9"/>
        <v/>
      </c>
      <c r="P56" s="179"/>
      <c r="Q56" s="130">
        <f t="shared" si="10"/>
        <v>0</v>
      </c>
      <c r="R56" s="182"/>
      <c r="S56" s="159" t="e">
        <f t="shared" ca="1" si="3"/>
        <v>#N/A</v>
      </c>
      <c r="T56" s="152" t="e">
        <f t="shared" ca="1" si="4"/>
        <v>#N/A</v>
      </c>
      <c r="U56" s="152">
        <f t="shared" si="17"/>
        <v>0</v>
      </c>
      <c r="V56" s="183">
        <f t="shared" ca="1" si="26"/>
        <v>11</v>
      </c>
      <c r="W56" s="184">
        <f t="shared" ca="1" si="24"/>
        <v>44828</v>
      </c>
      <c r="X56" s="152">
        <f ca="1">IF(V56&gt;$O$22,0,COUNTIFS($V$26:V56,V56,$L$26:L56,0))</f>
        <v>2</v>
      </c>
      <c r="Y56" s="152">
        <f t="shared" ca="1" si="18"/>
        <v>3</v>
      </c>
      <c r="Z56" s="152" t="e">
        <f t="shared" ca="1" si="19"/>
        <v>#N/A</v>
      </c>
      <c r="AA56" s="152" t="e">
        <f t="shared" ca="1" si="20"/>
        <v>#N/A</v>
      </c>
      <c r="AB56" s="152" t="str">
        <f t="shared" ca="1" si="12"/>
        <v>Interest due 24/09/22 to 24/10/22</v>
      </c>
      <c r="AC56" s="152" t="e">
        <f t="shared" ca="1" si="13"/>
        <v>#N/A</v>
      </c>
      <c r="AD56" s="128" t="e">
        <f t="shared" ca="1" si="14"/>
        <v>#N/A</v>
      </c>
      <c r="AE56" s="67" t="e">
        <f t="shared" ca="1" si="15"/>
        <v>#N/A</v>
      </c>
    </row>
    <row r="57" spans="2:31" x14ac:dyDescent="0.4">
      <c r="B57" s="160">
        <f t="shared" ca="1" si="21"/>
        <v>44858</v>
      </c>
      <c r="C57" s="127" t="str">
        <f t="shared" ca="1" si="22"/>
        <v>Interest due 24/10/22 to 24/11/22</v>
      </c>
      <c r="D57" s="187"/>
      <c r="E57" s="188" t="e">
        <f t="shared" ca="1" si="27"/>
        <v>#N/A</v>
      </c>
      <c r="F57" s="189" t="str">
        <f t="shared" ca="1" si="27"/>
        <v/>
      </c>
      <c r="G57" s="169" t="str">
        <f t="shared" ca="1" si="27"/>
        <v/>
      </c>
      <c r="H57" s="190" t="str">
        <f t="shared" ca="1" si="27"/>
        <v/>
      </c>
      <c r="I57" s="163" t="str">
        <f t="shared" ca="1" si="27"/>
        <v/>
      </c>
      <c r="J57" s="167" t="e">
        <f t="shared" ca="1" si="25"/>
        <v>#N/A</v>
      </c>
      <c r="K57" s="179"/>
      <c r="L57" s="130">
        <f t="shared" si="8"/>
        <v>0</v>
      </c>
      <c r="M57" s="180">
        <f t="shared" ca="1" si="16"/>
        <v>44858</v>
      </c>
      <c r="N57" s="181"/>
      <c r="O57" s="179" t="str">
        <f t="shared" si="9"/>
        <v/>
      </c>
      <c r="P57" s="179"/>
      <c r="Q57" s="130">
        <f t="shared" si="10"/>
        <v>0</v>
      </c>
      <c r="R57" s="182"/>
      <c r="S57" s="159" t="e">
        <f t="shared" ca="1" si="3"/>
        <v>#N/A</v>
      </c>
      <c r="T57" s="152" t="e">
        <f t="shared" ca="1" si="4"/>
        <v>#N/A</v>
      </c>
      <c r="U57" s="152">
        <f t="shared" si="17"/>
        <v>0</v>
      </c>
      <c r="V57" s="183">
        <f t="shared" ca="1" si="26"/>
        <v>12</v>
      </c>
      <c r="W57" s="184">
        <f t="shared" ca="1" si="24"/>
        <v>44858</v>
      </c>
      <c r="X57" s="152">
        <f ca="1">IF(V57&gt;$O$22,0,COUNTIFS($V$26:V57,V57,$L$26:L57,0))</f>
        <v>1</v>
      </c>
      <c r="Y57" s="152">
        <f t="shared" ca="1" si="18"/>
        <v>1</v>
      </c>
      <c r="Z57" s="152" t="e">
        <f t="shared" ca="1" si="19"/>
        <v>#N/A</v>
      </c>
      <c r="AA57" s="152" t="str">
        <f t="shared" ca="1" si="20"/>
        <v>Interest due 24/10/22 to 24/11/22</v>
      </c>
      <c r="AB57" s="152" t="str">
        <f t="shared" ca="1" si="12"/>
        <v>Interest due 24/10/22 to 24/11/22</v>
      </c>
      <c r="AC57" s="152" t="e">
        <f t="shared" ca="1" si="13"/>
        <v>#N/A</v>
      </c>
      <c r="AD57" s="128" t="e">
        <f t="shared" ca="1" si="14"/>
        <v>#N/A</v>
      </c>
      <c r="AE57" s="67" t="e">
        <f t="shared" ca="1" si="15"/>
        <v>#N/A</v>
      </c>
    </row>
    <row r="58" spans="2:31" x14ac:dyDescent="0.4">
      <c r="B58" s="160">
        <f t="shared" ca="1" si="21"/>
        <v>44858</v>
      </c>
      <c r="C58" s="127" t="e">
        <f t="shared" ca="1" si="22"/>
        <v>#N/A</v>
      </c>
      <c r="D58" s="187"/>
      <c r="E58" s="188" t="str">
        <f t="shared" ca="1" si="27"/>
        <v/>
      </c>
      <c r="F58" s="189" t="str">
        <f t="shared" ca="1" si="27"/>
        <v/>
      </c>
      <c r="G58" s="188" t="e">
        <f t="shared" ca="1" si="27"/>
        <v>#N/A</v>
      </c>
      <c r="H58" s="190" t="str">
        <f t="shared" ca="1" si="27"/>
        <v/>
      </c>
      <c r="I58" s="189" t="str">
        <f t="shared" ca="1" si="27"/>
        <v/>
      </c>
      <c r="J58" s="167" t="e">
        <f t="shared" ca="1" si="25"/>
        <v>#N/A</v>
      </c>
      <c r="K58" s="179"/>
      <c r="L58" s="130">
        <f t="shared" si="8"/>
        <v>0</v>
      </c>
      <c r="M58" s="180">
        <f t="shared" ca="1" si="16"/>
        <v>44858</v>
      </c>
      <c r="N58" s="181"/>
      <c r="O58" s="179" t="str">
        <f t="shared" si="9"/>
        <v/>
      </c>
      <c r="P58" s="179"/>
      <c r="Q58" s="130">
        <f t="shared" si="10"/>
        <v>0</v>
      </c>
      <c r="R58" s="182"/>
      <c r="S58" s="159" t="e">
        <f t="shared" ca="1" si="3"/>
        <v>#N/A</v>
      </c>
      <c r="T58" s="152" t="e">
        <f t="shared" ca="1" si="4"/>
        <v>#N/A</v>
      </c>
      <c r="U58" s="152">
        <f t="shared" si="17"/>
        <v>0</v>
      </c>
      <c r="V58" s="183">
        <f t="shared" ca="1" si="26"/>
        <v>12</v>
      </c>
      <c r="W58" s="184">
        <f t="shared" ca="1" si="24"/>
        <v>44858</v>
      </c>
      <c r="X58" s="152">
        <f ca="1">IF(V58&gt;$O$22,0,COUNTIFS($V$26:V58,V58,$L$26:L58,0))</f>
        <v>2</v>
      </c>
      <c r="Y58" s="152">
        <f t="shared" ca="1" si="18"/>
        <v>3</v>
      </c>
      <c r="Z58" s="152" t="e">
        <f t="shared" ca="1" si="19"/>
        <v>#N/A</v>
      </c>
      <c r="AA58" s="152" t="e">
        <f t="shared" ca="1" si="20"/>
        <v>#N/A</v>
      </c>
      <c r="AB58" s="152" t="str">
        <f t="shared" ca="1" si="12"/>
        <v>Interest due 24/10/22 to 24/11/22</v>
      </c>
      <c r="AC58" s="152" t="e">
        <f t="shared" ca="1" si="13"/>
        <v>#N/A</v>
      </c>
      <c r="AD58" s="128" t="e">
        <f t="shared" ca="1" si="14"/>
        <v>#N/A</v>
      </c>
      <c r="AE58" s="67" t="e">
        <f t="shared" ca="1" si="15"/>
        <v>#N/A</v>
      </c>
    </row>
    <row r="59" spans="2:31" x14ac:dyDescent="0.4">
      <c r="B59" s="160">
        <f t="shared" ca="1" si="21"/>
        <v>44889</v>
      </c>
      <c r="C59" s="127" t="str">
        <f t="shared" ca="1" si="22"/>
        <v>Interest due 24/11/22 to 24/12/22</v>
      </c>
      <c r="D59" s="187"/>
      <c r="E59" s="188" t="e">
        <f t="shared" ref="E59:I68" ca="1" si="28">IF($Y59=E$24,$Z59,"")</f>
        <v>#N/A</v>
      </c>
      <c r="F59" s="189" t="str">
        <f t="shared" ca="1" si="28"/>
        <v/>
      </c>
      <c r="G59" s="188" t="str">
        <f t="shared" ca="1" si="28"/>
        <v/>
      </c>
      <c r="H59" s="190" t="str">
        <f t="shared" ca="1" si="28"/>
        <v/>
      </c>
      <c r="I59" s="189" t="str">
        <f t="shared" ca="1" si="28"/>
        <v/>
      </c>
      <c r="J59" s="167" t="e">
        <f t="shared" ca="1" si="25"/>
        <v>#N/A</v>
      </c>
      <c r="K59" s="179"/>
      <c r="L59" s="130">
        <f t="shared" si="8"/>
        <v>0</v>
      </c>
      <c r="M59" s="180">
        <f t="shared" ca="1" si="16"/>
        <v>44889</v>
      </c>
      <c r="N59" s="181"/>
      <c r="O59" s="179" t="str">
        <f t="shared" si="9"/>
        <v/>
      </c>
      <c r="P59" s="179"/>
      <c r="Q59" s="130">
        <f t="shared" si="10"/>
        <v>0</v>
      </c>
      <c r="R59" s="182"/>
      <c r="S59" s="159" t="e">
        <f t="shared" ca="1" si="3"/>
        <v>#N/A</v>
      </c>
      <c r="T59" s="152" t="e">
        <f t="shared" ca="1" si="4"/>
        <v>#N/A</v>
      </c>
      <c r="U59" s="152">
        <f t="shared" si="17"/>
        <v>0</v>
      </c>
      <c r="V59" s="183">
        <f t="shared" ca="1" si="26"/>
        <v>13</v>
      </c>
      <c r="W59" s="184">
        <f t="shared" ca="1" si="24"/>
        <v>44889</v>
      </c>
      <c r="X59" s="152">
        <f ca="1">IF(V59&gt;$O$22,0,COUNTIFS($V$26:V59,V59,$L$26:L59,0))</f>
        <v>1</v>
      </c>
      <c r="Y59" s="152">
        <f t="shared" ca="1" si="18"/>
        <v>1</v>
      </c>
      <c r="Z59" s="152" t="e">
        <f t="shared" ca="1" si="19"/>
        <v>#N/A</v>
      </c>
      <c r="AA59" s="152" t="str">
        <f t="shared" ca="1" si="20"/>
        <v>Interest due 24/11/22 to 24/12/22</v>
      </c>
      <c r="AB59" s="152" t="str">
        <f t="shared" ca="1" si="12"/>
        <v>Interest due 24/11/22 to 24/12/22</v>
      </c>
      <c r="AC59" s="152" t="e">
        <f t="shared" ca="1" si="13"/>
        <v>#N/A</v>
      </c>
      <c r="AD59" s="128" t="e">
        <f t="shared" ca="1" si="14"/>
        <v>#N/A</v>
      </c>
      <c r="AE59" s="67" t="e">
        <f t="shared" ca="1" si="15"/>
        <v>#N/A</v>
      </c>
    </row>
    <row r="60" spans="2:31" x14ac:dyDescent="0.4">
      <c r="B60" s="160">
        <f t="shared" ca="1" si="21"/>
        <v>44889</v>
      </c>
      <c r="C60" s="127" t="e">
        <f t="shared" ca="1" si="22"/>
        <v>#N/A</v>
      </c>
      <c r="D60" s="187"/>
      <c r="E60" s="188" t="str">
        <f t="shared" ca="1" si="28"/>
        <v/>
      </c>
      <c r="F60" s="189" t="str">
        <f t="shared" ca="1" si="28"/>
        <v/>
      </c>
      <c r="G60" s="188" t="e">
        <f t="shared" ca="1" si="28"/>
        <v>#N/A</v>
      </c>
      <c r="H60" s="190" t="str">
        <f t="shared" ca="1" si="28"/>
        <v/>
      </c>
      <c r="I60" s="189" t="str">
        <f t="shared" ca="1" si="28"/>
        <v/>
      </c>
      <c r="J60" s="167" t="e">
        <f t="shared" ca="1" si="25"/>
        <v>#N/A</v>
      </c>
      <c r="K60" s="179"/>
      <c r="L60" s="130">
        <f t="shared" si="8"/>
        <v>0</v>
      </c>
      <c r="M60" s="180">
        <f t="shared" ca="1" si="16"/>
        <v>44889</v>
      </c>
      <c r="N60" s="181"/>
      <c r="O60" s="179" t="str">
        <f t="shared" si="9"/>
        <v/>
      </c>
      <c r="P60" s="179"/>
      <c r="Q60" s="130">
        <f t="shared" si="10"/>
        <v>0</v>
      </c>
      <c r="R60" s="182"/>
      <c r="S60" s="159" t="e">
        <f t="shared" ca="1" si="3"/>
        <v>#N/A</v>
      </c>
      <c r="T60" s="152" t="e">
        <f t="shared" ca="1" si="4"/>
        <v>#N/A</v>
      </c>
      <c r="U60" s="152">
        <f t="shared" si="17"/>
        <v>0</v>
      </c>
      <c r="V60" s="183">
        <f t="shared" ca="1" si="26"/>
        <v>13</v>
      </c>
      <c r="W60" s="184">
        <f t="shared" ca="1" si="24"/>
        <v>44889</v>
      </c>
      <c r="X60" s="152">
        <f ca="1">IF(V60&gt;$O$22,0,COUNTIFS($V$26:V60,V60,$L$26:L60,0))</f>
        <v>2</v>
      </c>
      <c r="Y60" s="152">
        <f t="shared" ca="1" si="18"/>
        <v>3</v>
      </c>
      <c r="Z60" s="152" t="e">
        <f t="shared" ca="1" si="19"/>
        <v>#N/A</v>
      </c>
      <c r="AA60" s="152" t="e">
        <f t="shared" ca="1" si="20"/>
        <v>#N/A</v>
      </c>
      <c r="AB60" s="152" t="str">
        <f t="shared" ca="1" si="12"/>
        <v>Interest due 24/11/22 to 24/12/22</v>
      </c>
      <c r="AC60" s="152" t="e">
        <f t="shared" ca="1" si="13"/>
        <v>#N/A</v>
      </c>
      <c r="AD60" s="128" t="e">
        <f t="shared" ca="1" si="14"/>
        <v>#N/A</v>
      </c>
      <c r="AE60" s="67" t="e">
        <f t="shared" ca="1" si="15"/>
        <v>#N/A</v>
      </c>
    </row>
    <row r="61" spans="2:31" x14ac:dyDescent="0.4">
      <c r="B61" s="160">
        <f t="shared" ca="1" si="21"/>
        <v>44919</v>
      </c>
      <c r="C61" s="127" t="str">
        <f t="shared" ca="1" si="22"/>
        <v>Interest due 24/12/22 to 24/01/23</v>
      </c>
      <c r="D61" s="187"/>
      <c r="E61" s="188" t="e">
        <f t="shared" ca="1" si="28"/>
        <v>#N/A</v>
      </c>
      <c r="F61" s="189" t="str">
        <f t="shared" ca="1" si="28"/>
        <v/>
      </c>
      <c r="G61" s="188" t="str">
        <f t="shared" ca="1" si="28"/>
        <v/>
      </c>
      <c r="H61" s="190" t="str">
        <f t="shared" ca="1" si="28"/>
        <v/>
      </c>
      <c r="I61" s="189" t="str">
        <f t="shared" ca="1" si="28"/>
        <v/>
      </c>
      <c r="J61" s="167" t="e">
        <f t="shared" ca="1" si="25"/>
        <v>#N/A</v>
      </c>
      <c r="K61" s="179"/>
      <c r="L61" s="130">
        <f t="shared" si="8"/>
        <v>0</v>
      </c>
      <c r="M61" s="180">
        <f t="shared" ca="1" si="16"/>
        <v>44919</v>
      </c>
      <c r="N61" s="181"/>
      <c r="O61" s="179" t="str">
        <f t="shared" si="9"/>
        <v/>
      </c>
      <c r="P61" s="179"/>
      <c r="Q61" s="130">
        <f t="shared" si="10"/>
        <v>0</v>
      </c>
      <c r="R61" s="182"/>
      <c r="S61" s="159" t="e">
        <f t="shared" ca="1" si="3"/>
        <v>#N/A</v>
      </c>
      <c r="T61" s="152" t="e">
        <f t="shared" ca="1" si="4"/>
        <v>#N/A</v>
      </c>
      <c r="U61" s="152">
        <f t="shared" si="17"/>
        <v>0</v>
      </c>
      <c r="V61" s="183">
        <f t="shared" ca="1" si="26"/>
        <v>14</v>
      </c>
      <c r="W61" s="184">
        <f t="shared" ca="1" si="24"/>
        <v>44919</v>
      </c>
      <c r="X61" s="152">
        <f ca="1">IF(V61&gt;$O$22,0,COUNTIFS($V$26:V61,V61,$L$26:L61,0))</f>
        <v>1</v>
      </c>
      <c r="Y61" s="152">
        <f t="shared" ca="1" si="18"/>
        <v>1</v>
      </c>
      <c r="Z61" s="152" t="e">
        <f t="shared" ca="1" si="19"/>
        <v>#N/A</v>
      </c>
      <c r="AA61" s="152" t="str">
        <f t="shared" ca="1" si="20"/>
        <v>Interest due 24/12/22 to 24/01/23</v>
      </c>
      <c r="AB61" s="152" t="str">
        <f t="shared" ca="1" si="12"/>
        <v>Interest due 24/12/22 to 24/01/23</v>
      </c>
      <c r="AC61" s="152" t="e">
        <f t="shared" ca="1" si="13"/>
        <v>#N/A</v>
      </c>
      <c r="AD61" s="128" t="e">
        <f t="shared" ca="1" si="14"/>
        <v>#N/A</v>
      </c>
      <c r="AE61" s="67" t="e">
        <f t="shared" ca="1" si="15"/>
        <v>#N/A</v>
      </c>
    </row>
    <row r="62" spans="2:31" x14ac:dyDescent="0.4">
      <c r="B62" s="160">
        <f t="shared" ca="1" si="21"/>
        <v>44919</v>
      </c>
      <c r="C62" s="127" t="e">
        <f t="shared" ca="1" si="22"/>
        <v>#N/A</v>
      </c>
      <c r="D62" s="187"/>
      <c r="E62" s="188" t="str">
        <f t="shared" ca="1" si="28"/>
        <v/>
      </c>
      <c r="F62" s="189" t="str">
        <f t="shared" ca="1" si="28"/>
        <v/>
      </c>
      <c r="G62" s="188" t="e">
        <f t="shared" ca="1" si="28"/>
        <v>#N/A</v>
      </c>
      <c r="H62" s="190" t="str">
        <f t="shared" ca="1" si="28"/>
        <v/>
      </c>
      <c r="I62" s="189" t="str">
        <f t="shared" ca="1" si="28"/>
        <v/>
      </c>
      <c r="J62" s="167" t="e">
        <f t="shared" ca="1" si="25"/>
        <v>#N/A</v>
      </c>
      <c r="K62" s="179"/>
      <c r="L62" s="130">
        <f t="shared" si="8"/>
        <v>0</v>
      </c>
      <c r="M62" s="180">
        <f t="shared" ca="1" si="16"/>
        <v>44919</v>
      </c>
      <c r="N62" s="181"/>
      <c r="O62" s="179" t="str">
        <f t="shared" si="9"/>
        <v/>
      </c>
      <c r="P62" s="179"/>
      <c r="Q62" s="130">
        <f t="shared" si="10"/>
        <v>0</v>
      </c>
      <c r="R62" s="182"/>
      <c r="S62" s="159" t="e">
        <f t="shared" ca="1" si="3"/>
        <v>#N/A</v>
      </c>
      <c r="T62" s="152" t="e">
        <f t="shared" ca="1" si="4"/>
        <v>#N/A</v>
      </c>
      <c r="U62" s="152">
        <f t="shared" si="17"/>
        <v>0</v>
      </c>
      <c r="V62" s="183">
        <f t="shared" ca="1" si="26"/>
        <v>14</v>
      </c>
      <c r="W62" s="184">
        <f t="shared" ca="1" si="24"/>
        <v>44919</v>
      </c>
      <c r="X62" s="152">
        <f ca="1">IF(V62&gt;$O$22,0,COUNTIFS($V$26:V62,V62,$L$26:L62,0))</f>
        <v>2</v>
      </c>
      <c r="Y62" s="152">
        <f t="shared" ca="1" si="18"/>
        <v>3</v>
      </c>
      <c r="Z62" s="152" t="e">
        <f t="shared" ca="1" si="19"/>
        <v>#N/A</v>
      </c>
      <c r="AA62" s="152" t="e">
        <f t="shared" ca="1" si="20"/>
        <v>#N/A</v>
      </c>
      <c r="AB62" s="152" t="str">
        <f t="shared" ca="1" si="12"/>
        <v>Interest due 24/12/22 to 24/01/23</v>
      </c>
      <c r="AC62" s="152" t="e">
        <f t="shared" ca="1" si="13"/>
        <v>#N/A</v>
      </c>
      <c r="AD62" s="128" t="e">
        <f t="shared" ca="1" si="14"/>
        <v>#N/A</v>
      </c>
      <c r="AE62" s="67" t="e">
        <f t="shared" ca="1" si="15"/>
        <v>#N/A</v>
      </c>
    </row>
    <row r="63" spans="2:31" x14ac:dyDescent="0.4">
      <c r="B63" s="160">
        <f t="shared" ca="1" si="21"/>
        <v>44950</v>
      </c>
      <c r="C63" s="127" t="str">
        <f t="shared" ca="1" si="22"/>
        <v>Interest due 24/01/23 to 24/02/23</v>
      </c>
      <c r="D63" s="187"/>
      <c r="E63" s="188" t="e">
        <f t="shared" ca="1" si="28"/>
        <v>#N/A</v>
      </c>
      <c r="F63" s="189" t="str">
        <f t="shared" ca="1" si="28"/>
        <v/>
      </c>
      <c r="G63" s="188" t="str">
        <f t="shared" ca="1" si="28"/>
        <v/>
      </c>
      <c r="H63" s="190" t="str">
        <f t="shared" ca="1" si="28"/>
        <v/>
      </c>
      <c r="I63" s="189" t="str">
        <f t="shared" ca="1" si="28"/>
        <v/>
      </c>
      <c r="J63" s="167" t="e">
        <f t="shared" ca="1" si="25"/>
        <v>#N/A</v>
      </c>
      <c r="K63" s="179"/>
      <c r="L63" s="130">
        <f t="shared" si="8"/>
        <v>0</v>
      </c>
      <c r="M63" s="180">
        <f t="shared" ca="1" si="16"/>
        <v>44950</v>
      </c>
      <c r="N63" s="181"/>
      <c r="O63" s="179" t="str">
        <f t="shared" si="9"/>
        <v/>
      </c>
      <c r="P63" s="179"/>
      <c r="Q63" s="130">
        <f t="shared" si="10"/>
        <v>0</v>
      </c>
      <c r="R63" s="182"/>
      <c r="S63" s="159" t="e">
        <f t="shared" ca="1" si="3"/>
        <v>#N/A</v>
      </c>
      <c r="T63" s="152" t="e">
        <f t="shared" ca="1" si="4"/>
        <v>#N/A</v>
      </c>
      <c r="U63" s="152">
        <f t="shared" si="17"/>
        <v>0</v>
      </c>
      <c r="V63" s="183">
        <f t="shared" ca="1" si="26"/>
        <v>15</v>
      </c>
      <c r="W63" s="184">
        <f t="shared" ca="1" si="24"/>
        <v>44950</v>
      </c>
      <c r="X63" s="152">
        <f ca="1">IF(V63&gt;$O$22,0,COUNTIFS($V$26:V63,V63,$L$26:L63,0))</f>
        <v>1</v>
      </c>
      <c r="Y63" s="152">
        <f t="shared" ca="1" si="18"/>
        <v>1</v>
      </c>
      <c r="Z63" s="152" t="e">
        <f t="shared" ca="1" si="19"/>
        <v>#N/A</v>
      </c>
      <c r="AA63" s="152" t="str">
        <f t="shared" ca="1" si="20"/>
        <v>Interest due 24/01/23 to 24/02/23</v>
      </c>
      <c r="AB63" s="152" t="str">
        <f t="shared" ca="1" si="12"/>
        <v>Interest due 24/01/23 to 24/02/23</v>
      </c>
      <c r="AC63" s="152" t="e">
        <f t="shared" ca="1" si="13"/>
        <v>#N/A</v>
      </c>
      <c r="AD63" s="128" t="e">
        <f t="shared" ca="1" si="14"/>
        <v>#N/A</v>
      </c>
      <c r="AE63" s="67" t="e">
        <f t="shared" ca="1" si="15"/>
        <v>#N/A</v>
      </c>
    </row>
    <row r="64" spans="2:31" x14ac:dyDescent="0.4">
      <c r="B64" s="160">
        <f t="shared" ca="1" si="21"/>
        <v>44950</v>
      </c>
      <c r="C64" s="127" t="e">
        <f t="shared" ca="1" si="22"/>
        <v>#N/A</v>
      </c>
      <c r="D64" s="187"/>
      <c r="E64" s="188" t="str">
        <f t="shared" ca="1" si="28"/>
        <v/>
      </c>
      <c r="F64" s="189" t="str">
        <f t="shared" ca="1" si="28"/>
        <v/>
      </c>
      <c r="G64" s="188" t="e">
        <f t="shared" ca="1" si="28"/>
        <v>#N/A</v>
      </c>
      <c r="H64" s="190" t="str">
        <f t="shared" ca="1" si="28"/>
        <v/>
      </c>
      <c r="I64" s="189" t="str">
        <f t="shared" ca="1" si="28"/>
        <v/>
      </c>
      <c r="J64" s="167" t="e">
        <f t="shared" ca="1" si="25"/>
        <v>#N/A</v>
      </c>
      <c r="K64" s="179"/>
      <c r="L64" s="130">
        <f t="shared" si="8"/>
        <v>0</v>
      </c>
      <c r="M64" s="180">
        <f t="shared" ca="1" si="16"/>
        <v>44950</v>
      </c>
      <c r="N64" s="181"/>
      <c r="O64" s="179" t="str">
        <f t="shared" ref="O64:O92" si="29">IFERROR(IF(L64=0,"",IF(L64&lt;=2,AB64,INDEX($N$1:$N$10,MATCH(K64,$K$1:$K$10,0)))),"")</f>
        <v/>
      </c>
      <c r="P64" s="179"/>
      <c r="Q64" s="130">
        <f t="shared" si="10"/>
        <v>0</v>
      </c>
      <c r="R64" s="182"/>
      <c r="S64" s="159" t="e">
        <f t="shared" ca="1" si="3"/>
        <v>#N/A</v>
      </c>
      <c r="T64" s="152" t="e">
        <f t="shared" ca="1" si="4"/>
        <v>#N/A</v>
      </c>
      <c r="U64" s="152">
        <f t="shared" si="17"/>
        <v>0</v>
      </c>
      <c r="V64" s="183">
        <f t="shared" ca="1" si="26"/>
        <v>15</v>
      </c>
      <c r="W64" s="184">
        <f t="shared" ca="1" si="24"/>
        <v>44950</v>
      </c>
      <c r="X64" s="152">
        <f ca="1">IF(V64&gt;$O$22,0,COUNTIFS($V$26:V64,V64,$L$26:L64,0))</f>
        <v>2</v>
      </c>
      <c r="Y64" s="152">
        <f t="shared" ca="1" si="18"/>
        <v>3</v>
      </c>
      <c r="Z64" s="152" t="e">
        <f t="shared" ca="1" si="19"/>
        <v>#N/A</v>
      </c>
      <c r="AA64" s="152" t="e">
        <f t="shared" ca="1" si="20"/>
        <v>#N/A</v>
      </c>
      <c r="AB64" s="152" t="str">
        <f t="shared" ref="AB64:AB95" ca="1" si="30">IF(Q64=1,"Default ","")&amp;"Interest due "&amp;TEXT(B64,"dd/mm/yy")&amp;" to "&amp;TEXT(DATE(YEAR(B64),MONTH(B64)+1,DAY(B64)),"dd/mm/yy")</f>
        <v>Interest due 24/01/23 to 24/02/23</v>
      </c>
      <c r="AC64" s="152" t="e">
        <f t="shared" ref="AC64:AC95" ca="1" si="31">IF(V64&lt;=$D$13,1,0)</f>
        <v>#N/A</v>
      </c>
      <c r="AD64" s="128" t="e">
        <f t="shared" ref="AD64:AD95" ca="1" si="32">IF(AC64=1,$AD$23,$AD$24)</f>
        <v>#N/A</v>
      </c>
      <c r="AE64" s="67" t="e">
        <f t="shared" ref="AE64:AE95" ca="1" si="33">SUMIFS(T:T,W:W,W64,Y:Y,1)</f>
        <v>#N/A</v>
      </c>
    </row>
    <row r="65" spans="2:31" x14ac:dyDescent="0.4">
      <c r="B65" s="160">
        <f t="shared" ca="1" si="21"/>
        <v>44981</v>
      </c>
      <c r="C65" s="127" t="str">
        <f t="shared" ca="1" si="22"/>
        <v>Interest due 24/02/23 to 24/03/23</v>
      </c>
      <c r="D65" s="187"/>
      <c r="E65" s="188" t="e">
        <f t="shared" ca="1" si="28"/>
        <v>#N/A</v>
      </c>
      <c r="F65" s="189" t="str">
        <f t="shared" ca="1" si="28"/>
        <v/>
      </c>
      <c r="G65" s="188" t="str">
        <f t="shared" ca="1" si="28"/>
        <v/>
      </c>
      <c r="H65" s="190" t="str">
        <f t="shared" ca="1" si="28"/>
        <v/>
      </c>
      <c r="I65" s="189" t="str">
        <f t="shared" ca="1" si="28"/>
        <v/>
      </c>
      <c r="J65" s="167" t="e">
        <f t="shared" ca="1" si="25"/>
        <v>#N/A</v>
      </c>
      <c r="K65" s="179"/>
      <c r="L65" s="130">
        <f t="shared" si="8"/>
        <v>0</v>
      </c>
      <c r="M65" s="180">
        <f t="shared" ca="1" si="16"/>
        <v>44981</v>
      </c>
      <c r="N65" s="181"/>
      <c r="O65" s="179" t="str">
        <f t="shared" si="29"/>
        <v/>
      </c>
      <c r="P65" s="179"/>
      <c r="Q65" s="130">
        <f t="shared" si="10"/>
        <v>0</v>
      </c>
      <c r="R65" s="182"/>
      <c r="S65" s="159" t="e">
        <f t="shared" ca="1" si="3"/>
        <v>#N/A</v>
      </c>
      <c r="T65" s="152" t="e">
        <f t="shared" ca="1" si="4"/>
        <v>#N/A</v>
      </c>
      <c r="U65" s="152">
        <f t="shared" si="17"/>
        <v>0</v>
      </c>
      <c r="V65" s="183">
        <f t="shared" ca="1" si="26"/>
        <v>16</v>
      </c>
      <c r="W65" s="184">
        <f t="shared" ca="1" si="24"/>
        <v>44981</v>
      </c>
      <c r="X65" s="152">
        <f ca="1">IF(V65&gt;$O$22,0,COUNTIFS($V$26:V65,V65,$L$26:L65,0))</f>
        <v>1</v>
      </c>
      <c r="Y65" s="152">
        <f t="shared" ca="1" si="18"/>
        <v>1</v>
      </c>
      <c r="Z65" s="152" t="e">
        <f t="shared" ca="1" si="19"/>
        <v>#N/A</v>
      </c>
      <c r="AA65" s="152" t="str">
        <f t="shared" ca="1" si="20"/>
        <v>Interest due 24/02/23 to 24/03/23</v>
      </c>
      <c r="AB65" s="152" t="str">
        <f t="shared" ca="1" si="30"/>
        <v>Interest due 24/02/23 to 24/03/23</v>
      </c>
      <c r="AC65" s="152" t="e">
        <f t="shared" ca="1" si="31"/>
        <v>#N/A</v>
      </c>
      <c r="AD65" s="128" t="e">
        <f t="shared" ca="1" si="32"/>
        <v>#N/A</v>
      </c>
      <c r="AE65" s="67" t="e">
        <f t="shared" ca="1" si="33"/>
        <v>#N/A</v>
      </c>
    </row>
    <row r="66" spans="2:31" x14ac:dyDescent="0.4">
      <c r="B66" s="160">
        <f t="shared" ca="1" si="21"/>
        <v>44981</v>
      </c>
      <c r="C66" s="127" t="e">
        <f t="shared" ca="1" si="22"/>
        <v>#N/A</v>
      </c>
      <c r="D66" s="187"/>
      <c r="E66" s="188" t="str">
        <f t="shared" ca="1" si="28"/>
        <v/>
      </c>
      <c r="F66" s="189" t="str">
        <f t="shared" ca="1" si="28"/>
        <v/>
      </c>
      <c r="G66" s="188" t="e">
        <f t="shared" ca="1" si="28"/>
        <v>#N/A</v>
      </c>
      <c r="H66" s="190" t="str">
        <f t="shared" ca="1" si="28"/>
        <v/>
      </c>
      <c r="I66" s="189" t="str">
        <f t="shared" ca="1" si="28"/>
        <v/>
      </c>
      <c r="J66" s="167" t="e">
        <f t="shared" ca="1" si="25"/>
        <v>#N/A</v>
      </c>
      <c r="K66" s="179"/>
      <c r="L66" s="130">
        <f t="shared" si="8"/>
        <v>0</v>
      </c>
      <c r="M66" s="180">
        <f t="shared" ca="1" si="16"/>
        <v>44981</v>
      </c>
      <c r="N66" s="181"/>
      <c r="O66" s="179" t="str">
        <f t="shared" si="29"/>
        <v/>
      </c>
      <c r="P66" s="179"/>
      <c r="Q66" s="130">
        <f t="shared" si="10"/>
        <v>0</v>
      </c>
      <c r="R66" s="182"/>
      <c r="S66" s="159" t="e">
        <f t="shared" ca="1" si="3"/>
        <v>#N/A</v>
      </c>
      <c r="T66" s="152" t="e">
        <f t="shared" ca="1" si="4"/>
        <v>#N/A</v>
      </c>
      <c r="U66" s="152">
        <f t="shared" si="17"/>
        <v>0</v>
      </c>
      <c r="V66" s="183">
        <f t="shared" ca="1" si="26"/>
        <v>16</v>
      </c>
      <c r="W66" s="184">
        <f t="shared" ca="1" si="24"/>
        <v>44981</v>
      </c>
      <c r="X66" s="152">
        <f ca="1">IF(V66&gt;$O$22,0,COUNTIFS($V$26:V66,V66,$L$26:L66,0))</f>
        <v>2</v>
      </c>
      <c r="Y66" s="152">
        <f t="shared" ca="1" si="18"/>
        <v>3</v>
      </c>
      <c r="Z66" s="152" t="e">
        <f t="shared" ca="1" si="19"/>
        <v>#N/A</v>
      </c>
      <c r="AA66" s="152" t="e">
        <f t="shared" ca="1" si="20"/>
        <v>#N/A</v>
      </c>
      <c r="AB66" s="152" t="str">
        <f t="shared" ca="1" si="30"/>
        <v>Interest due 24/02/23 to 24/03/23</v>
      </c>
      <c r="AC66" s="152" t="e">
        <f t="shared" ca="1" si="31"/>
        <v>#N/A</v>
      </c>
      <c r="AD66" s="128" t="e">
        <f t="shared" ca="1" si="32"/>
        <v>#N/A</v>
      </c>
      <c r="AE66" s="67" t="e">
        <f t="shared" ca="1" si="33"/>
        <v>#N/A</v>
      </c>
    </row>
    <row r="67" spans="2:31" x14ac:dyDescent="0.4">
      <c r="B67" s="160">
        <f t="shared" ca="1" si="21"/>
        <v>45009</v>
      </c>
      <c r="C67" s="127" t="str">
        <f t="shared" ca="1" si="22"/>
        <v>Interest due 24/03/23 to 24/04/23</v>
      </c>
      <c r="D67" s="187"/>
      <c r="E67" s="188" t="e">
        <f t="shared" ca="1" si="28"/>
        <v>#N/A</v>
      </c>
      <c r="F67" s="189" t="str">
        <f t="shared" ca="1" si="28"/>
        <v/>
      </c>
      <c r="G67" s="188" t="str">
        <f t="shared" ca="1" si="28"/>
        <v/>
      </c>
      <c r="H67" s="190" t="str">
        <f t="shared" ca="1" si="28"/>
        <v/>
      </c>
      <c r="I67" s="189" t="str">
        <f t="shared" ca="1" si="28"/>
        <v/>
      </c>
      <c r="J67" s="167" t="e">
        <f t="shared" ca="1" si="25"/>
        <v>#N/A</v>
      </c>
      <c r="K67" s="179"/>
      <c r="L67" s="130">
        <f t="shared" si="8"/>
        <v>0</v>
      </c>
      <c r="M67" s="180">
        <f t="shared" ca="1" si="16"/>
        <v>45009</v>
      </c>
      <c r="N67" s="181"/>
      <c r="O67" s="179" t="str">
        <f t="shared" si="29"/>
        <v/>
      </c>
      <c r="P67" s="179"/>
      <c r="Q67" s="130">
        <f t="shared" si="10"/>
        <v>0</v>
      </c>
      <c r="R67" s="182"/>
      <c r="S67" s="159" t="e">
        <f t="shared" ca="1" si="3"/>
        <v>#N/A</v>
      </c>
      <c r="T67" s="152" t="e">
        <f t="shared" ca="1" si="4"/>
        <v>#N/A</v>
      </c>
      <c r="U67" s="152">
        <f t="shared" si="17"/>
        <v>0</v>
      </c>
      <c r="V67" s="183">
        <f t="shared" ca="1" si="26"/>
        <v>17</v>
      </c>
      <c r="W67" s="184">
        <f t="shared" ca="1" si="24"/>
        <v>45009</v>
      </c>
      <c r="X67" s="152">
        <f ca="1">IF(V67&gt;$O$22,0,COUNTIFS($V$26:V67,V67,$L$26:L67,0))</f>
        <v>1</v>
      </c>
      <c r="Y67" s="152">
        <f t="shared" ca="1" si="18"/>
        <v>1</v>
      </c>
      <c r="Z67" s="152" t="e">
        <f t="shared" ca="1" si="19"/>
        <v>#N/A</v>
      </c>
      <c r="AA67" s="152" t="str">
        <f t="shared" ca="1" si="20"/>
        <v>Interest due 24/03/23 to 24/04/23</v>
      </c>
      <c r="AB67" s="152" t="str">
        <f t="shared" ca="1" si="30"/>
        <v>Interest due 24/03/23 to 24/04/23</v>
      </c>
      <c r="AC67" s="152" t="e">
        <f t="shared" ca="1" si="31"/>
        <v>#N/A</v>
      </c>
      <c r="AD67" s="128" t="e">
        <f t="shared" ca="1" si="32"/>
        <v>#N/A</v>
      </c>
      <c r="AE67" s="67" t="e">
        <f t="shared" ca="1" si="33"/>
        <v>#N/A</v>
      </c>
    </row>
    <row r="68" spans="2:31" x14ac:dyDescent="0.4">
      <c r="B68" s="160">
        <f t="shared" ca="1" si="21"/>
        <v>45009</v>
      </c>
      <c r="C68" s="127" t="e">
        <f t="shared" ca="1" si="22"/>
        <v>#N/A</v>
      </c>
      <c r="D68" s="187"/>
      <c r="E68" s="188" t="str">
        <f t="shared" ca="1" si="28"/>
        <v/>
      </c>
      <c r="F68" s="189" t="str">
        <f t="shared" ca="1" si="28"/>
        <v/>
      </c>
      <c r="G68" s="188" t="e">
        <f t="shared" ca="1" si="28"/>
        <v>#N/A</v>
      </c>
      <c r="H68" s="190" t="str">
        <f t="shared" ca="1" si="28"/>
        <v/>
      </c>
      <c r="I68" s="189" t="str">
        <f t="shared" ca="1" si="28"/>
        <v/>
      </c>
      <c r="J68" s="167" t="e">
        <f t="shared" ca="1" si="25"/>
        <v>#N/A</v>
      </c>
      <c r="K68" s="179"/>
      <c r="L68" s="130">
        <f t="shared" si="8"/>
        <v>0</v>
      </c>
      <c r="M68" s="180">
        <f t="shared" ca="1" si="16"/>
        <v>45009</v>
      </c>
      <c r="N68" s="181"/>
      <c r="O68" s="179" t="str">
        <f t="shared" si="29"/>
        <v/>
      </c>
      <c r="P68" s="179"/>
      <c r="Q68" s="130">
        <f t="shared" si="10"/>
        <v>0</v>
      </c>
      <c r="R68" s="182"/>
      <c r="S68" s="159" t="e">
        <f t="shared" ca="1" si="3"/>
        <v>#N/A</v>
      </c>
      <c r="T68" s="152" t="e">
        <f t="shared" ca="1" si="4"/>
        <v>#N/A</v>
      </c>
      <c r="U68" s="152">
        <f t="shared" si="17"/>
        <v>0</v>
      </c>
      <c r="V68" s="183">
        <f t="shared" ca="1" si="26"/>
        <v>17</v>
      </c>
      <c r="W68" s="184">
        <f t="shared" ca="1" si="24"/>
        <v>45009</v>
      </c>
      <c r="X68" s="152">
        <f ca="1">IF(V68&gt;$O$22,0,COUNTIFS($V$26:V68,V68,$L$26:L68,0))</f>
        <v>2</v>
      </c>
      <c r="Y68" s="152">
        <f t="shared" ca="1" si="18"/>
        <v>3</v>
      </c>
      <c r="Z68" s="152" t="e">
        <f t="shared" ca="1" si="19"/>
        <v>#N/A</v>
      </c>
      <c r="AA68" s="152" t="e">
        <f t="shared" ca="1" si="20"/>
        <v>#N/A</v>
      </c>
      <c r="AB68" s="152" t="str">
        <f t="shared" ca="1" si="30"/>
        <v>Interest due 24/03/23 to 24/04/23</v>
      </c>
      <c r="AC68" s="152" t="e">
        <f t="shared" ca="1" si="31"/>
        <v>#N/A</v>
      </c>
      <c r="AD68" s="128" t="e">
        <f t="shared" ca="1" si="32"/>
        <v>#N/A</v>
      </c>
      <c r="AE68" s="67" t="e">
        <f t="shared" ca="1" si="33"/>
        <v>#N/A</v>
      </c>
    </row>
    <row r="69" spans="2:31" x14ac:dyDescent="0.4">
      <c r="B69" s="160">
        <f t="shared" ca="1" si="21"/>
        <v>45040</v>
      </c>
      <c r="C69" s="127" t="str">
        <f t="shared" ca="1" si="22"/>
        <v>Interest due 24/04/23 to 24/05/23</v>
      </c>
      <c r="D69" s="187"/>
      <c r="E69" s="188" t="e">
        <f t="shared" ref="E69:I78" ca="1" si="34">IF($Y69=E$24,$Z69,"")</f>
        <v>#N/A</v>
      </c>
      <c r="F69" s="189" t="str">
        <f t="shared" ca="1" si="34"/>
        <v/>
      </c>
      <c r="G69" s="188" t="str">
        <f t="shared" ca="1" si="34"/>
        <v/>
      </c>
      <c r="H69" s="190" t="str">
        <f t="shared" ca="1" si="34"/>
        <v/>
      </c>
      <c r="I69" s="189" t="str">
        <f t="shared" ca="1" si="34"/>
        <v/>
      </c>
      <c r="J69" s="167" t="e">
        <f t="shared" ca="1" si="25"/>
        <v>#N/A</v>
      </c>
      <c r="K69" s="179"/>
      <c r="L69" s="130">
        <f t="shared" si="8"/>
        <v>0</v>
      </c>
      <c r="M69" s="180">
        <f t="shared" ca="1" si="16"/>
        <v>45040</v>
      </c>
      <c r="N69" s="181"/>
      <c r="O69" s="179" t="str">
        <f t="shared" si="29"/>
        <v/>
      </c>
      <c r="P69" s="179"/>
      <c r="Q69" s="130">
        <f t="shared" si="10"/>
        <v>0</v>
      </c>
      <c r="R69" s="182"/>
      <c r="S69" s="159" t="e">
        <f t="shared" ca="1" si="3"/>
        <v>#N/A</v>
      </c>
      <c r="T69" s="152" t="e">
        <f t="shared" ca="1" si="4"/>
        <v>#N/A</v>
      </c>
      <c r="U69" s="152">
        <f t="shared" si="17"/>
        <v>0</v>
      </c>
      <c r="V69" s="183">
        <f t="shared" ca="1" si="26"/>
        <v>18</v>
      </c>
      <c r="W69" s="184">
        <f t="shared" ca="1" si="24"/>
        <v>45040</v>
      </c>
      <c r="X69" s="152">
        <f ca="1">IF(V69&gt;$O$22,0,COUNTIFS($V$26:V69,V69,$L$26:L69,0))</f>
        <v>1</v>
      </c>
      <c r="Y69" s="152">
        <f t="shared" ca="1" si="18"/>
        <v>1</v>
      </c>
      <c r="Z69" s="152" t="e">
        <f t="shared" ca="1" si="19"/>
        <v>#N/A</v>
      </c>
      <c r="AA69" s="152" t="str">
        <f t="shared" ca="1" si="20"/>
        <v>Interest due 24/04/23 to 24/05/23</v>
      </c>
      <c r="AB69" s="152" t="str">
        <f t="shared" ca="1" si="30"/>
        <v>Interest due 24/04/23 to 24/05/23</v>
      </c>
      <c r="AC69" s="152" t="e">
        <f t="shared" ca="1" si="31"/>
        <v>#N/A</v>
      </c>
      <c r="AD69" s="128" t="e">
        <f t="shared" ca="1" si="32"/>
        <v>#N/A</v>
      </c>
      <c r="AE69" s="67" t="e">
        <f t="shared" ca="1" si="33"/>
        <v>#N/A</v>
      </c>
    </row>
    <row r="70" spans="2:31" x14ac:dyDescent="0.4">
      <c r="B70" s="160">
        <f t="shared" ca="1" si="21"/>
        <v>45040</v>
      </c>
      <c r="C70" s="127" t="e">
        <f t="shared" ca="1" si="22"/>
        <v>#N/A</v>
      </c>
      <c r="D70" s="187"/>
      <c r="E70" s="188" t="str">
        <f t="shared" ca="1" si="34"/>
        <v/>
      </c>
      <c r="F70" s="189" t="str">
        <f t="shared" ca="1" si="34"/>
        <v/>
      </c>
      <c r="G70" s="188" t="e">
        <f t="shared" ca="1" si="34"/>
        <v>#N/A</v>
      </c>
      <c r="H70" s="190" t="str">
        <f t="shared" ca="1" si="34"/>
        <v/>
      </c>
      <c r="I70" s="189" t="str">
        <f t="shared" ca="1" si="34"/>
        <v/>
      </c>
      <c r="J70" s="167" t="e">
        <f t="shared" ca="1" si="25"/>
        <v>#N/A</v>
      </c>
      <c r="K70" s="179"/>
      <c r="L70" s="130">
        <f t="shared" si="8"/>
        <v>0</v>
      </c>
      <c r="M70" s="180">
        <f t="shared" ca="1" si="16"/>
        <v>45040</v>
      </c>
      <c r="N70" s="181"/>
      <c r="O70" s="179" t="str">
        <f t="shared" si="29"/>
        <v/>
      </c>
      <c r="P70" s="179"/>
      <c r="Q70" s="130">
        <f t="shared" si="10"/>
        <v>0</v>
      </c>
      <c r="R70" s="182"/>
      <c r="S70" s="159" t="e">
        <f t="shared" ca="1" si="3"/>
        <v>#N/A</v>
      </c>
      <c r="T70" s="152" t="e">
        <f t="shared" ca="1" si="4"/>
        <v>#N/A</v>
      </c>
      <c r="U70" s="152">
        <f t="shared" si="17"/>
        <v>0</v>
      </c>
      <c r="V70" s="183">
        <f t="shared" ca="1" si="26"/>
        <v>18</v>
      </c>
      <c r="W70" s="184">
        <f t="shared" ca="1" si="24"/>
        <v>45040</v>
      </c>
      <c r="X70" s="152">
        <f ca="1">IF(V70&gt;$O$22,0,COUNTIFS($V$26:V70,V70,$L$26:L70,0))</f>
        <v>2</v>
      </c>
      <c r="Y70" s="152">
        <f t="shared" ca="1" si="18"/>
        <v>3</v>
      </c>
      <c r="Z70" s="152" t="e">
        <f t="shared" ca="1" si="19"/>
        <v>#N/A</v>
      </c>
      <c r="AA70" s="152" t="e">
        <f t="shared" ca="1" si="20"/>
        <v>#N/A</v>
      </c>
      <c r="AB70" s="152" t="str">
        <f t="shared" ca="1" si="30"/>
        <v>Interest due 24/04/23 to 24/05/23</v>
      </c>
      <c r="AC70" s="152" t="e">
        <f t="shared" ca="1" si="31"/>
        <v>#N/A</v>
      </c>
      <c r="AD70" s="128" t="e">
        <f t="shared" ca="1" si="32"/>
        <v>#N/A</v>
      </c>
      <c r="AE70" s="67" t="e">
        <f t="shared" ca="1" si="33"/>
        <v>#N/A</v>
      </c>
    </row>
    <row r="71" spans="2:31" x14ac:dyDescent="0.4">
      <c r="B71" s="160">
        <f t="shared" ref="B71:B102" ca="1" si="35">IF(M71="",W71,M71)</f>
        <v>45070</v>
      </c>
      <c r="C71" s="127" t="str">
        <f t="shared" ca="1" si="22"/>
        <v>Interest due 24/05/23 to 24/06/23</v>
      </c>
      <c r="D71" s="187"/>
      <c r="E71" s="188" t="e">
        <f t="shared" ca="1" si="34"/>
        <v>#N/A</v>
      </c>
      <c r="F71" s="189" t="str">
        <f t="shared" ca="1" si="34"/>
        <v/>
      </c>
      <c r="G71" s="188" t="str">
        <f t="shared" ca="1" si="34"/>
        <v/>
      </c>
      <c r="H71" s="190" t="str">
        <f t="shared" ca="1" si="34"/>
        <v/>
      </c>
      <c r="I71" s="189" t="str">
        <f t="shared" ca="1" si="34"/>
        <v/>
      </c>
      <c r="J71" s="167" t="e">
        <f t="shared" ca="1" si="25"/>
        <v>#N/A</v>
      </c>
      <c r="K71" s="179"/>
      <c r="L71" s="130">
        <f t="shared" si="8"/>
        <v>0</v>
      </c>
      <c r="M71" s="180">
        <f t="shared" ca="1" si="16"/>
        <v>45070</v>
      </c>
      <c r="N71" s="181"/>
      <c r="O71" s="179" t="str">
        <f t="shared" si="29"/>
        <v/>
      </c>
      <c r="P71" s="179"/>
      <c r="Q71" s="130">
        <f t="shared" si="10"/>
        <v>0</v>
      </c>
      <c r="R71" s="182"/>
      <c r="S71" s="159" t="e">
        <f t="shared" ca="1" si="3"/>
        <v>#N/A</v>
      </c>
      <c r="T71" s="152" t="e">
        <f t="shared" ca="1" si="4"/>
        <v>#N/A</v>
      </c>
      <c r="U71" s="152">
        <f t="shared" si="17"/>
        <v>0</v>
      </c>
      <c r="V71" s="183">
        <f t="shared" ca="1" si="26"/>
        <v>19</v>
      </c>
      <c r="W71" s="184">
        <f t="shared" ref="W71:W102" ca="1" si="36">IF(V71&gt;$O$22,"",EDATE($W$24,V71))</f>
        <v>45070</v>
      </c>
      <c r="X71" s="152">
        <f ca="1">IF(V71&gt;$O$22,0,COUNTIFS($V$26:V71,V71,$L$26:L71,0))</f>
        <v>1</v>
      </c>
      <c r="Y71" s="152">
        <f t="shared" ca="1" si="18"/>
        <v>1</v>
      </c>
      <c r="Z71" s="152" t="e">
        <f t="shared" ca="1" si="19"/>
        <v>#N/A</v>
      </c>
      <c r="AA71" s="152" t="str">
        <f t="shared" ca="1" si="20"/>
        <v>Interest due 24/05/23 to 24/06/23</v>
      </c>
      <c r="AB71" s="152" t="str">
        <f t="shared" ca="1" si="30"/>
        <v>Interest due 24/05/23 to 24/06/23</v>
      </c>
      <c r="AC71" s="152" t="e">
        <f t="shared" ca="1" si="31"/>
        <v>#N/A</v>
      </c>
      <c r="AD71" s="128" t="e">
        <f t="shared" ca="1" si="32"/>
        <v>#N/A</v>
      </c>
      <c r="AE71" s="67" t="e">
        <f t="shared" ca="1" si="33"/>
        <v>#N/A</v>
      </c>
    </row>
    <row r="72" spans="2:31" x14ac:dyDescent="0.4">
      <c r="B72" s="160">
        <f t="shared" ca="1" si="35"/>
        <v>45070</v>
      </c>
      <c r="C72" s="127" t="e">
        <f t="shared" ca="1" si="22"/>
        <v>#N/A</v>
      </c>
      <c r="D72" s="187"/>
      <c r="E72" s="188" t="str">
        <f t="shared" ca="1" si="34"/>
        <v/>
      </c>
      <c r="F72" s="189" t="str">
        <f t="shared" ca="1" si="34"/>
        <v/>
      </c>
      <c r="G72" s="188" t="e">
        <f t="shared" ca="1" si="34"/>
        <v>#N/A</v>
      </c>
      <c r="H72" s="190" t="str">
        <f t="shared" ca="1" si="34"/>
        <v/>
      </c>
      <c r="I72" s="189" t="str">
        <f t="shared" ca="1" si="34"/>
        <v/>
      </c>
      <c r="J72" s="167" t="e">
        <f t="shared" ca="1" si="25"/>
        <v>#N/A</v>
      </c>
      <c r="K72" s="179"/>
      <c r="L72" s="130">
        <f t="shared" si="8"/>
        <v>0</v>
      </c>
      <c r="M72" s="180">
        <f t="shared" ca="1" si="16"/>
        <v>45070</v>
      </c>
      <c r="N72" s="181"/>
      <c r="O72" s="179" t="str">
        <f t="shared" si="29"/>
        <v/>
      </c>
      <c r="P72" s="179"/>
      <c r="Q72" s="130">
        <f t="shared" si="10"/>
        <v>0</v>
      </c>
      <c r="R72" s="182"/>
      <c r="S72" s="159" t="e">
        <f t="shared" ca="1" si="3"/>
        <v>#N/A</v>
      </c>
      <c r="T72" s="152" t="e">
        <f t="shared" ca="1" si="4"/>
        <v>#N/A</v>
      </c>
      <c r="U72" s="152">
        <f t="shared" si="17"/>
        <v>0</v>
      </c>
      <c r="V72" s="183">
        <f t="shared" ref="V72:V103" ca="1" si="37">OFFSET(V72,-1,0)+IF(COUNTIFS(OFFSET($B$32,0,0,ROW(V72)-ROW($B$32)),OFFSET(B72,-1,0),OFFSET($U$32,0,0,ROW(V72)-ROW($U$32)),0)&gt;=2,1,0)</f>
        <v>19</v>
      </c>
      <c r="W72" s="184">
        <f t="shared" ca="1" si="36"/>
        <v>45070</v>
      </c>
      <c r="X72" s="152">
        <f ca="1">IF(V72&gt;$O$22,0,COUNTIFS($V$26:V72,V72,$L$26:L72,0))</f>
        <v>2</v>
      </c>
      <c r="Y72" s="152">
        <f t="shared" ca="1" si="18"/>
        <v>3</v>
      </c>
      <c r="Z72" s="152" t="e">
        <f t="shared" ca="1" si="19"/>
        <v>#N/A</v>
      </c>
      <c r="AA72" s="152" t="e">
        <f t="shared" ca="1" si="20"/>
        <v>#N/A</v>
      </c>
      <c r="AB72" s="152" t="str">
        <f t="shared" ca="1" si="30"/>
        <v>Interest due 24/05/23 to 24/06/23</v>
      </c>
      <c r="AC72" s="152" t="e">
        <f t="shared" ca="1" si="31"/>
        <v>#N/A</v>
      </c>
      <c r="AD72" s="128" t="e">
        <f t="shared" ca="1" si="32"/>
        <v>#N/A</v>
      </c>
      <c r="AE72" s="67" t="e">
        <f t="shared" ca="1" si="33"/>
        <v>#N/A</v>
      </c>
    </row>
    <row r="73" spans="2:31" x14ac:dyDescent="0.4">
      <c r="B73" s="160">
        <f t="shared" ca="1" si="35"/>
        <v>45101</v>
      </c>
      <c r="C73" s="127" t="str">
        <f t="shared" ca="1" si="22"/>
        <v>Interest due 24/06/23 to 24/07/23</v>
      </c>
      <c r="D73" s="187"/>
      <c r="E73" s="188" t="e">
        <f t="shared" ca="1" si="34"/>
        <v>#N/A</v>
      </c>
      <c r="F73" s="189" t="str">
        <f t="shared" ca="1" si="34"/>
        <v/>
      </c>
      <c r="G73" s="188" t="str">
        <f t="shared" ca="1" si="34"/>
        <v/>
      </c>
      <c r="H73" s="190" t="str">
        <f t="shared" ca="1" si="34"/>
        <v/>
      </c>
      <c r="I73" s="189" t="str">
        <f t="shared" ca="1" si="34"/>
        <v/>
      </c>
      <c r="J73" s="167" t="e">
        <f t="shared" ca="1" si="25"/>
        <v>#N/A</v>
      </c>
      <c r="K73" s="179"/>
      <c r="L73" s="130">
        <f t="shared" si="8"/>
        <v>0</v>
      </c>
      <c r="M73" s="180">
        <f t="shared" ca="1" si="16"/>
        <v>45101</v>
      </c>
      <c r="N73" s="181"/>
      <c r="O73" s="179" t="str">
        <f t="shared" si="29"/>
        <v/>
      </c>
      <c r="P73" s="179"/>
      <c r="Q73" s="130">
        <f t="shared" si="10"/>
        <v>0</v>
      </c>
      <c r="R73" s="182"/>
      <c r="S73" s="159" t="e">
        <f t="shared" ca="1" si="3"/>
        <v>#N/A</v>
      </c>
      <c r="T73" s="152" t="e">
        <f t="shared" ca="1" si="4"/>
        <v>#N/A</v>
      </c>
      <c r="U73" s="152">
        <f t="shared" si="17"/>
        <v>0</v>
      </c>
      <c r="V73" s="183">
        <f t="shared" ca="1" si="37"/>
        <v>20</v>
      </c>
      <c r="W73" s="184">
        <f t="shared" ca="1" si="36"/>
        <v>45101</v>
      </c>
      <c r="X73" s="152">
        <f ca="1">IF(V73&gt;$O$22,0,COUNTIFS($V$26:V73,V73,$L$26:L73,0))</f>
        <v>1</v>
      </c>
      <c r="Y73" s="152">
        <f t="shared" ca="1" si="18"/>
        <v>1</v>
      </c>
      <c r="Z73" s="152" t="e">
        <f t="shared" ca="1" si="19"/>
        <v>#N/A</v>
      </c>
      <c r="AA73" s="152" t="str">
        <f t="shared" ca="1" si="20"/>
        <v>Interest due 24/06/23 to 24/07/23</v>
      </c>
      <c r="AB73" s="152" t="str">
        <f t="shared" ca="1" si="30"/>
        <v>Interest due 24/06/23 to 24/07/23</v>
      </c>
      <c r="AC73" s="152" t="e">
        <f t="shared" ca="1" si="31"/>
        <v>#N/A</v>
      </c>
      <c r="AD73" s="128" t="e">
        <f t="shared" ca="1" si="32"/>
        <v>#N/A</v>
      </c>
      <c r="AE73" s="67" t="e">
        <f t="shared" ca="1" si="33"/>
        <v>#N/A</v>
      </c>
    </row>
    <row r="74" spans="2:31" x14ac:dyDescent="0.4">
      <c r="B74" s="160">
        <f t="shared" ca="1" si="35"/>
        <v>45101</v>
      </c>
      <c r="C74" s="127" t="e">
        <f t="shared" ca="1" si="22"/>
        <v>#N/A</v>
      </c>
      <c r="D74" s="187"/>
      <c r="E74" s="188" t="str">
        <f t="shared" ca="1" si="34"/>
        <v/>
      </c>
      <c r="F74" s="189" t="str">
        <f t="shared" ca="1" si="34"/>
        <v/>
      </c>
      <c r="G74" s="188" t="e">
        <f t="shared" ca="1" si="34"/>
        <v>#N/A</v>
      </c>
      <c r="H74" s="190" t="str">
        <f t="shared" ca="1" si="34"/>
        <v/>
      </c>
      <c r="I74" s="189" t="str">
        <f t="shared" ca="1" si="34"/>
        <v/>
      </c>
      <c r="J74" s="167" t="e">
        <f t="shared" ca="1" si="25"/>
        <v>#N/A</v>
      </c>
      <c r="K74" s="179"/>
      <c r="L74" s="130">
        <f t="shared" si="8"/>
        <v>0</v>
      </c>
      <c r="M74" s="180">
        <f t="shared" ca="1" si="16"/>
        <v>45101</v>
      </c>
      <c r="N74" s="181"/>
      <c r="O74" s="179" t="str">
        <f t="shared" si="29"/>
        <v/>
      </c>
      <c r="P74" s="179"/>
      <c r="Q74" s="130">
        <f t="shared" si="10"/>
        <v>0</v>
      </c>
      <c r="R74" s="182"/>
      <c r="S74" s="159" t="e">
        <f t="shared" ca="1" si="3"/>
        <v>#N/A</v>
      </c>
      <c r="T74" s="152" t="e">
        <f t="shared" ca="1" si="4"/>
        <v>#N/A</v>
      </c>
      <c r="U74" s="152">
        <f t="shared" si="17"/>
        <v>0</v>
      </c>
      <c r="V74" s="183">
        <f t="shared" ca="1" si="37"/>
        <v>20</v>
      </c>
      <c r="W74" s="184">
        <f t="shared" ca="1" si="36"/>
        <v>45101</v>
      </c>
      <c r="X74" s="152">
        <f ca="1">IF(V74&gt;$O$22,0,COUNTIFS($V$26:V74,V74,$L$26:L74,0))</f>
        <v>2</v>
      </c>
      <c r="Y74" s="152">
        <f t="shared" ca="1" si="18"/>
        <v>3</v>
      </c>
      <c r="Z74" s="152" t="e">
        <f t="shared" ca="1" si="19"/>
        <v>#N/A</v>
      </c>
      <c r="AA74" s="152" t="e">
        <f t="shared" ca="1" si="20"/>
        <v>#N/A</v>
      </c>
      <c r="AB74" s="152" t="str">
        <f t="shared" ca="1" si="30"/>
        <v>Interest due 24/06/23 to 24/07/23</v>
      </c>
      <c r="AC74" s="152" t="e">
        <f t="shared" ca="1" si="31"/>
        <v>#N/A</v>
      </c>
      <c r="AD74" s="128" t="e">
        <f t="shared" ca="1" si="32"/>
        <v>#N/A</v>
      </c>
      <c r="AE74" s="67" t="e">
        <f t="shared" ca="1" si="33"/>
        <v>#N/A</v>
      </c>
    </row>
    <row r="75" spans="2:31" x14ac:dyDescent="0.4">
      <c r="B75" s="160">
        <f t="shared" ca="1" si="35"/>
        <v>45131</v>
      </c>
      <c r="C75" s="127" t="str">
        <f t="shared" ca="1" si="22"/>
        <v>Interest due 24/07/23 to 24/08/23</v>
      </c>
      <c r="D75" s="187"/>
      <c r="E75" s="188" t="e">
        <f t="shared" ca="1" si="34"/>
        <v>#N/A</v>
      </c>
      <c r="F75" s="189" t="str">
        <f t="shared" ca="1" si="34"/>
        <v/>
      </c>
      <c r="G75" s="188" t="str">
        <f t="shared" ca="1" si="34"/>
        <v/>
      </c>
      <c r="H75" s="190" t="str">
        <f t="shared" ca="1" si="34"/>
        <v/>
      </c>
      <c r="I75" s="189" t="str">
        <f t="shared" ca="1" si="34"/>
        <v/>
      </c>
      <c r="J75" s="167" t="e">
        <f t="shared" ca="1" si="25"/>
        <v>#N/A</v>
      </c>
      <c r="K75" s="179"/>
      <c r="L75" s="130">
        <f t="shared" si="8"/>
        <v>0</v>
      </c>
      <c r="M75" s="180">
        <f t="shared" ca="1" si="16"/>
        <v>45131</v>
      </c>
      <c r="N75" s="181"/>
      <c r="O75" s="179" t="str">
        <f t="shared" si="29"/>
        <v/>
      </c>
      <c r="P75" s="179"/>
      <c r="Q75" s="130">
        <f t="shared" si="10"/>
        <v>0</v>
      </c>
      <c r="R75" s="182"/>
      <c r="S75" s="159" t="e">
        <f t="shared" ca="1" si="3"/>
        <v>#N/A</v>
      </c>
      <c r="T75" s="152" t="e">
        <f t="shared" ca="1" si="4"/>
        <v>#N/A</v>
      </c>
      <c r="U75" s="152">
        <f t="shared" si="17"/>
        <v>0</v>
      </c>
      <c r="V75" s="183">
        <f t="shared" ca="1" si="37"/>
        <v>21</v>
      </c>
      <c r="W75" s="184">
        <f t="shared" ca="1" si="36"/>
        <v>45131</v>
      </c>
      <c r="X75" s="152">
        <f ca="1">IF(V75&gt;$O$22,0,COUNTIFS($V$26:V75,V75,$L$26:L75,0))</f>
        <v>1</v>
      </c>
      <c r="Y75" s="152">
        <f t="shared" ca="1" si="18"/>
        <v>1</v>
      </c>
      <c r="Z75" s="152" t="e">
        <f t="shared" ca="1" si="19"/>
        <v>#N/A</v>
      </c>
      <c r="AA75" s="152" t="str">
        <f t="shared" ca="1" si="20"/>
        <v>Interest due 24/07/23 to 24/08/23</v>
      </c>
      <c r="AB75" s="152" t="str">
        <f t="shared" ca="1" si="30"/>
        <v>Interest due 24/07/23 to 24/08/23</v>
      </c>
      <c r="AC75" s="152" t="e">
        <f t="shared" ca="1" si="31"/>
        <v>#N/A</v>
      </c>
      <c r="AD75" s="128" t="e">
        <f t="shared" ca="1" si="32"/>
        <v>#N/A</v>
      </c>
      <c r="AE75" s="67" t="e">
        <f t="shared" ca="1" si="33"/>
        <v>#N/A</v>
      </c>
    </row>
    <row r="76" spans="2:31" x14ac:dyDescent="0.4">
      <c r="B76" s="160">
        <f t="shared" ca="1" si="35"/>
        <v>45131</v>
      </c>
      <c r="C76" s="127" t="e">
        <f t="shared" ca="1" si="22"/>
        <v>#N/A</v>
      </c>
      <c r="D76" s="187"/>
      <c r="E76" s="188" t="str">
        <f t="shared" ca="1" si="34"/>
        <v/>
      </c>
      <c r="F76" s="189" t="str">
        <f t="shared" ca="1" si="34"/>
        <v/>
      </c>
      <c r="G76" s="188" t="e">
        <f t="shared" ca="1" si="34"/>
        <v>#N/A</v>
      </c>
      <c r="H76" s="190" t="str">
        <f t="shared" ca="1" si="34"/>
        <v/>
      </c>
      <c r="I76" s="189" t="str">
        <f t="shared" ca="1" si="34"/>
        <v/>
      </c>
      <c r="J76" s="167" t="e">
        <f t="shared" ca="1" si="25"/>
        <v>#N/A</v>
      </c>
      <c r="K76" s="179"/>
      <c r="L76" s="130">
        <f t="shared" si="8"/>
        <v>0</v>
      </c>
      <c r="M76" s="180">
        <f t="shared" ca="1" si="16"/>
        <v>45131</v>
      </c>
      <c r="N76" s="181"/>
      <c r="O76" s="179" t="str">
        <f t="shared" si="29"/>
        <v/>
      </c>
      <c r="P76" s="179"/>
      <c r="Q76" s="130">
        <f t="shared" si="10"/>
        <v>0</v>
      </c>
      <c r="R76" s="182"/>
      <c r="S76" s="159" t="e">
        <f t="shared" ca="1" si="3"/>
        <v>#N/A</v>
      </c>
      <c r="T76" s="152" t="e">
        <f t="shared" ca="1" si="4"/>
        <v>#N/A</v>
      </c>
      <c r="U76" s="152">
        <f t="shared" si="17"/>
        <v>0</v>
      </c>
      <c r="V76" s="183">
        <f t="shared" ca="1" si="37"/>
        <v>21</v>
      </c>
      <c r="W76" s="184">
        <f t="shared" ca="1" si="36"/>
        <v>45131</v>
      </c>
      <c r="X76" s="152">
        <f ca="1">IF(V76&gt;$O$22,0,COUNTIFS($V$26:V76,V76,$L$26:L76,0))</f>
        <v>2</v>
      </c>
      <c r="Y76" s="152">
        <f t="shared" ca="1" si="18"/>
        <v>3</v>
      </c>
      <c r="Z76" s="152" t="e">
        <f t="shared" ca="1" si="19"/>
        <v>#N/A</v>
      </c>
      <c r="AA76" s="152" t="e">
        <f t="shared" ca="1" si="20"/>
        <v>#N/A</v>
      </c>
      <c r="AB76" s="152" t="str">
        <f t="shared" ca="1" si="30"/>
        <v>Interest due 24/07/23 to 24/08/23</v>
      </c>
      <c r="AC76" s="152" t="e">
        <f t="shared" ca="1" si="31"/>
        <v>#N/A</v>
      </c>
      <c r="AD76" s="128" t="e">
        <f t="shared" ca="1" si="32"/>
        <v>#N/A</v>
      </c>
      <c r="AE76" s="67" t="e">
        <f t="shared" ca="1" si="33"/>
        <v>#N/A</v>
      </c>
    </row>
    <row r="77" spans="2:31" x14ac:dyDescent="0.4">
      <c r="B77" s="160">
        <f t="shared" ca="1" si="35"/>
        <v>45162</v>
      </c>
      <c r="C77" s="127" t="str">
        <f t="shared" ca="1" si="22"/>
        <v>Interest due 24/08/23 to 24/09/23</v>
      </c>
      <c r="D77" s="187"/>
      <c r="E77" s="188" t="e">
        <f t="shared" ca="1" si="34"/>
        <v>#N/A</v>
      </c>
      <c r="F77" s="189" t="str">
        <f t="shared" ca="1" si="34"/>
        <v/>
      </c>
      <c r="G77" s="188" t="str">
        <f t="shared" ca="1" si="34"/>
        <v/>
      </c>
      <c r="H77" s="190" t="str">
        <f t="shared" ca="1" si="34"/>
        <v/>
      </c>
      <c r="I77" s="189" t="str">
        <f t="shared" ca="1" si="34"/>
        <v/>
      </c>
      <c r="J77" s="167" t="e">
        <f t="shared" ca="1" si="25"/>
        <v>#N/A</v>
      </c>
      <c r="K77" s="179"/>
      <c r="L77" s="130">
        <f t="shared" si="8"/>
        <v>0</v>
      </c>
      <c r="M77" s="180">
        <f t="shared" ca="1" si="16"/>
        <v>45162</v>
      </c>
      <c r="N77" s="181"/>
      <c r="O77" s="179" t="str">
        <f t="shared" si="29"/>
        <v/>
      </c>
      <c r="P77" s="179"/>
      <c r="Q77" s="130">
        <f t="shared" si="10"/>
        <v>0</v>
      </c>
      <c r="R77" s="182"/>
      <c r="S77" s="159" t="e">
        <f t="shared" ca="1" si="3"/>
        <v>#N/A</v>
      </c>
      <c r="T77" s="152" t="e">
        <f t="shared" ca="1" si="4"/>
        <v>#N/A</v>
      </c>
      <c r="U77" s="152">
        <f t="shared" si="17"/>
        <v>0</v>
      </c>
      <c r="V77" s="183">
        <f t="shared" ca="1" si="37"/>
        <v>22</v>
      </c>
      <c r="W77" s="184">
        <f t="shared" ca="1" si="36"/>
        <v>45162</v>
      </c>
      <c r="X77" s="152">
        <f ca="1">IF(V77&gt;$O$22,0,COUNTIFS($V$26:V77,V77,$L$26:L77,0))</f>
        <v>1</v>
      </c>
      <c r="Y77" s="152">
        <f t="shared" ca="1" si="18"/>
        <v>1</v>
      </c>
      <c r="Z77" s="152" t="e">
        <f t="shared" ca="1" si="19"/>
        <v>#N/A</v>
      </c>
      <c r="AA77" s="152" t="str">
        <f t="shared" ca="1" si="20"/>
        <v>Interest due 24/08/23 to 24/09/23</v>
      </c>
      <c r="AB77" s="152" t="str">
        <f t="shared" ca="1" si="30"/>
        <v>Interest due 24/08/23 to 24/09/23</v>
      </c>
      <c r="AC77" s="152" t="e">
        <f t="shared" ca="1" si="31"/>
        <v>#N/A</v>
      </c>
      <c r="AD77" s="128" t="e">
        <f t="shared" ca="1" si="32"/>
        <v>#N/A</v>
      </c>
      <c r="AE77" s="67" t="e">
        <f t="shared" ca="1" si="33"/>
        <v>#N/A</v>
      </c>
    </row>
    <row r="78" spans="2:31" x14ac:dyDescent="0.4">
      <c r="B78" s="160">
        <f t="shared" ca="1" si="35"/>
        <v>45162</v>
      </c>
      <c r="C78" s="127" t="e">
        <f t="shared" ca="1" si="22"/>
        <v>#N/A</v>
      </c>
      <c r="D78" s="187"/>
      <c r="E78" s="188" t="str">
        <f t="shared" ca="1" si="34"/>
        <v/>
      </c>
      <c r="F78" s="189" t="str">
        <f t="shared" ca="1" si="34"/>
        <v/>
      </c>
      <c r="G78" s="188" t="e">
        <f t="shared" ca="1" si="34"/>
        <v>#N/A</v>
      </c>
      <c r="H78" s="190" t="str">
        <f t="shared" ca="1" si="34"/>
        <v/>
      </c>
      <c r="I78" s="189" t="str">
        <f t="shared" ca="1" si="34"/>
        <v/>
      </c>
      <c r="J78" s="167" t="e">
        <f t="shared" ca="1" si="25"/>
        <v>#N/A</v>
      </c>
      <c r="K78" s="179"/>
      <c r="L78" s="130">
        <f t="shared" si="8"/>
        <v>0</v>
      </c>
      <c r="M78" s="180">
        <f t="shared" ca="1" si="16"/>
        <v>45162</v>
      </c>
      <c r="N78" s="181"/>
      <c r="O78" s="179" t="str">
        <f t="shared" si="29"/>
        <v/>
      </c>
      <c r="P78" s="179"/>
      <c r="Q78" s="130">
        <f t="shared" si="10"/>
        <v>0</v>
      </c>
      <c r="R78" s="182"/>
      <c r="S78" s="159" t="e">
        <f t="shared" ca="1" si="3"/>
        <v>#N/A</v>
      </c>
      <c r="T78" s="152" t="e">
        <f t="shared" ca="1" si="4"/>
        <v>#N/A</v>
      </c>
      <c r="U78" s="152">
        <f t="shared" si="17"/>
        <v>0</v>
      </c>
      <c r="V78" s="183">
        <f t="shared" ca="1" si="37"/>
        <v>22</v>
      </c>
      <c r="W78" s="184">
        <f t="shared" ca="1" si="36"/>
        <v>45162</v>
      </c>
      <c r="X78" s="152">
        <f ca="1">IF(V78&gt;$O$22,0,COUNTIFS($V$26:V78,V78,$L$26:L78,0))</f>
        <v>2</v>
      </c>
      <c r="Y78" s="152">
        <f t="shared" ca="1" si="18"/>
        <v>3</v>
      </c>
      <c r="Z78" s="152" t="e">
        <f t="shared" ca="1" si="19"/>
        <v>#N/A</v>
      </c>
      <c r="AA78" s="152" t="e">
        <f t="shared" ca="1" si="20"/>
        <v>#N/A</v>
      </c>
      <c r="AB78" s="152" t="str">
        <f t="shared" ca="1" si="30"/>
        <v>Interest due 24/08/23 to 24/09/23</v>
      </c>
      <c r="AC78" s="152" t="e">
        <f t="shared" ca="1" si="31"/>
        <v>#N/A</v>
      </c>
      <c r="AD78" s="128" t="e">
        <f t="shared" ca="1" si="32"/>
        <v>#N/A</v>
      </c>
      <c r="AE78" s="67" t="e">
        <f t="shared" ca="1" si="33"/>
        <v>#N/A</v>
      </c>
    </row>
    <row r="79" spans="2:31" x14ac:dyDescent="0.4">
      <c r="B79" s="160">
        <f t="shared" ca="1" si="35"/>
        <v>45193</v>
      </c>
      <c r="C79" s="127" t="str">
        <f t="shared" ca="1" si="22"/>
        <v>Interest due 24/09/23 to 24/10/23</v>
      </c>
      <c r="D79" s="187"/>
      <c r="E79" s="188" t="e">
        <f t="shared" ref="E79:I88" ca="1" si="38">IF($Y79=E$24,$Z79,"")</f>
        <v>#N/A</v>
      </c>
      <c r="F79" s="189" t="str">
        <f t="shared" ca="1" si="38"/>
        <v/>
      </c>
      <c r="G79" s="188" t="str">
        <f t="shared" ca="1" si="38"/>
        <v/>
      </c>
      <c r="H79" s="190" t="str">
        <f t="shared" ca="1" si="38"/>
        <v/>
      </c>
      <c r="I79" s="189" t="str">
        <f t="shared" ca="1" si="38"/>
        <v/>
      </c>
      <c r="J79" s="167" t="e">
        <f t="shared" ca="1" si="25"/>
        <v>#N/A</v>
      </c>
      <c r="K79" s="179"/>
      <c r="L79" s="130">
        <f t="shared" si="8"/>
        <v>0</v>
      </c>
      <c r="M79" s="180">
        <f t="shared" ca="1" si="16"/>
        <v>45193</v>
      </c>
      <c r="N79" s="181"/>
      <c r="O79" s="179" t="str">
        <f t="shared" si="29"/>
        <v/>
      </c>
      <c r="P79" s="179"/>
      <c r="Q79" s="130">
        <f t="shared" si="10"/>
        <v>0</v>
      </c>
      <c r="R79" s="182"/>
      <c r="S79" s="159" t="e">
        <f t="shared" ca="1" si="3"/>
        <v>#N/A</v>
      </c>
      <c r="T79" s="152" t="e">
        <f t="shared" ca="1" si="4"/>
        <v>#N/A</v>
      </c>
      <c r="U79" s="152">
        <f t="shared" si="17"/>
        <v>0</v>
      </c>
      <c r="V79" s="183">
        <f t="shared" ca="1" si="37"/>
        <v>23</v>
      </c>
      <c r="W79" s="184">
        <f t="shared" ca="1" si="36"/>
        <v>45193</v>
      </c>
      <c r="X79" s="152">
        <f ca="1">IF(V79&gt;$O$22,0,COUNTIFS($V$26:V79,V79,$L$26:L79,0))</f>
        <v>1</v>
      </c>
      <c r="Y79" s="152">
        <f t="shared" ca="1" si="18"/>
        <v>1</v>
      </c>
      <c r="Z79" s="152" t="e">
        <f t="shared" ca="1" si="19"/>
        <v>#N/A</v>
      </c>
      <c r="AA79" s="152" t="str">
        <f t="shared" ca="1" si="20"/>
        <v>Interest due 24/09/23 to 24/10/23</v>
      </c>
      <c r="AB79" s="152" t="str">
        <f t="shared" ca="1" si="30"/>
        <v>Interest due 24/09/23 to 24/10/23</v>
      </c>
      <c r="AC79" s="152" t="e">
        <f t="shared" ca="1" si="31"/>
        <v>#N/A</v>
      </c>
      <c r="AD79" s="128" t="e">
        <f t="shared" ca="1" si="32"/>
        <v>#N/A</v>
      </c>
      <c r="AE79" s="67" t="e">
        <f t="shared" ca="1" si="33"/>
        <v>#N/A</v>
      </c>
    </row>
    <row r="80" spans="2:31" x14ac:dyDescent="0.4">
      <c r="B80" s="160">
        <f t="shared" ca="1" si="35"/>
        <v>45193</v>
      </c>
      <c r="C80" s="127" t="e">
        <f t="shared" ca="1" si="22"/>
        <v>#N/A</v>
      </c>
      <c r="D80" s="187"/>
      <c r="E80" s="188" t="str">
        <f t="shared" ca="1" si="38"/>
        <v/>
      </c>
      <c r="F80" s="189" t="str">
        <f t="shared" ca="1" si="38"/>
        <v/>
      </c>
      <c r="G80" s="188" t="e">
        <f t="shared" ca="1" si="38"/>
        <v>#N/A</v>
      </c>
      <c r="H80" s="190" t="str">
        <f t="shared" ca="1" si="38"/>
        <v/>
      </c>
      <c r="I80" s="189" t="str">
        <f t="shared" ca="1" si="38"/>
        <v/>
      </c>
      <c r="J80" s="167" t="e">
        <f t="shared" ca="1" si="25"/>
        <v>#N/A</v>
      </c>
      <c r="K80" s="179"/>
      <c r="L80" s="130">
        <f t="shared" si="8"/>
        <v>0</v>
      </c>
      <c r="M80" s="180">
        <f t="shared" ca="1" si="16"/>
        <v>45193</v>
      </c>
      <c r="N80" s="181"/>
      <c r="O80" s="179" t="str">
        <f t="shared" si="29"/>
        <v/>
      </c>
      <c r="P80" s="179"/>
      <c r="Q80" s="130">
        <f t="shared" si="10"/>
        <v>0</v>
      </c>
      <c r="R80" s="182"/>
      <c r="S80" s="159" t="e">
        <f t="shared" ca="1" si="3"/>
        <v>#N/A</v>
      </c>
      <c r="T80" s="152" t="e">
        <f t="shared" ca="1" si="4"/>
        <v>#N/A</v>
      </c>
      <c r="U80" s="152">
        <f t="shared" si="17"/>
        <v>0</v>
      </c>
      <c r="V80" s="183">
        <f t="shared" ca="1" si="37"/>
        <v>23</v>
      </c>
      <c r="W80" s="184">
        <f t="shared" ca="1" si="36"/>
        <v>45193</v>
      </c>
      <c r="X80" s="152">
        <f ca="1">IF(V80&gt;$O$22,0,COUNTIFS($V$26:V80,V80,$L$26:L80,0))</f>
        <v>2</v>
      </c>
      <c r="Y80" s="152">
        <f t="shared" ca="1" si="18"/>
        <v>3</v>
      </c>
      <c r="Z80" s="152" t="e">
        <f t="shared" ca="1" si="19"/>
        <v>#N/A</v>
      </c>
      <c r="AA80" s="152" t="e">
        <f t="shared" ca="1" si="20"/>
        <v>#N/A</v>
      </c>
      <c r="AB80" s="152" t="str">
        <f t="shared" ca="1" si="30"/>
        <v>Interest due 24/09/23 to 24/10/23</v>
      </c>
      <c r="AC80" s="152" t="e">
        <f t="shared" ca="1" si="31"/>
        <v>#N/A</v>
      </c>
      <c r="AD80" s="128" t="e">
        <f t="shared" ca="1" si="32"/>
        <v>#N/A</v>
      </c>
      <c r="AE80" s="67" t="e">
        <f t="shared" ca="1" si="33"/>
        <v>#N/A</v>
      </c>
    </row>
    <row r="81" spans="2:31" x14ac:dyDescent="0.4">
      <c r="B81" s="160">
        <f t="shared" ca="1" si="35"/>
        <v>45223</v>
      </c>
      <c r="C81" s="127" t="str">
        <f t="shared" ca="1" si="22"/>
        <v>Interest due 24/10/23 to 24/11/23</v>
      </c>
      <c r="D81" s="187"/>
      <c r="E81" s="188" t="e">
        <f t="shared" ca="1" si="38"/>
        <v>#N/A</v>
      </c>
      <c r="F81" s="189" t="str">
        <f t="shared" ca="1" si="38"/>
        <v/>
      </c>
      <c r="G81" s="188" t="str">
        <f t="shared" ca="1" si="38"/>
        <v/>
      </c>
      <c r="H81" s="190" t="str">
        <f t="shared" ca="1" si="38"/>
        <v/>
      </c>
      <c r="I81" s="189" t="str">
        <f t="shared" ca="1" si="38"/>
        <v/>
      </c>
      <c r="J81" s="167" t="e">
        <f t="shared" ca="1" si="25"/>
        <v>#N/A</v>
      </c>
      <c r="K81" s="179"/>
      <c r="L81" s="130">
        <f t="shared" si="8"/>
        <v>0</v>
      </c>
      <c r="M81" s="180">
        <f t="shared" ca="1" si="16"/>
        <v>45223</v>
      </c>
      <c r="N81" s="181"/>
      <c r="O81" s="179" t="str">
        <f t="shared" si="29"/>
        <v/>
      </c>
      <c r="P81" s="179"/>
      <c r="Q81" s="130">
        <f t="shared" si="10"/>
        <v>0</v>
      </c>
      <c r="R81" s="182"/>
      <c r="S81" s="159" t="e">
        <f t="shared" ca="1" si="3"/>
        <v>#N/A</v>
      </c>
      <c r="T81" s="152" t="e">
        <f t="shared" ca="1" si="4"/>
        <v>#N/A</v>
      </c>
      <c r="U81" s="152">
        <f t="shared" si="17"/>
        <v>0</v>
      </c>
      <c r="V81" s="183">
        <f t="shared" ca="1" si="37"/>
        <v>24</v>
      </c>
      <c r="W81" s="184">
        <f t="shared" ca="1" si="36"/>
        <v>45223</v>
      </c>
      <c r="X81" s="152">
        <f ca="1">IF(V81&gt;$O$22,0,COUNTIFS($V$26:V81,V81,$L$26:L81,0))</f>
        <v>1</v>
      </c>
      <c r="Y81" s="152">
        <f t="shared" ca="1" si="18"/>
        <v>1</v>
      </c>
      <c r="Z81" s="152" t="e">
        <f t="shared" ca="1" si="19"/>
        <v>#N/A</v>
      </c>
      <c r="AA81" s="152" t="str">
        <f t="shared" ca="1" si="20"/>
        <v>Interest due 24/10/23 to 24/11/23</v>
      </c>
      <c r="AB81" s="152" t="str">
        <f t="shared" ca="1" si="30"/>
        <v>Interest due 24/10/23 to 24/11/23</v>
      </c>
      <c r="AC81" s="152" t="e">
        <f t="shared" ca="1" si="31"/>
        <v>#N/A</v>
      </c>
      <c r="AD81" s="128" t="e">
        <f t="shared" ca="1" si="32"/>
        <v>#N/A</v>
      </c>
      <c r="AE81" s="67" t="e">
        <f t="shared" ca="1" si="33"/>
        <v>#N/A</v>
      </c>
    </row>
    <row r="82" spans="2:31" x14ac:dyDescent="0.4">
      <c r="B82" s="160">
        <f t="shared" ca="1" si="35"/>
        <v>45223</v>
      </c>
      <c r="C82" s="127" t="e">
        <f t="shared" ca="1" si="22"/>
        <v>#N/A</v>
      </c>
      <c r="D82" s="187"/>
      <c r="E82" s="188" t="str">
        <f t="shared" ca="1" si="38"/>
        <v/>
      </c>
      <c r="F82" s="189" t="str">
        <f t="shared" ca="1" si="38"/>
        <v/>
      </c>
      <c r="G82" s="188" t="e">
        <f t="shared" ca="1" si="38"/>
        <v>#N/A</v>
      </c>
      <c r="H82" s="190" t="str">
        <f t="shared" ca="1" si="38"/>
        <v/>
      </c>
      <c r="I82" s="189" t="str">
        <f t="shared" ca="1" si="38"/>
        <v/>
      </c>
      <c r="J82" s="167" t="e">
        <f t="shared" ca="1" si="25"/>
        <v>#N/A</v>
      </c>
      <c r="K82" s="179"/>
      <c r="L82" s="130">
        <f t="shared" si="8"/>
        <v>0</v>
      </c>
      <c r="M82" s="180">
        <f t="shared" ca="1" si="16"/>
        <v>45223</v>
      </c>
      <c r="N82" s="181"/>
      <c r="O82" s="179" t="str">
        <f t="shared" si="29"/>
        <v/>
      </c>
      <c r="P82" s="179"/>
      <c r="Q82" s="130">
        <f t="shared" si="10"/>
        <v>0</v>
      </c>
      <c r="R82" s="182"/>
      <c r="S82" s="159" t="e">
        <f t="shared" ca="1" si="3"/>
        <v>#N/A</v>
      </c>
      <c r="T82" s="152" t="e">
        <f t="shared" ca="1" si="4"/>
        <v>#N/A</v>
      </c>
      <c r="U82" s="152">
        <f t="shared" si="17"/>
        <v>0</v>
      </c>
      <c r="V82" s="183">
        <f t="shared" ca="1" si="37"/>
        <v>24</v>
      </c>
      <c r="W82" s="184">
        <f t="shared" ca="1" si="36"/>
        <v>45223</v>
      </c>
      <c r="X82" s="152">
        <f ca="1">IF(V82&gt;$O$22,0,COUNTIFS($V$26:V82,V82,$L$26:L82,0))</f>
        <v>2</v>
      </c>
      <c r="Y82" s="152">
        <f t="shared" ca="1" si="18"/>
        <v>3</v>
      </c>
      <c r="Z82" s="152" t="e">
        <f t="shared" ca="1" si="19"/>
        <v>#N/A</v>
      </c>
      <c r="AA82" s="152" t="e">
        <f t="shared" ca="1" si="20"/>
        <v>#N/A</v>
      </c>
      <c r="AB82" s="152" t="str">
        <f t="shared" ca="1" si="30"/>
        <v>Interest due 24/10/23 to 24/11/23</v>
      </c>
      <c r="AC82" s="152" t="e">
        <f t="shared" ca="1" si="31"/>
        <v>#N/A</v>
      </c>
      <c r="AD82" s="128" t="e">
        <f t="shared" ca="1" si="32"/>
        <v>#N/A</v>
      </c>
      <c r="AE82" s="67" t="e">
        <f t="shared" ca="1" si="33"/>
        <v>#N/A</v>
      </c>
    </row>
    <row r="83" spans="2:31" x14ac:dyDescent="0.4">
      <c r="B83" s="160" t="str">
        <f t="shared" ca="1" si="35"/>
        <v/>
      </c>
      <c r="C83" s="127" t="str">
        <f t="shared" ca="1" si="22"/>
        <v/>
      </c>
      <c r="D83" s="187"/>
      <c r="E83" s="188" t="str">
        <f t="shared" ca="1" si="38"/>
        <v/>
      </c>
      <c r="F83" s="189" t="str">
        <f t="shared" ca="1" si="38"/>
        <v/>
      </c>
      <c r="G83" s="188" t="str">
        <f t="shared" ca="1" si="38"/>
        <v/>
      </c>
      <c r="H83" s="190" t="str">
        <f t="shared" ca="1" si="38"/>
        <v/>
      </c>
      <c r="I83" s="189" t="str">
        <f t="shared" ca="1" si="38"/>
        <v/>
      </c>
      <c r="J83" s="167" t="str">
        <f t="shared" ca="1" si="25"/>
        <v/>
      </c>
      <c r="K83" s="179"/>
      <c r="L83" s="130">
        <f t="shared" si="8"/>
        <v>0</v>
      </c>
      <c r="M83" s="180" t="str">
        <f t="shared" ca="1" si="16"/>
        <v/>
      </c>
      <c r="N83" s="181"/>
      <c r="O83" s="179" t="str">
        <f t="shared" si="29"/>
        <v/>
      </c>
      <c r="P83" s="179"/>
      <c r="Q83" s="130">
        <f t="shared" si="10"/>
        <v>0</v>
      </c>
      <c r="R83" s="182"/>
      <c r="S83" s="159" t="e">
        <f t="shared" ca="1" si="3"/>
        <v>#N/A</v>
      </c>
      <c r="T83" s="152" t="e">
        <f t="shared" ca="1" si="4"/>
        <v>#N/A</v>
      </c>
      <c r="U83" s="152">
        <f t="shared" si="17"/>
        <v>0</v>
      </c>
      <c r="V83" s="183">
        <f t="shared" ca="1" si="37"/>
        <v>25</v>
      </c>
      <c r="W83" s="184" t="str">
        <f t="shared" ca="1" si="36"/>
        <v/>
      </c>
      <c r="X83" s="152">
        <f ca="1">IF(V83&gt;$O$22,0,COUNTIFS($V$26:V83,V83,$L$26:L83,0))</f>
        <v>0</v>
      </c>
      <c r="Y83" s="152">
        <f t="shared" ca="1" si="18"/>
        <v>0</v>
      </c>
      <c r="Z83" s="152">
        <f t="shared" ca="1" si="19"/>
        <v>0</v>
      </c>
      <c r="AA83" s="152" t="str">
        <f t="shared" ca="1" si="20"/>
        <v/>
      </c>
      <c r="AB83" s="152" t="e">
        <f t="shared" ca="1" si="30"/>
        <v>#VALUE!</v>
      </c>
      <c r="AC83" s="152" t="e">
        <f t="shared" ca="1" si="31"/>
        <v>#N/A</v>
      </c>
      <c r="AD83" s="128" t="e">
        <f t="shared" ca="1" si="32"/>
        <v>#N/A</v>
      </c>
      <c r="AE83" s="67">
        <f t="shared" ca="1" si="33"/>
        <v>0</v>
      </c>
    </row>
    <row r="84" spans="2:31" x14ac:dyDescent="0.4">
      <c r="B84" s="160" t="str">
        <f t="shared" ca="1" si="35"/>
        <v/>
      </c>
      <c r="C84" s="127" t="str">
        <f t="shared" ca="1" si="22"/>
        <v/>
      </c>
      <c r="D84" s="187"/>
      <c r="E84" s="188" t="str">
        <f t="shared" ca="1" si="38"/>
        <v/>
      </c>
      <c r="F84" s="189" t="str">
        <f t="shared" ca="1" si="38"/>
        <v/>
      </c>
      <c r="G84" s="188" t="str">
        <f t="shared" ca="1" si="38"/>
        <v/>
      </c>
      <c r="H84" s="190" t="str">
        <f t="shared" ca="1" si="38"/>
        <v/>
      </c>
      <c r="I84" s="189" t="str">
        <f t="shared" ca="1" si="38"/>
        <v/>
      </c>
      <c r="J84" s="167" t="str">
        <f t="shared" ca="1" si="25"/>
        <v/>
      </c>
      <c r="K84" s="179"/>
      <c r="L84" s="130">
        <f t="shared" si="8"/>
        <v>0</v>
      </c>
      <c r="M84" s="180" t="str">
        <f t="shared" ca="1" si="16"/>
        <v/>
      </c>
      <c r="N84" s="181"/>
      <c r="O84" s="179" t="str">
        <f t="shared" si="29"/>
        <v/>
      </c>
      <c r="P84" s="179"/>
      <c r="Q84" s="130">
        <f t="shared" si="10"/>
        <v>0</v>
      </c>
      <c r="R84" s="182"/>
      <c r="S84" s="159" t="e">
        <f t="shared" ca="1" si="3"/>
        <v>#N/A</v>
      </c>
      <c r="T84" s="152" t="e">
        <f t="shared" ca="1" si="4"/>
        <v>#VALUE!</v>
      </c>
      <c r="U84" s="152">
        <f t="shared" si="17"/>
        <v>0</v>
      </c>
      <c r="V84" s="183">
        <f t="shared" ca="1" si="37"/>
        <v>25</v>
      </c>
      <c r="W84" s="184" t="str">
        <f t="shared" ca="1" si="36"/>
        <v/>
      </c>
      <c r="X84" s="152">
        <f ca="1">IF(V84&gt;$O$22,0,COUNTIFS($V$26:V84,V84,$L$26:L84,0))</f>
        <v>0</v>
      </c>
      <c r="Y84" s="152">
        <f t="shared" ca="1" si="18"/>
        <v>0</v>
      </c>
      <c r="Z84" s="152">
        <f t="shared" ca="1" si="19"/>
        <v>0</v>
      </c>
      <c r="AA84" s="152" t="str">
        <f t="shared" ca="1" si="20"/>
        <v/>
      </c>
      <c r="AB84" s="152" t="e">
        <f t="shared" ca="1" si="30"/>
        <v>#VALUE!</v>
      </c>
      <c r="AC84" s="152" t="e">
        <f t="shared" ca="1" si="31"/>
        <v>#N/A</v>
      </c>
      <c r="AD84" s="128" t="e">
        <f t="shared" ca="1" si="32"/>
        <v>#N/A</v>
      </c>
      <c r="AE84" s="67">
        <f t="shared" ca="1" si="33"/>
        <v>0</v>
      </c>
    </row>
    <row r="85" spans="2:31" x14ac:dyDescent="0.4">
      <c r="B85" s="160" t="str">
        <f t="shared" ca="1" si="35"/>
        <v/>
      </c>
      <c r="C85" s="127" t="str">
        <f t="shared" ca="1" si="22"/>
        <v/>
      </c>
      <c r="D85" s="187"/>
      <c r="E85" s="188" t="str">
        <f t="shared" ca="1" si="38"/>
        <v/>
      </c>
      <c r="F85" s="189" t="str">
        <f t="shared" ca="1" si="38"/>
        <v/>
      </c>
      <c r="G85" s="188" t="str">
        <f t="shared" ca="1" si="38"/>
        <v/>
      </c>
      <c r="H85" s="190" t="str">
        <f t="shared" ca="1" si="38"/>
        <v/>
      </c>
      <c r="I85" s="189" t="str">
        <f t="shared" ca="1" si="38"/>
        <v/>
      </c>
      <c r="J85" s="167" t="str">
        <f t="shared" ca="1" si="25"/>
        <v/>
      </c>
      <c r="K85" s="179"/>
      <c r="L85" s="130">
        <f t="shared" si="8"/>
        <v>0</v>
      </c>
      <c r="M85" s="180" t="str">
        <f t="shared" ca="1" si="16"/>
        <v/>
      </c>
      <c r="N85" s="181"/>
      <c r="O85" s="179" t="str">
        <f t="shared" si="29"/>
        <v/>
      </c>
      <c r="P85" s="179"/>
      <c r="Q85" s="130">
        <f t="shared" si="10"/>
        <v>0</v>
      </c>
      <c r="R85" s="182"/>
      <c r="S85" s="159" t="e">
        <f t="shared" ca="1" si="3"/>
        <v>#N/A</v>
      </c>
      <c r="T85" s="152" t="e">
        <f t="shared" ca="1" si="4"/>
        <v>#VALUE!</v>
      </c>
      <c r="U85" s="152">
        <f t="shared" si="17"/>
        <v>0</v>
      </c>
      <c r="V85" s="183">
        <f t="shared" ca="1" si="37"/>
        <v>26</v>
      </c>
      <c r="W85" s="184" t="str">
        <f t="shared" ca="1" si="36"/>
        <v/>
      </c>
      <c r="X85" s="152">
        <f ca="1">IF(V85&gt;$O$22,0,COUNTIFS($V$26:V85,V85,$L$26:L85,0))</f>
        <v>0</v>
      </c>
      <c r="Y85" s="152">
        <f t="shared" ca="1" si="18"/>
        <v>0</v>
      </c>
      <c r="Z85" s="152">
        <f t="shared" ca="1" si="19"/>
        <v>0</v>
      </c>
      <c r="AA85" s="152" t="str">
        <f t="shared" ca="1" si="20"/>
        <v/>
      </c>
      <c r="AB85" s="152" t="e">
        <f t="shared" ca="1" si="30"/>
        <v>#VALUE!</v>
      </c>
      <c r="AC85" s="152" t="e">
        <f t="shared" ca="1" si="31"/>
        <v>#N/A</v>
      </c>
      <c r="AD85" s="128" t="e">
        <f t="shared" ca="1" si="32"/>
        <v>#N/A</v>
      </c>
      <c r="AE85" s="67">
        <f t="shared" ca="1" si="33"/>
        <v>0</v>
      </c>
    </row>
    <row r="86" spans="2:31" x14ac:dyDescent="0.4">
      <c r="B86" s="160" t="str">
        <f t="shared" ca="1" si="35"/>
        <v/>
      </c>
      <c r="C86" s="127" t="str">
        <f t="shared" ca="1" si="22"/>
        <v/>
      </c>
      <c r="D86" s="187"/>
      <c r="E86" s="188" t="str">
        <f t="shared" ca="1" si="38"/>
        <v/>
      </c>
      <c r="F86" s="189" t="str">
        <f t="shared" ca="1" si="38"/>
        <v/>
      </c>
      <c r="G86" s="188" t="str">
        <f t="shared" ca="1" si="38"/>
        <v/>
      </c>
      <c r="H86" s="190" t="str">
        <f t="shared" ca="1" si="38"/>
        <v/>
      </c>
      <c r="I86" s="189" t="str">
        <f t="shared" ca="1" si="38"/>
        <v/>
      </c>
      <c r="J86" s="167" t="str">
        <f t="shared" ca="1" si="25"/>
        <v/>
      </c>
      <c r="K86" s="179"/>
      <c r="L86" s="130">
        <f t="shared" si="8"/>
        <v>0</v>
      </c>
      <c r="M86" s="180" t="str">
        <f t="shared" ca="1" si="16"/>
        <v/>
      </c>
      <c r="N86" s="181"/>
      <c r="O86" s="179" t="str">
        <f t="shared" si="29"/>
        <v/>
      </c>
      <c r="P86" s="179"/>
      <c r="Q86" s="130">
        <f t="shared" si="10"/>
        <v>0</v>
      </c>
      <c r="R86" s="182"/>
      <c r="S86" s="159" t="e">
        <f t="shared" ca="1" si="3"/>
        <v>#N/A</v>
      </c>
      <c r="T86" s="152" t="e">
        <f t="shared" ca="1" si="4"/>
        <v>#VALUE!</v>
      </c>
      <c r="U86" s="152">
        <f t="shared" si="17"/>
        <v>0</v>
      </c>
      <c r="V86" s="183">
        <f t="shared" ca="1" si="37"/>
        <v>27</v>
      </c>
      <c r="W86" s="184" t="str">
        <f t="shared" ca="1" si="36"/>
        <v/>
      </c>
      <c r="X86" s="152">
        <f ca="1">IF(V86&gt;$O$22,0,COUNTIFS($V$26:V86,V86,$L$26:L86,0))</f>
        <v>0</v>
      </c>
      <c r="Y86" s="152">
        <f t="shared" ca="1" si="18"/>
        <v>0</v>
      </c>
      <c r="Z86" s="152">
        <f t="shared" ca="1" si="19"/>
        <v>0</v>
      </c>
      <c r="AA86" s="152" t="str">
        <f t="shared" ca="1" si="20"/>
        <v/>
      </c>
      <c r="AB86" s="152" t="e">
        <f t="shared" ca="1" si="30"/>
        <v>#VALUE!</v>
      </c>
      <c r="AC86" s="152" t="e">
        <f t="shared" ca="1" si="31"/>
        <v>#N/A</v>
      </c>
      <c r="AD86" s="128" t="e">
        <f t="shared" ca="1" si="32"/>
        <v>#N/A</v>
      </c>
      <c r="AE86" s="67">
        <f t="shared" ca="1" si="33"/>
        <v>0</v>
      </c>
    </row>
    <row r="87" spans="2:31" x14ac:dyDescent="0.4">
      <c r="B87" s="160" t="str">
        <f t="shared" ca="1" si="35"/>
        <v/>
      </c>
      <c r="C87" s="127" t="str">
        <f t="shared" ca="1" si="22"/>
        <v/>
      </c>
      <c r="D87" s="187"/>
      <c r="E87" s="188" t="str">
        <f t="shared" ca="1" si="38"/>
        <v/>
      </c>
      <c r="F87" s="189" t="str">
        <f t="shared" ca="1" si="38"/>
        <v/>
      </c>
      <c r="G87" s="188" t="str">
        <f t="shared" ca="1" si="38"/>
        <v/>
      </c>
      <c r="H87" s="190" t="str">
        <f t="shared" ca="1" si="38"/>
        <v/>
      </c>
      <c r="I87" s="189" t="str">
        <f t="shared" ca="1" si="38"/>
        <v/>
      </c>
      <c r="J87" s="167" t="str">
        <f t="shared" ca="1" si="25"/>
        <v/>
      </c>
      <c r="K87" s="179"/>
      <c r="L87" s="130">
        <f t="shared" si="8"/>
        <v>0</v>
      </c>
      <c r="M87" s="180" t="str">
        <f t="shared" ca="1" si="16"/>
        <v/>
      </c>
      <c r="N87" s="181"/>
      <c r="O87" s="179" t="str">
        <f t="shared" si="29"/>
        <v/>
      </c>
      <c r="P87" s="179"/>
      <c r="Q87" s="130">
        <f t="shared" si="10"/>
        <v>0</v>
      </c>
      <c r="R87" s="182"/>
      <c r="S87" s="159" t="e">
        <f t="shared" ca="1" si="3"/>
        <v>#N/A</v>
      </c>
      <c r="T87" s="152" t="e">
        <f t="shared" ca="1" si="4"/>
        <v>#VALUE!</v>
      </c>
      <c r="U87" s="152">
        <f t="shared" si="17"/>
        <v>0</v>
      </c>
      <c r="V87" s="183">
        <f t="shared" ca="1" si="37"/>
        <v>28</v>
      </c>
      <c r="W87" s="184" t="str">
        <f t="shared" ca="1" si="36"/>
        <v/>
      </c>
      <c r="X87" s="152">
        <f ca="1">IF(V87&gt;$O$22,0,COUNTIFS($V$26:V87,V87,$L$26:L87,0))</f>
        <v>0</v>
      </c>
      <c r="Y87" s="152">
        <f t="shared" ca="1" si="18"/>
        <v>0</v>
      </c>
      <c r="Z87" s="152">
        <f t="shared" ca="1" si="19"/>
        <v>0</v>
      </c>
      <c r="AA87" s="152" t="str">
        <f t="shared" ca="1" si="20"/>
        <v/>
      </c>
      <c r="AB87" s="152" t="e">
        <f t="shared" ca="1" si="30"/>
        <v>#VALUE!</v>
      </c>
      <c r="AC87" s="152" t="e">
        <f t="shared" ca="1" si="31"/>
        <v>#N/A</v>
      </c>
      <c r="AD87" s="128" t="e">
        <f t="shared" ca="1" si="32"/>
        <v>#N/A</v>
      </c>
      <c r="AE87" s="67">
        <f t="shared" ca="1" si="33"/>
        <v>0</v>
      </c>
    </row>
    <row r="88" spans="2:31" x14ac:dyDescent="0.4">
      <c r="B88" s="160" t="str">
        <f t="shared" ca="1" si="35"/>
        <v/>
      </c>
      <c r="C88" s="127" t="str">
        <f t="shared" ca="1" si="22"/>
        <v/>
      </c>
      <c r="D88" s="187"/>
      <c r="E88" s="188" t="str">
        <f t="shared" ca="1" si="38"/>
        <v/>
      </c>
      <c r="F88" s="189" t="str">
        <f t="shared" ca="1" si="38"/>
        <v/>
      </c>
      <c r="G88" s="188" t="str">
        <f t="shared" ca="1" si="38"/>
        <v/>
      </c>
      <c r="H88" s="190" t="str">
        <f t="shared" ca="1" si="38"/>
        <v/>
      </c>
      <c r="I88" s="189" t="str">
        <f t="shared" ca="1" si="38"/>
        <v/>
      </c>
      <c r="J88" s="167" t="str">
        <f t="shared" ca="1" si="25"/>
        <v/>
      </c>
      <c r="K88" s="179"/>
      <c r="L88" s="130">
        <f t="shared" si="8"/>
        <v>0</v>
      </c>
      <c r="M88" s="180" t="str">
        <f t="shared" ca="1" si="16"/>
        <v/>
      </c>
      <c r="N88" s="181"/>
      <c r="O88" s="179" t="str">
        <f t="shared" si="29"/>
        <v/>
      </c>
      <c r="P88" s="179"/>
      <c r="Q88" s="130">
        <f t="shared" si="10"/>
        <v>0</v>
      </c>
      <c r="R88" s="182"/>
      <c r="S88" s="159" t="e">
        <f t="shared" ca="1" si="3"/>
        <v>#N/A</v>
      </c>
      <c r="T88" s="152" t="e">
        <f t="shared" ca="1" si="4"/>
        <v>#VALUE!</v>
      </c>
      <c r="U88" s="152">
        <f t="shared" si="17"/>
        <v>0</v>
      </c>
      <c r="V88" s="183">
        <f t="shared" ca="1" si="37"/>
        <v>29</v>
      </c>
      <c r="W88" s="184" t="str">
        <f t="shared" ca="1" si="36"/>
        <v/>
      </c>
      <c r="X88" s="152">
        <f ca="1">IF(V88&gt;$O$22,0,COUNTIFS($V$26:V88,V88,$L$26:L88,0))</f>
        <v>0</v>
      </c>
      <c r="Y88" s="152">
        <f t="shared" ca="1" si="18"/>
        <v>0</v>
      </c>
      <c r="Z88" s="152">
        <f t="shared" ca="1" si="19"/>
        <v>0</v>
      </c>
      <c r="AA88" s="152" t="str">
        <f t="shared" ca="1" si="20"/>
        <v/>
      </c>
      <c r="AB88" s="152" t="e">
        <f t="shared" ca="1" si="30"/>
        <v>#VALUE!</v>
      </c>
      <c r="AC88" s="152" t="e">
        <f t="shared" ca="1" si="31"/>
        <v>#N/A</v>
      </c>
      <c r="AD88" s="128" t="e">
        <f t="shared" ca="1" si="32"/>
        <v>#N/A</v>
      </c>
      <c r="AE88" s="67">
        <f t="shared" ca="1" si="33"/>
        <v>0</v>
      </c>
    </row>
    <row r="89" spans="2:31" x14ac:dyDescent="0.4">
      <c r="B89" s="160" t="str">
        <f t="shared" ca="1" si="35"/>
        <v/>
      </c>
      <c r="C89" s="127" t="str">
        <f t="shared" ca="1" si="22"/>
        <v/>
      </c>
      <c r="D89" s="187"/>
      <c r="E89" s="188" t="str">
        <f t="shared" ref="E89:I98" ca="1" si="39">IF($Y89=E$24,$Z89,"")</f>
        <v/>
      </c>
      <c r="F89" s="189" t="str">
        <f t="shared" ca="1" si="39"/>
        <v/>
      </c>
      <c r="G89" s="188" t="str">
        <f t="shared" ca="1" si="39"/>
        <v/>
      </c>
      <c r="H89" s="190" t="str">
        <f t="shared" ca="1" si="39"/>
        <v/>
      </c>
      <c r="I89" s="189" t="str">
        <f t="shared" ca="1" si="39"/>
        <v/>
      </c>
      <c r="J89" s="167" t="str">
        <f t="shared" ca="1" si="25"/>
        <v/>
      </c>
      <c r="K89" s="179"/>
      <c r="L89" s="130">
        <f t="shared" si="8"/>
        <v>0</v>
      </c>
      <c r="M89" s="180" t="str">
        <f t="shared" ca="1" si="16"/>
        <v/>
      </c>
      <c r="N89" s="181"/>
      <c r="O89" s="179" t="str">
        <f t="shared" si="29"/>
        <v/>
      </c>
      <c r="P89" s="179"/>
      <c r="Q89" s="130">
        <f t="shared" si="10"/>
        <v>0</v>
      </c>
      <c r="R89" s="182"/>
      <c r="S89" s="159" t="e">
        <f t="shared" ca="1" si="3"/>
        <v>#N/A</v>
      </c>
      <c r="T89" s="152" t="e">
        <f t="shared" ca="1" si="4"/>
        <v>#VALUE!</v>
      </c>
      <c r="U89" s="152">
        <f t="shared" si="17"/>
        <v>0</v>
      </c>
      <c r="V89" s="183">
        <f t="shared" ca="1" si="37"/>
        <v>30</v>
      </c>
      <c r="W89" s="184" t="str">
        <f t="shared" ca="1" si="36"/>
        <v/>
      </c>
      <c r="X89" s="152">
        <f ca="1">IF(V89&gt;$O$22,0,COUNTIFS($V$26:V89,V89,$L$26:L89,0))</f>
        <v>0</v>
      </c>
      <c r="Y89" s="152">
        <f t="shared" ca="1" si="18"/>
        <v>0</v>
      </c>
      <c r="Z89" s="152">
        <f t="shared" ca="1" si="19"/>
        <v>0</v>
      </c>
      <c r="AA89" s="152" t="str">
        <f t="shared" ca="1" si="20"/>
        <v/>
      </c>
      <c r="AB89" s="152" t="e">
        <f t="shared" ca="1" si="30"/>
        <v>#VALUE!</v>
      </c>
      <c r="AC89" s="152" t="e">
        <f t="shared" ca="1" si="31"/>
        <v>#N/A</v>
      </c>
      <c r="AD89" s="128" t="e">
        <f t="shared" ca="1" si="32"/>
        <v>#N/A</v>
      </c>
      <c r="AE89" s="67">
        <f t="shared" ca="1" si="33"/>
        <v>0</v>
      </c>
    </row>
    <row r="90" spans="2:31" x14ac:dyDescent="0.4">
      <c r="B90" s="160" t="str">
        <f t="shared" ca="1" si="35"/>
        <v/>
      </c>
      <c r="C90" s="127" t="str">
        <f t="shared" ca="1" si="22"/>
        <v/>
      </c>
      <c r="D90" s="187"/>
      <c r="E90" s="188" t="str">
        <f t="shared" ca="1" si="39"/>
        <v/>
      </c>
      <c r="F90" s="189" t="str">
        <f t="shared" ca="1" si="39"/>
        <v/>
      </c>
      <c r="G90" s="188" t="str">
        <f t="shared" ca="1" si="39"/>
        <v/>
      </c>
      <c r="H90" s="190" t="str">
        <f t="shared" ca="1" si="39"/>
        <v/>
      </c>
      <c r="I90" s="189" t="str">
        <f t="shared" ca="1" si="39"/>
        <v/>
      </c>
      <c r="J90" s="167" t="str">
        <f t="shared" ca="1" si="25"/>
        <v/>
      </c>
      <c r="K90" s="179"/>
      <c r="L90" s="130">
        <f t="shared" si="8"/>
        <v>0</v>
      </c>
      <c r="M90" s="180" t="str">
        <f t="shared" ca="1" si="16"/>
        <v/>
      </c>
      <c r="N90" s="181"/>
      <c r="O90" s="179" t="str">
        <f t="shared" si="29"/>
        <v/>
      </c>
      <c r="P90" s="179"/>
      <c r="Q90" s="130">
        <f t="shared" si="10"/>
        <v>0</v>
      </c>
      <c r="R90" s="182"/>
      <c r="S90" s="159" t="e">
        <f t="shared" ca="1" si="3"/>
        <v>#N/A</v>
      </c>
      <c r="T90" s="152" t="e">
        <f t="shared" ca="1" si="4"/>
        <v>#VALUE!</v>
      </c>
      <c r="U90" s="152">
        <f t="shared" si="17"/>
        <v>0</v>
      </c>
      <c r="V90" s="183">
        <f t="shared" ca="1" si="37"/>
        <v>31</v>
      </c>
      <c r="W90" s="184" t="str">
        <f t="shared" ca="1" si="36"/>
        <v/>
      </c>
      <c r="X90" s="152">
        <f ca="1">IF(V90&gt;$O$22,0,COUNTIFS($V$26:V90,V90,$L$26:L90,0))</f>
        <v>0</v>
      </c>
      <c r="Y90" s="152">
        <f t="shared" ca="1" si="18"/>
        <v>0</v>
      </c>
      <c r="Z90" s="152">
        <f t="shared" ca="1" si="19"/>
        <v>0</v>
      </c>
      <c r="AA90" s="152" t="str">
        <f t="shared" ca="1" si="20"/>
        <v/>
      </c>
      <c r="AB90" s="152" t="e">
        <f t="shared" ca="1" si="30"/>
        <v>#VALUE!</v>
      </c>
      <c r="AC90" s="152" t="e">
        <f t="shared" ca="1" si="31"/>
        <v>#N/A</v>
      </c>
      <c r="AD90" s="128" t="e">
        <f t="shared" ca="1" si="32"/>
        <v>#N/A</v>
      </c>
      <c r="AE90" s="67">
        <f t="shared" ca="1" si="33"/>
        <v>0</v>
      </c>
    </row>
    <row r="91" spans="2:31" x14ac:dyDescent="0.4">
      <c r="B91" s="160" t="str">
        <f t="shared" ca="1" si="35"/>
        <v/>
      </c>
      <c r="C91" s="127" t="str">
        <f t="shared" ca="1" si="22"/>
        <v/>
      </c>
      <c r="D91" s="187"/>
      <c r="E91" s="188" t="str">
        <f t="shared" ca="1" si="39"/>
        <v/>
      </c>
      <c r="F91" s="189" t="str">
        <f t="shared" ca="1" si="39"/>
        <v/>
      </c>
      <c r="G91" s="188" t="str">
        <f t="shared" ca="1" si="39"/>
        <v/>
      </c>
      <c r="H91" s="190" t="str">
        <f t="shared" ca="1" si="39"/>
        <v/>
      </c>
      <c r="I91" s="189" t="str">
        <f t="shared" ca="1" si="39"/>
        <v/>
      </c>
      <c r="J91" s="167" t="str">
        <f t="shared" ca="1" si="25"/>
        <v/>
      </c>
      <c r="K91" s="179"/>
      <c r="L91" s="130">
        <f t="shared" si="8"/>
        <v>0</v>
      </c>
      <c r="M91" s="180" t="str">
        <f t="shared" ca="1" si="16"/>
        <v/>
      </c>
      <c r="N91" s="181"/>
      <c r="O91" s="179" t="str">
        <f t="shared" si="29"/>
        <v/>
      </c>
      <c r="P91" s="179"/>
      <c r="Q91" s="130">
        <f t="shared" si="10"/>
        <v>0</v>
      </c>
      <c r="R91" s="182"/>
      <c r="S91" s="159" t="e">
        <f t="shared" ca="1" si="3"/>
        <v>#N/A</v>
      </c>
      <c r="T91" s="152" t="e">
        <f t="shared" ca="1" si="4"/>
        <v>#VALUE!</v>
      </c>
      <c r="U91" s="152">
        <f t="shared" si="17"/>
        <v>0</v>
      </c>
      <c r="V91" s="183">
        <f t="shared" ca="1" si="37"/>
        <v>32</v>
      </c>
      <c r="W91" s="184" t="str">
        <f t="shared" ca="1" si="36"/>
        <v/>
      </c>
      <c r="X91" s="152">
        <f ca="1">IF(V91&gt;$O$22,0,COUNTIFS($V$26:V91,V91,$L$26:L91,0))</f>
        <v>0</v>
      </c>
      <c r="Y91" s="152">
        <f t="shared" ca="1" si="18"/>
        <v>0</v>
      </c>
      <c r="Z91" s="152">
        <f t="shared" ca="1" si="19"/>
        <v>0</v>
      </c>
      <c r="AA91" s="152" t="str">
        <f t="shared" ca="1" si="20"/>
        <v/>
      </c>
      <c r="AB91" s="152" t="e">
        <f t="shared" ca="1" si="30"/>
        <v>#VALUE!</v>
      </c>
      <c r="AC91" s="152" t="e">
        <f t="shared" ca="1" si="31"/>
        <v>#N/A</v>
      </c>
      <c r="AD91" s="128" t="e">
        <f t="shared" ca="1" si="32"/>
        <v>#N/A</v>
      </c>
      <c r="AE91" s="67">
        <f t="shared" ca="1" si="33"/>
        <v>0</v>
      </c>
    </row>
    <row r="92" spans="2:31" x14ac:dyDescent="0.4">
      <c r="B92" s="160" t="str">
        <f t="shared" ca="1" si="35"/>
        <v/>
      </c>
      <c r="C92" s="127" t="str">
        <f t="shared" ca="1" si="22"/>
        <v/>
      </c>
      <c r="D92" s="187"/>
      <c r="E92" s="188" t="str">
        <f t="shared" ca="1" si="39"/>
        <v/>
      </c>
      <c r="F92" s="189" t="str">
        <f t="shared" ca="1" si="39"/>
        <v/>
      </c>
      <c r="G92" s="188" t="str">
        <f t="shared" ca="1" si="39"/>
        <v/>
      </c>
      <c r="H92" s="190" t="str">
        <f t="shared" ca="1" si="39"/>
        <v/>
      </c>
      <c r="I92" s="189" t="str">
        <f t="shared" ca="1" si="39"/>
        <v/>
      </c>
      <c r="J92" s="167" t="str">
        <f t="shared" ca="1" si="25"/>
        <v/>
      </c>
      <c r="K92" s="179"/>
      <c r="L92" s="130">
        <f t="shared" ref="L92:L123" si="40">IF(K92="",0,INDEX($M$1:$M$10,MATCH(K92,$K$1:$K$10,0)))</f>
        <v>0</v>
      </c>
      <c r="M92" s="180" t="str">
        <f t="shared" ca="1" si="16"/>
        <v/>
      </c>
      <c r="N92" s="181"/>
      <c r="O92" s="179" t="str">
        <f t="shared" si="29"/>
        <v/>
      </c>
      <c r="P92" s="179"/>
      <c r="Q92" s="130">
        <f t="shared" ref="Q92:Q118" si="41">Q91+IF(P92="",0,1)</f>
        <v>0</v>
      </c>
      <c r="R92" s="182"/>
      <c r="S92" s="159" t="e">
        <f t="shared" ref="S92:S118" ca="1" si="42">IF(R92&gt;0,R92,IF(P92="",OFFSET(S92,-1,0),$D$18))</f>
        <v>#N/A</v>
      </c>
      <c r="T92" s="152" t="e">
        <f t="shared" ca="1" si="4"/>
        <v>#VALUE!</v>
      </c>
      <c r="U92" s="152">
        <f t="shared" si="17"/>
        <v>0</v>
      </c>
      <c r="V92" s="183">
        <f t="shared" ca="1" si="37"/>
        <v>33</v>
      </c>
      <c r="W92" s="184" t="str">
        <f t="shared" ca="1" si="36"/>
        <v/>
      </c>
      <c r="X92" s="152">
        <f ca="1">IF(V92&gt;$O$22,0,COUNTIFS($V$26:V92,V92,$L$26:L92,0))</f>
        <v>0</v>
      </c>
      <c r="Y92" s="152">
        <f t="shared" ca="1" si="18"/>
        <v>0</v>
      </c>
      <c r="Z92" s="152">
        <f t="shared" ca="1" si="19"/>
        <v>0</v>
      </c>
      <c r="AA92" s="152" t="str">
        <f t="shared" ca="1" si="20"/>
        <v/>
      </c>
      <c r="AB92" s="152" t="e">
        <f t="shared" ca="1" si="30"/>
        <v>#VALUE!</v>
      </c>
      <c r="AC92" s="152" t="e">
        <f t="shared" ca="1" si="31"/>
        <v>#N/A</v>
      </c>
      <c r="AD92" s="128" t="e">
        <f t="shared" ca="1" si="32"/>
        <v>#N/A</v>
      </c>
      <c r="AE92" s="67">
        <f t="shared" ca="1" si="33"/>
        <v>0</v>
      </c>
    </row>
    <row r="93" spans="2:31" x14ac:dyDescent="0.4">
      <c r="B93" s="160" t="str">
        <f t="shared" ca="1" si="35"/>
        <v/>
      </c>
      <c r="C93" s="127" t="str">
        <f t="shared" ca="1" si="22"/>
        <v/>
      </c>
      <c r="D93" s="187"/>
      <c r="E93" s="188" t="str">
        <f t="shared" ca="1" si="39"/>
        <v/>
      </c>
      <c r="F93" s="189" t="str">
        <f t="shared" ca="1" si="39"/>
        <v/>
      </c>
      <c r="G93" s="188" t="str">
        <f t="shared" ca="1" si="39"/>
        <v/>
      </c>
      <c r="H93" s="190" t="str">
        <f t="shared" ca="1" si="39"/>
        <v/>
      </c>
      <c r="I93" s="189" t="str">
        <f t="shared" ca="1" si="39"/>
        <v/>
      </c>
      <c r="J93" s="167" t="str">
        <f t="shared" ca="1" si="25"/>
        <v/>
      </c>
      <c r="K93" s="179"/>
      <c r="L93" s="130">
        <f t="shared" si="40"/>
        <v>0</v>
      </c>
      <c r="M93" s="180" t="str">
        <f t="shared" ca="1" si="16"/>
        <v/>
      </c>
      <c r="N93" s="181"/>
      <c r="O93" s="179" t="str">
        <f t="shared" ref="O93:O100" si="43">IFERROR(IF(L93=0,"",IF(L93&lt;=2,AB93,INDEX($N$1:$N$10,MATCH(K93,$K$1:$K$10,0)))),"")</f>
        <v/>
      </c>
      <c r="P93" s="179"/>
      <c r="Q93" s="130">
        <f t="shared" si="41"/>
        <v>0</v>
      </c>
      <c r="R93" s="182"/>
      <c r="S93" s="159" t="e">
        <f t="shared" ca="1" si="42"/>
        <v>#N/A</v>
      </c>
      <c r="T93" s="152" t="e">
        <f t="shared" ref="T93:T123" ca="1" si="44">OFFSET(J93,-1,0)*S93</f>
        <v>#VALUE!</v>
      </c>
      <c r="U93" s="152">
        <f t="shared" si="17"/>
        <v>0</v>
      </c>
      <c r="V93" s="183">
        <f t="shared" ca="1" si="37"/>
        <v>34</v>
      </c>
      <c r="W93" s="184" t="str">
        <f t="shared" ca="1" si="36"/>
        <v/>
      </c>
      <c r="X93" s="152">
        <f ca="1">IF(V93&gt;$O$22,0,COUNTIFS($V$26:V93,V93,$L$26:L93,0))</f>
        <v>0</v>
      </c>
      <c r="Y93" s="152">
        <f t="shared" ca="1" si="18"/>
        <v>0</v>
      </c>
      <c r="Z93" s="152">
        <f t="shared" ca="1" si="19"/>
        <v>0</v>
      </c>
      <c r="AA93" s="152" t="str">
        <f t="shared" ca="1" si="20"/>
        <v/>
      </c>
      <c r="AB93" s="152" t="e">
        <f t="shared" ca="1" si="30"/>
        <v>#VALUE!</v>
      </c>
      <c r="AC93" s="152" t="e">
        <f t="shared" ca="1" si="31"/>
        <v>#N/A</v>
      </c>
      <c r="AD93" s="128" t="e">
        <f t="shared" ca="1" si="32"/>
        <v>#N/A</v>
      </c>
      <c r="AE93" s="67">
        <f t="shared" ca="1" si="33"/>
        <v>0</v>
      </c>
    </row>
    <row r="94" spans="2:31" x14ac:dyDescent="0.4">
      <c r="B94" s="160" t="str">
        <f t="shared" ca="1" si="35"/>
        <v/>
      </c>
      <c r="C94" s="127" t="str">
        <f t="shared" ca="1" si="22"/>
        <v/>
      </c>
      <c r="D94" s="187"/>
      <c r="E94" s="188" t="str">
        <f t="shared" ca="1" si="39"/>
        <v/>
      </c>
      <c r="F94" s="189" t="str">
        <f t="shared" ca="1" si="39"/>
        <v/>
      </c>
      <c r="G94" s="188" t="str">
        <f t="shared" ca="1" si="39"/>
        <v/>
      </c>
      <c r="H94" s="190" t="str">
        <f t="shared" ca="1" si="39"/>
        <v/>
      </c>
      <c r="I94" s="189" t="str">
        <f t="shared" ca="1" si="39"/>
        <v/>
      </c>
      <c r="J94" s="167" t="str">
        <f t="shared" ca="1" si="25"/>
        <v/>
      </c>
      <c r="K94" s="179"/>
      <c r="L94" s="130">
        <f t="shared" si="40"/>
        <v>0</v>
      </c>
      <c r="M94" s="180" t="str">
        <f t="shared" ca="1" si="16"/>
        <v/>
      </c>
      <c r="N94" s="181"/>
      <c r="O94" s="179" t="str">
        <f t="shared" si="43"/>
        <v/>
      </c>
      <c r="P94" s="179"/>
      <c r="Q94" s="130">
        <f t="shared" si="41"/>
        <v>0</v>
      </c>
      <c r="R94" s="182"/>
      <c r="S94" s="159" t="e">
        <f t="shared" ca="1" si="42"/>
        <v>#N/A</v>
      </c>
      <c r="T94" s="152" t="e">
        <f t="shared" ca="1" si="44"/>
        <v>#VALUE!</v>
      </c>
      <c r="U94" s="152">
        <f t="shared" si="17"/>
        <v>0</v>
      </c>
      <c r="V94" s="183">
        <f t="shared" ca="1" si="37"/>
        <v>35</v>
      </c>
      <c r="W94" s="184" t="str">
        <f t="shared" ca="1" si="36"/>
        <v/>
      </c>
      <c r="X94" s="152">
        <f ca="1">IF(V94&gt;$O$22,0,COUNTIFS($V$26:V94,V94,$L$26:L94,0))</f>
        <v>0</v>
      </c>
      <c r="Y94" s="152">
        <f t="shared" ca="1" si="18"/>
        <v>0</v>
      </c>
      <c r="Z94" s="152">
        <f t="shared" ca="1" si="19"/>
        <v>0</v>
      </c>
      <c r="AA94" s="152" t="str">
        <f t="shared" ca="1" si="20"/>
        <v/>
      </c>
      <c r="AB94" s="152" t="e">
        <f t="shared" ca="1" si="30"/>
        <v>#VALUE!</v>
      </c>
      <c r="AC94" s="152" t="e">
        <f t="shared" ca="1" si="31"/>
        <v>#N/A</v>
      </c>
      <c r="AD94" s="128" t="e">
        <f t="shared" ca="1" si="32"/>
        <v>#N/A</v>
      </c>
      <c r="AE94" s="67">
        <f t="shared" ca="1" si="33"/>
        <v>0</v>
      </c>
    </row>
    <row r="95" spans="2:31" x14ac:dyDescent="0.4">
      <c r="B95" s="160" t="str">
        <f t="shared" ca="1" si="35"/>
        <v/>
      </c>
      <c r="C95" s="127" t="str">
        <f t="shared" ca="1" si="22"/>
        <v/>
      </c>
      <c r="D95" s="187"/>
      <c r="E95" s="188" t="str">
        <f t="shared" ca="1" si="39"/>
        <v/>
      </c>
      <c r="F95" s="189" t="str">
        <f t="shared" ca="1" si="39"/>
        <v/>
      </c>
      <c r="G95" s="188" t="str">
        <f t="shared" ca="1" si="39"/>
        <v/>
      </c>
      <c r="H95" s="190" t="str">
        <f t="shared" ca="1" si="39"/>
        <v/>
      </c>
      <c r="I95" s="189" t="str">
        <f t="shared" ca="1" si="39"/>
        <v/>
      </c>
      <c r="J95" s="167" t="str">
        <f t="shared" ca="1" si="25"/>
        <v/>
      </c>
      <c r="K95" s="179"/>
      <c r="L95" s="130">
        <f t="shared" si="40"/>
        <v>0</v>
      </c>
      <c r="M95" s="180" t="str">
        <f t="shared" ca="1" si="16"/>
        <v/>
      </c>
      <c r="N95" s="181"/>
      <c r="O95" s="179" t="str">
        <f t="shared" si="43"/>
        <v/>
      </c>
      <c r="P95" s="179"/>
      <c r="Q95" s="130">
        <f t="shared" si="41"/>
        <v>0</v>
      </c>
      <c r="R95" s="182"/>
      <c r="S95" s="159" t="e">
        <f t="shared" ca="1" si="42"/>
        <v>#N/A</v>
      </c>
      <c r="T95" s="152" t="e">
        <f t="shared" ca="1" si="44"/>
        <v>#VALUE!</v>
      </c>
      <c r="U95" s="152">
        <f t="shared" si="17"/>
        <v>0</v>
      </c>
      <c r="V95" s="183">
        <f t="shared" ca="1" si="37"/>
        <v>36</v>
      </c>
      <c r="W95" s="184" t="str">
        <f t="shared" ca="1" si="36"/>
        <v/>
      </c>
      <c r="X95" s="152">
        <f ca="1">IF(V95&gt;$O$22,0,COUNTIFS($V$26:V95,V95,$L$26:L95,0))</f>
        <v>0</v>
      </c>
      <c r="Y95" s="152">
        <f t="shared" ca="1" si="18"/>
        <v>0</v>
      </c>
      <c r="Z95" s="152">
        <f t="shared" ca="1" si="19"/>
        <v>0</v>
      </c>
      <c r="AA95" s="152" t="str">
        <f t="shared" ca="1" si="20"/>
        <v/>
      </c>
      <c r="AB95" s="152" t="e">
        <f t="shared" ca="1" si="30"/>
        <v>#VALUE!</v>
      </c>
      <c r="AC95" s="152" t="e">
        <f t="shared" ca="1" si="31"/>
        <v>#N/A</v>
      </c>
      <c r="AD95" s="128" t="e">
        <f t="shared" ca="1" si="32"/>
        <v>#N/A</v>
      </c>
      <c r="AE95" s="67">
        <f t="shared" ca="1" si="33"/>
        <v>0</v>
      </c>
    </row>
    <row r="96" spans="2:31" x14ac:dyDescent="0.4">
      <c r="B96" s="160" t="str">
        <f t="shared" ca="1" si="35"/>
        <v/>
      </c>
      <c r="C96" s="127" t="str">
        <f t="shared" ca="1" si="22"/>
        <v/>
      </c>
      <c r="D96" s="187"/>
      <c r="E96" s="188" t="str">
        <f t="shared" ca="1" si="39"/>
        <v/>
      </c>
      <c r="F96" s="189" t="str">
        <f t="shared" ca="1" si="39"/>
        <v/>
      </c>
      <c r="G96" s="188" t="str">
        <f t="shared" ca="1" si="39"/>
        <v/>
      </c>
      <c r="H96" s="190" t="str">
        <f t="shared" ca="1" si="39"/>
        <v/>
      </c>
      <c r="I96" s="189" t="str">
        <f t="shared" ca="1" si="39"/>
        <v/>
      </c>
      <c r="J96" s="167" t="str">
        <f t="shared" ca="1" si="25"/>
        <v/>
      </c>
      <c r="K96" s="179"/>
      <c r="L96" s="130">
        <f t="shared" si="40"/>
        <v>0</v>
      </c>
      <c r="M96" s="180" t="str">
        <f t="shared" ca="1" si="16"/>
        <v/>
      </c>
      <c r="N96" s="181"/>
      <c r="O96" s="179" t="str">
        <f t="shared" si="43"/>
        <v/>
      </c>
      <c r="P96" s="179"/>
      <c r="Q96" s="130">
        <f t="shared" si="41"/>
        <v>0</v>
      </c>
      <c r="R96" s="182"/>
      <c r="S96" s="159" t="e">
        <f t="shared" ca="1" si="42"/>
        <v>#N/A</v>
      </c>
      <c r="T96" s="152" t="e">
        <f t="shared" ca="1" si="44"/>
        <v>#VALUE!</v>
      </c>
      <c r="U96" s="152">
        <f t="shared" si="17"/>
        <v>0</v>
      </c>
      <c r="V96" s="183">
        <f t="shared" ca="1" si="37"/>
        <v>37</v>
      </c>
      <c r="W96" s="184" t="str">
        <f t="shared" ca="1" si="36"/>
        <v/>
      </c>
      <c r="X96" s="152">
        <f ca="1">IF(V96&gt;$O$22,0,COUNTIFS($V$26:V96,V96,$L$26:L96,0))</f>
        <v>0</v>
      </c>
      <c r="Y96" s="152">
        <f t="shared" ca="1" si="18"/>
        <v>0</v>
      </c>
      <c r="Z96" s="152">
        <f t="shared" ca="1" si="19"/>
        <v>0</v>
      </c>
      <c r="AA96" s="152" t="str">
        <f t="shared" ca="1" si="20"/>
        <v/>
      </c>
      <c r="AB96" s="152" t="e">
        <f t="shared" ref="AB96:AB123" ca="1" si="45">IF(Q96=1,"Default ","")&amp;"Interest due "&amp;TEXT(B96,"dd/mm/yy")&amp;" to "&amp;TEXT(DATE(YEAR(B96),MONTH(B96)+1,DAY(B96)),"dd/mm/yy")</f>
        <v>#VALUE!</v>
      </c>
      <c r="AC96" s="152" t="e">
        <f t="shared" ref="AC96:AC123" ca="1" si="46">IF(V96&lt;=$D$13,1,0)</f>
        <v>#N/A</v>
      </c>
      <c r="AD96" s="128" t="e">
        <f t="shared" ref="AD96:AD123" ca="1" si="47">IF(AC96=1,$AD$23,$AD$24)</f>
        <v>#N/A</v>
      </c>
      <c r="AE96" s="67">
        <f t="shared" ref="AE96:AE123" ca="1" si="48">SUMIFS(T:T,W:W,W96,Y:Y,1)</f>
        <v>0</v>
      </c>
    </row>
    <row r="97" spans="2:31" x14ac:dyDescent="0.4">
      <c r="B97" s="160" t="str">
        <f t="shared" ca="1" si="35"/>
        <v/>
      </c>
      <c r="C97" s="127" t="str">
        <f t="shared" ca="1" si="22"/>
        <v/>
      </c>
      <c r="D97" s="187"/>
      <c r="E97" s="188" t="str">
        <f t="shared" ca="1" si="39"/>
        <v/>
      </c>
      <c r="F97" s="189" t="str">
        <f t="shared" ca="1" si="39"/>
        <v/>
      </c>
      <c r="G97" s="188" t="str">
        <f t="shared" ca="1" si="39"/>
        <v/>
      </c>
      <c r="H97" s="190" t="str">
        <f t="shared" ca="1" si="39"/>
        <v/>
      </c>
      <c r="I97" s="189" t="str">
        <f t="shared" ca="1" si="39"/>
        <v/>
      </c>
      <c r="J97" s="167" t="str">
        <f t="shared" ca="1" si="25"/>
        <v/>
      </c>
      <c r="K97" s="179"/>
      <c r="L97" s="130">
        <f t="shared" si="40"/>
        <v>0</v>
      </c>
      <c r="M97" s="180" t="str">
        <f t="shared" ref="M97:M123" ca="1" si="49">W97</f>
        <v/>
      </c>
      <c r="N97" s="181"/>
      <c r="O97" s="179" t="str">
        <f t="shared" si="43"/>
        <v/>
      </c>
      <c r="P97" s="179"/>
      <c r="Q97" s="130">
        <f t="shared" si="41"/>
        <v>0</v>
      </c>
      <c r="R97" s="182"/>
      <c r="S97" s="159" t="e">
        <f t="shared" ca="1" si="42"/>
        <v>#N/A</v>
      </c>
      <c r="T97" s="152" t="e">
        <f t="shared" ca="1" si="44"/>
        <v>#VALUE!</v>
      </c>
      <c r="U97" s="152">
        <f t="shared" ref="U97:U124" si="50">IF(OR(L97=2,L97&gt;3),1,0)</f>
        <v>0</v>
      </c>
      <c r="V97" s="183">
        <f t="shared" ca="1" si="37"/>
        <v>38</v>
      </c>
      <c r="W97" s="184" t="str">
        <f t="shared" ca="1" si="36"/>
        <v/>
      </c>
      <c r="X97" s="152">
        <f ca="1">IF(V97&gt;$O$22,0,COUNTIFS($V$26:V97,V97,$L$26:L97,0))</f>
        <v>0</v>
      </c>
      <c r="Y97" s="152">
        <f t="shared" ref="Y97:Y123" ca="1" si="51">IF(L97=0,IF(X97=0,0,IF(X97=1,1,3)),L97)</f>
        <v>0</v>
      </c>
      <c r="Z97" s="152">
        <f t="shared" ref="Z97:Z118" ca="1" si="52">IF(N97="",AE97,N97)</f>
        <v>0</v>
      </c>
      <c r="AA97" s="152" t="str">
        <f t="shared" ref="AA97:AA123" ca="1" si="53">IF(O97="",IF(X97=0,"",IF(X97=1,AB97,AD97)),O97)</f>
        <v/>
      </c>
      <c r="AB97" s="152" t="e">
        <f t="shared" ca="1" si="45"/>
        <v>#VALUE!</v>
      </c>
      <c r="AC97" s="152" t="e">
        <f t="shared" ca="1" si="46"/>
        <v>#N/A</v>
      </c>
      <c r="AD97" s="128" t="e">
        <f t="shared" ca="1" si="47"/>
        <v>#N/A</v>
      </c>
      <c r="AE97" s="67">
        <f t="shared" ca="1" si="48"/>
        <v>0</v>
      </c>
    </row>
    <row r="98" spans="2:31" x14ac:dyDescent="0.4">
      <c r="B98" s="160" t="str">
        <f t="shared" ca="1" si="35"/>
        <v/>
      </c>
      <c r="C98" s="127" t="str">
        <f t="shared" ca="1" si="22"/>
        <v/>
      </c>
      <c r="D98" s="187"/>
      <c r="E98" s="188" t="str">
        <f t="shared" ca="1" si="39"/>
        <v/>
      </c>
      <c r="F98" s="189" t="str">
        <f t="shared" ca="1" si="39"/>
        <v/>
      </c>
      <c r="G98" s="188" t="str">
        <f t="shared" ca="1" si="39"/>
        <v/>
      </c>
      <c r="H98" s="190" t="str">
        <f t="shared" ca="1" si="39"/>
        <v/>
      </c>
      <c r="I98" s="189" t="str">
        <f t="shared" ca="1" si="39"/>
        <v/>
      </c>
      <c r="J98" s="167" t="str">
        <f t="shared" ca="1" si="25"/>
        <v/>
      </c>
      <c r="K98" s="179"/>
      <c r="L98" s="130">
        <f t="shared" si="40"/>
        <v>0</v>
      </c>
      <c r="M98" s="180" t="str">
        <f t="shared" ca="1" si="49"/>
        <v/>
      </c>
      <c r="N98" s="181"/>
      <c r="O98" s="179" t="str">
        <f t="shared" si="43"/>
        <v/>
      </c>
      <c r="P98" s="179"/>
      <c r="Q98" s="130">
        <f t="shared" si="41"/>
        <v>0</v>
      </c>
      <c r="R98" s="182"/>
      <c r="S98" s="159" t="e">
        <f t="shared" ca="1" si="42"/>
        <v>#N/A</v>
      </c>
      <c r="T98" s="152" t="e">
        <f t="shared" ca="1" si="44"/>
        <v>#VALUE!</v>
      </c>
      <c r="U98" s="152">
        <f t="shared" si="50"/>
        <v>0</v>
      </c>
      <c r="V98" s="183">
        <f t="shared" ca="1" si="37"/>
        <v>39</v>
      </c>
      <c r="W98" s="184" t="str">
        <f t="shared" ca="1" si="36"/>
        <v/>
      </c>
      <c r="X98" s="152">
        <f ca="1">IF(V98&gt;$O$22,0,COUNTIFS($V$26:V98,V98,$L$26:L98,0))</f>
        <v>0</v>
      </c>
      <c r="Y98" s="152">
        <f t="shared" ca="1" si="51"/>
        <v>0</v>
      </c>
      <c r="Z98" s="152">
        <f t="shared" ca="1" si="52"/>
        <v>0</v>
      </c>
      <c r="AA98" s="152" t="str">
        <f t="shared" ca="1" si="53"/>
        <v/>
      </c>
      <c r="AB98" s="152" t="e">
        <f t="shared" ca="1" si="45"/>
        <v>#VALUE!</v>
      </c>
      <c r="AC98" s="152" t="e">
        <f t="shared" ca="1" si="46"/>
        <v>#N/A</v>
      </c>
      <c r="AD98" s="128" t="e">
        <f t="shared" ca="1" si="47"/>
        <v>#N/A</v>
      </c>
      <c r="AE98" s="67">
        <f t="shared" ca="1" si="48"/>
        <v>0</v>
      </c>
    </row>
    <row r="99" spans="2:31" x14ac:dyDescent="0.4">
      <c r="B99" s="160" t="str">
        <f t="shared" ca="1" si="35"/>
        <v/>
      </c>
      <c r="C99" s="127" t="str">
        <f t="shared" ca="1" si="22"/>
        <v/>
      </c>
      <c r="D99" s="187"/>
      <c r="E99" s="188" t="str">
        <f t="shared" ref="E99:I108" ca="1" si="54">IF($Y99=E$24,$Z99,"")</f>
        <v/>
      </c>
      <c r="F99" s="189" t="str">
        <f t="shared" ca="1" si="54"/>
        <v/>
      </c>
      <c r="G99" s="188" t="str">
        <f t="shared" ca="1" si="54"/>
        <v/>
      </c>
      <c r="H99" s="190" t="str">
        <f t="shared" ca="1" si="54"/>
        <v/>
      </c>
      <c r="I99" s="189" t="str">
        <f t="shared" ca="1" si="54"/>
        <v/>
      </c>
      <c r="J99" s="167" t="str">
        <f t="shared" ca="1" si="25"/>
        <v/>
      </c>
      <c r="K99" s="179"/>
      <c r="L99" s="130">
        <f t="shared" si="40"/>
        <v>0</v>
      </c>
      <c r="M99" s="180" t="str">
        <f t="shared" ca="1" si="49"/>
        <v/>
      </c>
      <c r="N99" s="181"/>
      <c r="O99" s="179" t="str">
        <f t="shared" si="43"/>
        <v/>
      </c>
      <c r="P99" s="179"/>
      <c r="Q99" s="130">
        <f t="shared" si="41"/>
        <v>0</v>
      </c>
      <c r="R99" s="182"/>
      <c r="S99" s="159" t="e">
        <f t="shared" ca="1" si="42"/>
        <v>#N/A</v>
      </c>
      <c r="T99" s="152" t="e">
        <f t="shared" ca="1" si="44"/>
        <v>#VALUE!</v>
      </c>
      <c r="U99" s="152">
        <f t="shared" si="50"/>
        <v>0</v>
      </c>
      <c r="V99" s="183">
        <f t="shared" ca="1" si="37"/>
        <v>40</v>
      </c>
      <c r="W99" s="184" t="str">
        <f t="shared" ca="1" si="36"/>
        <v/>
      </c>
      <c r="X99" s="152">
        <f ca="1">IF(V99&gt;$O$22,0,COUNTIFS($V$26:V99,V99,$L$26:L99,0))</f>
        <v>0</v>
      </c>
      <c r="Y99" s="152">
        <f t="shared" ca="1" si="51"/>
        <v>0</v>
      </c>
      <c r="Z99" s="152">
        <f t="shared" ca="1" si="52"/>
        <v>0</v>
      </c>
      <c r="AA99" s="152" t="str">
        <f t="shared" ca="1" si="53"/>
        <v/>
      </c>
      <c r="AB99" s="152" t="e">
        <f t="shared" ca="1" si="45"/>
        <v>#VALUE!</v>
      </c>
      <c r="AC99" s="152" t="e">
        <f t="shared" ca="1" si="46"/>
        <v>#N/A</v>
      </c>
      <c r="AD99" s="128" t="e">
        <f t="shared" ca="1" si="47"/>
        <v>#N/A</v>
      </c>
      <c r="AE99" s="67">
        <f t="shared" ca="1" si="48"/>
        <v>0</v>
      </c>
    </row>
    <row r="100" spans="2:31" x14ac:dyDescent="0.4">
      <c r="B100" s="160" t="str">
        <f t="shared" ca="1" si="35"/>
        <v/>
      </c>
      <c r="C100" s="127" t="str">
        <f t="shared" ca="1" si="22"/>
        <v/>
      </c>
      <c r="D100" s="187"/>
      <c r="E100" s="188" t="str">
        <f t="shared" ca="1" si="54"/>
        <v/>
      </c>
      <c r="F100" s="189" t="str">
        <f t="shared" ca="1" si="54"/>
        <v/>
      </c>
      <c r="G100" s="188" t="str">
        <f t="shared" ca="1" si="54"/>
        <v/>
      </c>
      <c r="H100" s="190" t="str">
        <f t="shared" ca="1" si="54"/>
        <v/>
      </c>
      <c r="I100" s="189" t="str">
        <f t="shared" ca="1" si="54"/>
        <v/>
      </c>
      <c r="J100" s="167" t="str">
        <f t="shared" ca="1" si="25"/>
        <v/>
      </c>
      <c r="K100" s="179"/>
      <c r="L100" s="130">
        <f t="shared" si="40"/>
        <v>0</v>
      </c>
      <c r="M100" s="180" t="str">
        <f t="shared" ca="1" si="49"/>
        <v/>
      </c>
      <c r="N100" s="181"/>
      <c r="O100" s="179" t="str">
        <f t="shared" si="43"/>
        <v/>
      </c>
      <c r="P100" s="179"/>
      <c r="Q100" s="130">
        <f t="shared" si="41"/>
        <v>0</v>
      </c>
      <c r="R100" s="182"/>
      <c r="S100" s="159" t="e">
        <f t="shared" ca="1" si="42"/>
        <v>#N/A</v>
      </c>
      <c r="T100" s="152" t="e">
        <f t="shared" ca="1" si="44"/>
        <v>#VALUE!</v>
      </c>
      <c r="U100" s="152">
        <f t="shared" si="50"/>
        <v>0</v>
      </c>
      <c r="V100" s="183">
        <f t="shared" ca="1" si="37"/>
        <v>41</v>
      </c>
      <c r="W100" s="184" t="str">
        <f t="shared" ca="1" si="36"/>
        <v/>
      </c>
      <c r="X100" s="152">
        <f ca="1">IF(V100&gt;$O$22,0,COUNTIFS($V$26:V100,V100,$L$26:L100,0))</f>
        <v>0</v>
      </c>
      <c r="Y100" s="152">
        <f t="shared" ca="1" si="51"/>
        <v>0</v>
      </c>
      <c r="Z100" s="152">
        <f t="shared" ca="1" si="52"/>
        <v>0</v>
      </c>
      <c r="AA100" s="152" t="str">
        <f t="shared" ca="1" si="53"/>
        <v/>
      </c>
      <c r="AB100" s="152" t="e">
        <f t="shared" ca="1" si="45"/>
        <v>#VALUE!</v>
      </c>
      <c r="AC100" s="152" t="e">
        <f t="shared" ca="1" si="46"/>
        <v>#N/A</v>
      </c>
      <c r="AD100" s="128" t="e">
        <f t="shared" ca="1" si="47"/>
        <v>#N/A</v>
      </c>
      <c r="AE100" s="67">
        <f t="shared" ca="1" si="48"/>
        <v>0</v>
      </c>
    </row>
    <row r="101" spans="2:31" x14ac:dyDescent="0.4">
      <c r="B101" s="160" t="str">
        <f t="shared" ca="1" si="35"/>
        <v/>
      </c>
      <c r="C101" s="127" t="str">
        <f t="shared" ca="1" si="22"/>
        <v/>
      </c>
      <c r="D101" s="187"/>
      <c r="E101" s="188" t="str">
        <f t="shared" ca="1" si="54"/>
        <v/>
      </c>
      <c r="F101" s="189" t="str">
        <f t="shared" ca="1" si="54"/>
        <v/>
      </c>
      <c r="G101" s="188" t="str">
        <f t="shared" ca="1" si="54"/>
        <v/>
      </c>
      <c r="H101" s="190" t="str">
        <f t="shared" ca="1" si="54"/>
        <v/>
      </c>
      <c r="I101" s="189" t="str">
        <f t="shared" ca="1" si="54"/>
        <v/>
      </c>
      <c r="J101" s="167" t="str">
        <f t="shared" ca="1" si="25"/>
        <v/>
      </c>
      <c r="K101" s="179"/>
      <c r="L101" s="130">
        <f t="shared" si="40"/>
        <v>0</v>
      </c>
      <c r="M101" s="180" t="str">
        <f t="shared" ca="1" si="49"/>
        <v/>
      </c>
      <c r="N101" s="181"/>
      <c r="O101" s="179" t="str">
        <f t="shared" ref="O101:O118" si="55">IFERROR(IF(L101=0,"",IF(L101&lt;=2,AB101,INDEX($N$1:$N$10,MATCH(K101,$K$1:$K$10,0)))),"")</f>
        <v/>
      </c>
      <c r="P101" s="179"/>
      <c r="Q101" s="130">
        <f t="shared" si="41"/>
        <v>0</v>
      </c>
      <c r="R101" s="182"/>
      <c r="S101" s="159" t="e">
        <f t="shared" ca="1" si="42"/>
        <v>#N/A</v>
      </c>
      <c r="T101" s="152" t="e">
        <f t="shared" ca="1" si="44"/>
        <v>#VALUE!</v>
      </c>
      <c r="U101" s="152">
        <f t="shared" si="50"/>
        <v>0</v>
      </c>
      <c r="V101" s="183">
        <f t="shared" ca="1" si="37"/>
        <v>42</v>
      </c>
      <c r="W101" s="184" t="str">
        <f t="shared" ca="1" si="36"/>
        <v/>
      </c>
      <c r="X101" s="152">
        <f ca="1">IF(V101&gt;$O$22,0,COUNTIFS($V$26:V101,V101,$L$26:L101,0))</f>
        <v>0</v>
      </c>
      <c r="Y101" s="152">
        <f t="shared" ca="1" si="51"/>
        <v>0</v>
      </c>
      <c r="Z101" s="152">
        <f t="shared" ca="1" si="52"/>
        <v>0</v>
      </c>
      <c r="AA101" s="152" t="str">
        <f t="shared" ca="1" si="53"/>
        <v/>
      </c>
      <c r="AB101" s="152" t="e">
        <f t="shared" ca="1" si="45"/>
        <v>#VALUE!</v>
      </c>
      <c r="AC101" s="152" t="e">
        <f t="shared" ca="1" si="46"/>
        <v>#N/A</v>
      </c>
      <c r="AD101" s="128" t="e">
        <f t="shared" ca="1" si="47"/>
        <v>#N/A</v>
      </c>
      <c r="AE101" s="67">
        <f t="shared" ca="1" si="48"/>
        <v>0</v>
      </c>
    </row>
    <row r="102" spans="2:31" x14ac:dyDescent="0.4">
      <c r="B102" s="160" t="str">
        <f t="shared" ca="1" si="35"/>
        <v/>
      </c>
      <c r="C102" s="127" t="str">
        <f t="shared" ca="1" si="22"/>
        <v/>
      </c>
      <c r="D102" s="187"/>
      <c r="E102" s="188" t="str">
        <f t="shared" ca="1" si="54"/>
        <v/>
      </c>
      <c r="F102" s="189" t="str">
        <f t="shared" ca="1" si="54"/>
        <v/>
      </c>
      <c r="G102" s="188" t="str">
        <f t="shared" ca="1" si="54"/>
        <v/>
      </c>
      <c r="H102" s="190" t="str">
        <f t="shared" ca="1" si="54"/>
        <v/>
      </c>
      <c r="I102" s="189" t="str">
        <f t="shared" ca="1" si="54"/>
        <v/>
      </c>
      <c r="J102" s="167" t="str">
        <f t="shared" ca="1" si="25"/>
        <v/>
      </c>
      <c r="K102" s="179"/>
      <c r="L102" s="130">
        <f t="shared" si="40"/>
        <v>0</v>
      </c>
      <c r="M102" s="180" t="str">
        <f t="shared" ca="1" si="49"/>
        <v/>
      </c>
      <c r="N102" s="181"/>
      <c r="O102" s="179" t="str">
        <f t="shared" si="55"/>
        <v/>
      </c>
      <c r="P102" s="179"/>
      <c r="Q102" s="130">
        <f t="shared" si="41"/>
        <v>0</v>
      </c>
      <c r="R102" s="182"/>
      <c r="S102" s="159" t="e">
        <f t="shared" ca="1" si="42"/>
        <v>#N/A</v>
      </c>
      <c r="T102" s="152" t="e">
        <f t="shared" ca="1" si="44"/>
        <v>#VALUE!</v>
      </c>
      <c r="U102" s="152">
        <f t="shared" si="50"/>
        <v>0</v>
      </c>
      <c r="V102" s="183">
        <f t="shared" ca="1" si="37"/>
        <v>43</v>
      </c>
      <c r="W102" s="184" t="str">
        <f t="shared" ca="1" si="36"/>
        <v/>
      </c>
      <c r="X102" s="152">
        <f ca="1">IF(V102&gt;$O$22,0,COUNTIFS($V$26:V102,V102,$L$26:L102,0))</f>
        <v>0</v>
      </c>
      <c r="Y102" s="152">
        <f t="shared" ca="1" si="51"/>
        <v>0</v>
      </c>
      <c r="Z102" s="152">
        <f t="shared" ca="1" si="52"/>
        <v>0</v>
      </c>
      <c r="AA102" s="152" t="str">
        <f t="shared" ca="1" si="53"/>
        <v/>
      </c>
      <c r="AB102" s="152" t="e">
        <f t="shared" ca="1" si="45"/>
        <v>#VALUE!</v>
      </c>
      <c r="AC102" s="152" t="e">
        <f t="shared" ca="1" si="46"/>
        <v>#N/A</v>
      </c>
      <c r="AD102" s="128" t="e">
        <f t="shared" ca="1" si="47"/>
        <v>#N/A</v>
      </c>
      <c r="AE102" s="67">
        <f t="shared" ca="1" si="48"/>
        <v>0</v>
      </c>
    </row>
    <row r="103" spans="2:31" x14ac:dyDescent="0.4">
      <c r="B103" s="160" t="str">
        <f t="shared" ref="B103:B123" ca="1" si="56">IF(M103="",W103,M103)</f>
        <v/>
      </c>
      <c r="C103" s="127" t="str">
        <f t="shared" ref="C103:C118" ca="1" si="57">AA103</f>
        <v/>
      </c>
      <c r="D103" s="187"/>
      <c r="E103" s="188" t="str">
        <f t="shared" ca="1" si="54"/>
        <v/>
      </c>
      <c r="F103" s="189" t="str">
        <f t="shared" ca="1" si="54"/>
        <v/>
      </c>
      <c r="G103" s="188" t="str">
        <f t="shared" ca="1" si="54"/>
        <v/>
      </c>
      <c r="H103" s="190" t="str">
        <f t="shared" ca="1" si="54"/>
        <v/>
      </c>
      <c r="I103" s="189" t="str">
        <f t="shared" ca="1" si="54"/>
        <v/>
      </c>
      <c r="J103" s="167" t="str">
        <f t="shared" ca="1" si="25"/>
        <v/>
      </c>
      <c r="K103" s="179"/>
      <c r="L103" s="130">
        <f t="shared" si="40"/>
        <v>0</v>
      </c>
      <c r="M103" s="180" t="str">
        <f t="shared" ca="1" si="49"/>
        <v/>
      </c>
      <c r="N103" s="181"/>
      <c r="O103" s="179" t="str">
        <f t="shared" si="55"/>
        <v/>
      </c>
      <c r="P103" s="179"/>
      <c r="Q103" s="130">
        <f t="shared" si="41"/>
        <v>0</v>
      </c>
      <c r="R103" s="182"/>
      <c r="S103" s="159" t="e">
        <f t="shared" ca="1" si="42"/>
        <v>#N/A</v>
      </c>
      <c r="T103" s="152" t="e">
        <f t="shared" ca="1" si="44"/>
        <v>#VALUE!</v>
      </c>
      <c r="U103" s="152">
        <f t="shared" si="50"/>
        <v>0</v>
      </c>
      <c r="V103" s="183">
        <f t="shared" ca="1" si="37"/>
        <v>44</v>
      </c>
      <c r="W103" s="184" t="str">
        <f t="shared" ref="W103:W123" ca="1" si="58">IF(V103&gt;$O$22,"",EDATE($W$24,V103))</f>
        <v/>
      </c>
      <c r="X103" s="152">
        <f ca="1">IF(V103&gt;$O$22,0,COUNTIFS($V$26:V103,V103,$L$26:L103,0))</f>
        <v>0</v>
      </c>
      <c r="Y103" s="152">
        <f t="shared" ca="1" si="51"/>
        <v>0</v>
      </c>
      <c r="Z103" s="152">
        <f t="shared" ca="1" si="52"/>
        <v>0</v>
      </c>
      <c r="AA103" s="152" t="str">
        <f t="shared" ca="1" si="53"/>
        <v/>
      </c>
      <c r="AB103" s="152" t="e">
        <f t="shared" ca="1" si="45"/>
        <v>#VALUE!</v>
      </c>
      <c r="AC103" s="152" t="e">
        <f t="shared" ca="1" si="46"/>
        <v>#N/A</v>
      </c>
      <c r="AD103" s="128" t="e">
        <f t="shared" ca="1" si="47"/>
        <v>#N/A</v>
      </c>
      <c r="AE103" s="67">
        <f t="shared" ca="1" si="48"/>
        <v>0</v>
      </c>
    </row>
    <row r="104" spans="2:31" x14ac:dyDescent="0.4">
      <c r="B104" s="160" t="str">
        <f t="shared" ca="1" si="56"/>
        <v/>
      </c>
      <c r="C104" s="127" t="str">
        <f t="shared" ca="1" si="57"/>
        <v/>
      </c>
      <c r="D104" s="187"/>
      <c r="E104" s="188" t="str">
        <f t="shared" ca="1" si="54"/>
        <v/>
      </c>
      <c r="F104" s="189" t="str">
        <f t="shared" ca="1" si="54"/>
        <v/>
      </c>
      <c r="G104" s="188" t="str">
        <f t="shared" ca="1" si="54"/>
        <v/>
      </c>
      <c r="H104" s="190" t="str">
        <f t="shared" ca="1" si="54"/>
        <v/>
      </c>
      <c r="I104" s="189" t="str">
        <f t="shared" ca="1" si="54"/>
        <v/>
      </c>
      <c r="J104" s="167" t="str">
        <f t="shared" ref="J104:J123" ca="1" si="59">IF(B104="","",OFFSET(J104,-1,0)+SUM(E104:F104)-SUM(G104:I104))</f>
        <v/>
      </c>
      <c r="K104" s="179"/>
      <c r="L104" s="130">
        <f t="shared" si="40"/>
        <v>0</v>
      </c>
      <c r="M104" s="180" t="str">
        <f t="shared" ca="1" si="49"/>
        <v/>
      </c>
      <c r="N104" s="181"/>
      <c r="O104" s="179" t="str">
        <f t="shared" si="55"/>
        <v/>
      </c>
      <c r="P104" s="179"/>
      <c r="Q104" s="130">
        <f t="shared" si="41"/>
        <v>0</v>
      </c>
      <c r="R104" s="182"/>
      <c r="S104" s="159" t="e">
        <f t="shared" ca="1" si="42"/>
        <v>#N/A</v>
      </c>
      <c r="T104" s="152" t="e">
        <f t="shared" ca="1" si="44"/>
        <v>#VALUE!</v>
      </c>
      <c r="U104" s="152">
        <f t="shared" si="50"/>
        <v>0</v>
      </c>
      <c r="V104" s="183">
        <f t="shared" ref="V104:V123" ca="1" si="60">OFFSET(V104,-1,0)+IF(COUNTIFS(OFFSET($B$32,0,0,ROW(V104)-ROW($B$32)),OFFSET(B104,-1,0),OFFSET($U$32,0,0,ROW(V104)-ROW($U$32)),0)&gt;=2,1,0)</f>
        <v>45</v>
      </c>
      <c r="W104" s="184" t="str">
        <f t="shared" ca="1" si="58"/>
        <v/>
      </c>
      <c r="X104" s="152">
        <f ca="1">IF(V104&gt;$O$22,0,COUNTIFS($V$26:V104,V104,$L$26:L104,0))</f>
        <v>0</v>
      </c>
      <c r="Y104" s="152">
        <f t="shared" ca="1" si="51"/>
        <v>0</v>
      </c>
      <c r="Z104" s="152">
        <f t="shared" ca="1" si="52"/>
        <v>0</v>
      </c>
      <c r="AA104" s="152" t="str">
        <f t="shared" ca="1" si="53"/>
        <v/>
      </c>
      <c r="AB104" s="152" t="e">
        <f t="shared" ca="1" si="45"/>
        <v>#VALUE!</v>
      </c>
      <c r="AC104" s="152" t="e">
        <f t="shared" ca="1" si="46"/>
        <v>#N/A</v>
      </c>
      <c r="AD104" s="128" t="e">
        <f t="shared" ca="1" si="47"/>
        <v>#N/A</v>
      </c>
      <c r="AE104" s="67">
        <f t="shared" ca="1" si="48"/>
        <v>0</v>
      </c>
    </row>
    <row r="105" spans="2:31" x14ac:dyDescent="0.4">
      <c r="B105" s="160" t="str">
        <f t="shared" ca="1" si="56"/>
        <v/>
      </c>
      <c r="C105" s="127" t="str">
        <f t="shared" ca="1" si="57"/>
        <v/>
      </c>
      <c r="D105" s="187"/>
      <c r="E105" s="188" t="str">
        <f t="shared" ca="1" si="54"/>
        <v/>
      </c>
      <c r="F105" s="189" t="str">
        <f t="shared" ca="1" si="54"/>
        <v/>
      </c>
      <c r="G105" s="188" t="str">
        <f t="shared" ca="1" si="54"/>
        <v/>
      </c>
      <c r="H105" s="190" t="str">
        <f t="shared" ca="1" si="54"/>
        <v/>
      </c>
      <c r="I105" s="189" t="str">
        <f t="shared" ca="1" si="54"/>
        <v/>
      </c>
      <c r="J105" s="167" t="str">
        <f t="shared" ca="1" si="59"/>
        <v/>
      </c>
      <c r="K105" s="179"/>
      <c r="L105" s="130">
        <f t="shared" si="40"/>
        <v>0</v>
      </c>
      <c r="M105" s="180" t="str">
        <f t="shared" ca="1" si="49"/>
        <v/>
      </c>
      <c r="N105" s="181"/>
      <c r="O105" s="179" t="str">
        <f t="shared" si="55"/>
        <v/>
      </c>
      <c r="P105" s="179"/>
      <c r="Q105" s="130">
        <f t="shared" si="41"/>
        <v>0</v>
      </c>
      <c r="R105" s="182"/>
      <c r="S105" s="159" t="e">
        <f t="shared" ca="1" si="42"/>
        <v>#N/A</v>
      </c>
      <c r="T105" s="152" t="e">
        <f t="shared" ca="1" si="44"/>
        <v>#VALUE!</v>
      </c>
      <c r="U105" s="152">
        <f t="shared" si="50"/>
        <v>0</v>
      </c>
      <c r="V105" s="183">
        <f t="shared" ca="1" si="60"/>
        <v>46</v>
      </c>
      <c r="W105" s="184" t="str">
        <f t="shared" ca="1" si="58"/>
        <v/>
      </c>
      <c r="X105" s="152">
        <f ca="1">IF(V105&gt;$O$22,0,COUNTIFS($V$26:V105,V105,$L$26:L105,0))</f>
        <v>0</v>
      </c>
      <c r="Y105" s="152">
        <f t="shared" ca="1" si="51"/>
        <v>0</v>
      </c>
      <c r="Z105" s="152">
        <f t="shared" ca="1" si="52"/>
        <v>0</v>
      </c>
      <c r="AA105" s="152" t="str">
        <f t="shared" ca="1" si="53"/>
        <v/>
      </c>
      <c r="AB105" s="152" t="e">
        <f t="shared" ca="1" si="45"/>
        <v>#VALUE!</v>
      </c>
      <c r="AC105" s="152" t="e">
        <f t="shared" ca="1" si="46"/>
        <v>#N/A</v>
      </c>
      <c r="AD105" s="128" t="e">
        <f t="shared" ca="1" si="47"/>
        <v>#N/A</v>
      </c>
      <c r="AE105" s="67">
        <f t="shared" ca="1" si="48"/>
        <v>0</v>
      </c>
    </row>
    <row r="106" spans="2:31" x14ac:dyDescent="0.4">
      <c r="B106" s="160" t="str">
        <f t="shared" ca="1" si="56"/>
        <v/>
      </c>
      <c r="C106" s="127" t="str">
        <f t="shared" ca="1" si="57"/>
        <v/>
      </c>
      <c r="D106" s="187"/>
      <c r="E106" s="188" t="str">
        <f t="shared" ca="1" si="54"/>
        <v/>
      </c>
      <c r="F106" s="189" t="str">
        <f t="shared" ca="1" si="54"/>
        <v/>
      </c>
      <c r="G106" s="188" t="str">
        <f t="shared" ca="1" si="54"/>
        <v/>
      </c>
      <c r="H106" s="190" t="str">
        <f t="shared" ca="1" si="54"/>
        <v/>
      </c>
      <c r="I106" s="189" t="str">
        <f t="shared" ca="1" si="54"/>
        <v/>
      </c>
      <c r="J106" s="167" t="str">
        <f t="shared" ca="1" si="59"/>
        <v/>
      </c>
      <c r="K106" s="179"/>
      <c r="L106" s="130">
        <f t="shared" si="40"/>
        <v>0</v>
      </c>
      <c r="M106" s="180" t="str">
        <f t="shared" ca="1" si="49"/>
        <v/>
      </c>
      <c r="N106" s="181"/>
      <c r="O106" s="179" t="str">
        <f t="shared" si="55"/>
        <v/>
      </c>
      <c r="P106" s="179"/>
      <c r="Q106" s="130">
        <f t="shared" si="41"/>
        <v>0</v>
      </c>
      <c r="R106" s="182"/>
      <c r="S106" s="159" t="e">
        <f t="shared" ca="1" si="42"/>
        <v>#N/A</v>
      </c>
      <c r="T106" s="152" t="e">
        <f t="shared" ca="1" si="44"/>
        <v>#VALUE!</v>
      </c>
      <c r="U106" s="152">
        <f t="shared" si="50"/>
        <v>0</v>
      </c>
      <c r="V106" s="183">
        <f t="shared" ca="1" si="60"/>
        <v>47</v>
      </c>
      <c r="W106" s="184" t="str">
        <f t="shared" ca="1" si="58"/>
        <v/>
      </c>
      <c r="X106" s="152">
        <f ca="1">IF(V106&gt;$O$22,0,COUNTIFS($V$26:V106,V106,$L$26:L106,0))</f>
        <v>0</v>
      </c>
      <c r="Y106" s="152">
        <f t="shared" ca="1" si="51"/>
        <v>0</v>
      </c>
      <c r="Z106" s="152">
        <f t="shared" ca="1" si="52"/>
        <v>0</v>
      </c>
      <c r="AA106" s="152" t="str">
        <f t="shared" ca="1" si="53"/>
        <v/>
      </c>
      <c r="AB106" s="152" t="e">
        <f t="shared" ca="1" si="45"/>
        <v>#VALUE!</v>
      </c>
      <c r="AC106" s="152" t="e">
        <f t="shared" ca="1" si="46"/>
        <v>#N/A</v>
      </c>
      <c r="AD106" s="128" t="e">
        <f t="shared" ca="1" si="47"/>
        <v>#N/A</v>
      </c>
      <c r="AE106" s="67">
        <f t="shared" ca="1" si="48"/>
        <v>0</v>
      </c>
    </row>
    <row r="107" spans="2:31" x14ac:dyDescent="0.4">
      <c r="B107" s="160" t="str">
        <f t="shared" ca="1" si="56"/>
        <v/>
      </c>
      <c r="C107" s="127" t="str">
        <f t="shared" ca="1" si="57"/>
        <v/>
      </c>
      <c r="D107" s="187"/>
      <c r="E107" s="188" t="str">
        <f t="shared" ca="1" si="54"/>
        <v/>
      </c>
      <c r="F107" s="189" t="str">
        <f t="shared" ca="1" si="54"/>
        <v/>
      </c>
      <c r="G107" s="188" t="str">
        <f t="shared" ca="1" si="54"/>
        <v/>
      </c>
      <c r="H107" s="190" t="str">
        <f t="shared" ca="1" si="54"/>
        <v/>
      </c>
      <c r="I107" s="189" t="str">
        <f t="shared" ca="1" si="54"/>
        <v/>
      </c>
      <c r="J107" s="167" t="str">
        <f t="shared" ca="1" si="59"/>
        <v/>
      </c>
      <c r="K107" s="179"/>
      <c r="L107" s="130">
        <f t="shared" si="40"/>
        <v>0</v>
      </c>
      <c r="M107" s="180" t="str">
        <f t="shared" ca="1" si="49"/>
        <v/>
      </c>
      <c r="N107" s="181"/>
      <c r="O107" s="179" t="str">
        <f t="shared" si="55"/>
        <v/>
      </c>
      <c r="P107" s="179"/>
      <c r="Q107" s="130">
        <f t="shared" si="41"/>
        <v>0</v>
      </c>
      <c r="R107" s="182"/>
      <c r="S107" s="159" t="e">
        <f t="shared" ca="1" si="42"/>
        <v>#N/A</v>
      </c>
      <c r="T107" s="152" t="e">
        <f t="shared" ca="1" si="44"/>
        <v>#VALUE!</v>
      </c>
      <c r="U107" s="152">
        <f t="shared" si="50"/>
        <v>0</v>
      </c>
      <c r="V107" s="183">
        <f t="shared" ca="1" si="60"/>
        <v>48</v>
      </c>
      <c r="W107" s="184" t="str">
        <f t="shared" ca="1" si="58"/>
        <v/>
      </c>
      <c r="X107" s="152">
        <f ca="1">IF(V107&gt;$O$22,0,COUNTIFS($V$26:V107,V107,$L$26:L107,0))</f>
        <v>0</v>
      </c>
      <c r="Y107" s="152">
        <f t="shared" ca="1" si="51"/>
        <v>0</v>
      </c>
      <c r="Z107" s="152">
        <f t="shared" ca="1" si="52"/>
        <v>0</v>
      </c>
      <c r="AA107" s="152" t="str">
        <f t="shared" ca="1" si="53"/>
        <v/>
      </c>
      <c r="AB107" s="152" t="e">
        <f t="shared" ca="1" si="45"/>
        <v>#VALUE!</v>
      </c>
      <c r="AC107" s="152" t="e">
        <f t="shared" ca="1" si="46"/>
        <v>#N/A</v>
      </c>
      <c r="AD107" s="128" t="e">
        <f t="shared" ca="1" si="47"/>
        <v>#N/A</v>
      </c>
      <c r="AE107" s="67">
        <f t="shared" ca="1" si="48"/>
        <v>0</v>
      </c>
    </row>
    <row r="108" spans="2:31" x14ac:dyDescent="0.4">
      <c r="B108" s="160" t="str">
        <f t="shared" ca="1" si="56"/>
        <v/>
      </c>
      <c r="C108" s="127" t="str">
        <f t="shared" ca="1" si="57"/>
        <v/>
      </c>
      <c r="D108" s="187"/>
      <c r="E108" s="188" t="str">
        <f t="shared" ca="1" si="54"/>
        <v/>
      </c>
      <c r="F108" s="189" t="str">
        <f t="shared" ca="1" si="54"/>
        <v/>
      </c>
      <c r="G108" s="188" t="str">
        <f t="shared" ca="1" si="54"/>
        <v/>
      </c>
      <c r="H108" s="190" t="str">
        <f t="shared" ca="1" si="54"/>
        <v/>
      </c>
      <c r="I108" s="189" t="str">
        <f t="shared" ca="1" si="54"/>
        <v/>
      </c>
      <c r="J108" s="167" t="str">
        <f t="shared" ca="1" si="59"/>
        <v/>
      </c>
      <c r="K108" s="179"/>
      <c r="L108" s="130">
        <f t="shared" si="40"/>
        <v>0</v>
      </c>
      <c r="M108" s="180" t="str">
        <f t="shared" ca="1" si="49"/>
        <v/>
      </c>
      <c r="N108" s="181"/>
      <c r="O108" s="179" t="str">
        <f t="shared" si="55"/>
        <v/>
      </c>
      <c r="P108" s="179"/>
      <c r="Q108" s="130">
        <f t="shared" si="41"/>
        <v>0</v>
      </c>
      <c r="R108" s="182"/>
      <c r="S108" s="159" t="e">
        <f t="shared" ca="1" si="42"/>
        <v>#N/A</v>
      </c>
      <c r="T108" s="152" t="e">
        <f t="shared" ca="1" si="44"/>
        <v>#VALUE!</v>
      </c>
      <c r="U108" s="152">
        <f t="shared" si="50"/>
        <v>0</v>
      </c>
      <c r="V108" s="183">
        <f t="shared" ca="1" si="60"/>
        <v>49</v>
      </c>
      <c r="W108" s="184" t="str">
        <f t="shared" ca="1" si="58"/>
        <v/>
      </c>
      <c r="X108" s="152">
        <f ca="1">IF(V108&gt;$O$22,0,COUNTIFS($V$26:V108,V108,$L$26:L108,0))</f>
        <v>0</v>
      </c>
      <c r="Y108" s="152">
        <f t="shared" ca="1" si="51"/>
        <v>0</v>
      </c>
      <c r="Z108" s="152">
        <f t="shared" ca="1" si="52"/>
        <v>0</v>
      </c>
      <c r="AA108" s="152" t="str">
        <f t="shared" ca="1" si="53"/>
        <v/>
      </c>
      <c r="AB108" s="152" t="e">
        <f t="shared" ca="1" si="45"/>
        <v>#VALUE!</v>
      </c>
      <c r="AC108" s="152" t="e">
        <f t="shared" ca="1" si="46"/>
        <v>#N/A</v>
      </c>
      <c r="AD108" s="128" t="e">
        <f t="shared" ca="1" si="47"/>
        <v>#N/A</v>
      </c>
      <c r="AE108" s="67">
        <f t="shared" ca="1" si="48"/>
        <v>0</v>
      </c>
    </row>
    <row r="109" spans="2:31" x14ac:dyDescent="0.4">
      <c r="B109" s="160" t="str">
        <f t="shared" ca="1" si="56"/>
        <v/>
      </c>
      <c r="C109" s="127" t="str">
        <f t="shared" ca="1" si="57"/>
        <v/>
      </c>
      <c r="D109" s="187"/>
      <c r="E109" s="188" t="str">
        <f t="shared" ref="E109:I118" ca="1" si="61">IF($Y109=E$24,$Z109,"")</f>
        <v/>
      </c>
      <c r="F109" s="189" t="str">
        <f t="shared" ca="1" si="61"/>
        <v/>
      </c>
      <c r="G109" s="188" t="str">
        <f t="shared" ca="1" si="61"/>
        <v/>
      </c>
      <c r="H109" s="190" t="str">
        <f t="shared" ca="1" si="61"/>
        <v/>
      </c>
      <c r="I109" s="189" t="str">
        <f t="shared" ca="1" si="61"/>
        <v/>
      </c>
      <c r="J109" s="167" t="str">
        <f t="shared" ca="1" si="59"/>
        <v/>
      </c>
      <c r="K109" s="179"/>
      <c r="L109" s="130">
        <f t="shared" si="40"/>
        <v>0</v>
      </c>
      <c r="M109" s="180" t="str">
        <f t="shared" ca="1" si="49"/>
        <v/>
      </c>
      <c r="N109" s="181"/>
      <c r="O109" s="179" t="str">
        <f t="shared" si="55"/>
        <v/>
      </c>
      <c r="P109" s="179"/>
      <c r="Q109" s="130">
        <f t="shared" si="41"/>
        <v>0</v>
      </c>
      <c r="R109" s="182"/>
      <c r="S109" s="159" t="e">
        <f t="shared" ca="1" si="42"/>
        <v>#N/A</v>
      </c>
      <c r="T109" s="152" t="e">
        <f t="shared" ca="1" si="44"/>
        <v>#VALUE!</v>
      </c>
      <c r="U109" s="152">
        <f t="shared" si="50"/>
        <v>0</v>
      </c>
      <c r="V109" s="183">
        <f t="shared" ca="1" si="60"/>
        <v>50</v>
      </c>
      <c r="W109" s="184" t="str">
        <f t="shared" ca="1" si="58"/>
        <v/>
      </c>
      <c r="X109" s="152">
        <f ca="1">IF(V109&gt;$O$22,0,COUNTIFS($V$26:V109,V109,$L$26:L109,0))</f>
        <v>0</v>
      </c>
      <c r="Y109" s="152">
        <f t="shared" ca="1" si="51"/>
        <v>0</v>
      </c>
      <c r="Z109" s="152">
        <f t="shared" ca="1" si="52"/>
        <v>0</v>
      </c>
      <c r="AA109" s="152" t="str">
        <f t="shared" ca="1" si="53"/>
        <v/>
      </c>
      <c r="AB109" s="152" t="e">
        <f t="shared" ca="1" si="45"/>
        <v>#VALUE!</v>
      </c>
      <c r="AC109" s="152" t="e">
        <f t="shared" ca="1" si="46"/>
        <v>#N/A</v>
      </c>
      <c r="AD109" s="128" t="e">
        <f t="shared" ca="1" si="47"/>
        <v>#N/A</v>
      </c>
      <c r="AE109" s="67">
        <f t="shared" ca="1" si="48"/>
        <v>0</v>
      </c>
    </row>
    <row r="110" spans="2:31" x14ac:dyDescent="0.4">
      <c r="B110" s="160" t="str">
        <f t="shared" ca="1" si="56"/>
        <v/>
      </c>
      <c r="C110" s="127" t="str">
        <f t="shared" ca="1" si="57"/>
        <v/>
      </c>
      <c r="D110" s="187"/>
      <c r="E110" s="188" t="str">
        <f t="shared" ca="1" si="61"/>
        <v/>
      </c>
      <c r="F110" s="189" t="str">
        <f t="shared" ca="1" si="61"/>
        <v/>
      </c>
      <c r="G110" s="188" t="str">
        <f t="shared" ca="1" si="61"/>
        <v/>
      </c>
      <c r="H110" s="190" t="str">
        <f t="shared" ca="1" si="61"/>
        <v/>
      </c>
      <c r="I110" s="189" t="str">
        <f t="shared" ca="1" si="61"/>
        <v/>
      </c>
      <c r="J110" s="167" t="str">
        <f t="shared" ca="1" si="59"/>
        <v/>
      </c>
      <c r="K110" s="179"/>
      <c r="L110" s="130">
        <f t="shared" si="40"/>
        <v>0</v>
      </c>
      <c r="M110" s="180" t="str">
        <f t="shared" ca="1" si="49"/>
        <v/>
      </c>
      <c r="N110" s="181"/>
      <c r="O110" s="179" t="str">
        <f t="shared" si="55"/>
        <v/>
      </c>
      <c r="P110" s="179"/>
      <c r="Q110" s="130">
        <f t="shared" si="41"/>
        <v>0</v>
      </c>
      <c r="R110" s="182"/>
      <c r="S110" s="159" t="e">
        <f t="shared" ca="1" si="42"/>
        <v>#N/A</v>
      </c>
      <c r="T110" s="152" t="e">
        <f t="shared" ca="1" si="44"/>
        <v>#VALUE!</v>
      </c>
      <c r="U110" s="152">
        <f t="shared" si="50"/>
        <v>0</v>
      </c>
      <c r="V110" s="183">
        <f t="shared" ca="1" si="60"/>
        <v>51</v>
      </c>
      <c r="W110" s="184" t="str">
        <f t="shared" ca="1" si="58"/>
        <v/>
      </c>
      <c r="X110" s="152">
        <f ca="1">IF(V110&gt;$O$22,0,COUNTIFS($V$26:V110,V110,$L$26:L110,0))</f>
        <v>0</v>
      </c>
      <c r="Y110" s="152">
        <f t="shared" ca="1" si="51"/>
        <v>0</v>
      </c>
      <c r="Z110" s="152">
        <f t="shared" ca="1" si="52"/>
        <v>0</v>
      </c>
      <c r="AA110" s="152" t="str">
        <f t="shared" ca="1" si="53"/>
        <v/>
      </c>
      <c r="AB110" s="152" t="e">
        <f t="shared" ca="1" si="45"/>
        <v>#VALUE!</v>
      </c>
      <c r="AC110" s="152" t="e">
        <f t="shared" ca="1" si="46"/>
        <v>#N/A</v>
      </c>
      <c r="AD110" s="128" t="e">
        <f t="shared" ca="1" si="47"/>
        <v>#N/A</v>
      </c>
      <c r="AE110" s="67">
        <f t="shared" ca="1" si="48"/>
        <v>0</v>
      </c>
    </row>
    <row r="111" spans="2:31" x14ac:dyDescent="0.4">
      <c r="B111" s="160" t="str">
        <f t="shared" ca="1" si="56"/>
        <v/>
      </c>
      <c r="C111" s="127" t="str">
        <f t="shared" ca="1" si="57"/>
        <v/>
      </c>
      <c r="D111" s="187"/>
      <c r="E111" s="188" t="str">
        <f t="shared" ca="1" si="61"/>
        <v/>
      </c>
      <c r="F111" s="189" t="str">
        <f t="shared" ca="1" si="61"/>
        <v/>
      </c>
      <c r="G111" s="188" t="str">
        <f t="shared" ca="1" si="61"/>
        <v/>
      </c>
      <c r="H111" s="190" t="str">
        <f t="shared" ca="1" si="61"/>
        <v/>
      </c>
      <c r="I111" s="189" t="str">
        <f t="shared" ca="1" si="61"/>
        <v/>
      </c>
      <c r="J111" s="167" t="str">
        <f t="shared" ca="1" si="59"/>
        <v/>
      </c>
      <c r="K111" s="179"/>
      <c r="L111" s="130">
        <f t="shared" si="40"/>
        <v>0</v>
      </c>
      <c r="M111" s="180" t="str">
        <f t="shared" ca="1" si="49"/>
        <v/>
      </c>
      <c r="N111" s="181"/>
      <c r="O111" s="179" t="str">
        <f t="shared" si="55"/>
        <v/>
      </c>
      <c r="P111" s="179"/>
      <c r="Q111" s="130">
        <f t="shared" si="41"/>
        <v>0</v>
      </c>
      <c r="R111" s="182"/>
      <c r="S111" s="159" t="e">
        <f t="shared" ca="1" si="42"/>
        <v>#N/A</v>
      </c>
      <c r="T111" s="152" t="e">
        <f t="shared" ca="1" si="44"/>
        <v>#VALUE!</v>
      </c>
      <c r="U111" s="152">
        <f t="shared" si="50"/>
        <v>0</v>
      </c>
      <c r="V111" s="183">
        <f t="shared" ca="1" si="60"/>
        <v>52</v>
      </c>
      <c r="W111" s="184" t="str">
        <f t="shared" ca="1" si="58"/>
        <v/>
      </c>
      <c r="X111" s="152">
        <f ca="1">IF(V111&gt;$O$22,0,COUNTIFS($V$26:V111,V111,$L$26:L111,0))</f>
        <v>0</v>
      </c>
      <c r="Y111" s="152">
        <f t="shared" ca="1" si="51"/>
        <v>0</v>
      </c>
      <c r="Z111" s="152">
        <f t="shared" ca="1" si="52"/>
        <v>0</v>
      </c>
      <c r="AA111" s="152" t="str">
        <f t="shared" ca="1" si="53"/>
        <v/>
      </c>
      <c r="AB111" s="152" t="e">
        <f t="shared" ca="1" si="45"/>
        <v>#VALUE!</v>
      </c>
      <c r="AC111" s="152" t="e">
        <f t="shared" ca="1" si="46"/>
        <v>#N/A</v>
      </c>
      <c r="AD111" s="128" t="e">
        <f t="shared" ca="1" si="47"/>
        <v>#N/A</v>
      </c>
      <c r="AE111" s="67">
        <f t="shared" ca="1" si="48"/>
        <v>0</v>
      </c>
    </row>
    <row r="112" spans="2:31" x14ac:dyDescent="0.4">
      <c r="B112" s="160" t="str">
        <f t="shared" ca="1" si="56"/>
        <v/>
      </c>
      <c r="C112" s="127" t="str">
        <f t="shared" ca="1" si="57"/>
        <v/>
      </c>
      <c r="D112" s="187"/>
      <c r="E112" s="188" t="str">
        <f t="shared" ca="1" si="61"/>
        <v/>
      </c>
      <c r="F112" s="189" t="str">
        <f t="shared" ca="1" si="61"/>
        <v/>
      </c>
      <c r="G112" s="188" t="str">
        <f t="shared" ca="1" si="61"/>
        <v/>
      </c>
      <c r="H112" s="190" t="str">
        <f t="shared" ca="1" si="61"/>
        <v/>
      </c>
      <c r="I112" s="189" t="str">
        <f t="shared" ca="1" si="61"/>
        <v/>
      </c>
      <c r="J112" s="167" t="str">
        <f t="shared" ca="1" si="59"/>
        <v/>
      </c>
      <c r="K112" s="179"/>
      <c r="L112" s="130">
        <f t="shared" si="40"/>
        <v>0</v>
      </c>
      <c r="M112" s="180" t="str">
        <f t="shared" ca="1" si="49"/>
        <v/>
      </c>
      <c r="N112" s="181"/>
      <c r="O112" s="179" t="str">
        <f t="shared" si="55"/>
        <v/>
      </c>
      <c r="P112" s="179"/>
      <c r="Q112" s="130">
        <f t="shared" si="41"/>
        <v>0</v>
      </c>
      <c r="R112" s="182"/>
      <c r="S112" s="159" t="e">
        <f t="shared" ca="1" si="42"/>
        <v>#N/A</v>
      </c>
      <c r="T112" s="152" t="e">
        <f t="shared" ca="1" si="44"/>
        <v>#VALUE!</v>
      </c>
      <c r="U112" s="152">
        <f t="shared" si="50"/>
        <v>0</v>
      </c>
      <c r="V112" s="183">
        <f t="shared" ca="1" si="60"/>
        <v>53</v>
      </c>
      <c r="W112" s="184" t="str">
        <f t="shared" ca="1" si="58"/>
        <v/>
      </c>
      <c r="X112" s="152">
        <f ca="1">IF(V112&gt;$O$22,0,COUNTIFS($V$26:V112,V112,$L$26:L112,0))</f>
        <v>0</v>
      </c>
      <c r="Y112" s="152">
        <f t="shared" ca="1" si="51"/>
        <v>0</v>
      </c>
      <c r="Z112" s="152">
        <f t="shared" ca="1" si="52"/>
        <v>0</v>
      </c>
      <c r="AA112" s="152" t="str">
        <f t="shared" ca="1" si="53"/>
        <v/>
      </c>
      <c r="AB112" s="152" t="e">
        <f t="shared" ca="1" si="45"/>
        <v>#VALUE!</v>
      </c>
      <c r="AC112" s="152" t="e">
        <f t="shared" ca="1" si="46"/>
        <v>#N/A</v>
      </c>
      <c r="AD112" s="128" t="e">
        <f t="shared" ca="1" si="47"/>
        <v>#N/A</v>
      </c>
      <c r="AE112" s="67">
        <f t="shared" ca="1" si="48"/>
        <v>0</v>
      </c>
    </row>
    <row r="113" spans="2:31" x14ac:dyDescent="0.4">
      <c r="B113" s="160" t="str">
        <f t="shared" ca="1" si="56"/>
        <v/>
      </c>
      <c r="C113" s="127" t="str">
        <f t="shared" ca="1" si="57"/>
        <v/>
      </c>
      <c r="D113" s="187"/>
      <c r="E113" s="188" t="str">
        <f t="shared" ca="1" si="61"/>
        <v/>
      </c>
      <c r="F113" s="189" t="str">
        <f t="shared" ca="1" si="61"/>
        <v/>
      </c>
      <c r="G113" s="188" t="str">
        <f t="shared" ca="1" si="61"/>
        <v/>
      </c>
      <c r="H113" s="190" t="str">
        <f t="shared" ca="1" si="61"/>
        <v/>
      </c>
      <c r="I113" s="189" t="str">
        <f t="shared" ca="1" si="61"/>
        <v/>
      </c>
      <c r="J113" s="167" t="str">
        <f t="shared" ca="1" si="59"/>
        <v/>
      </c>
      <c r="K113" s="179"/>
      <c r="L113" s="130">
        <f t="shared" si="40"/>
        <v>0</v>
      </c>
      <c r="M113" s="180" t="str">
        <f t="shared" ca="1" si="49"/>
        <v/>
      </c>
      <c r="N113" s="181"/>
      <c r="O113" s="179" t="str">
        <f t="shared" si="55"/>
        <v/>
      </c>
      <c r="P113" s="179"/>
      <c r="Q113" s="130">
        <f t="shared" si="41"/>
        <v>0</v>
      </c>
      <c r="R113" s="182"/>
      <c r="S113" s="159" t="e">
        <f t="shared" ca="1" si="42"/>
        <v>#N/A</v>
      </c>
      <c r="T113" s="152" t="e">
        <f t="shared" ca="1" si="44"/>
        <v>#VALUE!</v>
      </c>
      <c r="U113" s="152">
        <f t="shared" si="50"/>
        <v>0</v>
      </c>
      <c r="V113" s="183">
        <f t="shared" ca="1" si="60"/>
        <v>54</v>
      </c>
      <c r="W113" s="184" t="str">
        <f t="shared" ca="1" si="58"/>
        <v/>
      </c>
      <c r="X113" s="152">
        <f ca="1">IF(V113&gt;$O$22,0,COUNTIFS($V$26:V113,V113,$L$26:L113,0))</f>
        <v>0</v>
      </c>
      <c r="Y113" s="152">
        <f t="shared" ca="1" si="51"/>
        <v>0</v>
      </c>
      <c r="Z113" s="152">
        <f t="shared" ca="1" si="52"/>
        <v>0</v>
      </c>
      <c r="AA113" s="152" t="str">
        <f t="shared" ca="1" si="53"/>
        <v/>
      </c>
      <c r="AB113" s="152" t="e">
        <f t="shared" ca="1" si="45"/>
        <v>#VALUE!</v>
      </c>
      <c r="AC113" s="152" t="e">
        <f t="shared" ca="1" si="46"/>
        <v>#N/A</v>
      </c>
      <c r="AD113" s="128" t="e">
        <f t="shared" ca="1" si="47"/>
        <v>#N/A</v>
      </c>
      <c r="AE113" s="67">
        <f t="shared" ca="1" si="48"/>
        <v>0</v>
      </c>
    </row>
    <row r="114" spans="2:31" x14ac:dyDescent="0.4">
      <c r="B114" s="160" t="str">
        <f t="shared" ca="1" si="56"/>
        <v/>
      </c>
      <c r="C114" s="127" t="str">
        <f t="shared" ca="1" si="57"/>
        <v/>
      </c>
      <c r="D114" s="187"/>
      <c r="E114" s="188" t="str">
        <f t="shared" ca="1" si="61"/>
        <v/>
      </c>
      <c r="F114" s="189" t="str">
        <f t="shared" ca="1" si="61"/>
        <v/>
      </c>
      <c r="G114" s="188" t="str">
        <f t="shared" ca="1" si="61"/>
        <v/>
      </c>
      <c r="H114" s="190" t="str">
        <f t="shared" ca="1" si="61"/>
        <v/>
      </c>
      <c r="I114" s="189" t="str">
        <f t="shared" ca="1" si="61"/>
        <v/>
      </c>
      <c r="J114" s="167" t="str">
        <f t="shared" ca="1" si="59"/>
        <v/>
      </c>
      <c r="K114" s="179"/>
      <c r="L114" s="130">
        <f t="shared" si="40"/>
        <v>0</v>
      </c>
      <c r="M114" s="180" t="str">
        <f t="shared" ca="1" si="49"/>
        <v/>
      </c>
      <c r="N114" s="181"/>
      <c r="O114" s="179" t="str">
        <f t="shared" si="55"/>
        <v/>
      </c>
      <c r="P114" s="179"/>
      <c r="Q114" s="130">
        <f t="shared" si="41"/>
        <v>0</v>
      </c>
      <c r="R114" s="182"/>
      <c r="S114" s="159" t="e">
        <f t="shared" ca="1" si="42"/>
        <v>#N/A</v>
      </c>
      <c r="T114" s="152" t="e">
        <f t="shared" ca="1" si="44"/>
        <v>#VALUE!</v>
      </c>
      <c r="U114" s="152">
        <f t="shared" si="50"/>
        <v>0</v>
      </c>
      <c r="V114" s="183">
        <f t="shared" ca="1" si="60"/>
        <v>55</v>
      </c>
      <c r="W114" s="184" t="str">
        <f t="shared" ca="1" si="58"/>
        <v/>
      </c>
      <c r="X114" s="152">
        <f ca="1">IF(V114&gt;$O$22,0,COUNTIFS($V$26:V114,V114,$L$26:L114,0))</f>
        <v>0</v>
      </c>
      <c r="Y114" s="152">
        <f t="shared" ca="1" si="51"/>
        <v>0</v>
      </c>
      <c r="Z114" s="152">
        <f t="shared" ca="1" si="52"/>
        <v>0</v>
      </c>
      <c r="AA114" s="152" t="str">
        <f t="shared" ca="1" si="53"/>
        <v/>
      </c>
      <c r="AB114" s="152" t="e">
        <f t="shared" ca="1" si="45"/>
        <v>#VALUE!</v>
      </c>
      <c r="AC114" s="152" t="e">
        <f t="shared" ca="1" si="46"/>
        <v>#N/A</v>
      </c>
      <c r="AD114" s="128" t="e">
        <f t="shared" ca="1" si="47"/>
        <v>#N/A</v>
      </c>
      <c r="AE114" s="67">
        <f t="shared" ca="1" si="48"/>
        <v>0</v>
      </c>
    </row>
    <row r="115" spans="2:31" x14ac:dyDescent="0.4">
      <c r="B115" s="160" t="str">
        <f t="shared" ca="1" si="56"/>
        <v/>
      </c>
      <c r="C115" s="127" t="str">
        <f t="shared" ca="1" si="57"/>
        <v/>
      </c>
      <c r="D115" s="187"/>
      <c r="E115" s="188" t="str">
        <f t="shared" ca="1" si="61"/>
        <v/>
      </c>
      <c r="F115" s="189" t="str">
        <f t="shared" ca="1" si="61"/>
        <v/>
      </c>
      <c r="G115" s="188" t="str">
        <f t="shared" ca="1" si="61"/>
        <v/>
      </c>
      <c r="H115" s="190" t="str">
        <f t="shared" ca="1" si="61"/>
        <v/>
      </c>
      <c r="I115" s="189" t="str">
        <f t="shared" ca="1" si="61"/>
        <v/>
      </c>
      <c r="J115" s="167" t="str">
        <f t="shared" ca="1" si="59"/>
        <v/>
      </c>
      <c r="K115" s="179"/>
      <c r="L115" s="130">
        <f t="shared" si="40"/>
        <v>0</v>
      </c>
      <c r="M115" s="180" t="str">
        <f t="shared" ca="1" si="49"/>
        <v/>
      </c>
      <c r="N115" s="181"/>
      <c r="O115" s="179" t="str">
        <f t="shared" si="55"/>
        <v/>
      </c>
      <c r="P115" s="179"/>
      <c r="Q115" s="130">
        <f t="shared" si="41"/>
        <v>0</v>
      </c>
      <c r="R115" s="182"/>
      <c r="S115" s="159" t="e">
        <f t="shared" ca="1" si="42"/>
        <v>#N/A</v>
      </c>
      <c r="T115" s="152" t="e">
        <f t="shared" ca="1" si="44"/>
        <v>#VALUE!</v>
      </c>
      <c r="U115" s="152">
        <f t="shared" si="50"/>
        <v>0</v>
      </c>
      <c r="V115" s="183">
        <f t="shared" ca="1" si="60"/>
        <v>56</v>
      </c>
      <c r="W115" s="184" t="str">
        <f t="shared" ca="1" si="58"/>
        <v/>
      </c>
      <c r="X115" s="152">
        <f ca="1">IF(V115&gt;$O$22,0,COUNTIFS($V$26:V115,V115,$L$26:L115,0))</f>
        <v>0</v>
      </c>
      <c r="Y115" s="152">
        <f t="shared" ca="1" si="51"/>
        <v>0</v>
      </c>
      <c r="Z115" s="152">
        <f t="shared" ca="1" si="52"/>
        <v>0</v>
      </c>
      <c r="AA115" s="152" t="str">
        <f t="shared" ca="1" si="53"/>
        <v/>
      </c>
      <c r="AB115" s="152" t="e">
        <f t="shared" ca="1" si="45"/>
        <v>#VALUE!</v>
      </c>
      <c r="AC115" s="152" t="e">
        <f t="shared" ca="1" si="46"/>
        <v>#N/A</v>
      </c>
      <c r="AD115" s="128" t="e">
        <f t="shared" ca="1" si="47"/>
        <v>#N/A</v>
      </c>
      <c r="AE115" s="67">
        <f t="shared" ca="1" si="48"/>
        <v>0</v>
      </c>
    </row>
    <row r="116" spans="2:31" x14ac:dyDescent="0.4">
      <c r="B116" s="160" t="str">
        <f t="shared" ca="1" si="56"/>
        <v/>
      </c>
      <c r="C116" s="127" t="str">
        <f t="shared" ca="1" si="57"/>
        <v/>
      </c>
      <c r="D116" s="187"/>
      <c r="E116" s="188" t="str">
        <f t="shared" ca="1" si="61"/>
        <v/>
      </c>
      <c r="F116" s="189" t="str">
        <f t="shared" ca="1" si="61"/>
        <v/>
      </c>
      <c r="G116" s="188" t="str">
        <f t="shared" ca="1" si="61"/>
        <v/>
      </c>
      <c r="H116" s="190" t="str">
        <f t="shared" ca="1" si="61"/>
        <v/>
      </c>
      <c r="I116" s="189" t="str">
        <f t="shared" ca="1" si="61"/>
        <v/>
      </c>
      <c r="J116" s="167" t="str">
        <f t="shared" ca="1" si="59"/>
        <v/>
      </c>
      <c r="K116" s="179"/>
      <c r="L116" s="130">
        <f t="shared" si="40"/>
        <v>0</v>
      </c>
      <c r="M116" s="180" t="str">
        <f t="shared" ca="1" si="49"/>
        <v/>
      </c>
      <c r="N116" s="181"/>
      <c r="O116" s="179" t="str">
        <f t="shared" si="55"/>
        <v/>
      </c>
      <c r="P116" s="179"/>
      <c r="Q116" s="130">
        <f t="shared" si="41"/>
        <v>0</v>
      </c>
      <c r="R116" s="182"/>
      <c r="S116" s="159" t="e">
        <f t="shared" ca="1" si="42"/>
        <v>#N/A</v>
      </c>
      <c r="T116" s="152" t="e">
        <f t="shared" ca="1" si="44"/>
        <v>#VALUE!</v>
      </c>
      <c r="U116" s="152">
        <f t="shared" si="50"/>
        <v>0</v>
      </c>
      <c r="V116" s="183">
        <f t="shared" ca="1" si="60"/>
        <v>57</v>
      </c>
      <c r="W116" s="184" t="str">
        <f t="shared" ca="1" si="58"/>
        <v/>
      </c>
      <c r="X116" s="152">
        <f ca="1">IF(V116&gt;$O$22,0,COUNTIFS($V$26:V116,V116,$L$26:L116,0))</f>
        <v>0</v>
      </c>
      <c r="Y116" s="152">
        <f t="shared" ca="1" si="51"/>
        <v>0</v>
      </c>
      <c r="Z116" s="152">
        <f t="shared" ca="1" si="52"/>
        <v>0</v>
      </c>
      <c r="AA116" s="152" t="str">
        <f t="shared" ca="1" si="53"/>
        <v/>
      </c>
      <c r="AB116" s="152" t="e">
        <f t="shared" ca="1" si="45"/>
        <v>#VALUE!</v>
      </c>
      <c r="AC116" s="152" t="e">
        <f t="shared" ca="1" si="46"/>
        <v>#N/A</v>
      </c>
      <c r="AD116" s="128" t="e">
        <f t="shared" ca="1" si="47"/>
        <v>#N/A</v>
      </c>
      <c r="AE116" s="67">
        <f t="shared" ca="1" si="48"/>
        <v>0</v>
      </c>
    </row>
    <row r="117" spans="2:31" x14ac:dyDescent="0.4">
      <c r="B117" s="160" t="str">
        <f t="shared" ca="1" si="56"/>
        <v/>
      </c>
      <c r="C117" s="127" t="str">
        <f t="shared" ca="1" si="57"/>
        <v/>
      </c>
      <c r="D117" s="187"/>
      <c r="E117" s="188" t="str">
        <f t="shared" ca="1" si="61"/>
        <v/>
      </c>
      <c r="F117" s="189" t="str">
        <f t="shared" ca="1" si="61"/>
        <v/>
      </c>
      <c r="G117" s="188" t="str">
        <f t="shared" ca="1" si="61"/>
        <v/>
      </c>
      <c r="H117" s="190" t="str">
        <f t="shared" ca="1" si="61"/>
        <v/>
      </c>
      <c r="I117" s="189" t="str">
        <f t="shared" ca="1" si="61"/>
        <v/>
      </c>
      <c r="J117" s="167" t="str">
        <f t="shared" ca="1" si="59"/>
        <v/>
      </c>
      <c r="K117" s="179"/>
      <c r="L117" s="130">
        <f t="shared" si="40"/>
        <v>0</v>
      </c>
      <c r="M117" s="180" t="str">
        <f t="shared" ca="1" si="49"/>
        <v/>
      </c>
      <c r="N117" s="181"/>
      <c r="O117" s="179" t="str">
        <f t="shared" si="55"/>
        <v/>
      </c>
      <c r="P117" s="179"/>
      <c r="Q117" s="130">
        <f t="shared" si="41"/>
        <v>0</v>
      </c>
      <c r="R117" s="182"/>
      <c r="S117" s="159" t="e">
        <f t="shared" ca="1" si="42"/>
        <v>#N/A</v>
      </c>
      <c r="T117" s="152" t="e">
        <f t="shared" ca="1" si="44"/>
        <v>#VALUE!</v>
      </c>
      <c r="U117" s="152">
        <f t="shared" si="50"/>
        <v>0</v>
      </c>
      <c r="V117" s="183">
        <f t="shared" ca="1" si="60"/>
        <v>58</v>
      </c>
      <c r="W117" s="184" t="str">
        <f t="shared" ca="1" si="58"/>
        <v/>
      </c>
      <c r="X117" s="152">
        <f ca="1">IF(V117&gt;$O$22,0,COUNTIFS($V$26:V117,V117,$L$26:L117,0))</f>
        <v>0</v>
      </c>
      <c r="Y117" s="152">
        <f t="shared" ca="1" si="51"/>
        <v>0</v>
      </c>
      <c r="Z117" s="152">
        <f t="shared" ca="1" si="52"/>
        <v>0</v>
      </c>
      <c r="AA117" s="152" t="str">
        <f t="shared" ca="1" si="53"/>
        <v/>
      </c>
      <c r="AB117" s="152" t="e">
        <f t="shared" ca="1" si="45"/>
        <v>#VALUE!</v>
      </c>
      <c r="AC117" s="152" t="e">
        <f t="shared" ca="1" si="46"/>
        <v>#N/A</v>
      </c>
      <c r="AD117" s="128" t="e">
        <f t="shared" ca="1" si="47"/>
        <v>#N/A</v>
      </c>
      <c r="AE117" s="67">
        <f t="shared" ca="1" si="48"/>
        <v>0</v>
      </c>
    </row>
    <row r="118" spans="2:31" x14ac:dyDescent="0.4">
      <c r="B118" s="160" t="str">
        <f t="shared" ca="1" si="56"/>
        <v/>
      </c>
      <c r="C118" s="127" t="str">
        <f t="shared" ca="1" si="57"/>
        <v/>
      </c>
      <c r="D118" s="187"/>
      <c r="E118" s="188" t="str">
        <f t="shared" ca="1" si="61"/>
        <v/>
      </c>
      <c r="F118" s="189" t="str">
        <f t="shared" ca="1" si="61"/>
        <v/>
      </c>
      <c r="G118" s="188" t="str">
        <f t="shared" ca="1" si="61"/>
        <v/>
      </c>
      <c r="H118" s="190" t="str">
        <f t="shared" ca="1" si="61"/>
        <v/>
      </c>
      <c r="I118" s="189" t="str">
        <f t="shared" ca="1" si="61"/>
        <v/>
      </c>
      <c r="J118" s="167" t="str">
        <f t="shared" ca="1" si="59"/>
        <v/>
      </c>
      <c r="K118" s="179"/>
      <c r="L118" s="130">
        <f t="shared" si="40"/>
        <v>0</v>
      </c>
      <c r="M118" s="180" t="str">
        <f t="shared" ca="1" si="49"/>
        <v/>
      </c>
      <c r="N118" s="181"/>
      <c r="O118" s="179" t="str">
        <f t="shared" si="55"/>
        <v/>
      </c>
      <c r="P118" s="179"/>
      <c r="Q118" s="130">
        <f t="shared" si="41"/>
        <v>0</v>
      </c>
      <c r="R118" s="182"/>
      <c r="S118" s="159" t="e">
        <f t="shared" ca="1" si="42"/>
        <v>#N/A</v>
      </c>
      <c r="T118" s="152" t="e">
        <f t="shared" ca="1" si="44"/>
        <v>#VALUE!</v>
      </c>
      <c r="U118" s="152">
        <f t="shared" si="50"/>
        <v>0</v>
      </c>
      <c r="V118" s="183">
        <f t="shared" ca="1" si="60"/>
        <v>59</v>
      </c>
      <c r="W118" s="184" t="str">
        <f t="shared" ca="1" si="58"/>
        <v/>
      </c>
      <c r="X118" s="152">
        <f ca="1">IF(V118&gt;$O$22,0,COUNTIFS($V$26:V118,V118,$L$26:L118,0))</f>
        <v>0</v>
      </c>
      <c r="Y118" s="152">
        <f t="shared" ca="1" si="51"/>
        <v>0</v>
      </c>
      <c r="Z118" s="152">
        <f t="shared" ca="1" si="52"/>
        <v>0</v>
      </c>
      <c r="AA118" s="152" t="str">
        <f t="shared" ca="1" si="53"/>
        <v/>
      </c>
      <c r="AB118" s="152" t="e">
        <f t="shared" ca="1" si="45"/>
        <v>#VALUE!</v>
      </c>
      <c r="AC118" s="152" t="e">
        <f t="shared" ca="1" si="46"/>
        <v>#N/A</v>
      </c>
      <c r="AD118" s="128" t="e">
        <f t="shared" ca="1" si="47"/>
        <v>#N/A</v>
      </c>
      <c r="AE118" s="67">
        <f t="shared" ca="1" si="48"/>
        <v>0</v>
      </c>
    </row>
    <row r="119" spans="2:31" x14ac:dyDescent="0.4">
      <c r="B119" s="160" t="str">
        <f t="shared" ca="1" si="56"/>
        <v/>
      </c>
      <c r="C119" s="127" t="str">
        <f ca="1">AA119</f>
        <v/>
      </c>
      <c r="D119" s="187"/>
      <c r="E119" s="188" t="str">
        <f t="shared" ref="E119:I124" ca="1" si="62">IF($Y119=E$24,$Z119,"")</f>
        <v/>
      </c>
      <c r="F119" s="189" t="str">
        <f t="shared" ca="1" si="62"/>
        <v/>
      </c>
      <c r="G119" s="188" t="str">
        <f t="shared" ca="1" si="62"/>
        <v/>
      </c>
      <c r="H119" s="190" t="str">
        <f t="shared" ca="1" si="62"/>
        <v/>
      </c>
      <c r="I119" s="189" t="str">
        <f t="shared" ca="1" si="62"/>
        <v/>
      </c>
      <c r="J119" s="167" t="str">
        <f t="shared" ca="1" si="59"/>
        <v/>
      </c>
      <c r="K119" s="179"/>
      <c r="L119" s="130">
        <f t="shared" si="40"/>
        <v>0</v>
      </c>
      <c r="M119" s="180" t="str">
        <f t="shared" ca="1" si="49"/>
        <v/>
      </c>
      <c r="N119" s="181"/>
      <c r="O119" s="179" t="str">
        <f>IFERROR(IF(L119=0,"",IF(L119&lt;=2,AB119,INDEX($N$1:$N$10,MATCH(K119,$K$1:$K$10,0)))),"")</f>
        <v/>
      </c>
      <c r="P119" s="179"/>
      <c r="Q119" s="130">
        <f>Q118+IF(P119="",0,1)</f>
        <v>0</v>
      </c>
      <c r="R119" s="182"/>
      <c r="S119" s="159" t="e">
        <f ca="1">IF(R119&gt;0,R119,IF(P119="",OFFSET(S119,-1,0),$D$18))</f>
        <v>#N/A</v>
      </c>
      <c r="T119" s="152" t="e">
        <f t="shared" ca="1" si="44"/>
        <v>#VALUE!</v>
      </c>
      <c r="U119" s="152">
        <f t="shared" si="50"/>
        <v>0</v>
      </c>
      <c r="V119" s="183">
        <f t="shared" ca="1" si="60"/>
        <v>60</v>
      </c>
      <c r="W119" s="184" t="str">
        <f t="shared" ca="1" si="58"/>
        <v/>
      </c>
      <c r="X119" s="152">
        <f ca="1">IF(V119&gt;$O$22,0,COUNTIFS($V$26:V119,V119,$L$26:L119,0))</f>
        <v>0</v>
      </c>
      <c r="Y119" s="152">
        <f t="shared" ca="1" si="51"/>
        <v>0</v>
      </c>
      <c r="Z119" s="152">
        <f ca="1">IF(N119="",AE119,N119)</f>
        <v>0</v>
      </c>
      <c r="AA119" s="152" t="str">
        <f t="shared" ca="1" si="53"/>
        <v/>
      </c>
      <c r="AB119" s="152" t="e">
        <f t="shared" ca="1" si="45"/>
        <v>#VALUE!</v>
      </c>
      <c r="AC119" s="152" t="e">
        <f t="shared" ca="1" si="46"/>
        <v>#N/A</v>
      </c>
      <c r="AD119" s="128" t="e">
        <f t="shared" ca="1" si="47"/>
        <v>#N/A</v>
      </c>
      <c r="AE119" s="67">
        <f t="shared" ca="1" si="48"/>
        <v>0</v>
      </c>
    </row>
    <row r="120" spans="2:31" x14ac:dyDescent="0.4">
      <c r="B120" s="160" t="str">
        <f t="shared" ca="1" si="56"/>
        <v/>
      </c>
      <c r="C120" s="127" t="str">
        <f ca="1">AA120</f>
        <v/>
      </c>
      <c r="D120" s="187"/>
      <c r="E120" s="188" t="str">
        <f t="shared" ca="1" si="62"/>
        <v/>
      </c>
      <c r="F120" s="189" t="str">
        <f t="shared" ca="1" si="62"/>
        <v/>
      </c>
      <c r="G120" s="188" t="str">
        <f t="shared" ca="1" si="62"/>
        <v/>
      </c>
      <c r="H120" s="190" t="str">
        <f t="shared" ca="1" si="62"/>
        <v/>
      </c>
      <c r="I120" s="189" t="str">
        <f t="shared" ca="1" si="62"/>
        <v/>
      </c>
      <c r="J120" s="167" t="str">
        <f t="shared" ca="1" si="59"/>
        <v/>
      </c>
      <c r="K120" s="179"/>
      <c r="L120" s="130">
        <f t="shared" si="40"/>
        <v>0</v>
      </c>
      <c r="M120" s="180" t="str">
        <f t="shared" ca="1" si="49"/>
        <v/>
      </c>
      <c r="N120" s="181"/>
      <c r="O120" s="179" t="str">
        <f>IFERROR(IF(L120=0,"",IF(L120&lt;=2,AB120,INDEX($N$1:$N$10,MATCH(K120,$K$1:$K$10,0)))),"")</f>
        <v/>
      </c>
      <c r="P120" s="179"/>
      <c r="Q120" s="130">
        <f>Q119+IF(P120="",0,1)</f>
        <v>0</v>
      </c>
      <c r="R120" s="182"/>
      <c r="S120" s="159" t="e">
        <f ca="1">IF(R120&gt;0,R120,IF(P120="",OFFSET(S120,-1,0),$D$18))</f>
        <v>#N/A</v>
      </c>
      <c r="T120" s="152" t="e">
        <f t="shared" ca="1" si="44"/>
        <v>#VALUE!</v>
      </c>
      <c r="U120" s="152">
        <f t="shared" si="50"/>
        <v>0</v>
      </c>
      <c r="V120" s="183">
        <f t="shared" ca="1" si="60"/>
        <v>61</v>
      </c>
      <c r="W120" s="184" t="str">
        <f t="shared" ca="1" si="58"/>
        <v/>
      </c>
      <c r="X120" s="152">
        <f ca="1">IF(V120&gt;$O$22,0,COUNTIFS($V$26:V120,V120,$L$26:L120,0))</f>
        <v>0</v>
      </c>
      <c r="Y120" s="152">
        <f t="shared" ca="1" si="51"/>
        <v>0</v>
      </c>
      <c r="Z120" s="152">
        <f ca="1">IF(N120="",AE120,N120)</f>
        <v>0</v>
      </c>
      <c r="AA120" s="152" t="str">
        <f t="shared" ca="1" si="53"/>
        <v/>
      </c>
      <c r="AB120" s="152" t="e">
        <f t="shared" ca="1" si="45"/>
        <v>#VALUE!</v>
      </c>
      <c r="AC120" s="152" t="e">
        <f t="shared" ca="1" si="46"/>
        <v>#N/A</v>
      </c>
      <c r="AD120" s="128" t="e">
        <f t="shared" ca="1" si="47"/>
        <v>#N/A</v>
      </c>
      <c r="AE120" s="67">
        <f t="shared" ca="1" si="48"/>
        <v>0</v>
      </c>
    </row>
    <row r="121" spans="2:31" x14ac:dyDescent="0.4">
      <c r="B121" s="160" t="str">
        <f t="shared" ca="1" si="56"/>
        <v/>
      </c>
      <c r="C121" s="127" t="str">
        <f ca="1">AA121</f>
        <v/>
      </c>
      <c r="D121" s="187"/>
      <c r="E121" s="188" t="str">
        <f t="shared" ca="1" si="62"/>
        <v/>
      </c>
      <c r="F121" s="189" t="str">
        <f t="shared" ca="1" si="62"/>
        <v/>
      </c>
      <c r="G121" s="188" t="str">
        <f t="shared" ca="1" si="62"/>
        <v/>
      </c>
      <c r="H121" s="190" t="str">
        <f t="shared" ca="1" si="62"/>
        <v/>
      </c>
      <c r="I121" s="189" t="str">
        <f t="shared" ca="1" si="62"/>
        <v/>
      </c>
      <c r="J121" s="167" t="str">
        <f t="shared" ca="1" si="59"/>
        <v/>
      </c>
      <c r="K121" s="179"/>
      <c r="L121" s="130">
        <f t="shared" si="40"/>
        <v>0</v>
      </c>
      <c r="M121" s="180" t="str">
        <f t="shared" ca="1" si="49"/>
        <v/>
      </c>
      <c r="N121" s="181"/>
      <c r="O121" s="179" t="str">
        <f>IFERROR(IF(L121=0,"",IF(L121&lt;=2,AB121,INDEX($N$1:$N$10,MATCH(K121,$K$1:$K$10,0)))),"")</f>
        <v/>
      </c>
      <c r="P121" s="179"/>
      <c r="Q121" s="130">
        <f>Q120+IF(P121="",0,1)</f>
        <v>0</v>
      </c>
      <c r="R121" s="182"/>
      <c r="S121" s="159" t="e">
        <f ca="1">IF(R121&gt;0,R121,IF(P121="",OFFSET(S121,-1,0),$D$18))</f>
        <v>#N/A</v>
      </c>
      <c r="T121" s="152" t="e">
        <f t="shared" ca="1" si="44"/>
        <v>#VALUE!</v>
      </c>
      <c r="U121" s="152">
        <f t="shared" si="50"/>
        <v>0</v>
      </c>
      <c r="V121" s="183">
        <f t="shared" ca="1" si="60"/>
        <v>62</v>
      </c>
      <c r="W121" s="184" t="str">
        <f t="shared" ca="1" si="58"/>
        <v/>
      </c>
      <c r="X121" s="152">
        <f ca="1">IF(V121&gt;$O$22,0,COUNTIFS($V$26:V121,V121,$L$26:L121,0))</f>
        <v>0</v>
      </c>
      <c r="Y121" s="152">
        <f t="shared" ca="1" si="51"/>
        <v>0</v>
      </c>
      <c r="Z121" s="152">
        <f ca="1">IF(N121="",AE121,N121)</f>
        <v>0</v>
      </c>
      <c r="AA121" s="152" t="str">
        <f t="shared" ca="1" si="53"/>
        <v/>
      </c>
      <c r="AB121" s="152" t="e">
        <f t="shared" ca="1" si="45"/>
        <v>#VALUE!</v>
      </c>
      <c r="AC121" s="152" t="e">
        <f t="shared" ca="1" si="46"/>
        <v>#N/A</v>
      </c>
      <c r="AD121" s="128" t="e">
        <f t="shared" ca="1" si="47"/>
        <v>#N/A</v>
      </c>
      <c r="AE121" s="67">
        <f t="shared" ca="1" si="48"/>
        <v>0</v>
      </c>
    </row>
    <row r="122" spans="2:31" x14ac:dyDescent="0.4">
      <c r="B122" s="160" t="str">
        <f t="shared" ca="1" si="56"/>
        <v/>
      </c>
      <c r="C122" s="127" t="str">
        <f ca="1">AA122</f>
        <v/>
      </c>
      <c r="D122" s="187"/>
      <c r="E122" s="188" t="str">
        <f t="shared" ca="1" si="62"/>
        <v/>
      </c>
      <c r="F122" s="189" t="str">
        <f t="shared" ca="1" si="62"/>
        <v/>
      </c>
      <c r="G122" s="188" t="str">
        <f t="shared" ca="1" si="62"/>
        <v/>
      </c>
      <c r="H122" s="190" t="str">
        <f t="shared" ca="1" si="62"/>
        <v/>
      </c>
      <c r="I122" s="189" t="str">
        <f t="shared" ca="1" si="62"/>
        <v/>
      </c>
      <c r="J122" s="167" t="str">
        <f t="shared" ca="1" si="59"/>
        <v/>
      </c>
      <c r="K122" s="179"/>
      <c r="L122" s="130">
        <f t="shared" si="40"/>
        <v>0</v>
      </c>
      <c r="M122" s="180" t="str">
        <f t="shared" ca="1" si="49"/>
        <v/>
      </c>
      <c r="N122" s="181"/>
      <c r="O122" s="179" t="str">
        <f>IFERROR(IF(L122=0,"",IF(L122&lt;=2,AB122,INDEX($N$1:$N$10,MATCH(K122,$K$1:$K$10,0)))),"")</f>
        <v/>
      </c>
      <c r="P122" s="179"/>
      <c r="Q122" s="130">
        <f>Q121+IF(P122="",0,1)</f>
        <v>0</v>
      </c>
      <c r="R122" s="182"/>
      <c r="S122" s="159" t="e">
        <f ca="1">IF(R122&gt;0,R122,IF(P122="",OFFSET(S122,-1,0),$D$18))</f>
        <v>#N/A</v>
      </c>
      <c r="T122" s="152" t="e">
        <f t="shared" ca="1" si="44"/>
        <v>#VALUE!</v>
      </c>
      <c r="U122" s="152">
        <f t="shared" si="50"/>
        <v>0</v>
      </c>
      <c r="V122" s="183">
        <f t="shared" ca="1" si="60"/>
        <v>63</v>
      </c>
      <c r="W122" s="184" t="str">
        <f t="shared" ca="1" si="58"/>
        <v/>
      </c>
      <c r="X122" s="152">
        <f ca="1">IF(V122&gt;$O$22,0,COUNTIFS($V$26:V122,V122,$L$26:L122,0))</f>
        <v>0</v>
      </c>
      <c r="Y122" s="152">
        <f t="shared" ca="1" si="51"/>
        <v>0</v>
      </c>
      <c r="Z122" s="152">
        <f ca="1">IF(N122="",AE122,N122)</f>
        <v>0</v>
      </c>
      <c r="AA122" s="152" t="str">
        <f t="shared" ca="1" si="53"/>
        <v/>
      </c>
      <c r="AB122" s="152" t="e">
        <f t="shared" ca="1" si="45"/>
        <v>#VALUE!</v>
      </c>
      <c r="AC122" s="152" t="e">
        <f t="shared" ca="1" si="46"/>
        <v>#N/A</v>
      </c>
      <c r="AD122" s="128" t="e">
        <f t="shared" ca="1" si="47"/>
        <v>#N/A</v>
      </c>
      <c r="AE122" s="67">
        <f t="shared" ca="1" si="48"/>
        <v>0</v>
      </c>
    </row>
    <row r="123" spans="2:31" x14ac:dyDescent="0.4">
      <c r="B123" s="160" t="str">
        <f t="shared" ca="1" si="56"/>
        <v/>
      </c>
      <c r="C123" s="127" t="str">
        <f ca="1">AA123</f>
        <v/>
      </c>
      <c r="D123" s="187"/>
      <c r="E123" s="188" t="str">
        <f t="shared" ca="1" si="62"/>
        <v/>
      </c>
      <c r="F123" s="189" t="str">
        <f t="shared" ca="1" si="62"/>
        <v/>
      </c>
      <c r="G123" s="188" t="str">
        <f t="shared" ca="1" si="62"/>
        <v/>
      </c>
      <c r="H123" s="190" t="str">
        <f t="shared" ca="1" si="62"/>
        <v/>
      </c>
      <c r="I123" s="189" t="str">
        <f t="shared" ca="1" si="62"/>
        <v/>
      </c>
      <c r="J123" s="167" t="str">
        <f t="shared" ca="1" si="59"/>
        <v/>
      </c>
      <c r="K123" s="179"/>
      <c r="L123" s="130">
        <f t="shared" si="40"/>
        <v>0</v>
      </c>
      <c r="M123" s="180" t="str">
        <f t="shared" ca="1" si="49"/>
        <v/>
      </c>
      <c r="N123" s="181"/>
      <c r="O123" s="179" t="str">
        <f>IFERROR(IF(L123=0,"",IF(L123&lt;=2,AB123,INDEX($N$1:$N$10,MATCH(K123,$K$1:$K$10,0)))),"")</f>
        <v/>
      </c>
      <c r="P123" s="179"/>
      <c r="Q123" s="130">
        <f>Q122+IF(P123="",0,1)</f>
        <v>0</v>
      </c>
      <c r="R123" s="182"/>
      <c r="S123" s="159" t="e">
        <f ca="1">IF(R123&gt;0,R123,IF(P123="",OFFSET(S123,-1,0),$D$18))</f>
        <v>#N/A</v>
      </c>
      <c r="T123" s="152" t="e">
        <f t="shared" ca="1" si="44"/>
        <v>#VALUE!</v>
      </c>
      <c r="U123" s="152">
        <f t="shared" si="50"/>
        <v>0</v>
      </c>
      <c r="V123" s="183">
        <f t="shared" ca="1" si="60"/>
        <v>64</v>
      </c>
      <c r="W123" s="184" t="str">
        <f t="shared" ca="1" si="58"/>
        <v/>
      </c>
      <c r="X123" s="152">
        <f ca="1">IF(V123&gt;$O$22,0,COUNTIFS($V$26:V123,V123,$L$26:L123,0))</f>
        <v>0</v>
      </c>
      <c r="Y123" s="152">
        <f t="shared" ca="1" si="51"/>
        <v>0</v>
      </c>
      <c r="Z123" s="152">
        <f ca="1">IF(N123="",AE123,N123)</f>
        <v>0</v>
      </c>
      <c r="AA123" s="152" t="str">
        <f t="shared" ca="1" si="53"/>
        <v/>
      </c>
      <c r="AB123" s="152" t="e">
        <f t="shared" ca="1" si="45"/>
        <v>#VALUE!</v>
      </c>
      <c r="AC123" s="152" t="e">
        <f t="shared" ca="1" si="46"/>
        <v>#N/A</v>
      </c>
      <c r="AD123" s="128" t="e">
        <f t="shared" ca="1" si="47"/>
        <v>#N/A</v>
      </c>
      <c r="AE123" s="67">
        <f t="shared" ca="1" si="48"/>
        <v>0</v>
      </c>
    </row>
    <row r="124" spans="2:31" ht="12.75" customHeight="1" thickBot="1" x14ac:dyDescent="0.45">
      <c r="B124" s="160"/>
      <c r="D124" s="161"/>
      <c r="E124" s="169" t="str">
        <f t="shared" si="62"/>
        <v/>
      </c>
      <c r="F124" s="163" t="str">
        <f t="shared" si="62"/>
        <v/>
      </c>
      <c r="G124" s="169" t="str">
        <f t="shared" si="62"/>
        <v/>
      </c>
      <c r="H124" s="165" t="str">
        <f t="shared" si="62"/>
        <v/>
      </c>
      <c r="I124" s="163" t="str">
        <f t="shared" si="62"/>
        <v/>
      </c>
      <c r="J124" s="167"/>
      <c r="K124" s="191"/>
      <c r="M124" s="184"/>
      <c r="Q124" s="184"/>
      <c r="R124" s="159"/>
      <c r="S124" s="159"/>
      <c r="T124" s="152"/>
      <c r="U124" s="152">
        <f t="shared" si="50"/>
        <v>0</v>
      </c>
      <c r="V124" s="183"/>
      <c r="W124" s="184"/>
      <c r="X124" s="152"/>
      <c r="Y124" s="152"/>
      <c r="Z124" s="152"/>
      <c r="AA124" s="152"/>
      <c r="AC124" s="152"/>
      <c r="AD124" s="128"/>
    </row>
    <row r="125" spans="2:31" ht="21" thickTop="1" thickBot="1" x14ac:dyDescent="0.45">
      <c r="B125" s="192"/>
      <c r="C125" s="193"/>
      <c r="D125" s="194"/>
      <c r="E125" s="195"/>
      <c r="F125" s="195"/>
      <c r="G125" s="195"/>
      <c r="H125" s="195"/>
      <c r="I125" s="195"/>
      <c r="J125" s="196"/>
      <c r="K125" s="197"/>
      <c r="L125" s="197"/>
      <c r="M125" s="184"/>
    </row>
    <row r="126" spans="2:31" ht="16.5" customHeight="1" thickBot="1" x14ac:dyDescent="0.45">
      <c r="B126" s="3855" t="s">
        <v>3416</v>
      </c>
      <c r="C126" s="3856"/>
      <c r="D126" s="3856"/>
      <c r="E126" s="3856"/>
      <c r="F126" s="3856"/>
      <c r="G126" s="3856"/>
      <c r="H126" s="3856"/>
      <c r="I126" s="3856"/>
      <c r="J126" s="3857"/>
      <c r="K126" s="198"/>
      <c r="L126" s="198"/>
      <c r="M126" s="184"/>
    </row>
    <row r="127" spans="2:31" x14ac:dyDescent="0.4">
      <c r="B127" s="199"/>
      <c r="E127" s="161"/>
      <c r="F127" s="161"/>
      <c r="G127" s="161"/>
      <c r="H127" s="161"/>
      <c r="I127" s="161"/>
      <c r="J127" s="200"/>
      <c r="K127" s="197"/>
      <c r="L127" s="197"/>
    </row>
    <row r="128" spans="2:31" x14ac:dyDescent="0.4">
      <c r="B128" s="199"/>
      <c r="E128" s="161"/>
      <c r="F128" s="161"/>
      <c r="G128" s="161"/>
      <c r="H128" s="161"/>
      <c r="I128" s="161"/>
      <c r="J128" s="201"/>
    </row>
    <row r="129" spans="2:10" ht="77.25" customHeight="1" x14ac:dyDescent="0.4">
      <c r="B129" s="202" t="str">
        <f>Funders!F2</f>
        <v>Market Financial Solutions 
46 Hertford Street, London, W1J 7DP
Tel - 44 (0) 207 060 1234  
Email - accounts@mfsuk.com</v>
      </c>
      <c r="C129" s="202"/>
      <c r="D129" s="202"/>
      <c r="E129" s="202"/>
      <c r="F129" s="202"/>
      <c r="G129" s="202"/>
      <c r="H129" s="202"/>
      <c r="I129" s="202"/>
      <c r="J129" s="202"/>
    </row>
    <row r="130" spans="2:10" x14ac:dyDescent="0.4">
      <c r="B130" s="127"/>
      <c r="E130" s="161"/>
      <c r="F130" s="161"/>
      <c r="G130" s="161"/>
      <c r="H130" s="161"/>
      <c r="I130" s="161"/>
      <c r="J130" s="201"/>
    </row>
    <row r="131" spans="2:10" x14ac:dyDescent="0.4">
      <c r="B131" s="199"/>
      <c r="E131" s="161"/>
      <c r="F131" s="161"/>
      <c r="G131" s="161"/>
      <c r="H131" s="161"/>
      <c r="I131" s="161"/>
      <c r="J131" s="201"/>
    </row>
    <row r="132" spans="2:10" x14ac:dyDescent="0.4">
      <c r="B132" s="199"/>
      <c r="E132" s="161"/>
      <c r="F132" s="161"/>
      <c r="G132" s="161"/>
      <c r="H132" s="161"/>
      <c r="I132" s="161"/>
      <c r="J132" s="201"/>
    </row>
    <row r="133" spans="2:10" x14ac:dyDescent="0.4">
      <c r="B133" s="199"/>
      <c r="E133" s="161"/>
      <c r="F133" s="161"/>
      <c r="G133" s="161"/>
      <c r="H133" s="161"/>
      <c r="I133" s="161"/>
    </row>
    <row r="134" spans="2:10" x14ac:dyDescent="0.4">
      <c r="B134" s="199"/>
    </row>
    <row r="135" spans="2:10" x14ac:dyDescent="0.4">
      <c r="B135" s="199"/>
    </row>
    <row r="136" spans="2:10" x14ac:dyDescent="0.4">
      <c r="B136" s="199"/>
    </row>
    <row r="137" spans="2:10" x14ac:dyDescent="0.4">
      <c r="B137" s="199"/>
    </row>
    <row r="138" spans="2:10" x14ac:dyDescent="0.4">
      <c r="B138" s="199"/>
    </row>
    <row r="139" spans="2:10" x14ac:dyDescent="0.4">
      <c r="B139" s="199"/>
    </row>
    <row r="140" spans="2:10" x14ac:dyDescent="0.4">
      <c r="B140" s="199"/>
      <c r="C140" s="128"/>
    </row>
    <row r="141" spans="2:10" x14ac:dyDescent="0.4">
      <c r="B141" s="199"/>
      <c r="C141" s="128"/>
    </row>
    <row r="142" spans="2:10" x14ac:dyDescent="0.4">
      <c r="B142" s="199"/>
      <c r="C142" s="128"/>
    </row>
    <row r="143" spans="2:10" x14ac:dyDescent="0.4">
      <c r="B143" s="199"/>
      <c r="C143" s="128"/>
    </row>
    <row r="144" spans="2:10" x14ac:dyDescent="0.4">
      <c r="B144" s="199"/>
      <c r="C144" s="128"/>
    </row>
    <row r="145" spans="2:3" x14ac:dyDescent="0.4">
      <c r="B145" s="199"/>
      <c r="C145" s="128"/>
    </row>
    <row r="146" spans="2:3" x14ac:dyDescent="0.4">
      <c r="B146" s="199"/>
      <c r="C146" s="128"/>
    </row>
    <row r="147" spans="2:3" x14ac:dyDescent="0.4">
      <c r="B147" s="199"/>
      <c r="C147" s="128"/>
    </row>
    <row r="148" spans="2:3" x14ac:dyDescent="0.4">
      <c r="B148" s="199"/>
      <c r="C148" s="128"/>
    </row>
    <row r="149" spans="2:3" x14ac:dyDescent="0.4">
      <c r="B149" s="199"/>
      <c r="C149" s="128"/>
    </row>
    <row r="150" spans="2:3" x14ac:dyDescent="0.4">
      <c r="B150" s="199"/>
      <c r="C150" s="128"/>
    </row>
    <row r="151" spans="2:3" x14ac:dyDescent="0.4">
      <c r="B151" s="199"/>
      <c r="C151" s="128"/>
    </row>
    <row r="152" spans="2:3" x14ac:dyDescent="0.4">
      <c r="B152" s="199"/>
      <c r="C152" s="128"/>
    </row>
    <row r="153" spans="2:3" x14ac:dyDescent="0.4">
      <c r="B153" s="199"/>
      <c r="C153" s="128"/>
    </row>
    <row r="154" spans="2:3" x14ac:dyDescent="0.4">
      <c r="B154" s="199"/>
      <c r="C154" s="128"/>
    </row>
    <row r="155" spans="2:3" x14ac:dyDescent="0.4">
      <c r="B155" s="199"/>
      <c r="C155" s="128"/>
    </row>
    <row r="156" spans="2:3" x14ac:dyDescent="0.4">
      <c r="B156" s="199"/>
      <c r="C156" s="128"/>
    </row>
    <row r="157" spans="2:3" x14ac:dyDescent="0.4">
      <c r="B157" s="199"/>
      <c r="C157" s="128"/>
    </row>
    <row r="158" spans="2:3" x14ac:dyDescent="0.4">
      <c r="B158" s="199"/>
      <c r="C158" s="128"/>
    </row>
    <row r="159" spans="2:3" x14ac:dyDescent="0.4">
      <c r="B159" s="199"/>
      <c r="C159" s="128"/>
    </row>
    <row r="160" spans="2:3" x14ac:dyDescent="0.4">
      <c r="B160" s="199"/>
      <c r="C160" s="128"/>
    </row>
    <row r="161" spans="2:3" x14ac:dyDescent="0.4">
      <c r="B161" s="199"/>
      <c r="C161" s="128"/>
    </row>
    <row r="162" spans="2:3" x14ac:dyDescent="0.4">
      <c r="B162" s="199"/>
      <c r="C162" s="128"/>
    </row>
    <row r="163" spans="2:3" x14ac:dyDescent="0.4">
      <c r="B163" s="199"/>
      <c r="C163" s="128"/>
    </row>
    <row r="164" spans="2:3" x14ac:dyDescent="0.4">
      <c r="B164" s="199"/>
      <c r="C164" s="128"/>
    </row>
    <row r="165" spans="2:3" x14ac:dyDescent="0.4">
      <c r="B165" s="199"/>
      <c r="C165" s="128"/>
    </row>
    <row r="166" spans="2:3" x14ac:dyDescent="0.4">
      <c r="B166" s="199"/>
      <c r="C166" s="128"/>
    </row>
    <row r="167" spans="2:3" x14ac:dyDescent="0.4">
      <c r="B167" s="199"/>
      <c r="C167" s="128"/>
    </row>
    <row r="168" spans="2:3" x14ac:dyDescent="0.4">
      <c r="B168" s="199"/>
      <c r="C168" s="128"/>
    </row>
    <row r="169" spans="2:3" x14ac:dyDescent="0.4">
      <c r="B169" s="199"/>
      <c r="C169" s="128"/>
    </row>
    <row r="170" spans="2:3" x14ac:dyDescent="0.4">
      <c r="B170" s="199"/>
      <c r="C170" s="128"/>
    </row>
    <row r="171" spans="2:3" x14ac:dyDescent="0.4">
      <c r="B171" s="199"/>
      <c r="C171" s="128"/>
    </row>
    <row r="172" spans="2:3" x14ac:dyDescent="0.4">
      <c r="B172" s="199"/>
      <c r="C172" s="128"/>
    </row>
    <row r="173" spans="2:3" x14ac:dyDescent="0.4">
      <c r="B173" s="199"/>
      <c r="C173" s="128"/>
    </row>
    <row r="174" spans="2:3" x14ac:dyDescent="0.4">
      <c r="B174" s="199"/>
      <c r="C174" s="128"/>
    </row>
    <row r="175" spans="2:3" x14ac:dyDescent="0.4">
      <c r="B175" s="199"/>
      <c r="C175" s="128"/>
    </row>
    <row r="176" spans="2:3" x14ac:dyDescent="0.4">
      <c r="B176" s="199"/>
      <c r="C176" s="128"/>
    </row>
    <row r="177" spans="2:3" x14ac:dyDescent="0.4">
      <c r="B177" s="199"/>
      <c r="C177" s="128"/>
    </row>
    <row r="178" spans="2:3" x14ac:dyDescent="0.4">
      <c r="B178" s="199"/>
      <c r="C178" s="128"/>
    </row>
    <row r="179" spans="2:3" x14ac:dyDescent="0.4">
      <c r="B179" s="199"/>
      <c r="C179" s="128"/>
    </row>
    <row r="180" spans="2:3" x14ac:dyDescent="0.4">
      <c r="B180" s="199"/>
      <c r="C180" s="128"/>
    </row>
    <row r="181" spans="2:3" x14ac:dyDescent="0.4">
      <c r="B181" s="199"/>
      <c r="C181" s="128"/>
    </row>
    <row r="182" spans="2:3" x14ac:dyDescent="0.4">
      <c r="B182" s="199"/>
      <c r="C182" s="128"/>
    </row>
    <row r="183" spans="2:3" x14ac:dyDescent="0.4">
      <c r="B183" s="199"/>
      <c r="C183" s="128"/>
    </row>
    <row r="184" spans="2:3" x14ac:dyDescent="0.4">
      <c r="B184" s="199"/>
      <c r="C184" s="128"/>
    </row>
    <row r="185" spans="2:3" x14ac:dyDescent="0.4">
      <c r="C185" s="128"/>
    </row>
    <row r="186" spans="2:3" x14ac:dyDescent="0.4">
      <c r="C186" s="128"/>
    </row>
    <row r="187" spans="2:3" x14ac:dyDescent="0.4">
      <c r="C187" s="128"/>
    </row>
    <row r="188" spans="2:3" x14ac:dyDescent="0.4">
      <c r="C188" s="128"/>
    </row>
    <row r="189" spans="2:3" x14ac:dyDescent="0.4">
      <c r="C189" s="128"/>
    </row>
    <row r="190" spans="2:3" x14ac:dyDescent="0.4">
      <c r="C190" s="128"/>
    </row>
    <row r="191" spans="2:3" x14ac:dyDescent="0.4">
      <c r="C191" s="128"/>
    </row>
    <row r="192" spans="2:3" x14ac:dyDescent="0.4">
      <c r="C192" s="128"/>
    </row>
    <row r="193" spans="3:3" x14ac:dyDescent="0.4">
      <c r="C193" s="128"/>
    </row>
    <row r="194" spans="3:3" x14ac:dyDescent="0.4">
      <c r="C194" s="128"/>
    </row>
    <row r="195" spans="3:3" x14ac:dyDescent="0.4">
      <c r="C195" s="128"/>
    </row>
    <row r="196" spans="3:3" x14ac:dyDescent="0.4">
      <c r="C196" s="128"/>
    </row>
    <row r="197" spans="3:3" x14ac:dyDescent="0.4">
      <c r="C197" s="128"/>
    </row>
    <row r="198" spans="3:3" x14ac:dyDescent="0.4">
      <c r="C198" s="128"/>
    </row>
    <row r="199" spans="3:3" x14ac:dyDescent="0.4">
      <c r="C199" s="128"/>
    </row>
    <row r="200" spans="3:3" x14ac:dyDescent="0.4">
      <c r="C200" s="128"/>
    </row>
    <row r="201" spans="3:3" x14ac:dyDescent="0.4">
      <c r="C201" s="128"/>
    </row>
    <row r="202" spans="3:3" x14ac:dyDescent="0.4">
      <c r="C202" s="128"/>
    </row>
    <row r="203" spans="3:3" x14ac:dyDescent="0.4">
      <c r="C203" s="128"/>
    </row>
    <row r="204" spans="3:3" x14ac:dyDescent="0.4">
      <c r="C204" s="128"/>
    </row>
    <row r="205" spans="3:3" x14ac:dyDescent="0.4">
      <c r="C205" s="128"/>
    </row>
    <row r="206" spans="3:3" x14ac:dyDescent="0.4">
      <c r="C206" s="128"/>
    </row>
    <row r="207" spans="3:3" x14ac:dyDescent="0.4">
      <c r="C207" s="128"/>
    </row>
    <row r="208" spans="3:3" x14ac:dyDescent="0.4">
      <c r="C208" s="128"/>
    </row>
    <row r="209" spans="3:3" x14ac:dyDescent="0.4">
      <c r="C209" s="128"/>
    </row>
    <row r="210" spans="3:3" x14ac:dyDescent="0.4">
      <c r="C210" s="128"/>
    </row>
    <row r="211" spans="3:3" x14ac:dyDescent="0.4">
      <c r="C211" s="128"/>
    </row>
  </sheetData>
  <mergeCells count="27">
    <mergeCell ref="N18:O18"/>
    <mergeCell ref="C25:C26"/>
    <mergeCell ref="B126:J126"/>
    <mergeCell ref="K23:R23"/>
    <mergeCell ref="B31:I31"/>
    <mergeCell ref="B38:I38"/>
    <mergeCell ref="E25:F25"/>
    <mergeCell ref="G25:I25"/>
    <mergeCell ref="J25:J26"/>
    <mergeCell ref="B25:B26"/>
    <mergeCell ref="D20:E20"/>
    <mergeCell ref="B10:J10"/>
    <mergeCell ref="V25:W25"/>
    <mergeCell ref="N15:O15"/>
    <mergeCell ref="N14:O14"/>
    <mergeCell ref="N17:O17"/>
    <mergeCell ref="D19:E19"/>
    <mergeCell ref="D12:E12"/>
    <mergeCell ref="D13:E13"/>
    <mergeCell ref="D14:E14"/>
    <mergeCell ref="D15:E15"/>
    <mergeCell ref="D16:E16"/>
    <mergeCell ref="D17:E17"/>
    <mergeCell ref="D18:E18"/>
    <mergeCell ref="B23:J23"/>
    <mergeCell ref="D25:D26"/>
    <mergeCell ref="N20:O20"/>
  </mergeCells>
  <dataValidations count="4">
    <dataValidation type="list" allowBlank="1" showInputMessage="1" showErrorMessage="1" sqref="R43 P43" xr:uid="{D23F2982-15B3-40A4-83EA-9F56D5A98A21}">
      <formula1>"Less"</formula1>
    </dataValidation>
    <dataValidation type="list" allowBlank="1" showInputMessage="1" showErrorMessage="1" sqref="K32:K126" xr:uid="{0C5021C8-AC5C-44D5-86BC-32DA9E430AE5}">
      <formula1>$K$1:$K$10</formula1>
    </dataValidation>
    <dataValidation allowBlank="1" showInputMessage="1" sqref="O22" xr:uid="{39033CE4-A560-415C-883F-49C358C497C4}"/>
    <dataValidation type="list" allowBlank="1" showInputMessage="1" showErrorMessage="1" sqref="N18:O18" xr:uid="{AA9192A0-1155-4D03-A884-9A810169CDDB}">
      <formula1>$R$1:$R$6</formula1>
    </dataValidation>
  </dataValidations>
  <pageMargins left="0.70866141732283472" right="0.70866141732283472" top="0.74803149606299213" bottom="0.74803149606299213" header="0.31496062992125984" footer="0.31496062992125984"/>
  <pageSetup paperSize="9" scale="28" orientation="portrait" r:id="rId1"/>
  <headerFooter>
    <oddFooter>&amp;C&amp;['Funding Lines'!I2]</oddFoot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5141DC39-7604-475A-B6E7-D50B2B3EDDD7}">
          <x14:formula1>
            <xm:f>Funders!$A$3:$A$7</xm:f>
          </x14:formula1>
          <xm:sqref>N15:O15</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42A5E-B60D-4D41-AC8F-52C01186BD8F}">
  <sheetPr codeName="Sheet33"/>
  <dimension ref="A1:N24"/>
  <sheetViews>
    <sheetView topLeftCell="I1" workbookViewId="0">
      <selection activeCell="K2" sqref="K2"/>
    </sheetView>
  </sheetViews>
  <sheetFormatPr defaultRowHeight="18" x14ac:dyDescent="0.35"/>
  <cols>
    <col min="1" max="1" width="16" style="67" bestFit="1" customWidth="1"/>
    <col min="2" max="2" width="11.7109375" style="67" bestFit="1" customWidth="1"/>
    <col min="3" max="4" width="11.42578125" style="67" bestFit="1" customWidth="1"/>
    <col min="5" max="5" width="33.85546875" style="67" bestFit="1" customWidth="1"/>
    <col min="6" max="6" width="50.140625" style="67" bestFit="1" customWidth="1"/>
    <col min="7" max="7" width="35.28515625" style="67" customWidth="1"/>
    <col min="8" max="8" width="9.140625" style="67"/>
    <col min="9" max="9" width="23.85546875" style="67" bestFit="1" customWidth="1"/>
    <col min="10" max="10" width="5.140625" style="67" customWidth="1"/>
    <col min="11" max="11" width="27.85546875" style="67" bestFit="1" customWidth="1"/>
    <col min="12" max="12" width="208" style="67" customWidth="1"/>
    <col min="13" max="13" width="15.140625" style="67" customWidth="1"/>
    <col min="14" max="14" width="11.7109375" style="67" customWidth="1"/>
    <col min="15" max="16384" width="9.140625" style="67"/>
  </cols>
  <sheetData>
    <row r="1" spans="1:14" x14ac:dyDescent="0.35">
      <c r="A1" s="67" t="s">
        <v>3381</v>
      </c>
      <c r="B1" s="67" t="s">
        <v>3417</v>
      </c>
      <c r="C1" s="67" t="s">
        <v>3418</v>
      </c>
      <c r="D1" s="67" t="s">
        <v>3419</v>
      </c>
      <c r="E1" s="67" t="str">
        <f>"
 - Loan is registered in the name of "</f>
        <v xml:space="preserve">
 - Loan is registered in the name of </v>
      </c>
      <c r="F1" s="67" t="s">
        <v>3420</v>
      </c>
      <c r="G1" s="67" t="s">
        <v>3421</v>
      </c>
      <c r="H1" s="67" t="s">
        <v>3422</v>
      </c>
      <c r="I1" s="67" t="s">
        <v>3423</v>
      </c>
      <c r="J1" s="67" t="str">
        <f>'BTL Calculator'!AI20</f>
        <v>ZBL</v>
      </c>
      <c r="K1" s="67" t="s">
        <v>3424</v>
      </c>
      <c r="L1" s="67" t="s">
        <v>467</v>
      </c>
      <c r="M1" s="67" t="s">
        <v>3425</v>
      </c>
      <c r="N1" s="67" t="s">
        <v>3426</v>
      </c>
    </row>
    <row r="2" spans="1:14" ht="60" customHeight="1" x14ac:dyDescent="0.35">
      <c r="A2" s="67" t="s">
        <v>3427</v>
      </c>
      <c r="B2" s="3868" t="s">
        <v>3428</v>
      </c>
      <c r="C2" s="3868"/>
      <c r="D2" s="3868"/>
      <c r="E2" s="67" t="str">
        <f>E1&amp;INDEX(E4:E26,MATCH('Completion State'!N15,A4:A26,0))</f>
        <v xml:space="preserve">
 - Loan is registered in the name of Zircon Bridging Limited</v>
      </c>
      <c r="F2" s="67" t="str">
        <f>INDEX(F4:F26,MATCH('Completion State'!$N$15,$A$4:$A$26,0))</f>
        <v>Market Financial Solutions 
46 Hertford Street, London, W1J 7DP
Tel - 44 (0) 207 060 1234  
Email - accounts@mfsuk.com</v>
      </c>
      <c r="H2" s="67" t="str">
        <f>INDEX(H3:H26,MATCH('Completion State'!$N$15,$A$3:$A$26,0))</f>
        <v>Logo_13</v>
      </c>
      <c r="K2" s="67">
        <f>Term</f>
        <v>24</v>
      </c>
      <c r="L2" s="67" t="str">
        <f>INDEX(L$3:L$25,MATCH($J$1,$A$3:$A$25,0))</f>
        <v>3 years, made up of an initial fixed rate for 2 years, then followed by a variable tracker rate for the remaining term (also known as a 'revert' or 'reversion rate')</v>
      </c>
      <c r="M2" s="67" t="str">
        <f>INDEX(M$3:M$25,MATCH($J$1,$A$3:$A$25,0))</f>
        <v xml:space="preserve">extend the loan facility once for a maximum period of 12 months </v>
      </c>
    </row>
    <row r="3" spans="1:14" ht="39" customHeight="1" x14ac:dyDescent="0.35">
      <c r="A3" s="102" t="s">
        <v>3429</v>
      </c>
      <c r="B3" s="102" t="s">
        <v>3430</v>
      </c>
      <c r="C3" s="102" t="s">
        <v>3431</v>
      </c>
      <c r="D3" s="102" t="s">
        <v>3432</v>
      </c>
      <c r="H3" s="67" t="s">
        <v>3433</v>
      </c>
      <c r="L3" s="67" t="str">
        <f>"3 years, made up of an initial "&amp;IF(Rate_Type="Tracker","tracker","fixed")&amp;" rate for "&amp;($K$2/12)&amp;" years"&amp;IF(Rate_Type="tracker"," (the 'Initial Tracker Rate period')","")&amp;", then followed by a "&amp;IF(Rate_Type="tracker","different","variable")&amp;" tracker rate for the remaining term (also known as a 'revert' or 'reversion rate')"</f>
        <v>3 years, made up of an initial fixed rate for 2 years, then followed by a variable tracker rate for the remaining term (also known as a 'revert' or 'reversion rate')</v>
      </c>
      <c r="M3" s="67" t="str">
        <f>IF($K$2=24,"extend the loan facility once for a maximum period of 12 months ",IF($K$2=36,"extend the loan facility for another 3 months ","TYPE MANUALLY"))</f>
        <v xml:space="preserve">extend the loan facility once for a maximum period of 12 months </v>
      </c>
    </row>
    <row r="4" spans="1:14" ht="71.25" customHeight="1" x14ac:dyDescent="0.35">
      <c r="A4" s="103" t="s">
        <v>1750</v>
      </c>
      <c r="B4" s="103"/>
      <c r="C4" s="104" t="s">
        <v>3434</v>
      </c>
      <c r="D4" s="103" t="s">
        <v>3435</v>
      </c>
      <c r="E4" s="67" t="s">
        <v>3172</v>
      </c>
      <c r="F4" s="68" t="s">
        <v>3436</v>
      </c>
      <c r="H4" s="67" t="s">
        <v>3437</v>
      </c>
      <c r="L4" s="67" t="str">
        <f>"3 years, made up of an initial "&amp;IF(Rate_Type="Tracker","tracker","fixed")&amp;" rate for "&amp;($K$2/12)&amp;" years"&amp;IF(Rate_Type="tracker"," (the 'Initial Tracker Rate period')","")&amp;", then followed by a "&amp;IF(Rate_Type="tracker","different","variable")&amp;" tracker rate for the remaining term (also known as a 'revert' or 'reversion rate')"</f>
        <v>3 years, made up of an initial fixed rate for 2 years, then followed by a variable tracker rate for the remaining term (also known as a 'revert' or 'reversion rate')</v>
      </c>
      <c r="M4" s="67" t="str">
        <f>IF($K$2=24,"extend the loan facility once for a maximum period of 12 months ",IF($K$2=36,"extend the loan facility for another 3 months ","TYPE MANUALLY"))</f>
        <v xml:space="preserve">extend the loan facility once for a maximum period of 12 months </v>
      </c>
    </row>
    <row r="5" spans="1:14" ht="78" customHeight="1" x14ac:dyDescent="0.35">
      <c r="A5" s="106" t="s">
        <v>3438</v>
      </c>
      <c r="B5" s="106"/>
      <c r="C5" s="107" t="s">
        <v>3439</v>
      </c>
      <c r="D5" s="106" t="s">
        <v>3440</v>
      </c>
      <c r="E5" s="67" t="s">
        <v>3172</v>
      </c>
      <c r="F5" s="68" t="s">
        <v>3441</v>
      </c>
      <c r="H5" s="67" t="s">
        <v>3442</v>
      </c>
      <c r="L5" s="67" t="str">
        <f>"3 years, made up of an initial "&amp;IF(Rate_Type="Tracker","tracker","fixed")&amp;" rate for "&amp;($K$2/12)&amp;" years"&amp;IF(Rate_Type="tracker"," (the 'Initial Tracker Rate period')","")&amp;", then followed by a "&amp;IF(Rate_Type="tracker","different","variable")&amp;" tracker rate for the remaining term (also known as a 'revert' or 'reversion rate')"</f>
        <v>3 years, made up of an initial fixed rate for 2 years, then followed by a variable tracker rate for the remaining term (also known as a 'revert' or 'reversion rate')</v>
      </c>
      <c r="M5" s="67" t="str">
        <f>IF($K$2=24,"extend the loan facility once for a maximum period of 12 months ",IF($K$2=36,"extend the loan facility for another 3 months ","TYPE MANUALLY"))</f>
        <v xml:space="preserve">extend the loan facility once for a maximum period of 12 months </v>
      </c>
    </row>
    <row r="6" spans="1:14" ht="72" x14ac:dyDescent="0.35">
      <c r="A6" s="111" t="s">
        <v>461</v>
      </c>
      <c r="B6" s="111"/>
      <c r="C6" s="111" t="s">
        <v>3443</v>
      </c>
      <c r="D6" s="111" t="s">
        <v>3444</v>
      </c>
      <c r="E6" s="67" t="s">
        <v>3445</v>
      </c>
      <c r="F6" s="105" t="s">
        <v>3436</v>
      </c>
      <c r="H6" s="67" t="s">
        <v>3446</v>
      </c>
      <c r="L6" s="67" t="str">
        <f>"3 years, made up of an initial "&amp;IF(Rate_Type="Tracker","tracker","fixed")&amp;" rate for "&amp;($K$2/12)&amp;" years"&amp;IF(Rate_Type="tracker"," (the 'Initial Tracker Rate period')","")&amp;", then followed by a "&amp;IF(Rate_Type="tracker","different","variable")&amp;" tracker rate for the remaining term (also known as a 'revert' or 'reversion rate')"</f>
        <v>3 years, made up of an initial fixed rate for 2 years, then followed by a variable tracker rate for the remaining term (also known as a 'revert' or 'reversion rate')</v>
      </c>
      <c r="M6" s="67" t="str">
        <f>IF($K$2=24,"extend the loan facility once for a maximum period of 12 months ",IF($K$2=36,"extend the loan facility for another 3 months ","TYPE MANUALLY"))</f>
        <v xml:space="preserve">extend the loan facility once for a maximum period of 12 months </v>
      </c>
    </row>
    <row r="7" spans="1:14" ht="96.75" customHeight="1" x14ac:dyDescent="0.35">
      <c r="A7" s="116" t="s">
        <v>49</v>
      </c>
      <c r="B7" s="116"/>
      <c r="C7" s="116" t="s">
        <v>3447</v>
      </c>
      <c r="D7" s="116" t="s">
        <v>3448</v>
      </c>
      <c r="E7" s="67" t="s">
        <v>3020</v>
      </c>
      <c r="F7" s="105" t="s">
        <v>3436</v>
      </c>
      <c r="H7" s="67" t="s">
        <v>3449</v>
      </c>
      <c r="I7" s="892">
        <v>44621</v>
      </c>
      <c r="L7" s="67" t="str">
        <f>"3 years, made up of an initial "&amp;IF(Rate_Type="Tracker","tracker","fixed")&amp;" rate for "&amp;($K$2/12)&amp;" years"&amp;IF(Rate_Type="tracker"," (the 'Initial Tracker Rate period')","")&amp;", then followed by a "&amp;IF(Rate_Type="tracker","different","variable")&amp;" tracker rate for the remaining term (also known as a 'revert' or 'reversion rate')"</f>
        <v>3 years, made up of an initial fixed rate for 2 years, then followed by a variable tracker rate for the remaining term (also known as a 'revert' or 'reversion rate')</v>
      </c>
      <c r="M7" s="67" t="str">
        <f>IF($K$2=24,"extend the loan facility once for a maximum period of 12 months ",IF($K$2=36,"extend the loan facility for another 3 months ","TYPE MANUALLY"))</f>
        <v xml:space="preserve">extend the loan facility once for a maximum period of 12 months </v>
      </c>
    </row>
    <row r="8" spans="1:14" ht="87.75" customHeight="1" x14ac:dyDescent="0.35">
      <c r="A8" s="108" t="s">
        <v>3450</v>
      </c>
      <c r="B8" s="108" t="s">
        <v>3451</v>
      </c>
      <c r="C8" s="108" t="s">
        <v>3452</v>
      </c>
      <c r="D8" s="108" t="s">
        <v>3453</v>
      </c>
      <c r="E8" s="68" t="str">
        <f>"Interlend II Limited"</f>
        <v>Interlend II Limited</v>
      </c>
      <c r="F8" s="105" t="s">
        <v>3436</v>
      </c>
      <c r="H8" s="67" t="s">
        <v>3454</v>
      </c>
    </row>
    <row r="9" spans="1:14" ht="98.25" customHeight="1" x14ac:dyDescent="0.35">
      <c r="A9" s="109" t="s">
        <v>3455</v>
      </c>
      <c r="B9" s="109" t="s">
        <v>3456</v>
      </c>
      <c r="C9" s="109" t="s">
        <v>3457</v>
      </c>
      <c r="D9" s="109" t="s">
        <v>3458</v>
      </c>
      <c r="E9" s="68" t="str">
        <f>"Interlend II Limited"</f>
        <v>Interlend II Limited</v>
      </c>
      <c r="F9" s="105" t="s">
        <v>3436</v>
      </c>
      <c r="H9" s="67" t="s">
        <v>3459</v>
      </c>
    </row>
    <row r="10" spans="1:14" ht="87" customHeight="1" x14ac:dyDescent="0.35">
      <c r="A10" s="110" t="s">
        <v>3460</v>
      </c>
      <c r="B10" s="110" t="s">
        <v>3461</v>
      </c>
      <c r="C10" s="110" t="s">
        <v>3462</v>
      </c>
      <c r="D10" s="110" t="s">
        <v>3463</v>
      </c>
      <c r="E10" s="68" t="str">
        <f>"Interlend II Limited"</f>
        <v>Interlend II Limited</v>
      </c>
      <c r="F10" s="105" t="s">
        <v>3436</v>
      </c>
      <c r="H10" s="67" t="s">
        <v>3464</v>
      </c>
    </row>
    <row r="11" spans="1:14" ht="72" x14ac:dyDescent="0.35">
      <c r="A11" s="112" t="s">
        <v>3465</v>
      </c>
      <c r="B11" s="112" t="s">
        <v>3466</v>
      </c>
      <c r="C11" s="112" t="s">
        <v>3467</v>
      </c>
      <c r="D11" s="112" t="s">
        <v>3468</v>
      </c>
      <c r="E11" s="67" t="s">
        <v>3445</v>
      </c>
      <c r="F11" s="105" t="s">
        <v>3436</v>
      </c>
      <c r="H11" s="67" t="s">
        <v>3469</v>
      </c>
    </row>
    <row r="12" spans="1:14" ht="72" x14ac:dyDescent="0.35">
      <c r="A12" s="113" t="s">
        <v>3470</v>
      </c>
      <c r="B12" s="113" t="s">
        <v>3471</v>
      </c>
      <c r="C12" s="113" t="s">
        <v>3472</v>
      </c>
      <c r="D12" s="113" t="s">
        <v>3473</v>
      </c>
      <c r="E12" s="67" t="s">
        <v>3474</v>
      </c>
      <c r="F12" s="105" t="s">
        <v>3436</v>
      </c>
      <c r="H12" s="67" t="s">
        <v>3475</v>
      </c>
    </row>
    <row r="13" spans="1:14" ht="72" x14ac:dyDescent="0.35">
      <c r="A13" s="114" t="s">
        <v>3476</v>
      </c>
      <c r="B13" s="114"/>
      <c r="C13" s="114" t="s">
        <v>3477</v>
      </c>
      <c r="D13" s="114" t="s">
        <v>3478</v>
      </c>
      <c r="E13" s="67" t="s">
        <v>3474</v>
      </c>
      <c r="F13" s="105" t="s">
        <v>3436</v>
      </c>
      <c r="H13" s="67" t="s">
        <v>3479</v>
      </c>
    </row>
    <row r="14" spans="1:14" ht="72" x14ac:dyDescent="0.35">
      <c r="A14" s="114" t="s">
        <v>3480</v>
      </c>
      <c r="B14" s="114"/>
      <c r="C14" s="114" t="str">
        <f>C13</f>
        <v>FFFF85</v>
      </c>
      <c r="D14" s="114" t="str">
        <f>D13</f>
        <v>255/255/133</v>
      </c>
      <c r="E14" s="67" t="s">
        <v>3474</v>
      </c>
      <c r="F14" s="105" t="s">
        <v>3436</v>
      </c>
      <c r="H14" s="67" t="s">
        <v>3481</v>
      </c>
    </row>
    <row r="15" spans="1:14" ht="72" x14ac:dyDescent="0.35">
      <c r="A15" s="115" t="s">
        <v>3482</v>
      </c>
      <c r="B15" s="115" t="s">
        <v>3483</v>
      </c>
      <c r="C15" s="115" t="s">
        <v>3484</v>
      </c>
      <c r="D15" s="115" t="s">
        <v>3485</v>
      </c>
      <c r="E15" s="67" t="s">
        <v>3474</v>
      </c>
      <c r="F15" s="105" t="s">
        <v>3436</v>
      </c>
      <c r="H15" s="67" t="s">
        <v>3486</v>
      </c>
    </row>
    <row r="16" spans="1:14" ht="96.75" customHeight="1" x14ac:dyDescent="0.35">
      <c r="A16" s="116" t="s">
        <v>3487</v>
      </c>
      <c r="B16" s="116"/>
      <c r="C16" s="116" t="s">
        <v>3447</v>
      </c>
      <c r="D16" s="116" t="s">
        <v>3448</v>
      </c>
      <c r="E16" s="67" t="s">
        <v>3020</v>
      </c>
      <c r="F16" s="105" t="s">
        <v>3436</v>
      </c>
      <c r="H16" s="67" t="s">
        <v>3488</v>
      </c>
    </row>
    <row r="17" spans="1:8" ht="72" x14ac:dyDescent="0.35">
      <c r="A17" s="117" t="s">
        <v>3489</v>
      </c>
      <c r="B17" s="117" t="s">
        <v>3490</v>
      </c>
      <c r="C17" s="117" t="s">
        <v>3491</v>
      </c>
      <c r="D17" s="117" t="s">
        <v>3492</v>
      </c>
      <c r="E17" s="67" t="s">
        <v>3493</v>
      </c>
      <c r="F17" s="105" t="s">
        <v>3436</v>
      </c>
      <c r="H17" s="67" t="s">
        <v>3494</v>
      </c>
    </row>
    <row r="18" spans="1:8" ht="72" x14ac:dyDescent="0.35">
      <c r="A18" s="118" t="s">
        <v>3495</v>
      </c>
      <c r="B18" s="118" t="s">
        <v>3496</v>
      </c>
      <c r="C18" s="118" t="s">
        <v>3497</v>
      </c>
      <c r="D18" s="118" t="s">
        <v>3498</v>
      </c>
      <c r="E18" s="67" t="s">
        <v>3493</v>
      </c>
      <c r="F18" s="105" t="s">
        <v>3436</v>
      </c>
      <c r="H18" s="67" t="s">
        <v>3499</v>
      </c>
    </row>
    <row r="19" spans="1:8" ht="72" x14ac:dyDescent="0.35">
      <c r="A19" s="119" t="s">
        <v>2354</v>
      </c>
      <c r="B19" s="119" t="s">
        <v>3500</v>
      </c>
      <c r="C19" s="119" t="s">
        <v>3501</v>
      </c>
      <c r="D19" s="119" t="s">
        <v>3502</v>
      </c>
      <c r="F19" s="105" t="s">
        <v>3436</v>
      </c>
      <c r="H19" s="67" t="s">
        <v>3503</v>
      </c>
    </row>
    <row r="20" spans="1:8" ht="72" x14ac:dyDescent="0.35">
      <c r="A20" s="120" t="s">
        <v>3504</v>
      </c>
      <c r="B20" s="120" t="s">
        <v>3505</v>
      </c>
      <c r="C20" s="120" t="s">
        <v>3506</v>
      </c>
      <c r="D20" s="120" t="s">
        <v>3507</v>
      </c>
      <c r="F20" s="105" t="s">
        <v>3436</v>
      </c>
      <c r="H20" s="67" t="s">
        <v>3508</v>
      </c>
    </row>
    <row r="21" spans="1:8" x14ac:dyDescent="0.35">
      <c r="A21" s="121" t="s">
        <v>3509</v>
      </c>
      <c r="B21" s="121" t="s">
        <v>3510</v>
      </c>
      <c r="C21" s="121" t="s">
        <v>3511</v>
      </c>
      <c r="D21" s="121" t="s">
        <v>3512</v>
      </c>
      <c r="H21" s="67" t="s">
        <v>3513</v>
      </c>
    </row>
    <row r="22" spans="1:8" x14ac:dyDescent="0.35">
      <c r="A22" s="122" t="s">
        <v>3509</v>
      </c>
      <c r="B22" s="122" t="s">
        <v>3514</v>
      </c>
      <c r="C22" s="122">
        <v>996633</v>
      </c>
      <c r="D22" s="122" t="s">
        <v>3515</v>
      </c>
      <c r="H22" s="67" t="s">
        <v>3516</v>
      </c>
    </row>
    <row r="23" spans="1:8" x14ac:dyDescent="0.35">
      <c r="A23" s="123" t="s">
        <v>3509</v>
      </c>
      <c r="B23" s="123" t="s">
        <v>3517</v>
      </c>
      <c r="C23" s="123" t="s">
        <v>3518</v>
      </c>
      <c r="D23" s="123" t="s">
        <v>3519</v>
      </c>
      <c r="H23" s="67" t="s">
        <v>3520</v>
      </c>
    </row>
    <row r="24" spans="1:8" x14ac:dyDescent="0.35">
      <c r="A24" s="124" t="s">
        <v>3509</v>
      </c>
      <c r="B24" s="124" t="s">
        <v>3517</v>
      </c>
      <c r="C24" s="124" t="s">
        <v>3521</v>
      </c>
      <c r="D24" s="124" t="s">
        <v>3522</v>
      </c>
      <c r="H24" s="67" t="s">
        <v>3523</v>
      </c>
    </row>
  </sheetData>
  <mergeCells count="1">
    <mergeCell ref="B2:D2"/>
  </mergeCells>
  <phoneticPr fontId="15" type="noConversion"/>
  <conditionalFormatting sqref="D27">
    <cfRule type="expression" dxfId="44" priority="7953">
      <formula>$A27=$A$24</formula>
    </cfRule>
    <cfRule type="expression" dxfId="43" priority="7954">
      <formula>$A27=$A$23</formula>
    </cfRule>
    <cfRule type="expression" dxfId="42" priority="7955">
      <formula>$A27=$A$22</formula>
    </cfRule>
    <cfRule type="expression" dxfId="41" priority="7956">
      <formula>$A27=$A$21</formula>
    </cfRule>
    <cfRule type="expression" dxfId="40" priority="7957">
      <formula>$A27=$A$5</formula>
    </cfRule>
    <cfRule type="expression" dxfId="39" priority="7958">
      <formula>$A27=$A$20</formula>
    </cfRule>
    <cfRule type="expression" dxfId="38" priority="7959">
      <formula>$A27=$A$19</formula>
    </cfRule>
    <cfRule type="expression" dxfId="37" priority="7960">
      <formula>$A27=$A$18</formula>
    </cfRule>
    <cfRule type="expression" dxfId="36" priority="7961">
      <formula>#REF!=$A$22</formula>
    </cfRule>
    <cfRule type="expression" dxfId="35" priority="7962">
      <formula>#REF!=$A$21</formula>
    </cfRule>
    <cfRule type="expression" dxfId="34" priority="7963">
      <formula>#REF!=$A$3</formula>
    </cfRule>
    <cfRule type="expression" dxfId="33" priority="7964">
      <formula>#REF!=$A$5</formula>
    </cfRule>
    <cfRule type="expression" dxfId="32" priority="7965">
      <formula>#REF!=$A$20</formula>
    </cfRule>
    <cfRule type="expression" dxfId="31" priority="7966">
      <formula>#REF!=$A$19</formula>
    </cfRule>
    <cfRule type="expression" dxfId="30" priority="7967">
      <formula>#REF!=$A$18</formula>
    </cfRule>
    <cfRule type="expression" dxfId="29" priority="7968">
      <formula>#REF!=$A$10</formula>
    </cfRule>
    <cfRule type="expression" dxfId="28" priority="7969">
      <formula>#REF!=$A$6</formula>
    </cfRule>
    <cfRule type="expression" dxfId="27" priority="7970">
      <formula>#REF!=$A$15</formula>
    </cfRule>
    <cfRule type="expression" dxfId="26" priority="7971">
      <formula>#REF!=$A$16</formula>
    </cfRule>
    <cfRule type="expression" dxfId="25" priority="7972">
      <formula>#REF!=$A$4</formula>
    </cfRule>
    <cfRule type="expression" dxfId="24" priority="7973">
      <formula>#REF!=$A$1</formula>
    </cfRule>
  </conditionalFormatting>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C10D2-39A5-4836-80FC-0BDE5D5B2706}">
  <sheetPr codeName="Sheet34">
    <tabColor rgb="FFFF5050"/>
    <pageSetUpPr fitToPage="1"/>
  </sheetPr>
  <dimension ref="A1:M174"/>
  <sheetViews>
    <sheetView showGridLines="0" view="pageBreakPreview" topLeftCell="A31" zoomScaleNormal="100" zoomScaleSheetLayoutView="100" workbookViewId="0">
      <selection activeCell="C12" sqref="C12:C23"/>
    </sheetView>
  </sheetViews>
  <sheetFormatPr defaultRowHeight="18" x14ac:dyDescent="0.35"/>
  <cols>
    <col min="1" max="1" width="2.42578125" style="93" customWidth="1"/>
    <col min="2" max="2" width="3.28515625" style="94" customWidth="1"/>
    <col min="3" max="3" width="30.7109375" style="93" customWidth="1"/>
    <col min="4" max="4" width="5.28515625" style="95" bestFit="1" customWidth="1"/>
    <col min="5" max="5" width="82" style="76" customWidth="1"/>
    <col min="6" max="6" width="14.42578125" style="72" customWidth="1"/>
    <col min="7" max="7" width="11" style="75" customWidth="1"/>
    <col min="8" max="8" width="90.85546875" style="71" customWidth="1"/>
    <col min="9" max="11" width="2.42578125" style="93" customWidth="1"/>
    <col min="12" max="12" width="43.140625" style="96" customWidth="1"/>
    <col min="13" max="13" width="2.42578125" style="93" customWidth="1"/>
    <col min="14" max="16384" width="9.140625" style="93"/>
  </cols>
  <sheetData>
    <row r="1" spans="1:13" s="75" customFormat="1" ht="14.25" x14ac:dyDescent="0.3">
      <c r="A1" s="100" t="s">
        <v>3524</v>
      </c>
      <c r="B1" s="71"/>
      <c r="C1" s="72"/>
      <c r="D1" s="72"/>
      <c r="E1" s="73"/>
      <c r="F1" s="72"/>
      <c r="G1" s="72"/>
      <c r="H1" s="749" t="s">
        <v>3525</v>
      </c>
      <c r="I1" s="72"/>
      <c r="J1" s="72"/>
      <c r="K1" s="72"/>
      <c r="L1" s="74"/>
      <c r="M1" s="72"/>
    </row>
    <row r="2" spans="1:13" s="82" customFormat="1" ht="3" customHeight="1" x14ac:dyDescent="0.3">
      <c r="A2" s="77"/>
      <c r="B2" s="78"/>
      <c r="C2" s="79"/>
      <c r="D2" s="79"/>
      <c r="E2" s="80"/>
      <c r="F2" s="79"/>
      <c r="G2" s="79"/>
      <c r="H2" s="78"/>
      <c r="I2" s="79"/>
      <c r="J2" s="79"/>
      <c r="K2" s="79"/>
      <c r="L2" s="81"/>
      <c r="M2" s="79"/>
    </row>
    <row r="3" spans="1:13" s="75" customFormat="1" ht="3" customHeight="1" x14ac:dyDescent="0.3">
      <c r="B3" s="71"/>
      <c r="C3" s="72"/>
      <c r="D3" s="72"/>
      <c r="E3" s="73"/>
      <c r="F3" s="72"/>
      <c r="G3" s="72"/>
      <c r="H3" s="71"/>
      <c r="I3" s="72"/>
      <c r="J3" s="72"/>
      <c r="K3" s="72"/>
      <c r="L3" s="74"/>
      <c r="M3" s="72"/>
    </row>
    <row r="4" spans="1:13" s="75" customFormat="1" ht="16.5" x14ac:dyDescent="0.35">
      <c r="B4" s="761" t="s">
        <v>3526</v>
      </c>
      <c r="C4" s="762"/>
      <c r="D4" s="72"/>
      <c r="E4" s="764" t="s">
        <v>3527</v>
      </c>
      <c r="F4" s="101"/>
      <c r="G4" s="72"/>
      <c r="H4" s="71"/>
      <c r="I4" s="72"/>
      <c r="J4" s="72"/>
      <c r="K4" s="72"/>
      <c r="L4" s="74"/>
      <c r="M4" s="72"/>
    </row>
    <row r="5" spans="1:13" s="75" customFormat="1" ht="16.5" x14ac:dyDescent="0.35">
      <c r="B5" s="761" t="s">
        <v>1205</v>
      </c>
      <c r="C5" s="762"/>
      <c r="D5" s="72"/>
      <c r="E5" s="765" t="str">
        <f>'3C'!E5</f>
        <v>xxxxxxx</v>
      </c>
      <c r="F5" s="72"/>
      <c r="G5" s="72"/>
      <c r="H5" s="71"/>
      <c r="I5" s="72"/>
      <c r="J5" s="72"/>
      <c r="K5" s="72"/>
      <c r="L5" s="74"/>
      <c r="M5" s="72"/>
    </row>
    <row r="6" spans="1:13" s="75" customFormat="1" ht="16.5" x14ac:dyDescent="0.35">
      <c r="B6" s="761" t="s">
        <v>1089</v>
      </c>
      <c r="C6" s="762"/>
      <c r="D6" s="72"/>
      <c r="E6" s="765" t="str">
        <f ca="1">'3C'!E6</f>
        <v xml:space="preserve"> 
and
 0 
and
 N/A</v>
      </c>
      <c r="F6" s="72"/>
      <c r="G6" s="72"/>
      <c r="H6" s="71"/>
      <c r="I6" s="72"/>
      <c r="J6" s="72"/>
      <c r="K6" s="72"/>
      <c r="L6" s="74"/>
      <c r="M6" s="72"/>
    </row>
    <row r="7" spans="1:13" s="75" customFormat="1" ht="3" customHeight="1" x14ac:dyDescent="0.3">
      <c r="B7" s="71"/>
      <c r="C7" s="72"/>
      <c r="D7" s="72"/>
      <c r="E7" s="73"/>
      <c r="F7" s="72"/>
      <c r="G7" s="72"/>
      <c r="H7" s="71"/>
      <c r="I7" s="72"/>
      <c r="J7" s="72"/>
      <c r="K7" s="72"/>
      <c r="L7" s="74"/>
      <c r="M7" s="72"/>
    </row>
    <row r="8" spans="1:13" s="746" customFormat="1" ht="16.5" x14ac:dyDescent="0.35">
      <c r="B8" s="775" t="s">
        <v>3528</v>
      </c>
      <c r="C8" s="776"/>
      <c r="D8" s="777"/>
      <c r="E8" s="778"/>
      <c r="F8" s="777"/>
      <c r="G8" s="776"/>
      <c r="H8" s="779"/>
      <c r="I8" s="776"/>
      <c r="J8" s="776"/>
      <c r="K8" s="776"/>
      <c r="L8" s="776"/>
      <c r="M8" s="776"/>
    </row>
    <row r="9" spans="1:13" s="746" customFormat="1" ht="3" customHeight="1" thickBot="1" x14ac:dyDescent="0.4">
      <c r="B9" s="771"/>
      <c r="D9" s="762"/>
      <c r="E9" s="780"/>
      <c r="F9" s="762"/>
      <c r="H9" s="771"/>
    </row>
    <row r="10" spans="1:13" s="746" customFormat="1" thickTop="1" thickBot="1" x14ac:dyDescent="0.4">
      <c r="B10" s="771"/>
      <c r="C10" s="783" t="s">
        <v>3529</v>
      </c>
      <c r="D10" s="783" t="s">
        <v>3530</v>
      </c>
      <c r="E10" s="784" t="s">
        <v>3531</v>
      </c>
      <c r="F10" s="783" t="s">
        <v>647</v>
      </c>
      <c r="G10" s="783" t="s">
        <v>3532</v>
      </c>
      <c r="H10" s="784" t="s">
        <v>3533</v>
      </c>
      <c r="K10" s="747"/>
      <c r="L10" s="774" t="s">
        <v>3534</v>
      </c>
    </row>
    <row r="11" spans="1:13" ht="3" customHeight="1" thickTop="1" thickBot="1" x14ac:dyDescent="0.4">
      <c r="H11" s="75"/>
      <c r="K11" s="97"/>
    </row>
    <row r="12" spans="1:13" s="96" customFormat="1" ht="14.25" thickTop="1" thickBot="1" x14ac:dyDescent="0.3">
      <c r="B12" s="706"/>
      <c r="C12" s="3869" t="s">
        <v>3535</v>
      </c>
      <c r="D12" s="707">
        <v>1.01</v>
      </c>
      <c r="E12" s="708" t="s">
        <v>3536</v>
      </c>
      <c r="F12" s="750" t="s">
        <v>33</v>
      </c>
      <c r="G12" s="751" t="str">
        <f t="shared" ref="G12:G43" si="0">+IF(F12="","",IF(F12="No","O",IF(F12="To Follow","W","P")))</f>
        <v>P</v>
      </c>
      <c r="H12" s="714"/>
      <c r="K12" s="712"/>
      <c r="L12" s="98"/>
    </row>
    <row r="13" spans="1:13" s="96" customFormat="1" ht="14.25" thickTop="1" thickBot="1" x14ac:dyDescent="0.3">
      <c r="B13" s="706"/>
      <c r="C13" s="3869"/>
      <c r="D13" s="752">
        <f t="shared" ref="D13:D22" si="1">+D12+0.01</f>
        <v>1.02</v>
      </c>
      <c r="E13" s="708" t="s">
        <v>3537</v>
      </c>
      <c r="F13" s="750" t="s">
        <v>33</v>
      </c>
      <c r="G13" s="751" t="str">
        <f t="shared" si="0"/>
        <v>P</v>
      </c>
      <c r="H13" s="714"/>
      <c r="K13" s="712"/>
      <c r="L13" s="98"/>
    </row>
    <row r="14" spans="1:13" s="96" customFormat="1" ht="14.25" thickTop="1" thickBot="1" x14ac:dyDescent="0.3">
      <c r="B14" s="706"/>
      <c r="C14" s="3869"/>
      <c r="D14" s="752">
        <f t="shared" si="1"/>
        <v>1.03</v>
      </c>
      <c r="E14" s="708" t="s">
        <v>3538</v>
      </c>
      <c r="F14" s="750" t="s">
        <v>33</v>
      </c>
      <c r="G14" s="751" t="str">
        <f t="shared" si="0"/>
        <v>P</v>
      </c>
      <c r="H14" s="714"/>
      <c r="K14" s="712"/>
      <c r="L14" s="98"/>
    </row>
    <row r="15" spans="1:13" s="96" customFormat="1" ht="14.25" thickTop="1" thickBot="1" x14ac:dyDescent="0.3">
      <c r="B15" s="706"/>
      <c r="C15" s="3869"/>
      <c r="D15" s="707">
        <f t="shared" si="1"/>
        <v>1.04</v>
      </c>
      <c r="E15" s="708" t="s">
        <v>3539</v>
      </c>
      <c r="F15" s="750" t="s">
        <v>33</v>
      </c>
      <c r="G15" s="751" t="str">
        <f t="shared" si="0"/>
        <v>P</v>
      </c>
      <c r="H15" s="714"/>
      <c r="K15" s="712"/>
      <c r="L15" s="98"/>
    </row>
    <row r="16" spans="1:13" s="96" customFormat="1" ht="14.25" thickTop="1" thickBot="1" x14ac:dyDescent="0.3">
      <c r="B16" s="706"/>
      <c r="C16" s="3869"/>
      <c r="D16" s="707">
        <f t="shared" si="1"/>
        <v>1.05</v>
      </c>
      <c r="E16" s="708" t="s">
        <v>3540</v>
      </c>
      <c r="F16" s="750" t="s">
        <v>3541</v>
      </c>
      <c r="G16" s="751" t="str">
        <f t="shared" si="0"/>
        <v>W</v>
      </c>
      <c r="H16" s="714"/>
      <c r="K16" s="712"/>
      <c r="L16" s="98"/>
    </row>
    <row r="17" spans="2:12" s="96" customFormat="1" ht="14.25" thickTop="1" thickBot="1" x14ac:dyDescent="0.3">
      <c r="B17" s="706"/>
      <c r="C17" s="3869"/>
      <c r="D17" s="707">
        <f t="shared" si="1"/>
        <v>1.06</v>
      </c>
      <c r="E17" s="708" t="s">
        <v>3542</v>
      </c>
      <c r="F17" s="750" t="s">
        <v>33</v>
      </c>
      <c r="G17" s="751" t="str">
        <f t="shared" si="0"/>
        <v>P</v>
      </c>
      <c r="H17" s="714"/>
      <c r="K17" s="712"/>
      <c r="L17" s="98"/>
    </row>
    <row r="18" spans="2:12" s="96" customFormat="1" ht="14.25" thickTop="1" thickBot="1" x14ac:dyDescent="0.3">
      <c r="B18" s="706"/>
      <c r="C18" s="3869"/>
      <c r="D18" s="707">
        <f t="shared" si="1"/>
        <v>1.07</v>
      </c>
      <c r="E18" s="708" t="s">
        <v>3543</v>
      </c>
      <c r="F18" s="750" t="s">
        <v>33</v>
      </c>
      <c r="G18" s="751" t="str">
        <f t="shared" si="0"/>
        <v>P</v>
      </c>
      <c r="H18" s="714"/>
      <c r="K18" s="712"/>
      <c r="L18" s="98"/>
    </row>
    <row r="19" spans="2:12" s="96" customFormat="1" ht="14.25" thickTop="1" thickBot="1" x14ac:dyDescent="0.3">
      <c r="B19" s="706"/>
      <c r="C19" s="3869"/>
      <c r="D19" s="707">
        <f t="shared" si="1"/>
        <v>1.08</v>
      </c>
      <c r="E19" s="708" t="s">
        <v>3544</v>
      </c>
      <c r="F19" s="750" t="s">
        <v>3541</v>
      </c>
      <c r="G19" s="751" t="str">
        <f t="shared" si="0"/>
        <v>W</v>
      </c>
      <c r="H19" s="714"/>
      <c r="K19" s="712"/>
      <c r="L19" s="98"/>
    </row>
    <row r="20" spans="2:12" s="96" customFormat="1" ht="14.25" thickTop="1" thickBot="1" x14ac:dyDescent="0.3">
      <c r="B20" s="706"/>
      <c r="C20" s="3869"/>
      <c r="D20" s="752">
        <f t="shared" si="1"/>
        <v>1.0900000000000001</v>
      </c>
      <c r="E20" s="715" t="s">
        <v>3545</v>
      </c>
      <c r="F20" s="750" t="s">
        <v>33</v>
      </c>
      <c r="G20" s="751" t="str">
        <f t="shared" si="0"/>
        <v>P</v>
      </c>
      <c r="H20" s="714"/>
      <c r="K20" s="712"/>
      <c r="L20" s="98"/>
    </row>
    <row r="21" spans="2:12" s="96" customFormat="1" ht="14.25" thickTop="1" thickBot="1" x14ac:dyDescent="0.3">
      <c r="B21" s="706"/>
      <c r="C21" s="3869"/>
      <c r="D21" s="753">
        <f t="shared" si="1"/>
        <v>1.1000000000000001</v>
      </c>
      <c r="E21" s="715" t="s">
        <v>3546</v>
      </c>
      <c r="F21" s="750" t="s">
        <v>33</v>
      </c>
      <c r="G21" s="751" t="str">
        <f t="shared" si="0"/>
        <v>P</v>
      </c>
      <c r="H21" s="714"/>
      <c r="K21" s="712"/>
      <c r="L21" s="99"/>
    </row>
    <row r="22" spans="2:12" s="96" customFormat="1" ht="14.25" thickTop="1" thickBot="1" x14ac:dyDescent="0.3">
      <c r="B22" s="706"/>
      <c r="C22" s="3869"/>
      <c r="D22" s="754">
        <f t="shared" si="1"/>
        <v>1.1100000000000001</v>
      </c>
      <c r="E22" s="716" t="s">
        <v>3547</v>
      </c>
      <c r="F22" s="755" t="s">
        <v>33</v>
      </c>
      <c r="G22" s="756" t="str">
        <f t="shared" si="0"/>
        <v>P</v>
      </c>
      <c r="H22" s="718"/>
      <c r="K22" s="712"/>
      <c r="L22" s="98"/>
    </row>
    <row r="23" spans="2:12" s="96" customFormat="1" ht="14.25" thickTop="1" thickBot="1" x14ac:dyDescent="0.3">
      <c r="B23" s="706"/>
      <c r="C23" s="3869" t="s">
        <v>3548</v>
      </c>
      <c r="D23" s="719">
        <v>2.0099999999999998</v>
      </c>
      <c r="E23" s="720" t="s">
        <v>3549</v>
      </c>
      <c r="F23" s="750" t="s">
        <v>33</v>
      </c>
      <c r="G23" s="751" t="str">
        <f t="shared" si="0"/>
        <v>P</v>
      </c>
      <c r="H23" s="714"/>
      <c r="K23" s="712"/>
      <c r="L23" s="98"/>
    </row>
    <row r="24" spans="2:12" s="96" customFormat="1" ht="14.25" thickTop="1" thickBot="1" x14ac:dyDescent="0.3">
      <c r="B24" s="706"/>
      <c r="C24" s="3869"/>
      <c r="D24" s="721">
        <v>2.02</v>
      </c>
      <c r="E24" s="722" t="s">
        <v>3550</v>
      </c>
      <c r="F24" s="755" t="s">
        <v>3541</v>
      </c>
      <c r="G24" s="756" t="str">
        <f t="shared" si="0"/>
        <v>W</v>
      </c>
      <c r="H24" s="723"/>
      <c r="K24" s="712"/>
      <c r="L24" s="98"/>
    </row>
    <row r="25" spans="2:12" s="96" customFormat="1" ht="14.25" thickTop="1" thickBot="1" x14ac:dyDescent="0.3">
      <c r="B25" s="706"/>
      <c r="C25" s="3869" t="s">
        <v>3551</v>
      </c>
      <c r="D25" s="707">
        <v>3.01</v>
      </c>
      <c r="E25" s="720" t="s">
        <v>3552</v>
      </c>
      <c r="F25" s="750" t="s">
        <v>33</v>
      </c>
      <c r="G25" s="751" t="str">
        <f t="shared" si="0"/>
        <v>P</v>
      </c>
      <c r="H25" s="714"/>
      <c r="K25" s="712"/>
      <c r="L25" s="98"/>
    </row>
    <row r="26" spans="2:12" s="96" customFormat="1" ht="14.25" thickTop="1" thickBot="1" x14ac:dyDescent="0.3">
      <c r="B26" s="706"/>
      <c r="C26" s="3869"/>
      <c r="D26" s="707">
        <v>3.02</v>
      </c>
      <c r="E26" s="720" t="s">
        <v>3553</v>
      </c>
      <c r="F26" s="750" t="s">
        <v>3541</v>
      </c>
      <c r="G26" s="751" t="str">
        <f t="shared" si="0"/>
        <v>W</v>
      </c>
      <c r="H26" s="714"/>
      <c r="K26" s="712"/>
      <c r="L26" s="98"/>
    </row>
    <row r="27" spans="2:12" s="96" customFormat="1" ht="14.25" thickTop="1" thickBot="1" x14ac:dyDescent="0.3">
      <c r="B27" s="706"/>
      <c r="C27" s="3869"/>
      <c r="D27" s="707">
        <v>3.03</v>
      </c>
      <c r="E27" s="720" t="s">
        <v>3554</v>
      </c>
      <c r="F27" s="750" t="s">
        <v>3541</v>
      </c>
      <c r="G27" s="751" t="str">
        <f t="shared" si="0"/>
        <v>W</v>
      </c>
      <c r="H27" s="714"/>
      <c r="K27" s="712"/>
      <c r="L27" s="98"/>
    </row>
    <row r="28" spans="2:12" s="96" customFormat="1" ht="14.25" thickTop="1" thickBot="1" x14ac:dyDescent="0.3">
      <c r="B28" s="706"/>
      <c r="C28" s="3869"/>
      <c r="D28" s="724">
        <v>3.04</v>
      </c>
      <c r="E28" s="725" t="s">
        <v>3555</v>
      </c>
      <c r="F28" s="755" t="s">
        <v>3541</v>
      </c>
      <c r="G28" s="756" t="str">
        <f t="shared" si="0"/>
        <v>W</v>
      </c>
      <c r="H28" s="726"/>
      <c r="K28" s="712"/>
      <c r="L28" s="98"/>
    </row>
    <row r="29" spans="2:12" s="96" customFormat="1" ht="14.25" thickTop="1" thickBot="1" x14ac:dyDescent="0.3">
      <c r="B29" s="706"/>
      <c r="C29" s="3869" t="s">
        <v>3556</v>
      </c>
      <c r="D29" s="719">
        <v>4.01</v>
      </c>
      <c r="E29" s="720" t="s">
        <v>3557</v>
      </c>
      <c r="F29" s="750" t="s">
        <v>33</v>
      </c>
      <c r="G29" s="751" t="str">
        <f t="shared" si="0"/>
        <v>P</v>
      </c>
      <c r="H29" s="714"/>
      <c r="K29" s="712"/>
      <c r="L29" s="98"/>
    </row>
    <row r="30" spans="2:12" s="96" customFormat="1" ht="14.25" thickTop="1" thickBot="1" x14ac:dyDescent="0.3">
      <c r="B30" s="706"/>
      <c r="C30" s="3869"/>
      <c r="D30" s="721">
        <v>4.0199999999999996</v>
      </c>
      <c r="E30" s="722" t="s">
        <v>3558</v>
      </c>
      <c r="F30" s="755" t="s">
        <v>3541</v>
      </c>
      <c r="G30" s="756" t="str">
        <f t="shared" si="0"/>
        <v>W</v>
      </c>
      <c r="H30" s="723"/>
      <c r="K30" s="712"/>
      <c r="L30" s="98"/>
    </row>
    <row r="31" spans="2:12" s="96" customFormat="1" ht="14.25" thickTop="1" thickBot="1" x14ac:dyDescent="0.3">
      <c r="B31" s="706"/>
      <c r="C31" s="3869"/>
      <c r="D31" s="719">
        <f>+D29+1</f>
        <v>5.01</v>
      </c>
      <c r="E31" s="720" t="s">
        <v>3559</v>
      </c>
      <c r="F31" s="750" t="s">
        <v>33</v>
      </c>
      <c r="G31" s="751" t="str">
        <f t="shared" si="0"/>
        <v>P</v>
      </c>
      <c r="H31" s="714"/>
      <c r="K31" s="712"/>
      <c r="L31" s="98"/>
    </row>
    <row r="32" spans="2:12" s="96" customFormat="1" ht="14.25" thickTop="1" thickBot="1" x14ac:dyDescent="0.3">
      <c r="B32" s="706"/>
      <c r="C32" s="3869"/>
      <c r="D32" s="707">
        <f>+D31+0.01</f>
        <v>5.0199999999999996</v>
      </c>
      <c r="E32" s="708" t="s">
        <v>3560</v>
      </c>
      <c r="F32" s="750" t="s">
        <v>3541</v>
      </c>
      <c r="G32" s="751" t="str">
        <f t="shared" si="0"/>
        <v>W</v>
      </c>
      <c r="H32" s="714"/>
      <c r="K32" s="712"/>
      <c r="L32" s="98"/>
    </row>
    <row r="33" spans="2:12" s="96" customFormat="1" ht="14.25" thickTop="1" thickBot="1" x14ac:dyDescent="0.3">
      <c r="B33" s="706"/>
      <c r="C33" s="3869"/>
      <c r="D33" s="719">
        <f>+D32+0.01</f>
        <v>5.0299999999999994</v>
      </c>
      <c r="E33" s="715" t="s">
        <v>3561</v>
      </c>
      <c r="F33" s="750" t="s">
        <v>33</v>
      </c>
      <c r="G33" s="751" t="str">
        <f t="shared" si="0"/>
        <v>P</v>
      </c>
      <c r="H33" s="714"/>
      <c r="K33" s="712"/>
      <c r="L33" s="98"/>
    </row>
    <row r="34" spans="2:12" s="96" customFormat="1" ht="14.25" thickTop="1" thickBot="1" x14ac:dyDescent="0.3">
      <c r="B34" s="706"/>
      <c r="C34" s="3869"/>
      <c r="D34" s="719">
        <f>+D33+0.01</f>
        <v>5.0399999999999991</v>
      </c>
      <c r="E34" s="720" t="s">
        <v>3562</v>
      </c>
      <c r="F34" s="750" t="s">
        <v>3541</v>
      </c>
      <c r="G34" s="751" t="str">
        <f t="shared" si="0"/>
        <v>W</v>
      </c>
      <c r="H34" s="714"/>
      <c r="K34" s="712"/>
      <c r="L34" s="98"/>
    </row>
    <row r="35" spans="2:12" s="96" customFormat="1" ht="14.25" thickTop="1" thickBot="1" x14ac:dyDescent="0.3">
      <c r="B35" s="706"/>
      <c r="C35" s="3869"/>
      <c r="D35" s="719">
        <f>+D34+0.01</f>
        <v>5.0499999999999989</v>
      </c>
      <c r="E35" s="720" t="s">
        <v>3563</v>
      </c>
      <c r="F35" s="750" t="s">
        <v>3541</v>
      </c>
      <c r="G35" s="751" t="str">
        <f t="shared" si="0"/>
        <v>W</v>
      </c>
      <c r="H35" s="714"/>
      <c r="K35" s="712"/>
      <c r="L35" s="98"/>
    </row>
    <row r="36" spans="2:12" s="96" customFormat="1" ht="14.25" thickTop="1" thickBot="1" x14ac:dyDescent="0.3">
      <c r="B36" s="706"/>
      <c r="C36" s="3869"/>
      <c r="D36" s="729">
        <f>+D35+0.01</f>
        <v>5.0599999999999987</v>
      </c>
      <c r="E36" s="722" t="s">
        <v>3564</v>
      </c>
      <c r="F36" s="755" t="s">
        <v>3541</v>
      </c>
      <c r="G36" s="756" t="str">
        <f t="shared" si="0"/>
        <v>W</v>
      </c>
      <c r="H36" s="723"/>
      <c r="K36" s="712"/>
      <c r="L36" s="98"/>
    </row>
    <row r="37" spans="2:12" s="96" customFormat="1" thickTop="1" thickBot="1" x14ac:dyDescent="0.3">
      <c r="B37" s="706"/>
      <c r="C37" s="759" t="s">
        <v>3565</v>
      </c>
      <c r="D37" s="724">
        <v>6.01</v>
      </c>
      <c r="E37" s="725" t="s">
        <v>3566</v>
      </c>
      <c r="F37" s="757" t="s">
        <v>33</v>
      </c>
      <c r="G37" s="758" t="str">
        <f t="shared" si="0"/>
        <v>P</v>
      </c>
      <c r="H37" s="726"/>
      <c r="K37" s="712"/>
      <c r="L37" s="98"/>
    </row>
    <row r="38" spans="2:12" s="96" customFormat="1" ht="14.25" thickTop="1" thickBot="1" x14ac:dyDescent="0.3">
      <c r="B38" s="706"/>
      <c r="C38" s="3869" t="s">
        <v>3567</v>
      </c>
      <c r="D38" s="719">
        <f>+D37+1</f>
        <v>7.01</v>
      </c>
      <c r="E38" s="720" t="s">
        <v>3568</v>
      </c>
      <c r="F38" s="750" t="s">
        <v>33</v>
      </c>
      <c r="G38" s="751" t="str">
        <f t="shared" si="0"/>
        <v>P</v>
      </c>
      <c r="H38" s="714"/>
      <c r="K38" s="712"/>
      <c r="L38" s="98"/>
    </row>
    <row r="39" spans="2:12" s="96" customFormat="1" ht="14.25" thickTop="1" thickBot="1" x14ac:dyDescent="0.3">
      <c r="B39" s="706"/>
      <c r="C39" s="3869"/>
      <c r="D39" s="721">
        <f>+D38+0.01</f>
        <v>7.02</v>
      </c>
      <c r="E39" s="722" t="s">
        <v>3569</v>
      </c>
      <c r="F39" s="755" t="s">
        <v>33</v>
      </c>
      <c r="G39" s="756" t="str">
        <f t="shared" si="0"/>
        <v>P</v>
      </c>
      <c r="H39" s="723"/>
      <c r="K39" s="712"/>
      <c r="L39" s="98"/>
    </row>
    <row r="40" spans="2:12" s="96" customFormat="1" thickTop="1" thickBot="1" x14ac:dyDescent="0.3">
      <c r="B40" s="706"/>
      <c r="C40" s="759" t="s">
        <v>3204</v>
      </c>
      <c r="D40" s="735">
        <f>+D38+1</f>
        <v>8.01</v>
      </c>
      <c r="E40" s="736" t="s">
        <v>3570</v>
      </c>
      <c r="F40" s="757" t="s">
        <v>33</v>
      </c>
      <c r="G40" s="758" t="str">
        <f t="shared" si="0"/>
        <v>P</v>
      </c>
      <c r="H40" s="737"/>
      <c r="K40" s="712"/>
      <c r="L40" s="98"/>
    </row>
    <row r="41" spans="2:12" s="96" customFormat="1" ht="14.25" thickTop="1" thickBot="1" x14ac:dyDescent="0.3">
      <c r="B41" s="706"/>
      <c r="C41" s="3869" t="s">
        <v>3571</v>
      </c>
      <c r="D41" s="707">
        <f>+D40+1</f>
        <v>9.01</v>
      </c>
      <c r="E41" s="720" t="s">
        <v>3572</v>
      </c>
      <c r="F41" s="750" t="s">
        <v>33</v>
      </c>
      <c r="G41" s="751" t="str">
        <f t="shared" si="0"/>
        <v>P</v>
      </c>
      <c r="H41" s="714"/>
      <c r="K41" s="712"/>
      <c r="L41" s="98"/>
    </row>
    <row r="42" spans="2:12" s="96" customFormat="1" ht="14.25" thickTop="1" thickBot="1" x14ac:dyDescent="0.3">
      <c r="B42" s="706"/>
      <c r="C42" s="3869"/>
      <c r="D42" s="707">
        <f>+D41+0.01</f>
        <v>9.02</v>
      </c>
      <c r="E42" s="715" t="s">
        <v>3573</v>
      </c>
      <c r="F42" s="750" t="s">
        <v>3541</v>
      </c>
      <c r="G42" s="751" t="str">
        <f t="shared" si="0"/>
        <v>W</v>
      </c>
      <c r="H42" s="714"/>
      <c r="K42" s="712"/>
      <c r="L42" s="98"/>
    </row>
    <row r="43" spans="2:12" s="96" customFormat="1" ht="14.25" thickTop="1" thickBot="1" x14ac:dyDescent="0.3">
      <c r="B43" s="706"/>
      <c r="C43" s="3869"/>
      <c r="D43" s="707">
        <f>+D42+0.01</f>
        <v>9.0299999999999994</v>
      </c>
      <c r="E43" s="715" t="s">
        <v>3574</v>
      </c>
      <c r="F43" s="750" t="s">
        <v>3541</v>
      </c>
      <c r="G43" s="751" t="str">
        <f t="shared" si="0"/>
        <v>W</v>
      </c>
      <c r="H43" s="714"/>
      <c r="K43" s="712"/>
      <c r="L43" s="98"/>
    </row>
    <row r="44" spans="2:12" s="96" customFormat="1" ht="14.25" thickTop="1" thickBot="1" x14ac:dyDescent="0.3">
      <c r="B44" s="706"/>
      <c r="C44" s="3869"/>
      <c r="D44" s="729">
        <f>D43+0.01</f>
        <v>9.0399999999999991</v>
      </c>
      <c r="E44" s="738" t="s">
        <v>3575</v>
      </c>
      <c r="F44" s="755" t="s">
        <v>33</v>
      </c>
      <c r="G44" s="756" t="str">
        <f t="shared" ref="G44:G71" si="2">+IF(F44="","",IF(F44="No","O",IF(F44="To Follow","W","P")))</f>
        <v>P</v>
      </c>
      <c r="H44" s="723"/>
      <c r="K44" s="712"/>
      <c r="L44" s="98"/>
    </row>
    <row r="45" spans="2:12" s="96" customFormat="1" ht="14.25" thickTop="1" thickBot="1" x14ac:dyDescent="0.3">
      <c r="B45" s="706"/>
      <c r="C45" s="3869" t="s">
        <v>455</v>
      </c>
      <c r="D45" s="707">
        <f>+D41+1</f>
        <v>10.01</v>
      </c>
      <c r="E45" s="720" t="s">
        <v>3576</v>
      </c>
      <c r="F45" s="750" t="s">
        <v>33</v>
      </c>
      <c r="G45" s="751" t="str">
        <f t="shared" si="2"/>
        <v>P</v>
      </c>
      <c r="H45" s="714"/>
      <c r="K45" s="712"/>
      <c r="L45" s="98"/>
    </row>
    <row r="46" spans="2:12" s="96" customFormat="1" ht="14.25" thickTop="1" thickBot="1" x14ac:dyDescent="0.3">
      <c r="B46" s="706"/>
      <c r="C46" s="3869"/>
      <c r="D46" s="724">
        <f>+D45+0.01</f>
        <v>10.02</v>
      </c>
      <c r="E46" s="739" t="s">
        <v>3577</v>
      </c>
      <c r="F46" s="755" t="s">
        <v>33</v>
      </c>
      <c r="G46" s="756" t="str">
        <f t="shared" si="2"/>
        <v>P</v>
      </c>
      <c r="H46" s="726"/>
      <c r="K46" s="712"/>
      <c r="L46" s="98"/>
    </row>
    <row r="47" spans="2:12" s="96" customFormat="1" ht="14.25" thickTop="1" thickBot="1" x14ac:dyDescent="0.3">
      <c r="B47" s="706"/>
      <c r="C47" s="3869" t="s">
        <v>3295</v>
      </c>
      <c r="D47" s="719">
        <f>+D45+1</f>
        <v>11.01</v>
      </c>
      <c r="E47" s="720" t="s">
        <v>3578</v>
      </c>
      <c r="F47" s="750" t="s">
        <v>3541</v>
      </c>
      <c r="G47" s="751" t="str">
        <f t="shared" si="2"/>
        <v>W</v>
      </c>
      <c r="H47" s="714"/>
      <c r="K47" s="712"/>
      <c r="L47" s="98"/>
    </row>
    <row r="48" spans="2:12" s="96" customFormat="1" ht="14.25" thickTop="1" thickBot="1" x14ac:dyDescent="0.3">
      <c r="B48" s="706"/>
      <c r="C48" s="3869"/>
      <c r="D48" s="719">
        <f>+D47+0.01</f>
        <v>11.02</v>
      </c>
      <c r="E48" s="720" t="s">
        <v>3579</v>
      </c>
      <c r="F48" s="750" t="s">
        <v>3541</v>
      </c>
      <c r="G48" s="751" t="str">
        <f t="shared" si="2"/>
        <v>W</v>
      </c>
      <c r="H48" s="714"/>
      <c r="K48" s="712"/>
      <c r="L48" s="98"/>
    </row>
    <row r="49" spans="2:12" s="96" customFormat="1" ht="14.25" thickTop="1" thickBot="1" x14ac:dyDescent="0.3">
      <c r="B49" s="706"/>
      <c r="C49" s="3869"/>
      <c r="D49" s="724">
        <f>+D48+0.01</f>
        <v>11.03</v>
      </c>
      <c r="E49" s="725" t="s">
        <v>3580</v>
      </c>
      <c r="F49" s="755" t="s">
        <v>3541</v>
      </c>
      <c r="G49" s="756" t="str">
        <f t="shared" si="2"/>
        <v>W</v>
      </c>
      <c r="H49" s="726"/>
      <c r="K49" s="712"/>
      <c r="L49" s="98"/>
    </row>
    <row r="50" spans="2:12" s="96" customFormat="1" ht="13.5" thickTop="1" x14ac:dyDescent="0.25">
      <c r="B50" s="706"/>
      <c r="C50" s="3870" t="s">
        <v>3581</v>
      </c>
      <c r="D50" s="707">
        <f>+D47+1</f>
        <v>12.01</v>
      </c>
      <c r="E50" s="708" t="s">
        <v>3582</v>
      </c>
      <c r="F50" s="750" t="s">
        <v>33</v>
      </c>
      <c r="G50" s="751" t="str">
        <f t="shared" si="2"/>
        <v>P</v>
      </c>
      <c r="H50" s="714"/>
      <c r="K50" s="712"/>
      <c r="L50" s="98"/>
    </row>
    <row r="51" spans="2:12" s="96" customFormat="1" ht="12.75" x14ac:dyDescent="0.25">
      <c r="B51" s="706"/>
      <c r="C51" s="3871"/>
      <c r="D51" s="707">
        <f>D50+0.01</f>
        <v>12.02</v>
      </c>
      <c r="E51" s="720" t="s">
        <v>3583</v>
      </c>
      <c r="F51" s="750" t="s">
        <v>33</v>
      </c>
      <c r="G51" s="751" t="str">
        <f t="shared" si="2"/>
        <v>P</v>
      </c>
      <c r="H51" s="714"/>
      <c r="K51" s="712"/>
      <c r="L51" s="98"/>
    </row>
    <row r="52" spans="2:12" s="96" customFormat="1" ht="12.75" x14ac:dyDescent="0.25">
      <c r="B52" s="706"/>
      <c r="C52" s="3871"/>
      <c r="D52" s="707" t="s">
        <v>3584</v>
      </c>
      <c r="E52" s="740" t="s">
        <v>3585</v>
      </c>
      <c r="F52" s="750" t="s">
        <v>33</v>
      </c>
      <c r="G52" s="751" t="str">
        <f t="shared" si="2"/>
        <v>P</v>
      </c>
      <c r="H52" s="714"/>
      <c r="K52" s="712"/>
      <c r="L52" s="98"/>
    </row>
    <row r="53" spans="2:12" s="96" customFormat="1" ht="12.75" x14ac:dyDescent="0.25">
      <c r="B53" s="706"/>
      <c r="C53" s="3871"/>
      <c r="D53" s="707">
        <f>+D51+0.01</f>
        <v>12.03</v>
      </c>
      <c r="E53" s="715" t="s">
        <v>3586</v>
      </c>
      <c r="F53" s="751"/>
      <c r="G53" s="751" t="str">
        <f t="shared" si="2"/>
        <v/>
      </c>
      <c r="H53" s="714"/>
      <c r="K53" s="712"/>
      <c r="L53" s="98"/>
    </row>
    <row r="54" spans="2:12" s="96" customFormat="1" ht="12.75" x14ac:dyDescent="0.25">
      <c r="B54" s="706"/>
      <c r="C54" s="3871"/>
      <c r="D54" s="707" t="s">
        <v>3584</v>
      </c>
      <c r="E54" s="741" t="s">
        <v>3587</v>
      </c>
      <c r="F54" s="750" t="s">
        <v>3541</v>
      </c>
      <c r="G54" s="751" t="str">
        <f t="shared" si="2"/>
        <v>W</v>
      </c>
      <c r="H54" s="714"/>
      <c r="K54" s="712"/>
      <c r="L54" s="98"/>
    </row>
    <row r="55" spans="2:12" s="96" customFormat="1" ht="12.75" x14ac:dyDescent="0.25">
      <c r="B55" s="706"/>
      <c r="C55" s="3871"/>
      <c r="D55" s="707" t="s">
        <v>3584</v>
      </c>
      <c r="E55" s="741" t="s">
        <v>3588</v>
      </c>
      <c r="F55" s="750" t="s">
        <v>3541</v>
      </c>
      <c r="G55" s="751" t="str">
        <f t="shared" si="2"/>
        <v>W</v>
      </c>
      <c r="H55" s="714"/>
      <c r="K55" s="712"/>
      <c r="L55" s="98"/>
    </row>
    <row r="56" spans="2:12" s="96" customFormat="1" ht="12.75" x14ac:dyDescent="0.25">
      <c r="B56" s="706"/>
      <c r="C56" s="3871"/>
      <c r="D56" s="707" t="s">
        <v>3584</v>
      </c>
      <c r="E56" s="741" t="s">
        <v>3589</v>
      </c>
      <c r="F56" s="750" t="s">
        <v>3541</v>
      </c>
      <c r="G56" s="751" t="str">
        <f t="shared" si="2"/>
        <v>W</v>
      </c>
      <c r="H56" s="714"/>
      <c r="K56" s="712"/>
      <c r="L56" s="98"/>
    </row>
    <row r="57" spans="2:12" s="96" customFormat="1" ht="12.75" x14ac:dyDescent="0.25">
      <c r="B57" s="706"/>
      <c r="C57" s="3871"/>
      <c r="D57" s="707" t="s">
        <v>3584</v>
      </c>
      <c r="E57" s="741" t="s">
        <v>3590</v>
      </c>
      <c r="F57" s="750" t="s">
        <v>33</v>
      </c>
      <c r="G57" s="751" t="str">
        <f t="shared" si="2"/>
        <v>P</v>
      </c>
      <c r="H57" s="714"/>
      <c r="K57" s="712"/>
      <c r="L57" s="98"/>
    </row>
    <row r="58" spans="2:12" s="96" customFormat="1" ht="13.5" thickBot="1" x14ac:dyDescent="0.3">
      <c r="B58" s="706"/>
      <c r="C58" s="3871"/>
      <c r="D58" s="724" t="s">
        <v>3584</v>
      </c>
      <c r="E58" s="742" t="s">
        <v>3591</v>
      </c>
      <c r="F58" s="755" t="s">
        <v>33</v>
      </c>
      <c r="G58" s="756" t="str">
        <f t="shared" si="2"/>
        <v>P</v>
      </c>
      <c r="H58" s="718"/>
      <c r="K58" s="712"/>
      <c r="L58" s="98"/>
    </row>
    <row r="59" spans="2:12" s="96" customFormat="1" thickTop="1" thickBot="1" x14ac:dyDescent="0.3">
      <c r="B59" s="706"/>
      <c r="C59" s="759" t="s">
        <v>3592</v>
      </c>
      <c r="D59" s="721">
        <f>+D50+1</f>
        <v>13.01</v>
      </c>
      <c r="E59" s="722" t="s">
        <v>3593</v>
      </c>
      <c r="F59" s="757" t="s">
        <v>33</v>
      </c>
      <c r="G59" s="758" t="str">
        <f t="shared" si="2"/>
        <v>P</v>
      </c>
      <c r="H59" s="723"/>
      <c r="K59" s="712"/>
      <c r="L59" s="98"/>
    </row>
    <row r="60" spans="2:12" s="96" customFormat="1" thickTop="1" thickBot="1" x14ac:dyDescent="0.3">
      <c r="B60" s="706"/>
      <c r="C60" s="759" t="s">
        <v>3594</v>
      </c>
      <c r="D60" s="721">
        <f>+D59+1</f>
        <v>14.01</v>
      </c>
      <c r="E60" s="722" t="s">
        <v>3595</v>
      </c>
      <c r="F60" s="757" t="s">
        <v>33</v>
      </c>
      <c r="G60" s="758" t="str">
        <f t="shared" si="2"/>
        <v>P</v>
      </c>
      <c r="H60" s="723"/>
      <c r="K60" s="712"/>
      <c r="L60" s="98"/>
    </row>
    <row r="61" spans="2:12" s="96" customFormat="1" ht="14.25" thickTop="1" thickBot="1" x14ac:dyDescent="0.3">
      <c r="B61" s="706"/>
      <c r="C61" s="3869" t="s">
        <v>3596</v>
      </c>
      <c r="D61" s="719">
        <f>+D60+1</f>
        <v>15.01</v>
      </c>
      <c r="E61" s="720" t="s">
        <v>3597</v>
      </c>
      <c r="F61" s="750" t="s">
        <v>3541</v>
      </c>
      <c r="G61" s="751" t="str">
        <f t="shared" si="2"/>
        <v>W</v>
      </c>
      <c r="H61" s="714"/>
      <c r="K61" s="712"/>
      <c r="L61" s="98"/>
    </row>
    <row r="62" spans="2:12" s="96" customFormat="1" ht="14.25" thickTop="1" thickBot="1" x14ac:dyDescent="0.3">
      <c r="B62" s="706"/>
      <c r="C62" s="3869"/>
      <c r="D62" s="719" t="s">
        <v>3584</v>
      </c>
      <c r="E62" s="741" t="s">
        <v>3598</v>
      </c>
      <c r="F62" s="750" t="s">
        <v>3541</v>
      </c>
      <c r="G62" s="751" t="str">
        <f t="shared" si="2"/>
        <v>W</v>
      </c>
      <c r="H62" s="714"/>
      <c r="K62" s="712"/>
      <c r="L62" s="98"/>
    </row>
    <row r="63" spans="2:12" s="96" customFormat="1" ht="14.25" thickTop="1" thickBot="1" x14ac:dyDescent="0.3">
      <c r="B63" s="706"/>
      <c r="C63" s="3869"/>
      <c r="D63" s="719" t="s">
        <v>3584</v>
      </c>
      <c r="E63" s="741" t="s">
        <v>3599</v>
      </c>
      <c r="F63" s="750" t="s">
        <v>3541</v>
      </c>
      <c r="G63" s="751" t="str">
        <f t="shared" si="2"/>
        <v>W</v>
      </c>
      <c r="H63" s="714"/>
      <c r="K63" s="712"/>
      <c r="L63" s="98"/>
    </row>
    <row r="64" spans="2:12" s="96" customFormat="1" ht="14.25" thickTop="1" thickBot="1" x14ac:dyDescent="0.3">
      <c r="B64" s="706"/>
      <c r="C64" s="3869"/>
      <c r="D64" s="719" t="s">
        <v>3584</v>
      </c>
      <c r="E64" s="741" t="s">
        <v>3600</v>
      </c>
      <c r="F64" s="750" t="s">
        <v>3541</v>
      </c>
      <c r="G64" s="751" t="str">
        <f t="shared" si="2"/>
        <v>W</v>
      </c>
      <c r="H64" s="714"/>
      <c r="K64" s="712"/>
      <c r="L64" s="98"/>
    </row>
    <row r="65" spans="2:12" s="96" customFormat="1" ht="14.25" thickTop="1" thickBot="1" x14ac:dyDescent="0.3">
      <c r="B65" s="706"/>
      <c r="C65" s="3869"/>
      <c r="D65" s="719">
        <f>+D61+0.01</f>
        <v>15.02</v>
      </c>
      <c r="E65" s="720" t="s">
        <v>3601</v>
      </c>
      <c r="F65" s="750" t="s">
        <v>673</v>
      </c>
      <c r="G65" s="751" t="str">
        <f t="shared" si="2"/>
        <v>P</v>
      </c>
      <c r="H65" s="714"/>
      <c r="K65" s="712"/>
      <c r="L65" s="98"/>
    </row>
    <row r="66" spans="2:12" s="96" customFormat="1" ht="14.25" thickTop="1" thickBot="1" x14ac:dyDescent="0.3">
      <c r="B66" s="706"/>
      <c r="C66" s="3869"/>
      <c r="D66" s="719">
        <f>+D65+0.01</f>
        <v>15.03</v>
      </c>
      <c r="E66" s="720" t="s">
        <v>3602</v>
      </c>
      <c r="F66" s="750" t="s">
        <v>33</v>
      </c>
      <c r="G66" s="751" t="str">
        <f t="shared" si="2"/>
        <v>P</v>
      </c>
      <c r="H66" s="714"/>
      <c r="K66" s="712"/>
      <c r="L66" s="98"/>
    </row>
    <row r="67" spans="2:12" s="96" customFormat="1" ht="14.25" thickTop="1" thickBot="1" x14ac:dyDescent="0.3">
      <c r="B67" s="706"/>
      <c r="C67" s="3869"/>
      <c r="D67" s="719">
        <f>+D66+0.01</f>
        <v>15.04</v>
      </c>
      <c r="E67" s="720" t="s">
        <v>3603</v>
      </c>
      <c r="F67" s="750" t="s">
        <v>3541</v>
      </c>
      <c r="G67" s="751" t="str">
        <f t="shared" si="2"/>
        <v>W</v>
      </c>
      <c r="H67" s="714"/>
      <c r="K67" s="712"/>
      <c r="L67" s="98"/>
    </row>
    <row r="68" spans="2:12" s="96" customFormat="1" ht="14.25" thickTop="1" thickBot="1" x14ac:dyDescent="0.3">
      <c r="B68" s="706"/>
      <c r="C68" s="3869"/>
      <c r="D68" s="719">
        <f>+D67+0.01</f>
        <v>15.049999999999999</v>
      </c>
      <c r="E68" s="720" t="s">
        <v>3604</v>
      </c>
      <c r="F68" s="750" t="s">
        <v>3541</v>
      </c>
      <c r="G68" s="751" t="str">
        <f t="shared" si="2"/>
        <v>W</v>
      </c>
      <c r="H68" s="714"/>
      <c r="K68" s="712"/>
      <c r="L68" s="98"/>
    </row>
    <row r="69" spans="2:12" s="96" customFormat="1" ht="14.25" thickTop="1" thickBot="1" x14ac:dyDescent="0.3">
      <c r="B69" s="706"/>
      <c r="C69" s="3869"/>
      <c r="D69" s="719">
        <f>+D68+0.01</f>
        <v>15.059999999999999</v>
      </c>
      <c r="E69" s="720" t="s">
        <v>3605</v>
      </c>
      <c r="F69" s="750" t="s">
        <v>33</v>
      </c>
      <c r="G69" s="751" t="str">
        <f t="shared" si="2"/>
        <v>P</v>
      </c>
      <c r="H69" s="714"/>
      <c r="K69" s="712"/>
      <c r="L69" s="98"/>
    </row>
    <row r="70" spans="2:12" s="96" customFormat="1" ht="14.25" thickTop="1" thickBot="1" x14ac:dyDescent="0.3">
      <c r="B70" s="706"/>
      <c r="C70" s="3869"/>
      <c r="D70" s="729">
        <f>+D69+0.01</f>
        <v>15.069999999999999</v>
      </c>
      <c r="E70" s="738" t="s">
        <v>3606</v>
      </c>
      <c r="F70" s="755" t="s">
        <v>3541</v>
      </c>
      <c r="G70" s="756" t="str">
        <f t="shared" si="2"/>
        <v>W</v>
      </c>
      <c r="H70" s="718"/>
      <c r="K70" s="712"/>
      <c r="L70" s="98"/>
    </row>
    <row r="71" spans="2:12" s="96" customFormat="1" thickTop="1" thickBot="1" x14ac:dyDescent="0.3">
      <c r="B71" s="706"/>
      <c r="C71" s="759" t="s">
        <v>3607</v>
      </c>
      <c r="D71" s="721">
        <f>D61+1</f>
        <v>16.009999999999998</v>
      </c>
      <c r="E71" s="722" t="s">
        <v>3608</v>
      </c>
      <c r="F71" s="750" t="s">
        <v>33</v>
      </c>
      <c r="G71" s="751" t="str">
        <f t="shared" si="2"/>
        <v>P</v>
      </c>
      <c r="H71" s="723"/>
      <c r="K71" s="712"/>
      <c r="L71" s="98"/>
    </row>
    <row r="72" spans="2:12" s="96" customFormat="1" ht="17.25" thickTop="1" x14ac:dyDescent="0.35">
      <c r="B72" s="706"/>
      <c r="C72" s="746"/>
      <c r="D72" s="74"/>
      <c r="E72" s="708"/>
      <c r="F72" s="74"/>
      <c r="H72" s="706"/>
    </row>
    <row r="73" spans="2:12" s="96" customFormat="1" ht="16.5" x14ac:dyDescent="0.35">
      <c r="B73" s="706"/>
      <c r="C73" s="746"/>
      <c r="D73" s="74"/>
      <c r="E73" s="708"/>
      <c r="F73" s="74"/>
      <c r="H73" s="706"/>
    </row>
    <row r="74" spans="2:12" s="96" customFormat="1" ht="16.5" x14ac:dyDescent="0.35">
      <c r="B74" s="706"/>
      <c r="C74" s="746"/>
      <c r="D74" s="74"/>
      <c r="E74" s="708"/>
      <c r="F74" s="74"/>
      <c r="H74" s="706"/>
    </row>
    <row r="75" spans="2:12" s="96" customFormat="1" ht="16.5" x14ac:dyDescent="0.35">
      <c r="B75" s="706"/>
      <c r="C75" s="746"/>
      <c r="D75" s="74"/>
      <c r="E75" s="708"/>
      <c r="F75" s="74"/>
      <c r="H75" s="706"/>
    </row>
    <row r="76" spans="2:12" s="96" customFormat="1" ht="16.5" x14ac:dyDescent="0.35">
      <c r="B76" s="706"/>
      <c r="C76" s="746"/>
      <c r="D76" s="74"/>
      <c r="E76" s="708"/>
      <c r="F76" s="74"/>
      <c r="H76" s="706"/>
    </row>
    <row r="77" spans="2:12" s="96" customFormat="1" ht="16.5" x14ac:dyDescent="0.35">
      <c r="B77" s="706"/>
      <c r="C77" s="746"/>
      <c r="D77" s="74"/>
      <c r="E77" s="708"/>
      <c r="F77" s="74"/>
      <c r="H77" s="706"/>
    </row>
    <row r="78" spans="2:12" s="96" customFormat="1" ht="16.5" x14ac:dyDescent="0.35">
      <c r="B78" s="706"/>
      <c r="C78" s="746"/>
      <c r="D78" s="74"/>
      <c r="E78" s="708"/>
      <c r="F78" s="74"/>
      <c r="H78" s="706"/>
    </row>
    <row r="79" spans="2:12" s="96" customFormat="1" ht="16.5" x14ac:dyDescent="0.35">
      <c r="B79" s="706"/>
      <c r="C79" s="746"/>
      <c r="D79" s="74"/>
      <c r="E79" s="708"/>
      <c r="F79" s="74"/>
      <c r="H79" s="706"/>
    </row>
    <row r="80" spans="2:12" s="96" customFormat="1" ht="16.5" x14ac:dyDescent="0.35">
      <c r="B80" s="706"/>
      <c r="C80" s="746"/>
      <c r="D80" s="74"/>
      <c r="E80" s="708"/>
      <c r="F80" s="74"/>
      <c r="H80" s="706"/>
    </row>
    <row r="81" spans="2:8" s="96" customFormat="1" ht="16.5" x14ac:dyDescent="0.35">
      <c r="B81" s="706"/>
      <c r="C81" s="746"/>
      <c r="D81" s="74"/>
      <c r="E81" s="708"/>
      <c r="F81" s="74"/>
      <c r="H81" s="706"/>
    </row>
    <row r="82" spans="2:8" s="96" customFormat="1" ht="16.5" x14ac:dyDescent="0.35">
      <c r="B82" s="706"/>
      <c r="C82" s="746"/>
      <c r="D82" s="74"/>
      <c r="E82" s="708"/>
      <c r="F82" s="74"/>
      <c r="H82" s="706"/>
    </row>
    <row r="83" spans="2:8" s="96" customFormat="1" ht="16.5" x14ac:dyDescent="0.35">
      <c r="B83" s="706"/>
      <c r="C83" s="746"/>
      <c r="D83" s="74"/>
      <c r="E83" s="708"/>
      <c r="F83" s="74"/>
      <c r="H83" s="706"/>
    </row>
    <row r="84" spans="2:8" s="96" customFormat="1" ht="16.5" x14ac:dyDescent="0.35">
      <c r="B84" s="706"/>
      <c r="C84" s="746"/>
      <c r="D84" s="74"/>
      <c r="E84" s="708"/>
      <c r="F84" s="74"/>
      <c r="H84" s="706"/>
    </row>
    <row r="85" spans="2:8" s="96" customFormat="1" ht="16.5" x14ac:dyDescent="0.35">
      <c r="B85" s="706"/>
      <c r="C85" s="746"/>
      <c r="D85" s="74"/>
      <c r="E85" s="708"/>
      <c r="F85" s="74"/>
      <c r="H85" s="706"/>
    </row>
    <row r="86" spans="2:8" s="96" customFormat="1" ht="16.5" x14ac:dyDescent="0.35">
      <c r="B86" s="706"/>
      <c r="C86" s="746"/>
      <c r="D86" s="74"/>
      <c r="E86" s="708"/>
      <c r="F86" s="74"/>
      <c r="H86" s="706"/>
    </row>
    <row r="87" spans="2:8" s="96" customFormat="1" ht="16.5" x14ac:dyDescent="0.35">
      <c r="B87" s="706"/>
      <c r="C87" s="746"/>
      <c r="D87" s="74"/>
      <c r="E87" s="708"/>
      <c r="F87" s="74"/>
      <c r="H87" s="706"/>
    </row>
    <row r="88" spans="2:8" s="96" customFormat="1" ht="16.5" x14ac:dyDescent="0.35">
      <c r="B88" s="706"/>
      <c r="C88" s="746"/>
      <c r="D88" s="74"/>
      <c r="E88" s="708"/>
      <c r="F88" s="74"/>
      <c r="H88" s="706"/>
    </row>
    <row r="89" spans="2:8" s="96" customFormat="1" ht="16.5" x14ac:dyDescent="0.35">
      <c r="B89" s="706"/>
      <c r="C89" s="746"/>
      <c r="D89" s="74"/>
      <c r="E89" s="708"/>
      <c r="F89" s="74"/>
      <c r="H89" s="706"/>
    </row>
    <row r="90" spans="2:8" s="96" customFormat="1" ht="16.5" x14ac:dyDescent="0.35">
      <c r="B90" s="706"/>
      <c r="C90" s="746"/>
      <c r="D90" s="74"/>
      <c r="E90" s="708"/>
      <c r="F90" s="74"/>
      <c r="H90" s="706"/>
    </row>
    <row r="91" spans="2:8" s="96" customFormat="1" ht="16.5" x14ac:dyDescent="0.35">
      <c r="B91" s="706"/>
      <c r="C91" s="746"/>
      <c r="D91" s="74"/>
      <c r="E91" s="708"/>
      <c r="F91" s="74"/>
      <c r="H91" s="706"/>
    </row>
    <row r="92" spans="2:8" s="96" customFormat="1" ht="16.5" x14ac:dyDescent="0.35">
      <c r="B92" s="706"/>
      <c r="C92" s="746"/>
      <c r="D92" s="74"/>
      <c r="E92" s="708"/>
      <c r="F92" s="74"/>
      <c r="H92" s="706"/>
    </row>
    <row r="93" spans="2:8" s="96" customFormat="1" ht="16.5" x14ac:dyDescent="0.35">
      <c r="B93" s="706"/>
      <c r="C93" s="746"/>
      <c r="D93" s="74"/>
      <c r="E93" s="708"/>
      <c r="F93" s="74"/>
      <c r="H93" s="706"/>
    </row>
    <row r="94" spans="2:8" s="96" customFormat="1" ht="16.5" x14ac:dyDescent="0.35">
      <c r="B94" s="706"/>
      <c r="C94" s="746"/>
      <c r="D94" s="74"/>
      <c r="E94" s="708"/>
      <c r="F94" s="74"/>
      <c r="H94" s="706"/>
    </row>
    <row r="95" spans="2:8" s="96" customFormat="1" ht="16.5" x14ac:dyDescent="0.35">
      <c r="B95" s="706"/>
      <c r="C95" s="746"/>
      <c r="D95" s="74"/>
      <c r="E95" s="708"/>
      <c r="F95" s="74"/>
      <c r="H95" s="706"/>
    </row>
    <row r="96" spans="2:8" s="96" customFormat="1" ht="16.5" x14ac:dyDescent="0.35">
      <c r="B96" s="706"/>
      <c r="C96" s="746"/>
      <c r="D96" s="74"/>
      <c r="E96" s="708"/>
      <c r="F96" s="74"/>
      <c r="H96" s="706"/>
    </row>
    <row r="97" spans="2:8" s="96" customFormat="1" ht="16.5" x14ac:dyDescent="0.35">
      <c r="B97" s="706"/>
      <c r="C97" s="746"/>
      <c r="D97" s="74"/>
      <c r="E97" s="708"/>
      <c r="F97" s="74"/>
      <c r="H97" s="706"/>
    </row>
    <row r="98" spans="2:8" s="96" customFormat="1" ht="16.5" x14ac:dyDescent="0.35">
      <c r="B98" s="706"/>
      <c r="C98" s="746"/>
      <c r="D98" s="74"/>
      <c r="E98" s="708"/>
      <c r="F98" s="74"/>
      <c r="H98" s="706"/>
    </row>
    <row r="99" spans="2:8" s="96" customFormat="1" ht="16.5" x14ac:dyDescent="0.35">
      <c r="B99" s="706"/>
      <c r="C99" s="746"/>
      <c r="D99" s="74"/>
      <c r="E99" s="708"/>
      <c r="F99" s="74"/>
      <c r="H99" s="706"/>
    </row>
    <row r="100" spans="2:8" s="96" customFormat="1" ht="16.5" x14ac:dyDescent="0.35">
      <c r="B100" s="706"/>
      <c r="C100" s="746"/>
      <c r="D100" s="74"/>
      <c r="E100" s="708"/>
      <c r="F100" s="74"/>
      <c r="H100" s="706"/>
    </row>
    <row r="101" spans="2:8" s="96" customFormat="1" ht="16.5" x14ac:dyDescent="0.35">
      <c r="B101" s="706"/>
      <c r="C101" s="746"/>
      <c r="D101" s="74"/>
      <c r="E101" s="708"/>
      <c r="F101" s="74"/>
      <c r="H101" s="706"/>
    </row>
    <row r="102" spans="2:8" s="96" customFormat="1" ht="16.5" x14ac:dyDescent="0.35">
      <c r="B102" s="706"/>
      <c r="C102" s="746"/>
      <c r="D102" s="74"/>
      <c r="E102" s="708"/>
      <c r="F102" s="74"/>
      <c r="H102" s="706"/>
    </row>
    <row r="103" spans="2:8" s="96" customFormat="1" ht="16.5" x14ac:dyDescent="0.35">
      <c r="B103" s="706"/>
      <c r="C103" s="746"/>
      <c r="D103" s="74"/>
      <c r="E103" s="708"/>
      <c r="F103" s="74"/>
      <c r="H103" s="706"/>
    </row>
    <row r="104" spans="2:8" s="96" customFormat="1" ht="16.5" x14ac:dyDescent="0.35">
      <c r="B104" s="706"/>
      <c r="C104" s="746"/>
      <c r="D104" s="74"/>
      <c r="E104" s="708"/>
      <c r="F104" s="74"/>
      <c r="H104" s="706"/>
    </row>
    <row r="105" spans="2:8" s="96" customFormat="1" ht="16.5" x14ac:dyDescent="0.35">
      <c r="B105" s="706"/>
      <c r="C105" s="746"/>
      <c r="D105" s="74"/>
      <c r="E105" s="708"/>
      <c r="F105" s="74"/>
      <c r="H105" s="706"/>
    </row>
    <row r="106" spans="2:8" s="96" customFormat="1" ht="16.5" x14ac:dyDescent="0.35">
      <c r="B106" s="706"/>
      <c r="C106" s="746"/>
      <c r="D106" s="74"/>
      <c r="E106" s="708"/>
      <c r="F106" s="74"/>
      <c r="H106" s="706"/>
    </row>
    <row r="107" spans="2:8" s="96" customFormat="1" ht="16.5" x14ac:dyDescent="0.35">
      <c r="B107" s="706"/>
      <c r="C107" s="746"/>
      <c r="D107" s="74"/>
      <c r="E107" s="708"/>
      <c r="F107" s="74"/>
      <c r="H107" s="706"/>
    </row>
    <row r="108" spans="2:8" s="96" customFormat="1" ht="16.5" x14ac:dyDescent="0.35">
      <c r="B108" s="706"/>
      <c r="C108" s="746"/>
      <c r="D108" s="74"/>
      <c r="E108" s="708"/>
      <c r="F108" s="74"/>
      <c r="H108" s="706"/>
    </row>
    <row r="109" spans="2:8" s="96" customFormat="1" ht="16.5" x14ac:dyDescent="0.35">
      <c r="B109" s="706"/>
      <c r="C109" s="746"/>
      <c r="D109" s="74"/>
      <c r="E109" s="708"/>
      <c r="F109" s="74"/>
      <c r="H109" s="706"/>
    </row>
    <row r="110" spans="2:8" s="96" customFormat="1" ht="16.5" x14ac:dyDescent="0.35">
      <c r="B110" s="706"/>
      <c r="C110" s="746"/>
      <c r="D110" s="74"/>
      <c r="E110" s="708"/>
      <c r="F110" s="74"/>
      <c r="H110" s="706"/>
    </row>
    <row r="111" spans="2:8" s="96" customFormat="1" ht="16.5" x14ac:dyDescent="0.35">
      <c r="B111" s="706"/>
      <c r="C111" s="746"/>
      <c r="D111" s="74"/>
      <c r="E111" s="708"/>
      <c r="F111" s="74"/>
      <c r="H111" s="706"/>
    </row>
    <row r="112" spans="2:8" s="96" customFormat="1" ht="16.5" x14ac:dyDescent="0.35">
      <c r="B112" s="706"/>
      <c r="C112" s="746"/>
      <c r="D112" s="74"/>
      <c r="E112" s="708"/>
      <c r="F112" s="74"/>
      <c r="H112" s="706"/>
    </row>
    <row r="113" spans="2:8" s="96" customFormat="1" ht="16.5" x14ac:dyDescent="0.35">
      <c r="B113" s="706"/>
      <c r="C113" s="746"/>
      <c r="D113" s="74"/>
      <c r="E113" s="708"/>
      <c r="F113" s="74"/>
      <c r="H113" s="706"/>
    </row>
    <row r="114" spans="2:8" s="96" customFormat="1" ht="16.5" x14ac:dyDescent="0.35">
      <c r="B114" s="706"/>
      <c r="C114" s="746"/>
      <c r="D114" s="74"/>
      <c r="E114" s="708"/>
      <c r="F114" s="74"/>
      <c r="H114" s="706"/>
    </row>
    <row r="115" spans="2:8" s="96" customFormat="1" ht="16.5" x14ac:dyDescent="0.35">
      <c r="B115" s="706"/>
      <c r="C115" s="746"/>
      <c r="D115" s="74"/>
      <c r="E115" s="708"/>
      <c r="F115" s="74"/>
      <c r="H115" s="706"/>
    </row>
    <row r="116" spans="2:8" s="96" customFormat="1" ht="16.5" x14ac:dyDescent="0.35">
      <c r="B116" s="706"/>
      <c r="C116" s="746"/>
      <c r="D116" s="74"/>
      <c r="E116" s="708"/>
      <c r="F116" s="74"/>
      <c r="H116" s="706"/>
    </row>
    <row r="117" spans="2:8" s="96" customFormat="1" ht="16.5" x14ac:dyDescent="0.35">
      <c r="B117" s="706"/>
      <c r="C117" s="746"/>
      <c r="D117" s="74"/>
      <c r="E117" s="708"/>
      <c r="F117" s="74"/>
      <c r="H117" s="706"/>
    </row>
    <row r="118" spans="2:8" s="96" customFormat="1" ht="16.5" x14ac:dyDescent="0.35">
      <c r="B118" s="706"/>
      <c r="C118" s="746"/>
      <c r="D118" s="74"/>
      <c r="E118" s="708"/>
      <c r="F118" s="74"/>
      <c r="H118" s="706"/>
    </row>
    <row r="119" spans="2:8" s="96" customFormat="1" ht="16.5" x14ac:dyDescent="0.35">
      <c r="B119" s="706"/>
      <c r="C119" s="746"/>
      <c r="D119" s="74"/>
      <c r="E119" s="708"/>
      <c r="F119" s="74"/>
      <c r="H119" s="706"/>
    </row>
    <row r="120" spans="2:8" s="96" customFormat="1" ht="16.5" x14ac:dyDescent="0.35">
      <c r="B120" s="706"/>
      <c r="C120" s="746"/>
      <c r="D120" s="74"/>
      <c r="E120" s="708"/>
      <c r="F120" s="74"/>
      <c r="H120" s="706"/>
    </row>
    <row r="121" spans="2:8" s="96" customFormat="1" ht="16.5" x14ac:dyDescent="0.35">
      <c r="B121" s="706"/>
      <c r="C121" s="746"/>
      <c r="D121" s="74"/>
      <c r="E121" s="708"/>
      <c r="F121" s="74"/>
      <c r="H121" s="706"/>
    </row>
    <row r="122" spans="2:8" s="96" customFormat="1" ht="16.5" x14ac:dyDescent="0.35">
      <c r="B122" s="706"/>
      <c r="C122" s="746"/>
      <c r="D122" s="74"/>
      <c r="E122" s="708"/>
      <c r="F122" s="74"/>
      <c r="H122" s="706"/>
    </row>
    <row r="123" spans="2:8" s="96" customFormat="1" ht="16.5" x14ac:dyDescent="0.35">
      <c r="B123" s="706"/>
      <c r="C123" s="746"/>
      <c r="D123" s="74"/>
      <c r="E123" s="708"/>
      <c r="F123" s="74"/>
      <c r="H123" s="706"/>
    </row>
    <row r="124" spans="2:8" s="96" customFormat="1" ht="16.5" x14ac:dyDescent="0.35">
      <c r="B124" s="706"/>
      <c r="C124" s="746"/>
      <c r="D124" s="74"/>
      <c r="E124" s="708"/>
      <c r="F124" s="74"/>
      <c r="H124" s="706"/>
    </row>
    <row r="125" spans="2:8" s="96" customFormat="1" ht="16.5" x14ac:dyDescent="0.35">
      <c r="B125" s="706"/>
      <c r="C125" s="746"/>
      <c r="D125" s="74"/>
      <c r="E125" s="708"/>
      <c r="F125" s="74"/>
      <c r="H125" s="706"/>
    </row>
    <row r="126" spans="2:8" s="96" customFormat="1" ht="16.5" x14ac:dyDescent="0.35">
      <c r="B126" s="706"/>
      <c r="C126" s="746"/>
      <c r="D126" s="74"/>
      <c r="E126" s="708"/>
      <c r="F126" s="74"/>
      <c r="H126" s="706"/>
    </row>
    <row r="127" spans="2:8" s="96" customFormat="1" ht="16.5" x14ac:dyDescent="0.35">
      <c r="B127" s="706"/>
      <c r="C127" s="746"/>
      <c r="D127" s="74"/>
      <c r="E127" s="708"/>
      <c r="F127" s="74"/>
      <c r="H127" s="706"/>
    </row>
    <row r="128" spans="2:8" s="96" customFormat="1" ht="16.5" x14ac:dyDescent="0.35">
      <c r="B128" s="706"/>
      <c r="C128" s="746"/>
      <c r="D128" s="74"/>
      <c r="E128" s="708"/>
      <c r="F128" s="74"/>
      <c r="H128" s="706"/>
    </row>
    <row r="129" spans="2:8" s="96" customFormat="1" ht="16.5" x14ac:dyDescent="0.35">
      <c r="B129" s="706"/>
      <c r="C129" s="746"/>
      <c r="D129" s="74"/>
      <c r="E129" s="708"/>
      <c r="F129" s="74"/>
      <c r="H129" s="706"/>
    </row>
    <row r="130" spans="2:8" s="96" customFormat="1" ht="16.5" x14ac:dyDescent="0.35">
      <c r="B130" s="706"/>
      <c r="C130" s="746"/>
      <c r="D130" s="74"/>
      <c r="E130" s="708"/>
      <c r="F130" s="74"/>
      <c r="H130" s="706"/>
    </row>
    <row r="131" spans="2:8" s="96" customFormat="1" ht="16.5" x14ac:dyDescent="0.35">
      <c r="B131" s="706"/>
      <c r="C131" s="746"/>
      <c r="D131" s="74"/>
      <c r="E131" s="708"/>
      <c r="F131" s="74"/>
      <c r="H131" s="706"/>
    </row>
    <row r="132" spans="2:8" s="96" customFormat="1" ht="16.5" x14ac:dyDescent="0.35">
      <c r="B132" s="706"/>
      <c r="C132" s="746"/>
      <c r="D132" s="74"/>
      <c r="E132" s="708"/>
      <c r="F132" s="74"/>
      <c r="H132" s="706"/>
    </row>
    <row r="133" spans="2:8" s="96" customFormat="1" ht="16.5" x14ac:dyDescent="0.35">
      <c r="B133" s="706"/>
      <c r="C133" s="746"/>
      <c r="D133" s="74"/>
      <c r="E133" s="708"/>
      <c r="F133" s="74"/>
      <c r="H133" s="706"/>
    </row>
    <row r="134" spans="2:8" s="96" customFormat="1" ht="16.5" x14ac:dyDescent="0.35">
      <c r="B134" s="706"/>
      <c r="C134" s="746"/>
      <c r="D134" s="74"/>
      <c r="E134" s="708"/>
      <c r="F134" s="74"/>
      <c r="H134" s="706"/>
    </row>
    <row r="135" spans="2:8" s="96" customFormat="1" ht="16.5" x14ac:dyDescent="0.35">
      <c r="B135" s="706"/>
      <c r="C135" s="746"/>
      <c r="D135" s="74"/>
      <c r="E135" s="708"/>
      <c r="F135" s="74"/>
      <c r="H135" s="706"/>
    </row>
    <row r="136" spans="2:8" s="96" customFormat="1" ht="16.5" x14ac:dyDescent="0.35">
      <c r="B136" s="706"/>
      <c r="C136" s="746"/>
      <c r="D136" s="74"/>
      <c r="E136" s="708"/>
      <c r="F136" s="74"/>
      <c r="H136" s="706"/>
    </row>
    <row r="137" spans="2:8" s="96" customFormat="1" ht="16.5" x14ac:dyDescent="0.35">
      <c r="B137" s="706"/>
      <c r="C137" s="746"/>
      <c r="D137" s="74"/>
      <c r="E137" s="708"/>
      <c r="F137" s="74"/>
      <c r="H137" s="706"/>
    </row>
    <row r="138" spans="2:8" s="96" customFormat="1" ht="16.5" x14ac:dyDescent="0.35">
      <c r="B138" s="706"/>
      <c r="C138" s="746"/>
      <c r="D138" s="74"/>
      <c r="E138" s="708"/>
      <c r="F138" s="74"/>
      <c r="H138" s="706"/>
    </row>
    <row r="139" spans="2:8" s="96" customFormat="1" ht="16.5" x14ac:dyDescent="0.35">
      <c r="B139" s="706"/>
      <c r="C139" s="746"/>
      <c r="D139" s="74"/>
      <c r="E139" s="708"/>
      <c r="F139" s="74"/>
      <c r="H139" s="706"/>
    </row>
    <row r="140" spans="2:8" s="96" customFormat="1" ht="16.5" x14ac:dyDescent="0.35">
      <c r="B140" s="706"/>
      <c r="C140" s="746"/>
      <c r="D140" s="74"/>
      <c r="E140" s="708"/>
      <c r="F140" s="74"/>
      <c r="H140" s="706"/>
    </row>
    <row r="141" spans="2:8" s="96" customFormat="1" ht="16.5" x14ac:dyDescent="0.35">
      <c r="B141" s="706"/>
      <c r="C141" s="746"/>
      <c r="D141" s="74"/>
      <c r="E141" s="708"/>
      <c r="F141" s="74"/>
      <c r="H141" s="706"/>
    </row>
    <row r="142" spans="2:8" s="96" customFormat="1" ht="16.5" x14ac:dyDescent="0.35">
      <c r="B142" s="706"/>
      <c r="C142" s="746"/>
      <c r="D142" s="74"/>
      <c r="E142" s="708"/>
      <c r="F142" s="74"/>
      <c r="H142" s="706"/>
    </row>
    <row r="143" spans="2:8" s="96" customFormat="1" ht="16.5" x14ac:dyDescent="0.35">
      <c r="B143" s="706"/>
      <c r="C143" s="746"/>
      <c r="D143" s="74"/>
      <c r="E143" s="708"/>
      <c r="F143" s="74"/>
      <c r="H143" s="706"/>
    </row>
    <row r="144" spans="2:8" s="96" customFormat="1" ht="16.5" x14ac:dyDescent="0.35">
      <c r="B144" s="706"/>
      <c r="C144" s="746"/>
      <c r="D144" s="74"/>
      <c r="E144" s="708"/>
      <c r="F144" s="74"/>
      <c r="H144" s="706"/>
    </row>
    <row r="145" spans="2:8" s="96" customFormat="1" ht="16.5" x14ac:dyDescent="0.35">
      <c r="B145" s="706"/>
      <c r="C145" s="746"/>
      <c r="D145" s="74"/>
      <c r="E145" s="708"/>
      <c r="F145" s="74"/>
      <c r="H145" s="706"/>
    </row>
    <row r="146" spans="2:8" s="96" customFormat="1" ht="16.5" x14ac:dyDescent="0.35">
      <c r="B146" s="706"/>
      <c r="C146" s="746"/>
      <c r="D146" s="74"/>
      <c r="E146" s="708"/>
      <c r="F146" s="74"/>
      <c r="H146" s="706"/>
    </row>
    <row r="147" spans="2:8" s="96" customFormat="1" ht="16.5" x14ac:dyDescent="0.35">
      <c r="B147" s="706"/>
      <c r="C147" s="746"/>
      <c r="D147" s="74"/>
      <c r="E147" s="708"/>
      <c r="F147" s="74"/>
      <c r="H147" s="706"/>
    </row>
    <row r="148" spans="2:8" s="96" customFormat="1" ht="16.5" x14ac:dyDescent="0.35">
      <c r="B148" s="706"/>
      <c r="C148" s="746"/>
      <c r="D148" s="74"/>
      <c r="E148" s="708"/>
      <c r="F148" s="74"/>
      <c r="H148" s="706"/>
    </row>
    <row r="149" spans="2:8" s="96" customFormat="1" ht="16.5" x14ac:dyDescent="0.35">
      <c r="B149" s="706"/>
      <c r="C149" s="746"/>
      <c r="D149" s="74"/>
      <c r="E149" s="708"/>
      <c r="F149" s="74"/>
      <c r="H149" s="706"/>
    </row>
    <row r="150" spans="2:8" s="96" customFormat="1" ht="16.5" x14ac:dyDescent="0.35">
      <c r="B150" s="706"/>
      <c r="C150" s="746"/>
      <c r="D150" s="74"/>
      <c r="E150" s="708"/>
      <c r="F150" s="74"/>
      <c r="H150" s="706"/>
    </row>
    <row r="151" spans="2:8" s="96" customFormat="1" ht="16.5" x14ac:dyDescent="0.35">
      <c r="B151" s="706"/>
      <c r="C151" s="746"/>
      <c r="D151" s="74"/>
      <c r="E151" s="708"/>
      <c r="F151" s="74"/>
      <c r="H151" s="706"/>
    </row>
    <row r="152" spans="2:8" s="96" customFormat="1" ht="16.5" x14ac:dyDescent="0.35">
      <c r="B152" s="706"/>
      <c r="C152" s="746"/>
      <c r="D152" s="74"/>
      <c r="E152" s="708"/>
      <c r="F152" s="74"/>
      <c r="H152" s="706"/>
    </row>
    <row r="153" spans="2:8" s="96" customFormat="1" ht="16.5" x14ac:dyDescent="0.35">
      <c r="B153" s="706"/>
      <c r="C153" s="746"/>
      <c r="D153" s="74"/>
      <c r="E153" s="708"/>
      <c r="F153" s="74"/>
      <c r="H153" s="706"/>
    </row>
    <row r="154" spans="2:8" s="96" customFormat="1" ht="16.5" x14ac:dyDescent="0.35">
      <c r="B154" s="706"/>
      <c r="C154" s="746"/>
      <c r="D154" s="74"/>
      <c r="E154" s="708"/>
      <c r="F154" s="74"/>
      <c r="H154" s="706"/>
    </row>
    <row r="155" spans="2:8" s="96" customFormat="1" ht="16.5" x14ac:dyDescent="0.35">
      <c r="B155" s="706"/>
      <c r="C155" s="746"/>
      <c r="D155" s="74"/>
      <c r="E155" s="708"/>
      <c r="F155" s="74"/>
      <c r="H155" s="706"/>
    </row>
    <row r="156" spans="2:8" s="96" customFormat="1" ht="16.5" x14ac:dyDescent="0.35">
      <c r="B156" s="706"/>
      <c r="C156" s="746"/>
      <c r="D156" s="74"/>
      <c r="E156" s="708"/>
      <c r="F156" s="74"/>
      <c r="H156" s="706"/>
    </row>
    <row r="157" spans="2:8" s="96" customFormat="1" ht="16.5" x14ac:dyDescent="0.35">
      <c r="B157" s="706"/>
      <c r="C157" s="746"/>
      <c r="D157" s="74"/>
      <c r="E157" s="708"/>
      <c r="F157" s="74"/>
      <c r="H157" s="706"/>
    </row>
    <row r="158" spans="2:8" s="96" customFormat="1" ht="16.5" x14ac:dyDescent="0.35">
      <c r="B158" s="706"/>
      <c r="C158" s="746"/>
      <c r="D158" s="74"/>
      <c r="E158" s="708"/>
      <c r="F158" s="74"/>
      <c r="H158" s="706"/>
    </row>
    <row r="159" spans="2:8" s="96" customFormat="1" ht="16.5" x14ac:dyDescent="0.35">
      <c r="B159" s="706"/>
      <c r="C159" s="746"/>
      <c r="D159" s="74"/>
      <c r="E159" s="708"/>
      <c r="F159" s="74"/>
      <c r="H159" s="706"/>
    </row>
    <row r="160" spans="2:8" s="96" customFormat="1" ht="16.5" x14ac:dyDescent="0.35">
      <c r="B160" s="706"/>
      <c r="C160" s="746"/>
      <c r="D160" s="74"/>
      <c r="E160" s="708"/>
      <c r="F160" s="74"/>
      <c r="H160" s="706"/>
    </row>
    <row r="161" spans="2:8" s="96" customFormat="1" ht="16.5" x14ac:dyDescent="0.35">
      <c r="B161" s="706"/>
      <c r="C161" s="746"/>
      <c r="D161" s="74"/>
      <c r="E161" s="708"/>
      <c r="F161" s="74"/>
      <c r="H161" s="706"/>
    </row>
    <row r="162" spans="2:8" s="96" customFormat="1" ht="16.5" x14ac:dyDescent="0.35">
      <c r="B162" s="706"/>
      <c r="C162" s="746"/>
      <c r="D162" s="74"/>
      <c r="E162" s="708"/>
      <c r="F162" s="74"/>
      <c r="H162" s="706"/>
    </row>
    <row r="163" spans="2:8" s="96" customFormat="1" ht="12.75" x14ac:dyDescent="0.25">
      <c r="B163" s="706"/>
      <c r="D163" s="74"/>
      <c r="E163" s="708"/>
      <c r="F163" s="74"/>
      <c r="H163" s="706"/>
    </row>
    <row r="164" spans="2:8" s="96" customFormat="1" ht="12.75" x14ac:dyDescent="0.25">
      <c r="B164" s="706"/>
      <c r="D164" s="74"/>
      <c r="E164" s="708"/>
      <c r="F164" s="74"/>
      <c r="H164" s="706"/>
    </row>
    <row r="165" spans="2:8" s="96" customFormat="1" ht="12.75" x14ac:dyDescent="0.25">
      <c r="B165" s="706"/>
      <c r="D165" s="74"/>
      <c r="E165" s="708"/>
      <c r="F165" s="74"/>
      <c r="H165" s="706"/>
    </row>
    <row r="166" spans="2:8" s="96" customFormat="1" ht="12.75" x14ac:dyDescent="0.25">
      <c r="B166" s="706"/>
      <c r="D166" s="74"/>
      <c r="E166" s="708"/>
      <c r="F166" s="74"/>
      <c r="H166" s="706"/>
    </row>
    <row r="167" spans="2:8" s="96" customFormat="1" ht="12.75" x14ac:dyDescent="0.25">
      <c r="B167" s="706"/>
      <c r="D167" s="74"/>
      <c r="E167" s="708"/>
      <c r="F167" s="74"/>
      <c r="H167" s="706"/>
    </row>
    <row r="168" spans="2:8" s="96" customFormat="1" ht="12.75" x14ac:dyDescent="0.25">
      <c r="B168" s="706"/>
      <c r="D168" s="74"/>
      <c r="E168" s="708"/>
      <c r="F168" s="74"/>
      <c r="H168" s="706"/>
    </row>
    <row r="169" spans="2:8" s="96" customFormat="1" ht="12.75" x14ac:dyDescent="0.25">
      <c r="B169" s="706"/>
      <c r="D169" s="74"/>
      <c r="E169" s="708"/>
      <c r="F169" s="74"/>
      <c r="H169" s="706"/>
    </row>
    <row r="170" spans="2:8" s="96" customFormat="1" ht="12.75" x14ac:dyDescent="0.25">
      <c r="B170" s="706"/>
      <c r="D170" s="74"/>
      <c r="E170" s="708"/>
      <c r="F170" s="74"/>
      <c r="H170" s="706"/>
    </row>
    <row r="171" spans="2:8" s="96" customFormat="1" ht="12.75" x14ac:dyDescent="0.25">
      <c r="B171" s="706"/>
      <c r="D171" s="74"/>
      <c r="E171" s="708"/>
      <c r="F171" s="74"/>
      <c r="H171" s="706"/>
    </row>
    <row r="172" spans="2:8" s="96" customFormat="1" ht="12.75" x14ac:dyDescent="0.25">
      <c r="B172" s="706"/>
      <c r="D172" s="74"/>
      <c r="E172" s="708"/>
      <c r="F172" s="74"/>
      <c r="H172" s="706"/>
    </row>
    <row r="173" spans="2:8" s="96" customFormat="1" ht="12.75" x14ac:dyDescent="0.25">
      <c r="B173" s="706"/>
      <c r="D173" s="74"/>
      <c r="E173" s="708"/>
      <c r="F173" s="74"/>
      <c r="H173" s="706"/>
    </row>
    <row r="174" spans="2:8" s="96" customFormat="1" ht="12.75" x14ac:dyDescent="0.25">
      <c r="B174" s="706"/>
      <c r="D174" s="74"/>
      <c r="E174" s="708"/>
      <c r="F174" s="74"/>
      <c r="H174" s="706"/>
    </row>
  </sheetData>
  <mergeCells count="11">
    <mergeCell ref="C41:C44"/>
    <mergeCell ref="C45:C46"/>
    <mergeCell ref="C47:C49"/>
    <mergeCell ref="C50:C58"/>
    <mergeCell ref="C61:C70"/>
    <mergeCell ref="C38:C39"/>
    <mergeCell ref="C12:C22"/>
    <mergeCell ref="C23:C24"/>
    <mergeCell ref="C25:C28"/>
    <mergeCell ref="C29:C30"/>
    <mergeCell ref="C31:C36"/>
  </mergeCells>
  <conditionalFormatting sqref="F12:F71">
    <cfRule type="expression" dxfId="23" priority="2">
      <formula>F12="To follow"</formula>
    </cfRule>
    <cfRule type="expression" dxfId="22" priority="4">
      <formula>F12="No"</formula>
    </cfRule>
    <cfRule type="expression" dxfId="21" priority="6">
      <formula>OR(F12="Yes",F12="Not required",F12="N/A",F12="Agreed",F12="Approved")</formula>
    </cfRule>
  </conditionalFormatting>
  <conditionalFormatting sqref="G12:G71">
    <cfRule type="expression" dxfId="20" priority="1">
      <formula>F12="To follow"</formula>
    </cfRule>
    <cfRule type="expression" dxfId="19" priority="3">
      <formula>F12="No"</formula>
    </cfRule>
    <cfRule type="expression" dxfId="18" priority="5">
      <formula>OR(F12="Yes",F12="Not required",F12="N/A",F12="Agreed",F12="Approved")</formula>
    </cfRule>
  </conditionalFormatting>
  <dataValidations count="1">
    <dataValidation type="list" allowBlank="1" showInputMessage="1" showErrorMessage="1" sqref="F12:F71" xr:uid="{B34A65DC-5F76-4301-B698-0AF54542F2A9}">
      <formula1>"Yes, No, To Follow, N/A, Not Required, Agreed, Approved"</formula1>
    </dataValidation>
  </dataValidations>
  <pageMargins left="0.31496062992125984" right="0.31496062992125984" top="0.35433070866141736" bottom="0.35433070866141736" header="0.31496062992125984" footer="0.31496062992125984"/>
  <pageSetup paperSize="9" scale="57" fitToHeight="0" orientation="landscape" horizontalDpi="4294967292" r:id="rId1"/>
  <headerFooter>
    <oddFooter>&amp;RPage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120A6-412F-4BCB-92C0-8D15D6A8857D}">
  <sheetPr codeName="Sheet35">
    <tabColor rgb="FF92D050"/>
    <pageSetUpPr fitToPage="1"/>
  </sheetPr>
  <dimension ref="A1:M174"/>
  <sheetViews>
    <sheetView showGridLines="0" view="pageBreakPreview" zoomScaleNormal="100" zoomScaleSheetLayoutView="100" workbookViewId="0">
      <selection activeCell="C12" sqref="C12:C23"/>
    </sheetView>
  </sheetViews>
  <sheetFormatPr defaultRowHeight="18" x14ac:dyDescent="0.35"/>
  <cols>
    <col min="1" max="1" width="2.42578125" style="93" customWidth="1"/>
    <col min="2" max="2" width="3.28515625" style="94" customWidth="1"/>
    <col min="3" max="3" width="30.7109375" style="93" customWidth="1"/>
    <col min="4" max="4" width="5.28515625" style="95" bestFit="1" customWidth="1"/>
    <col min="5" max="5" width="82" style="76" customWidth="1"/>
    <col min="6" max="6" width="14.42578125" style="72" customWidth="1"/>
    <col min="7" max="7" width="11" style="75" customWidth="1"/>
    <col min="8" max="8" width="90.85546875" style="71" customWidth="1"/>
    <col min="9" max="11" width="2.42578125" style="93" customWidth="1"/>
    <col min="12" max="12" width="43.140625" style="96" customWidth="1"/>
    <col min="13" max="13" width="2.42578125" style="93" customWidth="1"/>
    <col min="14" max="16384" width="9.140625" style="93"/>
  </cols>
  <sheetData>
    <row r="1" spans="1:13" s="75" customFormat="1" ht="14.25" x14ac:dyDescent="0.3">
      <c r="A1" s="100" t="s">
        <v>3609</v>
      </c>
      <c r="B1" s="71"/>
      <c r="C1" s="72"/>
      <c r="D1" s="72"/>
      <c r="E1" s="73"/>
      <c r="F1" s="72"/>
      <c r="G1" s="72"/>
      <c r="H1" s="749" t="s">
        <v>3525</v>
      </c>
      <c r="I1" s="72"/>
      <c r="J1" s="72"/>
      <c r="K1" s="72"/>
      <c r="L1" s="74"/>
      <c r="M1" s="72"/>
    </row>
    <row r="2" spans="1:13" s="82" customFormat="1" ht="3" customHeight="1" x14ac:dyDescent="0.3">
      <c r="A2" s="77"/>
      <c r="B2" s="78"/>
      <c r="C2" s="79"/>
      <c r="D2" s="79"/>
      <c r="E2" s="80"/>
      <c r="F2" s="79"/>
      <c r="G2" s="79"/>
      <c r="H2" s="78"/>
      <c r="I2" s="79"/>
      <c r="J2" s="79"/>
      <c r="K2" s="79"/>
      <c r="L2" s="81"/>
      <c r="M2" s="79"/>
    </row>
    <row r="3" spans="1:13" s="75" customFormat="1" ht="3" customHeight="1" x14ac:dyDescent="0.3">
      <c r="B3" s="71"/>
      <c r="C3" s="72"/>
      <c r="D3" s="72"/>
      <c r="E3" s="73"/>
      <c r="F3" s="72"/>
      <c r="G3" s="72"/>
      <c r="H3" s="71"/>
      <c r="I3" s="72"/>
      <c r="J3" s="72"/>
      <c r="K3" s="72"/>
      <c r="L3" s="74"/>
      <c r="M3" s="72"/>
    </row>
    <row r="4" spans="1:13" s="75" customFormat="1" ht="16.5" x14ac:dyDescent="0.35">
      <c r="B4" s="761" t="s">
        <v>3526</v>
      </c>
      <c r="C4" s="762"/>
      <c r="D4" s="72"/>
      <c r="E4" s="764" t="s">
        <v>3610</v>
      </c>
      <c r="F4" s="101"/>
      <c r="G4" s="72"/>
      <c r="H4" s="71"/>
      <c r="I4" s="72"/>
      <c r="J4" s="72"/>
      <c r="K4" s="72"/>
      <c r="L4" s="74"/>
      <c r="M4" s="72"/>
    </row>
    <row r="5" spans="1:13" s="75" customFormat="1" ht="16.5" x14ac:dyDescent="0.35">
      <c r="B5" s="761" t="s">
        <v>1205</v>
      </c>
      <c r="C5" s="762"/>
      <c r="D5" s="72"/>
      <c r="E5" s="765" t="str">
        <f>'Check prior'!C3&amp;'Check prior'!C4&amp;'Check prior'!C5</f>
        <v>xxxxxxx</v>
      </c>
      <c r="F5" s="72"/>
      <c r="G5" s="72"/>
      <c r="H5" s="71"/>
      <c r="I5" s="72"/>
      <c r="J5" s="72"/>
      <c r="K5" s="72"/>
      <c r="L5" s="74"/>
      <c r="M5" s="72"/>
    </row>
    <row r="6" spans="1:13" s="75" customFormat="1" ht="16.5" x14ac:dyDescent="0.35">
      <c r="B6" s="761" t="s">
        <v>1089</v>
      </c>
      <c r="C6" s="762"/>
      <c r="D6" s="72"/>
      <c r="E6" s="765" t="str">
        <f ca="1">'Deal lead sheet'!C23&amp;IF('Deal lead sheet'!C24="",""," 
and
 "&amp;'Deal lead sheet'!C24)&amp;IF('Deal lead sheet'!C25="",""," 
and
 "&amp;'Deal lead sheet'!C25)&amp;IF('Deal lead sheet'!C26="",""," 
and
 "&amp;'Deal lead sheet'!C26)&amp;IF('Deal lead sheet'!C27="",""," 
and
 "&amp;'Deal lead sheet'!C27)</f>
        <v xml:space="preserve"> 
and
 0 
and
 N/A</v>
      </c>
      <c r="F6" s="72"/>
      <c r="G6" s="72"/>
      <c r="H6" s="71"/>
      <c r="I6" s="72"/>
      <c r="J6" s="72"/>
      <c r="K6" s="72"/>
      <c r="L6" s="74"/>
      <c r="M6" s="72"/>
    </row>
    <row r="7" spans="1:13" s="75" customFormat="1" ht="3" customHeight="1" x14ac:dyDescent="0.3">
      <c r="B7" s="71"/>
      <c r="C7" s="72"/>
      <c r="D7" s="72"/>
      <c r="E7" s="73"/>
      <c r="F7" s="72"/>
      <c r="G7" s="72"/>
      <c r="H7" s="71"/>
      <c r="I7" s="72"/>
      <c r="J7" s="72"/>
      <c r="K7" s="72"/>
      <c r="L7" s="74"/>
      <c r="M7" s="72"/>
    </row>
    <row r="8" spans="1:13" s="746" customFormat="1" ht="16.5" x14ac:dyDescent="0.35">
      <c r="B8" s="775" t="s">
        <v>3528</v>
      </c>
      <c r="C8" s="776"/>
      <c r="D8" s="777"/>
      <c r="E8" s="778"/>
      <c r="F8" s="777"/>
      <c r="G8" s="776"/>
      <c r="H8" s="779"/>
      <c r="I8" s="776"/>
      <c r="J8" s="776"/>
      <c r="K8" s="776"/>
      <c r="L8" s="776"/>
      <c r="M8" s="776"/>
    </row>
    <row r="9" spans="1:13" s="746" customFormat="1" ht="3" customHeight="1" thickBot="1" x14ac:dyDescent="0.4">
      <c r="B9" s="771"/>
      <c r="D9" s="762"/>
      <c r="E9" s="780"/>
      <c r="F9" s="762"/>
      <c r="H9" s="771"/>
    </row>
    <row r="10" spans="1:13" s="746" customFormat="1" thickTop="1" thickBot="1" x14ac:dyDescent="0.4">
      <c r="B10" s="771"/>
      <c r="C10" s="781" t="s">
        <v>3529</v>
      </c>
      <c r="D10" s="781" t="s">
        <v>3530</v>
      </c>
      <c r="E10" s="782" t="s">
        <v>3531</v>
      </c>
      <c r="F10" s="781" t="s">
        <v>647</v>
      </c>
      <c r="G10" s="781" t="s">
        <v>3532</v>
      </c>
      <c r="H10" s="782" t="s">
        <v>3533</v>
      </c>
      <c r="K10" s="747"/>
      <c r="L10" s="774" t="s">
        <v>3534</v>
      </c>
    </row>
    <row r="11" spans="1:13" ht="3" customHeight="1" thickTop="1" thickBot="1" x14ac:dyDescent="0.4">
      <c r="H11" s="75"/>
      <c r="K11" s="97"/>
    </row>
    <row r="12" spans="1:13" s="96" customFormat="1" ht="14.25" thickTop="1" thickBot="1" x14ac:dyDescent="0.3">
      <c r="B12" s="706"/>
      <c r="C12" s="3872" t="s">
        <v>3535</v>
      </c>
      <c r="D12" s="707">
        <v>1.01</v>
      </c>
      <c r="E12" s="708" t="s">
        <v>3611</v>
      </c>
      <c r="F12" s="750" t="s">
        <v>33</v>
      </c>
      <c r="G12" s="751" t="str">
        <f t="shared" ref="G12:G43" si="0">+IF(F12="","",IF(F12="No","O",IF(F12="To Follow","W","P")))</f>
        <v>P</v>
      </c>
      <c r="H12" s="714"/>
      <c r="K12" s="712"/>
      <c r="L12" s="98"/>
    </row>
    <row r="13" spans="1:13" s="96" customFormat="1" ht="14.25" thickTop="1" thickBot="1" x14ac:dyDescent="0.3">
      <c r="B13" s="706"/>
      <c r="C13" s="3872"/>
      <c r="D13" s="752">
        <f t="shared" ref="D13:D22" si="1">+D12+0.01</f>
        <v>1.02</v>
      </c>
      <c r="E13" s="708" t="s">
        <v>3537</v>
      </c>
      <c r="F13" s="750" t="s">
        <v>33</v>
      </c>
      <c r="G13" s="751" t="str">
        <f t="shared" si="0"/>
        <v>P</v>
      </c>
      <c r="H13" s="714"/>
      <c r="K13" s="712"/>
      <c r="L13" s="98"/>
    </row>
    <row r="14" spans="1:13" s="96" customFormat="1" ht="14.25" thickTop="1" thickBot="1" x14ac:dyDescent="0.3">
      <c r="B14" s="706"/>
      <c r="C14" s="3872"/>
      <c r="D14" s="752">
        <f t="shared" si="1"/>
        <v>1.03</v>
      </c>
      <c r="E14" s="708" t="s">
        <v>3538</v>
      </c>
      <c r="F14" s="750" t="s">
        <v>33</v>
      </c>
      <c r="G14" s="751" t="str">
        <f t="shared" si="0"/>
        <v>P</v>
      </c>
      <c r="H14" s="714"/>
      <c r="K14" s="712"/>
      <c r="L14" s="98"/>
    </row>
    <row r="15" spans="1:13" s="96" customFormat="1" ht="14.25" thickTop="1" thickBot="1" x14ac:dyDescent="0.3">
      <c r="B15" s="706"/>
      <c r="C15" s="3872"/>
      <c r="D15" s="707">
        <f t="shared" si="1"/>
        <v>1.04</v>
      </c>
      <c r="E15" s="708" t="s">
        <v>3539</v>
      </c>
      <c r="F15" s="750" t="s">
        <v>33</v>
      </c>
      <c r="G15" s="751" t="str">
        <f t="shared" si="0"/>
        <v>P</v>
      </c>
      <c r="H15" s="714"/>
      <c r="K15" s="712"/>
      <c r="L15" s="98"/>
    </row>
    <row r="16" spans="1:13" s="96" customFormat="1" ht="14.25" thickTop="1" thickBot="1" x14ac:dyDescent="0.3">
      <c r="B16" s="706"/>
      <c r="C16" s="3872"/>
      <c r="D16" s="707">
        <f t="shared" si="1"/>
        <v>1.05</v>
      </c>
      <c r="E16" s="708" t="s">
        <v>3540</v>
      </c>
      <c r="F16" s="750" t="s">
        <v>3541</v>
      </c>
      <c r="G16" s="751" t="str">
        <f t="shared" si="0"/>
        <v>W</v>
      </c>
      <c r="H16" s="714"/>
      <c r="K16" s="712"/>
      <c r="L16" s="98"/>
    </row>
    <row r="17" spans="2:12" s="96" customFormat="1" ht="14.25" thickTop="1" thickBot="1" x14ac:dyDescent="0.3">
      <c r="B17" s="706"/>
      <c r="C17" s="3872"/>
      <c r="D17" s="707">
        <f t="shared" si="1"/>
        <v>1.06</v>
      </c>
      <c r="E17" s="708" t="s">
        <v>3542</v>
      </c>
      <c r="F17" s="750" t="s">
        <v>33</v>
      </c>
      <c r="G17" s="751" t="str">
        <f t="shared" si="0"/>
        <v>P</v>
      </c>
      <c r="H17" s="714"/>
      <c r="K17" s="712"/>
      <c r="L17" s="98"/>
    </row>
    <row r="18" spans="2:12" s="96" customFormat="1" ht="14.25" thickTop="1" thickBot="1" x14ac:dyDescent="0.3">
      <c r="B18" s="706"/>
      <c r="C18" s="3872"/>
      <c r="D18" s="707">
        <f t="shared" si="1"/>
        <v>1.07</v>
      </c>
      <c r="E18" s="708" t="s">
        <v>3543</v>
      </c>
      <c r="F18" s="750" t="s">
        <v>33</v>
      </c>
      <c r="G18" s="751" t="str">
        <f t="shared" si="0"/>
        <v>P</v>
      </c>
      <c r="H18" s="714"/>
      <c r="K18" s="712"/>
      <c r="L18" s="98"/>
    </row>
    <row r="19" spans="2:12" s="96" customFormat="1" ht="14.25" thickTop="1" thickBot="1" x14ac:dyDescent="0.3">
      <c r="B19" s="706"/>
      <c r="C19" s="3872"/>
      <c r="D19" s="707">
        <f t="shared" si="1"/>
        <v>1.08</v>
      </c>
      <c r="E19" s="708" t="s">
        <v>3544</v>
      </c>
      <c r="F19" s="750" t="s">
        <v>3541</v>
      </c>
      <c r="G19" s="751" t="str">
        <f t="shared" si="0"/>
        <v>W</v>
      </c>
      <c r="H19" s="714"/>
      <c r="K19" s="712"/>
      <c r="L19" s="98"/>
    </row>
    <row r="20" spans="2:12" s="96" customFormat="1" ht="14.25" thickTop="1" thickBot="1" x14ac:dyDescent="0.3">
      <c r="B20" s="706"/>
      <c r="C20" s="3872"/>
      <c r="D20" s="752">
        <f t="shared" si="1"/>
        <v>1.0900000000000001</v>
      </c>
      <c r="E20" s="715" t="s">
        <v>3545</v>
      </c>
      <c r="F20" s="750" t="s">
        <v>33</v>
      </c>
      <c r="G20" s="751" t="str">
        <f t="shared" si="0"/>
        <v>P</v>
      </c>
      <c r="H20" s="714"/>
      <c r="K20" s="712"/>
      <c r="L20" s="98"/>
    </row>
    <row r="21" spans="2:12" s="96" customFormat="1" ht="14.25" thickTop="1" thickBot="1" x14ac:dyDescent="0.3">
      <c r="B21" s="706"/>
      <c r="C21" s="3872"/>
      <c r="D21" s="753">
        <f t="shared" si="1"/>
        <v>1.1000000000000001</v>
      </c>
      <c r="E21" s="715" t="s">
        <v>3546</v>
      </c>
      <c r="F21" s="750" t="s">
        <v>33</v>
      </c>
      <c r="G21" s="751" t="str">
        <f t="shared" si="0"/>
        <v>P</v>
      </c>
      <c r="H21" s="714"/>
      <c r="K21" s="712"/>
      <c r="L21" s="99"/>
    </row>
    <row r="22" spans="2:12" s="96" customFormat="1" ht="14.25" thickTop="1" thickBot="1" x14ac:dyDescent="0.3">
      <c r="B22" s="706"/>
      <c r="C22" s="3872"/>
      <c r="D22" s="754">
        <f t="shared" si="1"/>
        <v>1.1100000000000001</v>
      </c>
      <c r="E22" s="716" t="s">
        <v>3547</v>
      </c>
      <c r="F22" s="755" t="s">
        <v>33</v>
      </c>
      <c r="G22" s="756" t="str">
        <f t="shared" si="0"/>
        <v>P</v>
      </c>
      <c r="H22" s="718"/>
      <c r="K22" s="712"/>
      <c r="L22" s="98"/>
    </row>
    <row r="23" spans="2:12" s="96" customFormat="1" ht="14.25" thickTop="1" thickBot="1" x14ac:dyDescent="0.3">
      <c r="B23" s="706"/>
      <c r="C23" s="3872" t="s">
        <v>3548</v>
      </c>
      <c r="D23" s="719">
        <v>2.0099999999999998</v>
      </c>
      <c r="E23" s="720" t="s">
        <v>3549</v>
      </c>
      <c r="F23" s="750" t="s">
        <v>33</v>
      </c>
      <c r="G23" s="751" t="str">
        <f t="shared" si="0"/>
        <v>P</v>
      </c>
      <c r="H23" s="714"/>
      <c r="K23" s="712"/>
      <c r="L23" s="98"/>
    </row>
    <row r="24" spans="2:12" s="96" customFormat="1" ht="14.25" thickTop="1" thickBot="1" x14ac:dyDescent="0.3">
      <c r="B24" s="706"/>
      <c r="C24" s="3872"/>
      <c r="D24" s="721">
        <v>2.02</v>
      </c>
      <c r="E24" s="722" t="s">
        <v>3550</v>
      </c>
      <c r="F24" s="755" t="s">
        <v>3541</v>
      </c>
      <c r="G24" s="756" t="str">
        <f t="shared" si="0"/>
        <v>W</v>
      </c>
      <c r="H24" s="723"/>
      <c r="K24" s="712"/>
      <c r="L24" s="98"/>
    </row>
    <row r="25" spans="2:12" s="96" customFormat="1" ht="14.25" thickTop="1" thickBot="1" x14ac:dyDescent="0.3">
      <c r="B25" s="706"/>
      <c r="C25" s="3872" t="s">
        <v>3551</v>
      </c>
      <c r="D25" s="707">
        <v>3.01</v>
      </c>
      <c r="E25" s="720" t="s">
        <v>3552</v>
      </c>
      <c r="F25" s="750" t="s">
        <v>33</v>
      </c>
      <c r="G25" s="751" t="str">
        <f t="shared" si="0"/>
        <v>P</v>
      </c>
      <c r="H25" s="714"/>
      <c r="K25" s="712"/>
      <c r="L25" s="98"/>
    </row>
    <row r="26" spans="2:12" s="96" customFormat="1" ht="14.25" thickTop="1" thickBot="1" x14ac:dyDescent="0.3">
      <c r="B26" s="706"/>
      <c r="C26" s="3872"/>
      <c r="D26" s="707">
        <v>3.02</v>
      </c>
      <c r="E26" s="720" t="s">
        <v>3553</v>
      </c>
      <c r="F26" s="750" t="s">
        <v>3541</v>
      </c>
      <c r="G26" s="751" t="str">
        <f t="shared" si="0"/>
        <v>W</v>
      </c>
      <c r="H26" s="714"/>
      <c r="K26" s="712"/>
      <c r="L26" s="98"/>
    </row>
    <row r="27" spans="2:12" s="96" customFormat="1" ht="14.25" thickTop="1" thickBot="1" x14ac:dyDescent="0.3">
      <c r="B27" s="706"/>
      <c r="C27" s="3872"/>
      <c r="D27" s="707">
        <v>3.03</v>
      </c>
      <c r="E27" s="720" t="s">
        <v>3554</v>
      </c>
      <c r="F27" s="750" t="s">
        <v>3541</v>
      </c>
      <c r="G27" s="751" t="str">
        <f t="shared" si="0"/>
        <v>W</v>
      </c>
      <c r="H27" s="714"/>
      <c r="K27" s="712"/>
      <c r="L27" s="98"/>
    </row>
    <row r="28" spans="2:12" s="96" customFormat="1" ht="14.25" thickTop="1" thickBot="1" x14ac:dyDescent="0.3">
      <c r="B28" s="706"/>
      <c r="C28" s="3872"/>
      <c r="D28" s="724">
        <v>3.04</v>
      </c>
      <c r="E28" s="725" t="s">
        <v>3555</v>
      </c>
      <c r="F28" s="755" t="s">
        <v>3541</v>
      </c>
      <c r="G28" s="756" t="str">
        <f t="shared" si="0"/>
        <v>W</v>
      </c>
      <c r="H28" s="726"/>
      <c r="K28" s="712"/>
      <c r="L28" s="98"/>
    </row>
    <row r="29" spans="2:12" s="96" customFormat="1" ht="14.25" thickTop="1" thickBot="1" x14ac:dyDescent="0.3">
      <c r="B29" s="706"/>
      <c r="C29" s="3872" t="s">
        <v>3556</v>
      </c>
      <c r="D29" s="719">
        <v>4.01</v>
      </c>
      <c r="E29" s="720" t="s">
        <v>3557</v>
      </c>
      <c r="F29" s="750" t="s">
        <v>33</v>
      </c>
      <c r="G29" s="751" t="str">
        <f t="shared" si="0"/>
        <v>P</v>
      </c>
      <c r="H29" s="714"/>
      <c r="K29" s="712"/>
      <c r="L29" s="98"/>
    </row>
    <row r="30" spans="2:12" s="96" customFormat="1" ht="14.25" thickTop="1" thickBot="1" x14ac:dyDescent="0.3">
      <c r="B30" s="706"/>
      <c r="C30" s="3872"/>
      <c r="D30" s="721">
        <v>4.0199999999999996</v>
      </c>
      <c r="E30" s="722" t="s">
        <v>3558</v>
      </c>
      <c r="F30" s="755" t="s">
        <v>3541</v>
      </c>
      <c r="G30" s="756" t="str">
        <f t="shared" si="0"/>
        <v>W</v>
      </c>
      <c r="H30" s="723"/>
      <c r="K30" s="712"/>
      <c r="L30" s="98"/>
    </row>
    <row r="31" spans="2:12" s="96" customFormat="1" ht="14.25" thickTop="1" thickBot="1" x14ac:dyDescent="0.3">
      <c r="B31" s="706"/>
      <c r="C31" s="3872"/>
      <c r="D31" s="719">
        <f>+D29+1</f>
        <v>5.01</v>
      </c>
      <c r="E31" s="720" t="s">
        <v>3559</v>
      </c>
      <c r="F31" s="750" t="s">
        <v>33</v>
      </c>
      <c r="G31" s="751" t="str">
        <f t="shared" si="0"/>
        <v>P</v>
      </c>
      <c r="H31" s="714"/>
      <c r="K31" s="712"/>
      <c r="L31" s="98"/>
    </row>
    <row r="32" spans="2:12" s="96" customFormat="1" ht="14.25" thickTop="1" thickBot="1" x14ac:dyDescent="0.3">
      <c r="B32" s="706"/>
      <c r="C32" s="3872"/>
      <c r="D32" s="707">
        <f>+D31+0.01</f>
        <v>5.0199999999999996</v>
      </c>
      <c r="E32" s="708" t="s">
        <v>3560</v>
      </c>
      <c r="F32" s="750" t="s">
        <v>3541</v>
      </c>
      <c r="G32" s="751" t="str">
        <f t="shared" si="0"/>
        <v>W</v>
      </c>
      <c r="H32" s="714"/>
      <c r="K32" s="712"/>
      <c r="L32" s="98"/>
    </row>
    <row r="33" spans="2:12" s="96" customFormat="1" ht="14.25" thickTop="1" thickBot="1" x14ac:dyDescent="0.3">
      <c r="B33" s="706"/>
      <c r="C33" s="3872"/>
      <c r="D33" s="719">
        <f>+D32+0.01</f>
        <v>5.0299999999999994</v>
      </c>
      <c r="E33" s="715" t="s">
        <v>3561</v>
      </c>
      <c r="F33" s="750" t="s">
        <v>33</v>
      </c>
      <c r="G33" s="751" t="str">
        <f t="shared" si="0"/>
        <v>P</v>
      </c>
      <c r="H33" s="714"/>
      <c r="K33" s="712"/>
      <c r="L33" s="98"/>
    </row>
    <row r="34" spans="2:12" s="96" customFormat="1" ht="14.25" thickTop="1" thickBot="1" x14ac:dyDescent="0.3">
      <c r="B34" s="706"/>
      <c r="C34" s="3872"/>
      <c r="D34" s="719">
        <f>+D33+0.01</f>
        <v>5.0399999999999991</v>
      </c>
      <c r="E34" s="720" t="s">
        <v>3562</v>
      </c>
      <c r="F34" s="750" t="s">
        <v>3541</v>
      </c>
      <c r="G34" s="751" t="str">
        <f t="shared" si="0"/>
        <v>W</v>
      </c>
      <c r="H34" s="714"/>
      <c r="K34" s="712"/>
      <c r="L34" s="98"/>
    </row>
    <row r="35" spans="2:12" s="96" customFormat="1" ht="14.25" thickTop="1" thickBot="1" x14ac:dyDescent="0.3">
      <c r="B35" s="706"/>
      <c r="C35" s="3872"/>
      <c r="D35" s="719">
        <f>+D34+0.01</f>
        <v>5.0499999999999989</v>
      </c>
      <c r="E35" s="720" t="s">
        <v>3563</v>
      </c>
      <c r="F35" s="750" t="s">
        <v>3541</v>
      </c>
      <c r="G35" s="751" t="str">
        <f t="shared" si="0"/>
        <v>W</v>
      </c>
      <c r="H35" s="714"/>
      <c r="K35" s="712"/>
      <c r="L35" s="98"/>
    </row>
    <row r="36" spans="2:12" s="96" customFormat="1" ht="14.25" thickTop="1" thickBot="1" x14ac:dyDescent="0.3">
      <c r="B36" s="706"/>
      <c r="C36" s="3872"/>
      <c r="D36" s="729">
        <f>+D35+0.01</f>
        <v>5.0599999999999987</v>
      </c>
      <c r="E36" s="722" t="s">
        <v>3564</v>
      </c>
      <c r="F36" s="755" t="s">
        <v>3541</v>
      </c>
      <c r="G36" s="756" t="str">
        <f t="shared" si="0"/>
        <v>W</v>
      </c>
      <c r="H36" s="723"/>
      <c r="K36" s="712"/>
      <c r="L36" s="98"/>
    </row>
    <row r="37" spans="2:12" s="96" customFormat="1" thickTop="1" thickBot="1" x14ac:dyDescent="0.3">
      <c r="B37" s="706"/>
      <c r="C37" s="760" t="s">
        <v>3565</v>
      </c>
      <c r="D37" s="724">
        <v>6.01</v>
      </c>
      <c r="E37" s="725" t="s">
        <v>3612</v>
      </c>
      <c r="F37" s="757" t="s">
        <v>33</v>
      </c>
      <c r="G37" s="758" t="str">
        <f t="shared" si="0"/>
        <v>P</v>
      </c>
      <c r="H37" s="726"/>
      <c r="K37" s="712"/>
      <c r="L37" s="98"/>
    </row>
    <row r="38" spans="2:12" s="96" customFormat="1" ht="14.25" thickTop="1" thickBot="1" x14ac:dyDescent="0.3">
      <c r="B38" s="706"/>
      <c r="C38" s="3872" t="s">
        <v>3567</v>
      </c>
      <c r="D38" s="719">
        <f>+D37+1</f>
        <v>7.01</v>
      </c>
      <c r="E38" s="720" t="s">
        <v>3568</v>
      </c>
      <c r="F38" s="750" t="s">
        <v>33</v>
      </c>
      <c r="G38" s="751" t="str">
        <f t="shared" si="0"/>
        <v>P</v>
      </c>
      <c r="H38" s="714"/>
      <c r="K38" s="712"/>
      <c r="L38" s="98"/>
    </row>
    <row r="39" spans="2:12" s="96" customFormat="1" ht="14.25" thickTop="1" thickBot="1" x14ac:dyDescent="0.3">
      <c r="B39" s="706"/>
      <c r="C39" s="3872"/>
      <c r="D39" s="721">
        <f>+D38+0.01</f>
        <v>7.02</v>
      </c>
      <c r="E39" s="722" t="s">
        <v>3569</v>
      </c>
      <c r="F39" s="755" t="s">
        <v>33</v>
      </c>
      <c r="G39" s="756" t="str">
        <f t="shared" si="0"/>
        <v>P</v>
      </c>
      <c r="H39" s="723"/>
      <c r="K39" s="712"/>
      <c r="L39" s="98"/>
    </row>
    <row r="40" spans="2:12" s="96" customFormat="1" thickTop="1" thickBot="1" x14ac:dyDescent="0.3">
      <c r="B40" s="706"/>
      <c r="C40" s="760" t="s">
        <v>3204</v>
      </c>
      <c r="D40" s="735">
        <f>+D38+1</f>
        <v>8.01</v>
      </c>
      <c r="E40" s="736" t="s">
        <v>3570</v>
      </c>
      <c r="F40" s="757" t="s">
        <v>33</v>
      </c>
      <c r="G40" s="758" t="str">
        <f t="shared" si="0"/>
        <v>P</v>
      </c>
      <c r="H40" s="737"/>
      <c r="K40" s="712"/>
      <c r="L40" s="98"/>
    </row>
    <row r="41" spans="2:12" s="96" customFormat="1" ht="14.25" thickTop="1" thickBot="1" x14ac:dyDescent="0.3">
      <c r="B41" s="706"/>
      <c r="C41" s="3872" t="s">
        <v>3571</v>
      </c>
      <c r="D41" s="707">
        <f>+D40+1</f>
        <v>9.01</v>
      </c>
      <c r="E41" s="720" t="s">
        <v>3572</v>
      </c>
      <c r="F41" s="750" t="s">
        <v>33</v>
      </c>
      <c r="G41" s="751" t="str">
        <f t="shared" si="0"/>
        <v>P</v>
      </c>
      <c r="H41" s="714"/>
      <c r="K41" s="712"/>
      <c r="L41" s="98"/>
    </row>
    <row r="42" spans="2:12" s="96" customFormat="1" ht="14.25" thickTop="1" thickBot="1" x14ac:dyDescent="0.3">
      <c r="B42" s="706"/>
      <c r="C42" s="3872"/>
      <c r="D42" s="707">
        <f>+D41+0.01</f>
        <v>9.02</v>
      </c>
      <c r="E42" s="715" t="s">
        <v>3573</v>
      </c>
      <c r="F42" s="750" t="s">
        <v>3541</v>
      </c>
      <c r="G42" s="751" t="str">
        <f t="shared" si="0"/>
        <v>W</v>
      </c>
      <c r="H42" s="714"/>
      <c r="K42" s="712"/>
      <c r="L42" s="98"/>
    </row>
    <row r="43" spans="2:12" s="96" customFormat="1" ht="14.25" thickTop="1" thickBot="1" x14ac:dyDescent="0.3">
      <c r="B43" s="706"/>
      <c r="C43" s="3872"/>
      <c r="D43" s="707">
        <f>+D42+0.01</f>
        <v>9.0299999999999994</v>
      </c>
      <c r="E43" s="715" t="s">
        <v>3574</v>
      </c>
      <c r="F43" s="750" t="s">
        <v>3541</v>
      </c>
      <c r="G43" s="751" t="str">
        <f t="shared" si="0"/>
        <v>W</v>
      </c>
      <c r="H43" s="714"/>
      <c r="K43" s="712"/>
      <c r="L43" s="98"/>
    </row>
    <row r="44" spans="2:12" s="96" customFormat="1" ht="14.25" thickTop="1" thickBot="1" x14ac:dyDescent="0.3">
      <c r="B44" s="706"/>
      <c r="C44" s="3872"/>
      <c r="D44" s="729">
        <f>D43+0.01</f>
        <v>9.0399999999999991</v>
      </c>
      <c r="E44" s="738" t="s">
        <v>3575</v>
      </c>
      <c r="F44" s="755" t="s">
        <v>33</v>
      </c>
      <c r="G44" s="756" t="str">
        <f t="shared" ref="G44:G71" si="2">+IF(F44="","",IF(F44="No","O",IF(F44="To Follow","W","P")))</f>
        <v>P</v>
      </c>
      <c r="H44" s="723"/>
      <c r="K44" s="712"/>
      <c r="L44" s="98"/>
    </row>
    <row r="45" spans="2:12" s="96" customFormat="1" ht="14.25" thickTop="1" thickBot="1" x14ac:dyDescent="0.3">
      <c r="B45" s="706"/>
      <c r="C45" s="3872" t="s">
        <v>455</v>
      </c>
      <c r="D45" s="707">
        <f>+D41+1</f>
        <v>10.01</v>
      </c>
      <c r="E45" s="720" t="s">
        <v>3576</v>
      </c>
      <c r="F45" s="750" t="s">
        <v>33</v>
      </c>
      <c r="G45" s="751" t="str">
        <f t="shared" si="2"/>
        <v>P</v>
      </c>
      <c r="H45" s="714"/>
      <c r="K45" s="712"/>
      <c r="L45" s="98"/>
    </row>
    <row r="46" spans="2:12" s="96" customFormat="1" ht="14.25" thickTop="1" thickBot="1" x14ac:dyDescent="0.3">
      <c r="B46" s="706"/>
      <c r="C46" s="3872"/>
      <c r="D46" s="724">
        <f>+D45+0.01</f>
        <v>10.02</v>
      </c>
      <c r="E46" s="739" t="s">
        <v>3577</v>
      </c>
      <c r="F46" s="755" t="s">
        <v>33</v>
      </c>
      <c r="G46" s="756" t="str">
        <f t="shared" si="2"/>
        <v>P</v>
      </c>
      <c r="H46" s="726"/>
      <c r="K46" s="712"/>
      <c r="L46" s="98"/>
    </row>
    <row r="47" spans="2:12" s="96" customFormat="1" ht="14.25" thickTop="1" thickBot="1" x14ac:dyDescent="0.3">
      <c r="B47" s="706"/>
      <c r="C47" s="3872" t="s">
        <v>3295</v>
      </c>
      <c r="D47" s="719">
        <f>+D45+1</f>
        <v>11.01</v>
      </c>
      <c r="E47" s="720" t="s">
        <v>3578</v>
      </c>
      <c r="F47" s="750" t="s">
        <v>3541</v>
      </c>
      <c r="G47" s="751" t="str">
        <f t="shared" si="2"/>
        <v>W</v>
      </c>
      <c r="H47" s="714"/>
      <c r="K47" s="712"/>
      <c r="L47" s="98"/>
    </row>
    <row r="48" spans="2:12" s="96" customFormat="1" ht="14.25" thickTop="1" thickBot="1" x14ac:dyDescent="0.3">
      <c r="B48" s="706"/>
      <c r="C48" s="3872"/>
      <c r="D48" s="719">
        <f>+D47+0.01</f>
        <v>11.02</v>
      </c>
      <c r="E48" s="720" t="s">
        <v>3579</v>
      </c>
      <c r="F48" s="750" t="s">
        <v>3541</v>
      </c>
      <c r="G48" s="751" t="str">
        <f t="shared" si="2"/>
        <v>W</v>
      </c>
      <c r="H48" s="714"/>
      <c r="K48" s="712"/>
      <c r="L48" s="98"/>
    </row>
    <row r="49" spans="2:12" s="96" customFormat="1" ht="14.25" thickTop="1" thickBot="1" x14ac:dyDescent="0.3">
      <c r="B49" s="706"/>
      <c r="C49" s="3872"/>
      <c r="D49" s="724">
        <f>+D48+0.01</f>
        <v>11.03</v>
      </c>
      <c r="E49" s="725" t="s">
        <v>3613</v>
      </c>
      <c r="F49" s="755" t="s">
        <v>3541</v>
      </c>
      <c r="G49" s="756" t="str">
        <f t="shared" si="2"/>
        <v>W</v>
      </c>
      <c r="H49" s="726"/>
      <c r="K49" s="712"/>
      <c r="L49" s="98"/>
    </row>
    <row r="50" spans="2:12" s="96" customFormat="1" ht="13.5" thickTop="1" x14ac:dyDescent="0.25">
      <c r="B50" s="706"/>
      <c r="C50" s="3873" t="s">
        <v>3581</v>
      </c>
      <c r="D50" s="707">
        <f>+D47+1</f>
        <v>12.01</v>
      </c>
      <c r="E50" s="708" t="s">
        <v>3582</v>
      </c>
      <c r="F50" s="750" t="s">
        <v>33</v>
      </c>
      <c r="G50" s="751" t="str">
        <f t="shared" si="2"/>
        <v>P</v>
      </c>
      <c r="H50" s="714"/>
      <c r="K50" s="712"/>
      <c r="L50" s="98"/>
    </row>
    <row r="51" spans="2:12" s="96" customFormat="1" ht="12.75" x14ac:dyDescent="0.25">
      <c r="B51" s="706"/>
      <c r="C51" s="3874"/>
      <c r="D51" s="707">
        <f>D50+0.01</f>
        <v>12.02</v>
      </c>
      <c r="E51" s="720" t="s">
        <v>3583</v>
      </c>
      <c r="F51" s="750" t="s">
        <v>33</v>
      </c>
      <c r="G51" s="751" t="str">
        <f t="shared" si="2"/>
        <v>P</v>
      </c>
      <c r="H51" s="714"/>
      <c r="K51" s="712"/>
      <c r="L51" s="98"/>
    </row>
    <row r="52" spans="2:12" s="96" customFormat="1" ht="12.75" x14ac:dyDescent="0.25">
      <c r="B52" s="706"/>
      <c r="C52" s="3874"/>
      <c r="D52" s="707" t="s">
        <v>3584</v>
      </c>
      <c r="E52" s="740" t="s">
        <v>3585</v>
      </c>
      <c r="F52" s="750" t="s">
        <v>33</v>
      </c>
      <c r="G52" s="751" t="str">
        <f t="shared" si="2"/>
        <v>P</v>
      </c>
      <c r="H52" s="714"/>
      <c r="K52" s="712"/>
      <c r="L52" s="98"/>
    </row>
    <row r="53" spans="2:12" s="96" customFormat="1" ht="12.75" x14ac:dyDescent="0.25">
      <c r="B53" s="706"/>
      <c r="C53" s="3874"/>
      <c r="D53" s="707">
        <f>+D51+0.01</f>
        <v>12.03</v>
      </c>
      <c r="E53" s="715" t="s">
        <v>3586</v>
      </c>
      <c r="F53" s="751"/>
      <c r="G53" s="751" t="str">
        <f t="shared" si="2"/>
        <v/>
      </c>
      <c r="H53" s="714"/>
      <c r="K53" s="712"/>
      <c r="L53" s="98"/>
    </row>
    <row r="54" spans="2:12" s="96" customFormat="1" ht="12.75" x14ac:dyDescent="0.25">
      <c r="B54" s="706"/>
      <c r="C54" s="3874"/>
      <c r="D54" s="707" t="s">
        <v>3584</v>
      </c>
      <c r="E54" s="741" t="s">
        <v>3587</v>
      </c>
      <c r="F54" s="750" t="s">
        <v>3541</v>
      </c>
      <c r="G54" s="751" t="str">
        <f t="shared" si="2"/>
        <v>W</v>
      </c>
      <c r="H54" s="714"/>
      <c r="K54" s="712"/>
      <c r="L54" s="98"/>
    </row>
    <row r="55" spans="2:12" s="96" customFormat="1" ht="12.75" x14ac:dyDescent="0.25">
      <c r="B55" s="706"/>
      <c r="C55" s="3874"/>
      <c r="D55" s="707" t="s">
        <v>3584</v>
      </c>
      <c r="E55" s="741" t="s">
        <v>3588</v>
      </c>
      <c r="F55" s="750" t="s">
        <v>3541</v>
      </c>
      <c r="G55" s="751" t="str">
        <f t="shared" si="2"/>
        <v>W</v>
      </c>
      <c r="H55" s="714"/>
      <c r="K55" s="712"/>
      <c r="L55" s="98"/>
    </row>
    <row r="56" spans="2:12" s="96" customFormat="1" ht="12.75" x14ac:dyDescent="0.25">
      <c r="B56" s="706"/>
      <c r="C56" s="3874"/>
      <c r="D56" s="707" t="s">
        <v>3584</v>
      </c>
      <c r="E56" s="741" t="s">
        <v>3589</v>
      </c>
      <c r="F56" s="750" t="s">
        <v>3541</v>
      </c>
      <c r="G56" s="751" t="str">
        <f t="shared" si="2"/>
        <v>W</v>
      </c>
      <c r="H56" s="714"/>
      <c r="K56" s="712"/>
      <c r="L56" s="98"/>
    </row>
    <row r="57" spans="2:12" s="96" customFormat="1" ht="12.75" x14ac:dyDescent="0.25">
      <c r="B57" s="706"/>
      <c r="C57" s="3874"/>
      <c r="D57" s="707" t="s">
        <v>3584</v>
      </c>
      <c r="E57" s="741" t="s">
        <v>3590</v>
      </c>
      <c r="F57" s="750" t="s">
        <v>33</v>
      </c>
      <c r="G57" s="751" t="str">
        <f t="shared" si="2"/>
        <v>P</v>
      </c>
      <c r="H57" s="714"/>
      <c r="K57" s="712"/>
      <c r="L57" s="98"/>
    </row>
    <row r="58" spans="2:12" s="96" customFormat="1" ht="13.5" thickBot="1" x14ac:dyDescent="0.3">
      <c r="B58" s="706"/>
      <c r="C58" s="3874"/>
      <c r="D58" s="724" t="s">
        <v>3584</v>
      </c>
      <c r="E58" s="742" t="s">
        <v>3591</v>
      </c>
      <c r="F58" s="755" t="s">
        <v>33</v>
      </c>
      <c r="G58" s="756" t="str">
        <f t="shared" si="2"/>
        <v>P</v>
      </c>
      <c r="H58" s="718"/>
      <c r="K58" s="712"/>
      <c r="L58" s="98"/>
    </row>
    <row r="59" spans="2:12" s="96" customFormat="1" thickTop="1" thickBot="1" x14ac:dyDescent="0.3">
      <c r="B59" s="706"/>
      <c r="C59" s="760" t="s">
        <v>3592</v>
      </c>
      <c r="D59" s="721">
        <f>+D50+1</f>
        <v>13.01</v>
      </c>
      <c r="E59" s="722" t="s">
        <v>3593</v>
      </c>
      <c r="F59" s="757" t="s">
        <v>33</v>
      </c>
      <c r="G59" s="758" t="str">
        <f t="shared" si="2"/>
        <v>P</v>
      </c>
      <c r="H59" s="723"/>
      <c r="K59" s="712"/>
      <c r="L59" s="98"/>
    </row>
    <row r="60" spans="2:12" s="96" customFormat="1" thickTop="1" thickBot="1" x14ac:dyDescent="0.3">
      <c r="B60" s="706"/>
      <c r="C60" s="760" t="s">
        <v>3594</v>
      </c>
      <c r="D60" s="721">
        <f>+D59+1</f>
        <v>14.01</v>
      </c>
      <c r="E60" s="722" t="s">
        <v>3595</v>
      </c>
      <c r="F60" s="757" t="s">
        <v>33</v>
      </c>
      <c r="G60" s="758" t="str">
        <f t="shared" si="2"/>
        <v>P</v>
      </c>
      <c r="H60" s="723"/>
      <c r="K60" s="712"/>
      <c r="L60" s="98"/>
    </row>
    <row r="61" spans="2:12" s="96" customFormat="1" ht="14.25" thickTop="1" thickBot="1" x14ac:dyDescent="0.3">
      <c r="B61" s="706"/>
      <c r="C61" s="3872" t="s">
        <v>3596</v>
      </c>
      <c r="D61" s="719">
        <f>+D60+1</f>
        <v>15.01</v>
      </c>
      <c r="E61" s="720" t="s">
        <v>3597</v>
      </c>
      <c r="F61" s="750" t="s">
        <v>3541</v>
      </c>
      <c r="G61" s="751" t="str">
        <f t="shared" si="2"/>
        <v>W</v>
      </c>
      <c r="H61" s="714"/>
      <c r="K61" s="712"/>
      <c r="L61" s="98"/>
    </row>
    <row r="62" spans="2:12" s="96" customFormat="1" ht="14.25" thickTop="1" thickBot="1" x14ac:dyDescent="0.3">
      <c r="B62" s="706"/>
      <c r="C62" s="3872"/>
      <c r="D62" s="719" t="s">
        <v>3584</v>
      </c>
      <c r="E62" s="741" t="s">
        <v>3598</v>
      </c>
      <c r="F62" s="750" t="s">
        <v>3541</v>
      </c>
      <c r="G62" s="751" t="str">
        <f t="shared" si="2"/>
        <v>W</v>
      </c>
      <c r="H62" s="714"/>
      <c r="K62" s="712"/>
      <c r="L62" s="98"/>
    </row>
    <row r="63" spans="2:12" s="96" customFormat="1" ht="14.25" thickTop="1" thickBot="1" x14ac:dyDescent="0.3">
      <c r="B63" s="706"/>
      <c r="C63" s="3872"/>
      <c r="D63" s="719" t="s">
        <v>3584</v>
      </c>
      <c r="E63" s="741" t="s">
        <v>3599</v>
      </c>
      <c r="F63" s="750" t="s">
        <v>3541</v>
      </c>
      <c r="G63" s="751" t="str">
        <f t="shared" si="2"/>
        <v>W</v>
      </c>
      <c r="H63" s="714"/>
      <c r="K63" s="712"/>
      <c r="L63" s="98"/>
    </row>
    <row r="64" spans="2:12" s="96" customFormat="1" ht="14.25" thickTop="1" thickBot="1" x14ac:dyDescent="0.3">
      <c r="B64" s="706"/>
      <c r="C64" s="3872"/>
      <c r="D64" s="719" t="s">
        <v>3584</v>
      </c>
      <c r="E64" s="741" t="s">
        <v>3600</v>
      </c>
      <c r="F64" s="750" t="s">
        <v>3541</v>
      </c>
      <c r="G64" s="751" t="str">
        <f t="shared" si="2"/>
        <v>W</v>
      </c>
      <c r="H64" s="714"/>
      <c r="K64" s="712"/>
      <c r="L64" s="98"/>
    </row>
    <row r="65" spans="2:12" s="96" customFormat="1" ht="14.25" thickTop="1" thickBot="1" x14ac:dyDescent="0.3">
      <c r="B65" s="706"/>
      <c r="C65" s="3872"/>
      <c r="D65" s="719">
        <f>+D61+0.01</f>
        <v>15.02</v>
      </c>
      <c r="E65" s="720" t="s">
        <v>3601</v>
      </c>
      <c r="F65" s="750" t="s">
        <v>673</v>
      </c>
      <c r="G65" s="751" t="str">
        <f t="shared" si="2"/>
        <v>P</v>
      </c>
      <c r="H65" s="714"/>
      <c r="K65" s="712"/>
      <c r="L65" s="98"/>
    </row>
    <row r="66" spans="2:12" s="96" customFormat="1" ht="14.25" thickTop="1" thickBot="1" x14ac:dyDescent="0.3">
      <c r="B66" s="706"/>
      <c r="C66" s="3872"/>
      <c r="D66" s="719">
        <f>+D65+0.01</f>
        <v>15.03</v>
      </c>
      <c r="E66" s="720" t="s">
        <v>3602</v>
      </c>
      <c r="F66" s="750" t="s">
        <v>33</v>
      </c>
      <c r="G66" s="751" t="str">
        <f t="shared" si="2"/>
        <v>P</v>
      </c>
      <c r="H66" s="714"/>
      <c r="K66" s="712"/>
      <c r="L66" s="98"/>
    </row>
    <row r="67" spans="2:12" s="96" customFormat="1" ht="14.25" thickTop="1" thickBot="1" x14ac:dyDescent="0.3">
      <c r="B67" s="706"/>
      <c r="C67" s="3872"/>
      <c r="D67" s="719">
        <f>+D66+0.01</f>
        <v>15.04</v>
      </c>
      <c r="E67" s="720" t="s">
        <v>3603</v>
      </c>
      <c r="F67" s="750" t="s">
        <v>3541</v>
      </c>
      <c r="G67" s="751" t="str">
        <f t="shared" si="2"/>
        <v>W</v>
      </c>
      <c r="H67" s="714"/>
      <c r="K67" s="712"/>
      <c r="L67" s="98"/>
    </row>
    <row r="68" spans="2:12" s="96" customFormat="1" ht="14.25" thickTop="1" thickBot="1" x14ac:dyDescent="0.3">
      <c r="B68" s="706"/>
      <c r="C68" s="3872"/>
      <c r="D68" s="719">
        <f>+D67+0.01</f>
        <v>15.049999999999999</v>
      </c>
      <c r="E68" s="720" t="s">
        <v>3604</v>
      </c>
      <c r="F68" s="750" t="s">
        <v>3541</v>
      </c>
      <c r="G68" s="751" t="str">
        <f t="shared" si="2"/>
        <v>W</v>
      </c>
      <c r="H68" s="714"/>
      <c r="K68" s="712"/>
      <c r="L68" s="98"/>
    </row>
    <row r="69" spans="2:12" s="96" customFormat="1" ht="14.25" thickTop="1" thickBot="1" x14ac:dyDescent="0.3">
      <c r="B69" s="706"/>
      <c r="C69" s="3872"/>
      <c r="D69" s="719">
        <f>+D68+0.01</f>
        <v>15.059999999999999</v>
      </c>
      <c r="E69" s="720" t="s">
        <v>3614</v>
      </c>
      <c r="F69" s="750" t="s">
        <v>33</v>
      </c>
      <c r="G69" s="751" t="str">
        <f t="shared" si="2"/>
        <v>P</v>
      </c>
      <c r="H69" s="714"/>
      <c r="K69" s="712"/>
      <c r="L69" s="98"/>
    </row>
    <row r="70" spans="2:12" s="96" customFormat="1" ht="14.25" thickTop="1" thickBot="1" x14ac:dyDescent="0.3">
      <c r="B70" s="706"/>
      <c r="C70" s="3872"/>
      <c r="D70" s="729">
        <f>+D69+0.01</f>
        <v>15.069999999999999</v>
      </c>
      <c r="E70" s="738" t="s">
        <v>3606</v>
      </c>
      <c r="F70" s="755" t="s">
        <v>3541</v>
      </c>
      <c r="G70" s="756" t="str">
        <f t="shared" si="2"/>
        <v>W</v>
      </c>
      <c r="H70" s="718"/>
      <c r="K70" s="712"/>
      <c r="L70" s="98"/>
    </row>
    <row r="71" spans="2:12" s="96" customFormat="1" thickTop="1" thickBot="1" x14ac:dyDescent="0.3">
      <c r="B71" s="706"/>
      <c r="C71" s="760" t="s">
        <v>3607</v>
      </c>
      <c r="D71" s="721">
        <f>D61+1</f>
        <v>16.009999999999998</v>
      </c>
      <c r="E71" s="722" t="s">
        <v>3608</v>
      </c>
      <c r="F71" s="750" t="s">
        <v>33</v>
      </c>
      <c r="G71" s="751" t="str">
        <f t="shared" si="2"/>
        <v>P</v>
      </c>
      <c r="H71" s="723"/>
      <c r="K71" s="712"/>
      <c r="L71" s="98"/>
    </row>
    <row r="72" spans="2:12" s="96" customFormat="1" ht="17.25" thickTop="1" x14ac:dyDescent="0.35">
      <c r="B72" s="706"/>
      <c r="C72" s="746"/>
      <c r="D72" s="74"/>
      <c r="E72" s="708"/>
      <c r="F72" s="74"/>
      <c r="H72" s="706"/>
    </row>
    <row r="73" spans="2:12" s="96" customFormat="1" ht="16.5" x14ac:dyDescent="0.35">
      <c r="B73" s="706"/>
      <c r="C73" s="746"/>
      <c r="D73" s="74"/>
      <c r="E73" s="708"/>
      <c r="F73" s="74"/>
      <c r="H73" s="706"/>
    </row>
    <row r="74" spans="2:12" s="96" customFormat="1" ht="16.5" x14ac:dyDescent="0.35">
      <c r="B74" s="706"/>
      <c r="C74" s="746"/>
      <c r="D74" s="74"/>
      <c r="E74" s="708"/>
      <c r="F74" s="74"/>
      <c r="H74" s="706"/>
    </row>
    <row r="75" spans="2:12" s="96" customFormat="1" ht="16.5" x14ac:dyDescent="0.35">
      <c r="B75" s="706"/>
      <c r="C75" s="746"/>
      <c r="D75" s="74"/>
      <c r="E75" s="708"/>
      <c r="F75" s="74"/>
      <c r="H75" s="706"/>
    </row>
    <row r="76" spans="2:12" s="96" customFormat="1" ht="16.5" x14ac:dyDescent="0.35">
      <c r="B76" s="706"/>
      <c r="C76" s="746"/>
      <c r="D76" s="74"/>
      <c r="E76" s="708"/>
      <c r="F76" s="74"/>
      <c r="H76" s="706"/>
    </row>
    <row r="77" spans="2:12" s="96" customFormat="1" ht="16.5" x14ac:dyDescent="0.35">
      <c r="B77" s="706"/>
      <c r="C77" s="746"/>
      <c r="D77" s="74"/>
      <c r="E77" s="708"/>
      <c r="F77" s="74"/>
      <c r="H77" s="706"/>
    </row>
    <row r="78" spans="2:12" s="96" customFormat="1" ht="16.5" x14ac:dyDescent="0.35">
      <c r="B78" s="706"/>
      <c r="C78" s="746"/>
      <c r="D78" s="74"/>
      <c r="E78" s="708"/>
      <c r="F78" s="74"/>
      <c r="H78" s="706"/>
    </row>
    <row r="79" spans="2:12" s="96" customFormat="1" ht="16.5" x14ac:dyDescent="0.35">
      <c r="B79" s="706"/>
      <c r="C79" s="746"/>
      <c r="D79" s="74"/>
      <c r="E79" s="708"/>
      <c r="F79" s="74"/>
      <c r="H79" s="706"/>
    </row>
    <row r="80" spans="2:12" s="96" customFormat="1" ht="16.5" x14ac:dyDescent="0.35">
      <c r="B80" s="706"/>
      <c r="C80" s="746"/>
      <c r="D80" s="74"/>
      <c r="E80" s="708"/>
      <c r="F80" s="74"/>
      <c r="H80" s="706"/>
    </row>
    <row r="81" spans="2:8" s="96" customFormat="1" ht="16.5" x14ac:dyDescent="0.35">
      <c r="B81" s="706"/>
      <c r="C81" s="746"/>
      <c r="D81" s="74"/>
      <c r="E81" s="708"/>
      <c r="F81" s="74"/>
      <c r="H81" s="706"/>
    </row>
    <row r="82" spans="2:8" s="96" customFormat="1" ht="16.5" x14ac:dyDescent="0.35">
      <c r="B82" s="706"/>
      <c r="C82" s="746"/>
      <c r="D82" s="74"/>
      <c r="E82" s="708"/>
      <c r="F82" s="74"/>
      <c r="H82" s="706"/>
    </row>
    <row r="83" spans="2:8" s="96" customFormat="1" ht="16.5" x14ac:dyDescent="0.35">
      <c r="B83" s="706"/>
      <c r="C83" s="746"/>
      <c r="D83" s="74"/>
      <c r="E83" s="708"/>
      <c r="F83" s="74"/>
      <c r="H83" s="706"/>
    </row>
    <row r="84" spans="2:8" s="96" customFormat="1" ht="16.5" x14ac:dyDescent="0.35">
      <c r="B84" s="706"/>
      <c r="C84" s="746"/>
      <c r="D84" s="74"/>
      <c r="E84" s="708"/>
      <c r="F84" s="74"/>
      <c r="H84" s="706"/>
    </row>
    <row r="85" spans="2:8" s="96" customFormat="1" ht="16.5" x14ac:dyDescent="0.35">
      <c r="B85" s="706"/>
      <c r="C85" s="746"/>
      <c r="D85" s="74"/>
      <c r="E85" s="708"/>
      <c r="F85" s="74"/>
      <c r="H85" s="706"/>
    </row>
    <row r="86" spans="2:8" s="96" customFormat="1" ht="16.5" x14ac:dyDescent="0.35">
      <c r="B86" s="706"/>
      <c r="C86" s="746"/>
      <c r="D86" s="74"/>
      <c r="E86" s="708"/>
      <c r="F86" s="74"/>
      <c r="H86" s="706"/>
    </row>
    <row r="87" spans="2:8" s="96" customFormat="1" ht="16.5" x14ac:dyDescent="0.35">
      <c r="B87" s="706"/>
      <c r="C87" s="746"/>
      <c r="D87" s="74"/>
      <c r="E87" s="708"/>
      <c r="F87" s="74"/>
      <c r="H87" s="706"/>
    </row>
    <row r="88" spans="2:8" s="96" customFormat="1" ht="16.5" x14ac:dyDescent="0.35">
      <c r="B88" s="706"/>
      <c r="C88" s="746"/>
      <c r="D88" s="74"/>
      <c r="E88" s="708"/>
      <c r="F88" s="74"/>
      <c r="H88" s="706"/>
    </row>
    <row r="89" spans="2:8" s="96" customFormat="1" ht="16.5" x14ac:dyDescent="0.35">
      <c r="B89" s="706"/>
      <c r="C89" s="746"/>
      <c r="D89" s="74"/>
      <c r="E89" s="708"/>
      <c r="F89" s="74"/>
      <c r="H89" s="706"/>
    </row>
    <row r="90" spans="2:8" s="96" customFormat="1" ht="16.5" x14ac:dyDescent="0.35">
      <c r="B90" s="706"/>
      <c r="C90" s="746"/>
      <c r="D90" s="74"/>
      <c r="E90" s="708"/>
      <c r="F90" s="74"/>
      <c r="H90" s="706"/>
    </row>
    <row r="91" spans="2:8" s="96" customFormat="1" ht="16.5" x14ac:dyDescent="0.35">
      <c r="B91" s="706"/>
      <c r="C91" s="746"/>
      <c r="D91" s="74"/>
      <c r="E91" s="708"/>
      <c r="F91" s="74"/>
      <c r="H91" s="706"/>
    </row>
    <row r="92" spans="2:8" s="96" customFormat="1" ht="16.5" x14ac:dyDescent="0.35">
      <c r="B92" s="706"/>
      <c r="C92" s="746"/>
      <c r="D92" s="74"/>
      <c r="E92" s="708"/>
      <c r="F92" s="74"/>
      <c r="H92" s="706"/>
    </row>
    <row r="93" spans="2:8" s="96" customFormat="1" ht="16.5" x14ac:dyDescent="0.35">
      <c r="B93" s="706"/>
      <c r="C93" s="746"/>
      <c r="D93" s="74"/>
      <c r="E93" s="708"/>
      <c r="F93" s="74"/>
      <c r="H93" s="706"/>
    </row>
    <row r="94" spans="2:8" s="96" customFormat="1" ht="16.5" x14ac:dyDescent="0.35">
      <c r="B94" s="706"/>
      <c r="C94" s="746"/>
      <c r="D94" s="74"/>
      <c r="E94" s="708"/>
      <c r="F94" s="74"/>
      <c r="H94" s="706"/>
    </row>
    <row r="95" spans="2:8" s="96" customFormat="1" ht="16.5" x14ac:dyDescent="0.35">
      <c r="B95" s="706"/>
      <c r="C95" s="746"/>
      <c r="D95" s="74"/>
      <c r="E95" s="708"/>
      <c r="F95" s="74"/>
      <c r="H95" s="706"/>
    </row>
    <row r="96" spans="2:8" s="96" customFormat="1" ht="16.5" x14ac:dyDescent="0.35">
      <c r="B96" s="706"/>
      <c r="C96" s="746"/>
      <c r="D96" s="74"/>
      <c r="E96" s="708"/>
      <c r="F96" s="74"/>
      <c r="H96" s="706"/>
    </row>
    <row r="97" spans="2:8" s="96" customFormat="1" ht="16.5" x14ac:dyDescent="0.35">
      <c r="B97" s="706"/>
      <c r="C97" s="746"/>
      <c r="D97" s="74"/>
      <c r="E97" s="708"/>
      <c r="F97" s="74"/>
      <c r="H97" s="706"/>
    </row>
    <row r="98" spans="2:8" s="96" customFormat="1" ht="16.5" x14ac:dyDescent="0.35">
      <c r="B98" s="706"/>
      <c r="C98" s="746"/>
      <c r="D98" s="74"/>
      <c r="E98" s="708"/>
      <c r="F98" s="74"/>
      <c r="H98" s="706"/>
    </row>
    <row r="99" spans="2:8" s="96" customFormat="1" ht="16.5" x14ac:dyDescent="0.35">
      <c r="B99" s="706"/>
      <c r="C99" s="746"/>
      <c r="D99" s="74"/>
      <c r="E99" s="708"/>
      <c r="F99" s="74"/>
      <c r="H99" s="706"/>
    </row>
    <row r="100" spans="2:8" s="96" customFormat="1" ht="16.5" x14ac:dyDescent="0.35">
      <c r="B100" s="706"/>
      <c r="C100" s="746"/>
      <c r="D100" s="74"/>
      <c r="E100" s="708"/>
      <c r="F100" s="74"/>
      <c r="H100" s="706"/>
    </row>
    <row r="101" spans="2:8" s="96" customFormat="1" ht="16.5" x14ac:dyDescent="0.35">
      <c r="B101" s="706"/>
      <c r="C101" s="746"/>
      <c r="D101" s="74"/>
      <c r="E101" s="708"/>
      <c r="F101" s="74"/>
      <c r="H101" s="706"/>
    </row>
    <row r="102" spans="2:8" s="96" customFormat="1" ht="16.5" x14ac:dyDescent="0.35">
      <c r="B102" s="706"/>
      <c r="C102" s="746"/>
      <c r="D102" s="74"/>
      <c r="E102" s="708"/>
      <c r="F102" s="74"/>
      <c r="H102" s="706"/>
    </row>
    <row r="103" spans="2:8" s="96" customFormat="1" ht="16.5" x14ac:dyDescent="0.35">
      <c r="B103" s="706"/>
      <c r="C103" s="746"/>
      <c r="D103" s="74"/>
      <c r="E103" s="708"/>
      <c r="F103" s="74"/>
      <c r="H103" s="706"/>
    </row>
    <row r="104" spans="2:8" s="96" customFormat="1" ht="16.5" x14ac:dyDescent="0.35">
      <c r="B104" s="706"/>
      <c r="C104" s="746"/>
      <c r="D104" s="74"/>
      <c r="E104" s="708"/>
      <c r="F104" s="74"/>
      <c r="H104" s="706"/>
    </row>
    <row r="105" spans="2:8" s="96" customFormat="1" ht="16.5" x14ac:dyDescent="0.35">
      <c r="B105" s="706"/>
      <c r="C105" s="746"/>
      <c r="D105" s="74"/>
      <c r="E105" s="708"/>
      <c r="F105" s="74"/>
      <c r="H105" s="706"/>
    </row>
    <row r="106" spans="2:8" s="96" customFormat="1" ht="16.5" x14ac:dyDescent="0.35">
      <c r="B106" s="706"/>
      <c r="C106" s="746"/>
      <c r="D106" s="74"/>
      <c r="E106" s="708"/>
      <c r="F106" s="74"/>
      <c r="H106" s="706"/>
    </row>
    <row r="107" spans="2:8" s="96" customFormat="1" ht="16.5" x14ac:dyDescent="0.35">
      <c r="B107" s="706"/>
      <c r="C107" s="746"/>
      <c r="D107" s="74"/>
      <c r="E107" s="708"/>
      <c r="F107" s="74"/>
      <c r="H107" s="706"/>
    </row>
    <row r="108" spans="2:8" s="96" customFormat="1" ht="16.5" x14ac:dyDescent="0.35">
      <c r="B108" s="706"/>
      <c r="C108" s="746"/>
      <c r="D108" s="74"/>
      <c r="E108" s="708"/>
      <c r="F108" s="74"/>
      <c r="H108" s="706"/>
    </row>
    <row r="109" spans="2:8" s="96" customFormat="1" ht="16.5" x14ac:dyDescent="0.35">
      <c r="B109" s="706"/>
      <c r="C109" s="746"/>
      <c r="D109" s="74"/>
      <c r="E109" s="708"/>
      <c r="F109" s="74"/>
      <c r="H109" s="706"/>
    </row>
    <row r="110" spans="2:8" s="96" customFormat="1" ht="16.5" x14ac:dyDescent="0.35">
      <c r="B110" s="706"/>
      <c r="C110" s="746"/>
      <c r="D110" s="74"/>
      <c r="E110" s="708"/>
      <c r="F110" s="74"/>
      <c r="H110" s="706"/>
    </row>
    <row r="111" spans="2:8" s="96" customFormat="1" ht="16.5" x14ac:dyDescent="0.35">
      <c r="B111" s="706"/>
      <c r="C111" s="746"/>
      <c r="D111" s="74"/>
      <c r="E111" s="708"/>
      <c r="F111" s="74"/>
      <c r="H111" s="706"/>
    </row>
    <row r="112" spans="2:8" s="96" customFormat="1" ht="16.5" x14ac:dyDescent="0.35">
      <c r="B112" s="706"/>
      <c r="C112" s="746"/>
      <c r="D112" s="74"/>
      <c r="E112" s="708"/>
      <c r="F112" s="74"/>
      <c r="H112" s="706"/>
    </row>
    <row r="113" spans="2:8" s="96" customFormat="1" ht="16.5" x14ac:dyDescent="0.35">
      <c r="B113" s="706"/>
      <c r="C113" s="746"/>
      <c r="D113" s="74"/>
      <c r="E113" s="708"/>
      <c r="F113" s="74"/>
      <c r="H113" s="706"/>
    </row>
    <row r="114" spans="2:8" s="96" customFormat="1" ht="16.5" x14ac:dyDescent="0.35">
      <c r="B114" s="706"/>
      <c r="C114" s="746"/>
      <c r="D114" s="74"/>
      <c r="E114" s="708"/>
      <c r="F114" s="74"/>
      <c r="H114" s="706"/>
    </row>
    <row r="115" spans="2:8" s="96" customFormat="1" ht="16.5" x14ac:dyDescent="0.35">
      <c r="B115" s="706"/>
      <c r="C115" s="746"/>
      <c r="D115" s="74"/>
      <c r="E115" s="708"/>
      <c r="F115" s="74"/>
      <c r="H115" s="706"/>
    </row>
    <row r="116" spans="2:8" s="96" customFormat="1" ht="16.5" x14ac:dyDescent="0.35">
      <c r="B116" s="706"/>
      <c r="C116" s="746"/>
      <c r="D116" s="74"/>
      <c r="E116" s="708"/>
      <c r="F116" s="74"/>
      <c r="H116" s="706"/>
    </row>
    <row r="117" spans="2:8" s="96" customFormat="1" ht="16.5" x14ac:dyDescent="0.35">
      <c r="B117" s="706"/>
      <c r="C117" s="746"/>
      <c r="D117" s="74"/>
      <c r="E117" s="708"/>
      <c r="F117" s="74"/>
      <c r="H117" s="706"/>
    </row>
    <row r="118" spans="2:8" s="96" customFormat="1" ht="16.5" x14ac:dyDescent="0.35">
      <c r="B118" s="706"/>
      <c r="C118" s="746"/>
      <c r="D118" s="74"/>
      <c r="E118" s="708"/>
      <c r="F118" s="74"/>
      <c r="H118" s="706"/>
    </row>
    <row r="119" spans="2:8" s="96" customFormat="1" ht="16.5" x14ac:dyDescent="0.35">
      <c r="B119" s="706"/>
      <c r="C119" s="746"/>
      <c r="D119" s="74"/>
      <c r="E119" s="708"/>
      <c r="F119" s="74"/>
      <c r="H119" s="706"/>
    </row>
    <row r="120" spans="2:8" s="96" customFormat="1" ht="16.5" x14ac:dyDescent="0.35">
      <c r="B120" s="706"/>
      <c r="C120" s="746"/>
      <c r="D120" s="74"/>
      <c r="E120" s="708"/>
      <c r="F120" s="74"/>
      <c r="H120" s="706"/>
    </row>
    <row r="121" spans="2:8" s="96" customFormat="1" ht="16.5" x14ac:dyDescent="0.35">
      <c r="B121" s="706"/>
      <c r="C121" s="746"/>
      <c r="D121" s="74"/>
      <c r="E121" s="708"/>
      <c r="F121" s="74"/>
      <c r="H121" s="706"/>
    </row>
    <row r="122" spans="2:8" s="96" customFormat="1" ht="16.5" x14ac:dyDescent="0.35">
      <c r="B122" s="706"/>
      <c r="C122" s="746"/>
      <c r="D122" s="74"/>
      <c r="E122" s="708"/>
      <c r="F122" s="74"/>
      <c r="H122" s="706"/>
    </row>
    <row r="123" spans="2:8" s="96" customFormat="1" ht="16.5" x14ac:dyDescent="0.35">
      <c r="B123" s="706"/>
      <c r="C123" s="746"/>
      <c r="D123" s="74"/>
      <c r="E123" s="708"/>
      <c r="F123" s="74"/>
      <c r="H123" s="706"/>
    </row>
    <row r="124" spans="2:8" s="96" customFormat="1" ht="16.5" x14ac:dyDescent="0.35">
      <c r="B124" s="706"/>
      <c r="C124" s="746"/>
      <c r="D124" s="74"/>
      <c r="E124" s="708"/>
      <c r="F124" s="74"/>
      <c r="H124" s="706"/>
    </row>
    <row r="125" spans="2:8" s="96" customFormat="1" ht="16.5" x14ac:dyDescent="0.35">
      <c r="B125" s="706"/>
      <c r="C125" s="746"/>
      <c r="D125" s="74"/>
      <c r="E125" s="708"/>
      <c r="F125" s="74"/>
      <c r="H125" s="706"/>
    </row>
    <row r="126" spans="2:8" s="96" customFormat="1" ht="16.5" x14ac:dyDescent="0.35">
      <c r="B126" s="706"/>
      <c r="C126" s="746"/>
      <c r="D126" s="74"/>
      <c r="E126" s="708"/>
      <c r="F126" s="74"/>
      <c r="H126" s="706"/>
    </row>
    <row r="127" spans="2:8" s="96" customFormat="1" ht="16.5" x14ac:dyDescent="0.35">
      <c r="B127" s="706"/>
      <c r="C127" s="746"/>
      <c r="D127" s="74"/>
      <c r="E127" s="708"/>
      <c r="F127" s="74"/>
      <c r="H127" s="706"/>
    </row>
    <row r="128" spans="2:8" s="96" customFormat="1" ht="16.5" x14ac:dyDescent="0.35">
      <c r="B128" s="706"/>
      <c r="C128" s="746"/>
      <c r="D128" s="74"/>
      <c r="E128" s="708"/>
      <c r="F128" s="74"/>
      <c r="H128" s="706"/>
    </row>
    <row r="129" spans="2:8" s="96" customFormat="1" ht="16.5" x14ac:dyDescent="0.35">
      <c r="B129" s="706"/>
      <c r="C129" s="746"/>
      <c r="D129" s="74"/>
      <c r="E129" s="708"/>
      <c r="F129" s="74"/>
      <c r="H129" s="706"/>
    </row>
    <row r="130" spans="2:8" s="96" customFormat="1" ht="16.5" x14ac:dyDescent="0.35">
      <c r="B130" s="706"/>
      <c r="C130" s="746"/>
      <c r="D130" s="74"/>
      <c r="E130" s="708"/>
      <c r="F130" s="74"/>
      <c r="H130" s="706"/>
    </row>
    <row r="131" spans="2:8" s="96" customFormat="1" ht="16.5" x14ac:dyDescent="0.35">
      <c r="B131" s="706"/>
      <c r="C131" s="746"/>
      <c r="D131" s="74"/>
      <c r="E131" s="708"/>
      <c r="F131" s="74"/>
      <c r="H131" s="706"/>
    </row>
    <row r="132" spans="2:8" s="96" customFormat="1" ht="16.5" x14ac:dyDescent="0.35">
      <c r="B132" s="706"/>
      <c r="C132" s="746"/>
      <c r="D132" s="74"/>
      <c r="E132" s="708"/>
      <c r="F132" s="74"/>
      <c r="H132" s="706"/>
    </row>
    <row r="133" spans="2:8" s="96" customFormat="1" ht="16.5" x14ac:dyDescent="0.35">
      <c r="B133" s="706"/>
      <c r="C133" s="746"/>
      <c r="D133" s="74"/>
      <c r="E133" s="708"/>
      <c r="F133" s="74"/>
      <c r="H133" s="706"/>
    </row>
    <row r="134" spans="2:8" s="96" customFormat="1" ht="16.5" x14ac:dyDescent="0.35">
      <c r="B134" s="706"/>
      <c r="C134" s="746"/>
      <c r="D134" s="74"/>
      <c r="E134" s="708"/>
      <c r="F134" s="74"/>
      <c r="H134" s="706"/>
    </row>
    <row r="135" spans="2:8" s="96" customFormat="1" ht="16.5" x14ac:dyDescent="0.35">
      <c r="B135" s="706"/>
      <c r="C135" s="746"/>
      <c r="D135" s="74"/>
      <c r="E135" s="708"/>
      <c r="F135" s="74"/>
      <c r="H135" s="706"/>
    </row>
    <row r="136" spans="2:8" s="96" customFormat="1" ht="16.5" x14ac:dyDescent="0.35">
      <c r="B136" s="706"/>
      <c r="C136" s="746"/>
      <c r="D136" s="74"/>
      <c r="E136" s="708"/>
      <c r="F136" s="74"/>
      <c r="H136" s="706"/>
    </row>
    <row r="137" spans="2:8" s="96" customFormat="1" ht="16.5" x14ac:dyDescent="0.35">
      <c r="B137" s="706"/>
      <c r="C137" s="746"/>
      <c r="D137" s="74"/>
      <c r="E137" s="708"/>
      <c r="F137" s="74"/>
      <c r="H137" s="706"/>
    </row>
    <row r="138" spans="2:8" s="96" customFormat="1" ht="16.5" x14ac:dyDescent="0.35">
      <c r="B138" s="706"/>
      <c r="C138" s="746"/>
      <c r="D138" s="74"/>
      <c r="E138" s="708"/>
      <c r="F138" s="74"/>
      <c r="H138" s="706"/>
    </row>
    <row r="139" spans="2:8" s="96" customFormat="1" ht="16.5" x14ac:dyDescent="0.35">
      <c r="B139" s="706"/>
      <c r="C139" s="746"/>
      <c r="D139" s="74"/>
      <c r="E139" s="708"/>
      <c r="F139" s="74"/>
      <c r="H139" s="706"/>
    </row>
    <row r="140" spans="2:8" s="96" customFormat="1" ht="16.5" x14ac:dyDescent="0.35">
      <c r="B140" s="706"/>
      <c r="C140" s="746"/>
      <c r="D140" s="74"/>
      <c r="E140" s="708"/>
      <c r="F140" s="74"/>
      <c r="H140" s="706"/>
    </row>
    <row r="141" spans="2:8" s="96" customFormat="1" ht="16.5" x14ac:dyDescent="0.35">
      <c r="B141" s="706"/>
      <c r="C141" s="746"/>
      <c r="D141" s="74"/>
      <c r="E141" s="708"/>
      <c r="F141" s="74"/>
      <c r="H141" s="706"/>
    </row>
    <row r="142" spans="2:8" s="96" customFormat="1" ht="16.5" x14ac:dyDescent="0.35">
      <c r="B142" s="706"/>
      <c r="C142" s="746"/>
      <c r="D142" s="74"/>
      <c r="E142" s="708"/>
      <c r="F142" s="74"/>
      <c r="H142" s="706"/>
    </row>
    <row r="143" spans="2:8" s="96" customFormat="1" ht="16.5" x14ac:dyDescent="0.35">
      <c r="B143" s="706"/>
      <c r="C143" s="746"/>
      <c r="D143" s="74"/>
      <c r="E143" s="708"/>
      <c r="F143" s="74"/>
      <c r="H143" s="706"/>
    </row>
    <row r="144" spans="2:8" s="96" customFormat="1" ht="16.5" x14ac:dyDescent="0.35">
      <c r="B144" s="706"/>
      <c r="C144" s="746"/>
      <c r="D144" s="74"/>
      <c r="E144" s="708"/>
      <c r="F144" s="74"/>
      <c r="H144" s="706"/>
    </row>
    <row r="145" spans="2:8" s="96" customFormat="1" ht="16.5" x14ac:dyDescent="0.35">
      <c r="B145" s="706"/>
      <c r="C145" s="746"/>
      <c r="D145" s="74"/>
      <c r="E145" s="708"/>
      <c r="F145" s="74"/>
      <c r="H145" s="706"/>
    </row>
    <row r="146" spans="2:8" s="96" customFormat="1" ht="16.5" x14ac:dyDescent="0.35">
      <c r="B146" s="706"/>
      <c r="C146" s="746"/>
      <c r="D146" s="74"/>
      <c r="E146" s="708"/>
      <c r="F146" s="74"/>
      <c r="H146" s="706"/>
    </row>
    <row r="147" spans="2:8" s="96" customFormat="1" ht="16.5" x14ac:dyDescent="0.35">
      <c r="B147" s="706"/>
      <c r="C147" s="746"/>
      <c r="D147" s="74"/>
      <c r="E147" s="708"/>
      <c r="F147" s="74"/>
      <c r="H147" s="706"/>
    </row>
    <row r="148" spans="2:8" s="96" customFormat="1" ht="16.5" x14ac:dyDescent="0.35">
      <c r="B148" s="706"/>
      <c r="C148" s="746"/>
      <c r="D148" s="74"/>
      <c r="E148" s="708"/>
      <c r="F148" s="74"/>
      <c r="H148" s="706"/>
    </row>
    <row r="149" spans="2:8" s="96" customFormat="1" ht="16.5" x14ac:dyDescent="0.35">
      <c r="B149" s="706"/>
      <c r="C149" s="746"/>
      <c r="D149" s="74"/>
      <c r="E149" s="708"/>
      <c r="F149" s="74"/>
      <c r="H149" s="706"/>
    </row>
    <row r="150" spans="2:8" s="96" customFormat="1" ht="16.5" x14ac:dyDescent="0.35">
      <c r="B150" s="706"/>
      <c r="C150" s="746"/>
      <c r="D150" s="74"/>
      <c r="E150" s="708"/>
      <c r="F150" s="74"/>
      <c r="H150" s="706"/>
    </row>
    <row r="151" spans="2:8" s="96" customFormat="1" ht="16.5" x14ac:dyDescent="0.35">
      <c r="B151" s="706"/>
      <c r="C151" s="746"/>
      <c r="D151" s="74"/>
      <c r="E151" s="708"/>
      <c r="F151" s="74"/>
      <c r="H151" s="706"/>
    </row>
    <row r="152" spans="2:8" s="96" customFormat="1" ht="16.5" x14ac:dyDescent="0.35">
      <c r="B152" s="706"/>
      <c r="C152" s="746"/>
      <c r="D152" s="74"/>
      <c r="E152" s="708"/>
      <c r="F152" s="74"/>
      <c r="H152" s="706"/>
    </row>
    <row r="153" spans="2:8" s="96" customFormat="1" ht="16.5" x14ac:dyDescent="0.35">
      <c r="B153" s="706"/>
      <c r="C153" s="746"/>
      <c r="D153" s="74"/>
      <c r="E153" s="708"/>
      <c r="F153" s="74"/>
      <c r="H153" s="706"/>
    </row>
    <row r="154" spans="2:8" s="96" customFormat="1" ht="16.5" x14ac:dyDescent="0.35">
      <c r="B154" s="706"/>
      <c r="C154" s="746"/>
      <c r="D154" s="74"/>
      <c r="E154" s="708"/>
      <c r="F154" s="74"/>
      <c r="H154" s="706"/>
    </row>
    <row r="155" spans="2:8" s="96" customFormat="1" ht="16.5" x14ac:dyDescent="0.35">
      <c r="B155" s="706"/>
      <c r="C155" s="746"/>
      <c r="D155" s="74"/>
      <c r="E155" s="708"/>
      <c r="F155" s="74"/>
      <c r="H155" s="706"/>
    </row>
    <row r="156" spans="2:8" s="96" customFormat="1" ht="16.5" x14ac:dyDescent="0.35">
      <c r="B156" s="706"/>
      <c r="C156" s="746"/>
      <c r="D156" s="74"/>
      <c r="E156" s="708"/>
      <c r="F156" s="74"/>
      <c r="H156" s="706"/>
    </row>
    <row r="157" spans="2:8" s="96" customFormat="1" ht="16.5" x14ac:dyDescent="0.35">
      <c r="B157" s="706"/>
      <c r="C157" s="746"/>
      <c r="D157" s="74"/>
      <c r="E157" s="708"/>
      <c r="F157" s="74"/>
      <c r="H157" s="706"/>
    </row>
    <row r="158" spans="2:8" s="96" customFormat="1" ht="16.5" x14ac:dyDescent="0.35">
      <c r="B158" s="706"/>
      <c r="C158" s="746"/>
      <c r="D158" s="74"/>
      <c r="E158" s="708"/>
      <c r="F158" s="74"/>
      <c r="H158" s="706"/>
    </row>
    <row r="159" spans="2:8" s="96" customFormat="1" ht="16.5" x14ac:dyDescent="0.35">
      <c r="B159" s="706"/>
      <c r="C159" s="746"/>
      <c r="D159" s="74"/>
      <c r="E159" s="708"/>
      <c r="F159" s="74"/>
      <c r="H159" s="706"/>
    </row>
    <row r="160" spans="2:8" s="96" customFormat="1" ht="16.5" x14ac:dyDescent="0.35">
      <c r="B160" s="706"/>
      <c r="C160" s="746"/>
      <c r="D160" s="74"/>
      <c r="E160" s="708"/>
      <c r="F160" s="74"/>
      <c r="H160" s="706"/>
    </row>
    <row r="161" spans="2:8" s="96" customFormat="1" ht="16.5" x14ac:dyDescent="0.35">
      <c r="B161" s="706"/>
      <c r="C161" s="746"/>
      <c r="D161" s="74"/>
      <c r="E161" s="708"/>
      <c r="F161" s="74"/>
      <c r="H161" s="706"/>
    </row>
    <row r="162" spans="2:8" s="96" customFormat="1" ht="16.5" x14ac:dyDescent="0.35">
      <c r="B162" s="706"/>
      <c r="C162" s="746"/>
      <c r="D162" s="74"/>
      <c r="E162" s="708"/>
      <c r="F162" s="74"/>
      <c r="H162" s="706"/>
    </row>
    <row r="163" spans="2:8" s="96" customFormat="1" ht="12.75" x14ac:dyDescent="0.25">
      <c r="B163" s="706"/>
      <c r="D163" s="74"/>
      <c r="E163" s="708"/>
      <c r="F163" s="74"/>
      <c r="H163" s="706"/>
    </row>
    <row r="164" spans="2:8" s="96" customFormat="1" ht="12.75" x14ac:dyDescent="0.25">
      <c r="B164" s="706"/>
      <c r="D164" s="74"/>
      <c r="E164" s="708"/>
      <c r="F164" s="74"/>
      <c r="H164" s="706"/>
    </row>
    <row r="165" spans="2:8" s="96" customFormat="1" ht="12.75" x14ac:dyDescent="0.25">
      <c r="B165" s="706"/>
      <c r="D165" s="74"/>
      <c r="E165" s="708"/>
      <c r="F165" s="74"/>
      <c r="H165" s="706"/>
    </row>
    <row r="166" spans="2:8" s="96" customFormat="1" ht="12.75" x14ac:dyDescent="0.25">
      <c r="B166" s="706"/>
      <c r="D166" s="74"/>
      <c r="E166" s="708"/>
      <c r="F166" s="74"/>
      <c r="H166" s="706"/>
    </row>
    <row r="167" spans="2:8" s="96" customFormat="1" ht="12.75" x14ac:dyDescent="0.25">
      <c r="B167" s="706"/>
      <c r="D167" s="74"/>
      <c r="E167" s="708"/>
      <c r="F167" s="74"/>
      <c r="H167" s="706"/>
    </row>
    <row r="168" spans="2:8" s="96" customFormat="1" ht="12.75" x14ac:dyDescent="0.25">
      <c r="B168" s="706"/>
      <c r="D168" s="74"/>
      <c r="E168" s="708"/>
      <c r="F168" s="74"/>
      <c r="H168" s="706"/>
    </row>
    <row r="169" spans="2:8" s="96" customFormat="1" ht="12.75" x14ac:dyDescent="0.25">
      <c r="B169" s="706"/>
      <c r="D169" s="74"/>
      <c r="E169" s="708"/>
      <c r="F169" s="74"/>
      <c r="H169" s="706"/>
    </row>
    <row r="170" spans="2:8" s="96" customFormat="1" ht="12.75" x14ac:dyDescent="0.25">
      <c r="B170" s="706"/>
      <c r="D170" s="74"/>
      <c r="E170" s="708"/>
      <c r="F170" s="74"/>
      <c r="H170" s="706"/>
    </row>
    <row r="171" spans="2:8" s="96" customFormat="1" ht="12.75" x14ac:dyDescent="0.25">
      <c r="B171" s="706"/>
      <c r="D171" s="74"/>
      <c r="E171" s="708"/>
      <c r="F171" s="74"/>
      <c r="H171" s="706"/>
    </row>
    <row r="172" spans="2:8" s="96" customFormat="1" ht="12.75" x14ac:dyDescent="0.25">
      <c r="B172" s="706"/>
      <c r="D172" s="74"/>
      <c r="E172" s="708"/>
      <c r="F172" s="74"/>
      <c r="H172" s="706"/>
    </row>
    <row r="173" spans="2:8" s="96" customFormat="1" ht="12.75" x14ac:dyDescent="0.25">
      <c r="B173" s="706"/>
      <c r="D173" s="74"/>
      <c r="E173" s="708"/>
      <c r="F173" s="74"/>
      <c r="H173" s="706"/>
    </row>
    <row r="174" spans="2:8" s="96" customFormat="1" ht="12.75" x14ac:dyDescent="0.25">
      <c r="B174" s="706"/>
      <c r="D174" s="74"/>
      <c r="E174" s="708"/>
      <c r="F174" s="74"/>
      <c r="H174" s="706"/>
    </row>
  </sheetData>
  <mergeCells count="11">
    <mergeCell ref="C41:C44"/>
    <mergeCell ref="C45:C46"/>
    <mergeCell ref="C47:C49"/>
    <mergeCell ref="C50:C58"/>
    <mergeCell ref="C61:C70"/>
    <mergeCell ref="C38:C39"/>
    <mergeCell ref="C12:C22"/>
    <mergeCell ref="C23:C24"/>
    <mergeCell ref="C25:C28"/>
    <mergeCell ref="C29:C30"/>
    <mergeCell ref="C31:C36"/>
  </mergeCells>
  <conditionalFormatting sqref="F12:F71">
    <cfRule type="expression" dxfId="17" priority="2">
      <formula>F12="To follow"</formula>
    </cfRule>
    <cfRule type="expression" dxfId="16" priority="4">
      <formula>F12="No"</formula>
    </cfRule>
    <cfRule type="expression" dxfId="15" priority="6">
      <formula>OR(F12="Yes",F12="Not required",F12="N/A",F12="Agreed",F12="Approved")</formula>
    </cfRule>
  </conditionalFormatting>
  <conditionalFormatting sqref="G12:G71">
    <cfRule type="expression" dxfId="14" priority="1">
      <formula>F12="To follow"</formula>
    </cfRule>
    <cfRule type="expression" dxfId="13" priority="3">
      <formula>F12="No"</formula>
    </cfRule>
    <cfRule type="expression" dxfId="12" priority="5">
      <formula>OR(F12="Yes",F12="Not required",F12="N/A",F12="Agreed",F12="Approved")</formula>
    </cfRule>
  </conditionalFormatting>
  <dataValidations count="1">
    <dataValidation type="list" allowBlank="1" showInputMessage="1" showErrorMessage="1" sqref="F12:F71" xr:uid="{5CAC934E-C4FA-47ED-B66D-7B1E4786B296}">
      <formula1>"Yes, No, To Follow, N/A, Not Required, Agreed, Approved"</formula1>
    </dataValidation>
  </dataValidations>
  <pageMargins left="0.31496062992125984" right="0.31496062992125984" top="0.35433070866141736" bottom="0.35433070866141736" header="0.31496062992125984" footer="0.31496062992125984"/>
  <pageSetup paperSize="9" scale="57" fitToHeight="0" orientation="landscape" horizontalDpi="4294967292" r:id="rId1"/>
  <headerFooter>
    <oddFooter>&amp;RPage &amp;P of &amp;N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F6481-6F15-4CE1-922E-50B8C8F315D4}">
  <sheetPr codeName="Sheet36">
    <tabColor theme="7" tint="0.39997558519241921"/>
    <pageSetUpPr fitToPage="1"/>
  </sheetPr>
  <dimension ref="A1:M174"/>
  <sheetViews>
    <sheetView showGridLines="0" view="pageBreakPreview" zoomScaleNormal="100" zoomScaleSheetLayoutView="100" workbookViewId="0">
      <selection activeCell="C12" sqref="C12:C23"/>
    </sheetView>
  </sheetViews>
  <sheetFormatPr defaultRowHeight="18" x14ac:dyDescent="0.35"/>
  <cols>
    <col min="1" max="1" width="2.42578125" style="93" customWidth="1"/>
    <col min="2" max="2" width="3.28515625" style="94" customWidth="1"/>
    <col min="3" max="3" width="30.7109375" style="93" customWidth="1"/>
    <col min="4" max="4" width="5.28515625" style="95" bestFit="1" customWidth="1"/>
    <col min="5" max="5" width="82" style="76" customWidth="1"/>
    <col min="6" max="6" width="14.42578125" style="72" customWidth="1"/>
    <col min="7" max="7" width="11" style="75" customWidth="1"/>
    <col min="8" max="8" width="90.85546875" style="71" customWidth="1"/>
    <col min="9" max="11" width="2.42578125" style="93" customWidth="1"/>
    <col min="12" max="12" width="43.140625" style="96" customWidth="1"/>
    <col min="13" max="13" width="2.42578125" style="93" customWidth="1"/>
    <col min="14" max="16384" width="9.140625" style="93"/>
  </cols>
  <sheetData>
    <row r="1" spans="1:13" s="75" customFormat="1" ht="14.25" x14ac:dyDescent="0.3">
      <c r="A1" s="70" t="s">
        <v>3455</v>
      </c>
      <c r="B1" s="71"/>
      <c r="C1" s="72"/>
      <c r="D1" s="72"/>
      <c r="E1" s="73"/>
      <c r="F1" s="72"/>
      <c r="G1" s="72"/>
      <c r="H1" s="749" t="s">
        <v>3525</v>
      </c>
      <c r="I1" s="72"/>
      <c r="J1" s="72"/>
      <c r="K1" s="72"/>
      <c r="L1" s="74"/>
      <c r="M1" s="72"/>
    </row>
    <row r="2" spans="1:13" s="82" customFormat="1" ht="3" customHeight="1" x14ac:dyDescent="0.3">
      <c r="A2" s="77"/>
      <c r="B2" s="78"/>
      <c r="C2" s="79"/>
      <c r="D2" s="79"/>
      <c r="E2" s="80"/>
      <c r="F2" s="79"/>
      <c r="G2" s="79"/>
      <c r="H2" s="78"/>
      <c r="I2" s="79"/>
      <c r="J2" s="79"/>
      <c r="K2" s="79"/>
      <c r="L2" s="81"/>
      <c r="M2" s="79"/>
    </row>
    <row r="3" spans="1:13" s="75" customFormat="1" ht="3" customHeight="1" x14ac:dyDescent="0.3">
      <c r="A3" s="83"/>
      <c r="B3" s="84"/>
      <c r="C3" s="85"/>
      <c r="D3" s="85"/>
      <c r="E3" s="86"/>
      <c r="F3" s="72"/>
      <c r="G3" s="72"/>
      <c r="H3" s="71"/>
      <c r="I3" s="72"/>
      <c r="J3" s="72"/>
      <c r="K3" s="72"/>
      <c r="L3" s="74"/>
      <c r="M3" s="72"/>
    </row>
    <row r="4" spans="1:13" s="87" customFormat="1" ht="16.5" x14ac:dyDescent="0.35">
      <c r="B4" s="743" t="s">
        <v>3526</v>
      </c>
      <c r="C4" s="763"/>
      <c r="D4" s="88"/>
      <c r="E4" s="711" t="s">
        <v>3615</v>
      </c>
      <c r="F4" s="89"/>
      <c r="G4" s="88"/>
      <c r="H4" s="90"/>
      <c r="I4" s="88"/>
      <c r="J4" s="88"/>
      <c r="K4" s="88"/>
      <c r="L4" s="91"/>
      <c r="M4" s="88"/>
    </row>
    <row r="5" spans="1:13" s="87" customFormat="1" ht="16.5" x14ac:dyDescent="0.35">
      <c r="B5" s="743" t="s">
        <v>1205</v>
      </c>
      <c r="C5" s="763"/>
      <c r="D5" s="88"/>
      <c r="E5" s="710" t="str">
        <f>'3C'!E5</f>
        <v>xxxxxxx</v>
      </c>
      <c r="F5" s="88"/>
      <c r="G5" s="88"/>
      <c r="H5" s="90"/>
      <c r="I5" s="88"/>
      <c r="J5" s="88"/>
      <c r="K5" s="88"/>
      <c r="L5" s="91"/>
      <c r="M5" s="88"/>
    </row>
    <row r="6" spans="1:13" s="87" customFormat="1" ht="16.5" x14ac:dyDescent="0.35">
      <c r="B6" s="743" t="s">
        <v>1089</v>
      </c>
      <c r="C6" s="763"/>
      <c r="D6" s="88"/>
      <c r="E6" s="710" t="str">
        <f ca="1">'3C'!E6</f>
        <v xml:space="preserve"> 
and
 0 
and
 N/A</v>
      </c>
      <c r="F6" s="88"/>
      <c r="G6" s="88"/>
      <c r="H6" s="90"/>
      <c r="I6" s="88"/>
      <c r="J6" s="88"/>
      <c r="K6" s="88"/>
      <c r="L6" s="91"/>
      <c r="M6" s="88"/>
    </row>
    <row r="7" spans="1:13" s="87" customFormat="1" ht="3" customHeight="1" x14ac:dyDescent="0.3">
      <c r="B7" s="90"/>
      <c r="C7" s="88"/>
      <c r="D7" s="88"/>
      <c r="E7" s="92"/>
      <c r="F7" s="88"/>
      <c r="G7" s="88"/>
      <c r="H7" s="90"/>
      <c r="I7" s="88"/>
      <c r="J7" s="88"/>
      <c r="K7" s="88"/>
      <c r="L7" s="91"/>
      <c r="M7" s="88"/>
    </row>
    <row r="8" spans="1:13" s="766" customFormat="1" ht="16.5" x14ac:dyDescent="0.35">
      <c r="B8" s="745" t="s">
        <v>3616</v>
      </c>
      <c r="C8" s="767"/>
      <c r="D8" s="768"/>
      <c r="E8" s="769"/>
      <c r="F8" s="768"/>
      <c r="G8" s="767"/>
      <c r="H8" s="770"/>
      <c r="I8" s="767"/>
      <c r="J8" s="767"/>
      <c r="K8" s="767"/>
      <c r="L8" s="767"/>
      <c r="M8" s="767"/>
    </row>
    <row r="9" spans="1:13" ht="3" customHeight="1" thickBot="1" x14ac:dyDescent="0.4"/>
    <row r="10" spans="1:13" s="746" customFormat="1" thickTop="1" thickBot="1" x14ac:dyDescent="0.4">
      <c r="B10" s="771"/>
      <c r="C10" s="772" t="s">
        <v>3529</v>
      </c>
      <c r="D10" s="772" t="s">
        <v>3530</v>
      </c>
      <c r="E10" s="773" t="s">
        <v>3531</v>
      </c>
      <c r="F10" s="772" t="s">
        <v>647</v>
      </c>
      <c r="G10" s="772" t="s">
        <v>3532</v>
      </c>
      <c r="H10" s="773" t="s">
        <v>3533</v>
      </c>
      <c r="K10" s="747"/>
      <c r="L10" s="774" t="s">
        <v>3534</v>
      </c>
    </row>
    <row r="11" spans="1:13" ht="3" customHeight="1" thickTop="1" thickBot="1" x14ac:dyDescent="0.4">
      <c r="H11" s="75"/>
      <c r="K11" s="97"/>
    </row>
    <row r="12" spans="1:13" s="96" customFormat="1" ht="14.25" thickTop="1" thickBot="1" x14ac:dyDescent="0.3">
      <c r="B12" s="706"/>
      <c r="C12" s="3875" t="s">
        <v>3535</v>
      </c>
      <c r="D12" s="707">
        <v>1.01</v>
      </c>
      <c r="E12" s="708" t="s">
        <v>3611</v>
      </c>
      <c r="F12" s="713" t="s">
        <v>33</v>
      </c>
      <c r="G12" s="713" t="str">
        <f t="shared" ref="G12:G43" si="0">+IF(F12="","",IF(F12="No","O",IF(F12="To Follow","W","P")))</f>
        <v>P</v>
      </c>
      <c r="H12" s="714"/>
      <c r="K12" s="712"/>
      <c r="L12" s="98"/>
    </row>
    <row r="13" spans="1:13" s="96" customFormat="1" ht="14.25" thickTop="1" thickBot="1" x14ac:dyDescent="0.3">
      <c r="B13" s="706"/>
      <c r="C13" s="3875"/>
      <c r="D13" s="752">
        <f t="shared" ref="D13:D22" si="1">+D12+0.01</f>
        <v>1.02</v>
      </c>
      <c r="E13" s="708" t="s">
        <v>3537</v>
      </c>
      <c r="F13" s="713" t="s">
        <v>33</v>
      </c>
      <c r="G13" s="713" t="str">
        <f t="shared" si="0"/>
        <v>P</v>
      </c>
      <c r="H13" s="714"/>
      <c r="K13" s="712"/>
      <c r="L13" s="98"/>
    </row>
    <row r="14" spans="1:13" s="96" customFormat="1" ht="14.25" thickTop="1" thickBot="1" x14ac:dyDescent="0.3">
      <c r="B14" s="706"/>
      <c r="C14" s="3875"/>
      <c r="D14" s="752">
        <f t="shared" si="1"/>
        <v>1.03</v>
      </c>
      <c r="E14" s="708" t="s">
        <v>3538</v>
      </c>
      <c r="F14" s="713" t="s">
        <v>33</v>
      </c>
      <c r="G14" s="713" t="str">
        <f t="shared" si="0"/>
        <v>P</v>
      </c>
      <c r="H14" s="714"/>
      <c r="K14" s="712"/>
      <c r="L14" s="98"/>
    </row>
    <row r="15" spans="1:13" s="96" customFormat="1" ht="14.25" thickTop="1" thickBot="1" x14ac:dyDescent="0.3">
      <c r="B15" s="706"/>
      <c r="C15" s="3875"/>
      <c r="D15" s="707">
        <f t="shared" si="1"/>
        <v>1.04</v>
      </c>
      <c r="E15" s="708" t="s">
        <v>3539</v>
      </c>
      <c r="F15" s="713" t="s">
        <v>33</v>
      </c>
      <c r="G15" s="713" t="str">
        <f t="shared" si="0"/>
        <v>P</v>
      </c>
      <c r="H15" s="714"/>
      <c r="K15" s="712"/>
      <c r="L15" s="98"/>
    </row>
    <row r="16" spans="1:13" s="96" customFormat="1" ht="14.25" thickTop="1" thickBot="1" x14ac:dyDescent="0.3">
      <c r="B16" s="706"/>
      <c r="C16" s="3875"/>
      <c r="D16" s="707">
        <f t="shared" si="1"/>
        <v>1.05</v>
      </c>
      <c r="E16" s="708" t="s">
        <v>3540</v>
      </c>
      <c r="F16" s="713" t="s">
        <v>3541</v>
      </c>
      <c r="G16" s="713" t="str">
        <f t="shared" si="0"/>
        <v>W</v>
      </c>
      <c r="H16" s="714"/>
      <c r="K16" s="712"/>
      <c r="L16" s="98"/>
    </row>
    <row r="17" spans="2:12" s="96" customFormat="1" ht="14.25" thickTop="1" thickBot="1" x14ac:dyDescent="0.3">
      <c r="B17" s="706"/>
      <c r="C17" s="3875"/>
      <c r="D17" s="707">
        <f t="shared" si="1"/>
        <v>1.06</v>
      </c>
      <c r="E17" s="708" t="s">
        <v>3542</v>
      </c>
      <c r="F17" s="713" t="s">
        <v>33</v>
      </c>
      <c r="G17" s="713" t="str">
        <f t="shared" si="0"/>
        <v>P</v>
      </c>
      <c r="H17" s="714"/>
      <c r="K17" s="712"/>
      <c r="L17" s="98"/>
    </row>
    <row r="18" spans="2:12" s="96" customFormat="1" ht="14.25" thickTop="1" thickBot="1" x14ac:dyDescent="0.3">
      <c r="B18" s="706"/>
      <c r="C18" s="3875"/>
      <c r="D18" s="707">
        <f t="shared" si="1"/>
        <v>1.07</v>
      </c>
      <c r="E18" s="708" t="s">
        <v>3543</v>
      </c>
      <c r="F18" s="713" t="s">
        <v>33</v>
      </c>
      <c r="G18" s="713" t="str">
        <f t="shared" si="0"/>
        <v>P</v>
      </c>
      <c r="H18" s="714"/>
      <c r="K18" s="712"/>
      <c r="L18" s="98"/>
    </row>
    <row r="19" spans="2:12" s="96" customFormat="1" ht="14.25" thickTop="1" thickBot="1" x14ac:dyDescent="0.3">
      <c r="B19" s="706"/>
      <c r="C19" s="3875"/>
      <c r="D19" s="707">
        <f t="shared" si="1"/>
        <v>1.08</v>
      </c>
      <c r="E19" s="708" t="s">
        <v>3544</v>
      </c>
      <c r="F19" s="713" t="s">
        <v>3541</v>
      </c>
      <c r="G19" s="713" t="str">
        <f t="shared" si="0"/>
        <v>W</v>
      </c>
      <c r="H19" s="714"/>
      <c r="K19" s="712"/>
      <c r="L19" s="98"/>
    </row>
    <row r="20" spans="2:12" s="96" customFormat="1" ht="14.25" thickTop="1" thickBot="1" x14ac:dyDescent="0.3">
      <c r="B20" s="706"/>
      <c r="C20" s="3875"/>
      <c r="D20" s="752">
        <f t="shared" si="1"/>
        <v>1.0900000000000001</v>
      </c>
      <c r="E20" s="715" t="s">
        <v>3545</v>
      </c>
      <c r="F20" s="713" t="s">
        <v>33</v>
      </c>
      <c r="G20" s="713" t="str">
        <f t="shared" si="0"/>
        <v>P</v>
      </c>
      <c r="H20" s="714"/>
      <c r="K20" s="712"/>
      <c r="L20" s="98"/>
    </row>
    <row r="21" spans="2:12" s="96" customFormat="1" ht="14.25" thickTop="1" thickBot="1" x14ac:dyDescent="0.3">
      <c r="B21" s="706"/>
      <c r="C21" s="3875"/>
      <c r="D21" s="753">
        <f t="shared" si="1"/>
        <v>1.1000000000000001</v>
      </c>
      <c r="E21" s="715" t="s">
        <v>3546</v>
      </c>
      <c r="F21" s="713" t="s">
        <v>33</v>
      </c>
      <c r="G21" s="713" t="str">
        <f t="shared" si="0"/>
        <v>P</v>
      </c>
      <c r="H21" s="714"/>
      <c r="K21" s="712"/>
      <c r="L21" s="99"/>
    </row>
    <row r="22" spans="2:12" s="96" customFormat="1" ht="14.25" thickTop="1" thickBot="1" x14ac:dyDescent="0.3">
      <c r="B22" s="706"/>
      <c r="C22" s="3875"/>
      <c r="D22" s="754">
        <f t="shared" si="1"/>
        <v>1.1100000000000001</v>
      </c>
      <c r="E22" s="716" t="s">
        <v>3617</v>
      </c>
      <c r="F22" s="717" t="s">
        <v>33</v>
      </c>
      <c r="G22" s="717" t="str">
        <f t="shared" si="0"/>
        <v>P</v>
      </c>
      <c r="H22" s="718"/>
      <c r="K22" s="712"/>
      <c r="L22" s="98"/>
    </row>
    <row r="23" spans="2:12" s="96" customFormat="1" ht="14.25" thickTop="1" thickBot="1" x14ac:dyDescent="0.3">
      <c r="B23" s="706"/>
      <c r="C23" s="3875" t="s">
        <v>3548</v>
      </c>
      <c r="D23" s="719">
        <v>2.0099999999999998</v>
      </c>
      <c r="E23" s="720" t="s">
        <v>3618</v>
      </c>
      <c r="F23" s="713" t="s">
        <v>33</v>
      </c>
      <c r="G23" s="713" t="str">
        <f t="shared" si="0"/>
        <v>P</v>
      </c>
      <c r="H23" s="714"/>
      <c r="K23" s="712"/>
      <c r="L23" s="98"/>
    </row>
    <row r="24" spans="2:12" s="96" customFormat="1" ht="14.25" thickTop="1" thickBot="1" x14ac:dyDescent="0.3">
      <c r="B24" s="706"/>
      <c r="C24" s="3875"/>
      <c r="D24" s="721">
        <v>2.02</v>
      </c>
      <c r="E24" s="722" t="s">
        <v>3550</v>
      </c>
      <c r="F24" s="717" t="s">
        <v>3541</v>
      </c>
      <c r="G24" s="717" t="str">
        <f t="shared" si="0"/>
        <v>W</v>
      </c>
      <c r="H24" s="723"/>
      <c r="K24" s="712"/>
      <c r="L24" s="98"/>
    </row>
    <row r="25" spans="2:12" s="96" customFormat="1" ht="14.25" thickTop="1" thickBot="1" x14ac:dyDescent="0.3">
      <c r="B25" s="706"/>
      <c r="C25" s="3875" t="s">
        <v>3551</v>
      </c>
      <c r="D25" s="707">
        <v>3.01</v>
      </c>
      <c r="E25" s="720" t="s">
        <v>3552</v>
      </c>
      <c r="F25" s="713" t="s">
        <v>33</v>
      </c>
      <c r="G25" s="713" t="str">
        <f t="shared" si="0"/>
        <v>P</v>
      </c>
      <c r="H25" s="714"/>
      <c r="K25" s="712"/>
      <c r="L25" s="98"/>
    </row>
    <row r="26" spans="2:12" s="96" customFormat="1" ht="14.25" thickTop="1" thickBot="1" x14ac:dyDescent="0.3">
      <c r="B26" s="706"/>
      <c r="C26" s="3875"/>
      <c r="D26" s="707">
        <v>3.02</v>
      </c>
      <c r="E26" s="720" t="s">
        <v>3553</v>
      </c>
      <c r="F26" s="713" t="s">
        <v>3541</v>
      </c>
      <c r="G26" s="713" t="str">
        <f t="shared" si="0"/>
        <v>W</v>
      </c>
      <c r="H26" s="714"/>
      <c r="K26" s="712"/>
      <c r="L26" s="98"/>
    </row>
    <row r="27" spans="2:12" s="96" customFormat="1" ht="14.25" thickTop="1" thickBot="1" x14ac:dyDescent="0.3">
      <c r="B27" s="706"/>
      <c r="C27" s="3875"/>
      <c r="D27" s="707">
        <v>3.03</v>
      </c>
      <c r="E27" s="720" t="s">
        <v>3554</v>
      </c>
      <c r="F27" s="713" t="s">
        <v>3541</v>
      </c>
      <c r="G27" s="713" t="str">
        <f t="shared" si="0"/>
        <v>W</v>
      </c>
      <c r="H27" s="714"/>
      <c r="K27" s="712"/>
      <c r="L27" s="98"/>
    </row>
    <row r="28" spans="2:12" s="96" customFormat="1" ht="14.25" thickTop="1" thickBot="1" x14ac:dyDescent="0.3">
      <c r="B28" s="706"/>
      <c r="C28" s="3875"/>
      <c r="D28" s="724">
        <v>3.04</v>
      </c>
      <c r="E28" s="725" t="s">
        <v>3555</v>
      </c>
      <c r="F28" s="717" t="s">
        <v>3541</v>
      </c>
      <c r="G28" s="717" t="str">
        <f t="shared" si="0"/>
        <v>W</v>
      </c>
      <c r="H28" s="726"/>
      <c r="K28" s="712"/>
      <c r="L28" s="98"/>
    </row>
    <row r="29" spans="2:12" s="96" customFormat="1" ht="14.25" thickTop="1" thickBot="1" x14ac:dyDescent="0.3">
      <c r="B29" s="706"/>
      <c r="C29" s="3875" t="s">
        <v>3556</v>
      </c>
      <c r="D29" s="719">
        <v>4.01</v>
      </c>
      <c r="E29" s="720" t="s">
        <v>3557</v>
      </c>
      <c r="F29" s="713" t="s">
        <v>33</v>
      </c>
      <c r="G29" s="713" t="str">
        <f t="shared" si="0"/>
        <v>P</v>
      </c>
      <c r="H29" s="714"/>
      <c r="K29" s="712"/>
      <c r="L29" s="98"/>
    </row>
    <row r="30" spans="2:12" s="96" customFormat="1" ht="14.25" thickTop="1" thickBot="1" x14ac:dyDescent="0.3">
      <c r="B30" s="706"/>
      <c r="C30" s="3875"/>
      <c r="D30" s="721">
        <v>4.0199999999999996</v>
      </c>
      <c r="E30" s="722" t="s">
        <v>3558</v>
      </c>
      <c r="F30" s="717" t="s">
        <v>3541</v>
      </c>
      <c r="G30" s="717" t="str">
        <f t="shared" si="0"/>
        <v>W</v>
      </c>
      <c r="H30" s="723"/>
      <c r="K30" s="712"/>
      <c r="L30" s="98"/>
    </row>
    <row r="31" spans="2:12" s="96" customFormat="1" ht="14.25" thickTop="1" thickBot="1" x14ac:dyDescent="0.3">
      <c r="B31" s="706"/>
      <c r="C31" s="3875"/>
      <c r="D31" s="719">
        <f>+D29+1</f>
        <v>5.01</v>
      </c>
      <c r="E31" s="720" t="s">
        <v>3559</v>
      </c>
      <c r="F31" s="713" t="s">
        <v>33</v>
      </c>
      <c r="G31" s="713" t="str">
        <f t="shared" si="0"/>
        <v>P</v>
      </c>
      <c r="H31" s="714"/>
      <c r="K31" s="712"/>
      <c r="L31" s="98"/>
    </row>
    <row r="32" spans="2:12" s="96" customFormat="1" ht="14.25" thickTop="1" thickBot="1" x14ac:dyDescent="0.3">
      <c r="B32" s="706"/>
      <c r="C32" s="3875"/>
      <c r="D32" s="707">
        <f>+D31+0.01</f>
        <v>5.0199999999999996</v>
      </c>
      <c r="E32" s="708" t="s">
        <v>3560</v>
      </c>
      <c r="F32" s="713" t="s">
        <v>3541</v>
      </c>
      <c r="G32" s="713" t="str">
        <f t="shared" si="0"/>
        <v>W</v>
      </c>
      <c r="H32" s="714"/>
      <c r="K32" s="712"/>
      <c r="L32" s="98"/>
    </row>
    <row r="33" spans="2:12" s="96" customFormat="1" ht="14.25" thickTop="1" thickBot="1" x14ac:dyDescent="0.3">
      <c r="B33" s="706"/>
      <c r="C33" s="3875"/>
      <c r="D33" s="719">
        <f>+D32+0.01</f>
        <v>5.0299999999999994</v>
      </c>
      <c r="E33" s="715" t="s">
        <v>3561</v>
      </c>
      <c r="F33" s="727" t="s">
        <v>33</v>
      </c>
      <c r="G33" s="728" t="str">
        <f t="shared" si="0"/>
        <v>P</v>
      </c>
      <c r="H33" s="714"/>
      <c r="K33" s="712"/>
      <c r="L33" s="98"/>
    </row>
    <row r="34" spans="2:12" s="96" customFormat="1" ht="14.25" thickTop="1" thickBot="1" x14ac:dyDescent="0.3">
      <c r="B34" s="706"/>
      <c r="C34" s="3875"/>
      <c r="D34" s="719">
        <f>+D33+0.01</f>
        <v>5.0399999999999991</v>
      </c>
      <c r="E34" s="720" t="s">
        <v>3562</v>
      </c>
      <c r="F34" s="727" t="s">
        <v>3541</v>
      </c>
      <c r="G34" s="728" t="str">
        <f t="shared" si="0"/>
        <v>W</v>
      </c>
      <c r="H34" s="714"/>
      <c r="K34" s="712"/>
      <c r="L34" s="98"/>
    </row>
    <row r="35" spans="2:12" s="96" customFormat="1" ht="14.25" thickTop="1" thickBot="1" x14ac:dyDescent="0.3">
      <c r="B35" s="706"/>
      <c r="C35" s="3875"/>
      <c r="D35" s="719">
        <f>+D34+0.01</f>
        <v>5.0499999999999989</v>
      </c>
      <c r="E35" s="720" t="s">
        <v>3563</v>
      </c>
      <c r="F35" s="727" t="s">
        <v>3541</v>
      </c>
      <c r="G35" s="728" t="str">
        <f t="shared" si="0"/>
        <v>W</v>
      </c>
      <c r="H35" s="714"/>
      <c r="K35" s="712"/>
      <c r="L35" s="98"/>
    </row>
    <row r="36" spans="2:12" s="96" customFormat="1" ht="14.25" thickTop="1" thickBot="1" x14ac:dyDescent="0.3">
      <c r="B36" s="706"/>
      <c r="C36" s="3875"/>
      <c r="D36" s="729">
        <f>+D35+0.01</f>
        <v>5.0599999999999987</v>
      </c>
      <c r="E36" s="722" t="s">
        <v>3564</v>
      </c>
      <c r="F36" s="730" t="s">
        <v>3541</v>
      </c>
      <c r="G36" s="731" t="str">
        <f t="shared" si="0"/>
        <v>W</v>
      </c>
      <c r="H36" s="723"/>
      <c r="K36" s="712"/>
      <c r="L36" s="98"/>
    </row>
    <row r="37" spans="2:12" s="96" customFormat="1" thickTop="1" thickBot="1" x14ac:dyDescent="0.3">
      <c r="B37" s="706"/>
      <c r="C37" s="748" t="s">
        <v>3565</v>
      </c>
      <c r="D37" s="724">
        <v>6.01</v>
      </c>
      <c r="E37" s="725" t="s">
        <v>3612</v>
      </c>
      <c r="F37" s="732" t="s">
        <v>33</v>
      </c>
      <c r="G37" s="733" t="str">
        <f t="shared" si="0"/>
        <v>P</v>
      </c>
      <c r="H37" s="726"/>
      <c r="K37" s="712"/>
      <c r="L37" s="98"/>
    </row>
    <row r="38" spans="2:12" s="96" customFormat="1" ht="14.25" thickTop="1" thickBot="1" x14ac:dyDescent="0.3">
      <c r="B38" s="706"/>
      <c r="C38" s="3875" t="s">
        <v>3567</v>
      </c>
      <c r="D38" s="719">
        <f>+D37+1</f>
        <v>7.01</v>
      </c>
      <c r="E38" s="720" t="s">
        <v>3568</v>
      </c>
      <c r="F38" s="727" t="s">
        <v>33</v>
      </c>
      <c r="G38" s="728" t="str">
        <f t="shared" si="0"/>
        <v>P</v>
      </c>
      <c r="H38" s="714"/>
      <c r="K38" s="712"/>
      <c r="L38" s="98"/>
    </row>
    <row r="39" spans="2:12" s="96" customFormat="1" ht="14.25" thickTop="1" thickBot="1" x14ac:dyDescent="0.3">
      <c r="B39" s="706"/>
      <c r="C39" s="3875"/>
      <c r="D39" s="721">
        <f>+D38+0.01</f>
        <v>7.02</v>
      </c>
      <c r="E39" s="722" t="s">
        <v>3569</v>
      </c>
      <c r="F39" s="730" t="s">
        <v>33</v>
      </c>
      <c r="G39" s="731" t="str">
        <f t="shared" si="0"/>
        <v>P</v>
      </c>
      <c r="H39" s="723"/>
      <c r="K39" s="712"/>
      <c r="L39" s="98"/>
    </row>
    <row r="40" spans="2:12" s="96" customFormat="1" thickTop="1" thickBot="1" x14ac:dyDescent="0.3">
      <c r="B40" s="706"/>
      <c r="C40" s="748" t="s">
        <v>3204</v>
      </c>
      <c r="D40" s="735">
        <f>+D38+1</f>
        <v>8.01</v>
      </c>
      <c r="E40" s="736" t="s">
        <v>3619</v>
      </c>
      <c r="F40" s="732" t="s">
        <v>33</v>
      </c>
      <c r="G40" s="733" t="str">
        <f t="shared" si="0"/>
        <v>P</v>
      </c>
      <c r="H40" s="737"/>
      <c r="K40" s="712"/>
      <c r="L40" s="98"/>
    </row>
    <row r="41" spans="2:12" s="96" customFormat="1" ht="14.25" thickTop="1" thickBot="1" x14ac:dyDescent="0.3">
      <c r="B41" s="706"/>
      <c r="C41" s="3875" t="s">
        <v>3571</v>
      </c>
      <c r="D41" s="707">
        <f>+D40+1</f>
        <v>9.01</v>
      </c>
      <c r="E41" s="720" t="s">
        <v>3572</v>
      </c>
      <c r="F41" s="727" t="s">
        <v>33</v>
      </c>
      <c r="G41" s="728" t="str">
        <f t="shared" si="0"/>
        <v>P</v>
      </c>
      <c r="H41" s="714"/>
      <c r="K41" s="712"/>
      <c r="L41" s="98"/>
    </row>
    <row r="42" spans="2:12" s="96" customFormat="1" ht="14.25" thickTop="1" thickBot="1" x14ac:dyDescent="0.3">
      <c r="B42" s="706"/>
      <c r="C42" s="3875"/>
      <c r="D42" s="707">
        <f>+D41+0.01</f>
        <v>9.02</v>
      </c>
      <c r="E42" s="715" t="s">
        <v>3573</v>
      </c>
      <c r="F42" s="727" t="s">
        <v>3541</v>
      </c>
      <c r="G42" s="728" t="str">
        <f t="shared" si="0"/>
        <v>W</v>
      </c>
      <c r="H42" s="714"/>
      <c r="K42" s="712"/>
      <c r="L42" s="98"/>
    </row>
    <row r="43" spans="2:12" s="96" customFormat="1" ht="14.25" thickTop="1" thickBot="1" x14ac:dyDescent="0.3">
      <c r="B43" s="706"/>
      <c r="C43" s="3875"/>
      <c r="D43" s="707">
        <f>+D42+0.01</f>
        <v>9.0299999999999994</v>
      </c>
      <c r="E43" s="715" t="s">
        <v>3574</v>
      </c>
      <c r="F43" s="727" t="s">
        <v>3541</v>
      </c>
      <c r="G43" s="728" t="str">
        <f t="shared" si="0"/>
        <v>W</v>
      </c>
      <c r="H43" s="714"/>
      <c r="K43" s="712"/>
      <c r="L43" s="98"/>
    </row>
    <row r="44" spans="2:12" s="96" customFormat="1" ht="14.25" thickTop="1" thickBot="1" x14ac:dyDescent="0.3">
      <c r="B44" s="706"/>
      <c r="C44" s="3875"/>
      <c r="D44" s="729">
        <f>D43+0.01</f>
        <v>9.0399999999999991</v>
      </c>
      <c r="E44" s="738" t="s">
        <v>3575</v>
      </c>
      <c r="F44" s="730" t="s">
        <v>33</v>
      </c>
      <c r="G44" s="731" t="str">
        <f t="shared" ref="G44:G71" si="2">+IF(F44="","",IF(F44="No","O",IF(F44="To Follow","W","P")))</f>
        <v>P</v>
      </c>
      <c r="H44" s="723"/>
      <c r="K44" s="712"/>
      <c r="L44" s="98"/>
    </row>
    <row r="45" spans="2:12" s="96" customFormat="1" ht="14.25" thickTop="1" thickBot="1" x14ac:dyDescent="0.3">
      <c r="B45" s="706"/>
      <c r="C45" s="3875" t="s">
        <v>455</v>
      </c>
      <c r="D45" s="707">
        <f>+D41+1</f>
        <v>10.01</v>
      </c>
      <c r="E45" s="720" t="s">
        <v>3620</v>
      </c>
      <c r="F45" s="727" t="s">
        <v>33</v>
      </c>
      <c r="G45" s="728" t="str">
        <f t="shared" si="2"/>
        <v>P</v>
      </c>
      <c r="H45" s="714"/>
      <c r="K45" s="712"/>
      <c r="L45" s="98"/>
    </row>
    <row r="46" spans="2:12" s="96" customFormat="1" ht="14.25" thickTop="1" thickBot="1" x14ac:dyDescent="0.3">
      <c r="B46" s="706"/>
      <c r="C46" s="3875"/>
      <c r="D46" s="724">
        <f>+D45+0.01</f>
        <v>10.02</v>
      </c>
      <c r="E46" s="739" t="s">
        <v>3577</v>
      </c>
      <c r="F46" s="730" t="s">
        <v>33</v>
      </c>
      <c r="G46" s="731" t="str">
        <f t="shared" si="2"/>
        <v>P</v>
      </c>
      <c r="H46" s="726"/>
      <c r="K46" s="712"/>
      <c r="L46" s="98"/>
    </row>
    <row r="47" spans="2:12" s="96" customFormat="1" ht="14.25" thickTop="1" thickBot="1" x14ac:dyDescent="0.3">
      <c r="B47" s="706"/>
      <c r="C47" s="3875" t="s">
        <v>3295</v>
      </c>
      <c r="D47" s="719">
        <f>+D45+1</f>
        <v>11.01</v>
      </c>
      <c r="E47" s="720" t="s">
        <v>3578</v>
      </c>
      <c r="F47" s="727" t="s">
        <v>3541</v>
      </c>
      <c r="G47" s="728" t="str">
        <f t="shared" si="2"/>
        <v>W</v>
      </c>
      <c r="H47" s="714"/>
      <c r="K47" s="712"/>
      <c r="L47" s="98"/>
    </row>
    <row r="48" spans="2:12" s="96" customFormat="1" ht="14.25" thickTop="1" thickBot="1" x14ac:dyDescent="0.3">
      <c r="B48" s="706"/>
      <c r="C48" s="3875"/>
      <c r="D48" s="719">
        <f>+D47+0.01</f>
        <v>11.02</v>
      </c>
      <c r="E48" s="720" t="s">
        <v>3579</v>
      </c>
      <c r="F48" s="727" t="s">
        <v>3541</v>
      </c>
      <c r="G48" s="728" t="str">
        <f t="shared" si="2"/>
        <v>W</v>
      </c>
      <c r="H48" s="714"/>
      <c r="K48" s="712"/>
      <c r="L48" s="98"/>
    </row>
    <row r="49" spans="2:12" s="96" customFormat="1" ht="14.25" thickTop="1" thickBot="1" x14ac:dyDescent="0.3">
      <c r="B49" s="706"/>
      <c r="C49" s="3875"/>
      <c r="D49" s="724">
        <f>+D48+0.01</f>
        <v>11.03</v>
      </c>
      <c r="E49" s="725" t="s">
        <v>3621</v>
      </c>
      <c r="F49" s="730" t="s">
        <v>3541</v>
      </c>
      <c r="G49" s="731" t="str">
        <f t="shared" si="2"/>
        <v>W</v>
      </c>
      <c r="H49" s="726"/>
      <c r="K49" s="712"/>
      <c r="L49" s="98"/>
    </row>
    <row r="50" spans="2:12" s="96" customFormat="1" ht="13.5" thickTop="1" x14ac:dyDescent="0.25">
      <c r="B50" s="706"/>
      <c r="C50" s="3876" t="s">
        <v>3581</v>
      </c>
      <c r="D50" s="707">
        <f>+D47+1</f>
        <v>12.01</v>
      </c>
      <c r="E50" s="708" t="s">
        <v>3582</v>
      </c>
      <c r="F50" s="727" t="s">
        <v>33</v>
      </c>
      <c r="G50" s="728" t="str">
        <f t="shared" si="2"/>
        <v>P</v>
      </c>
      <c r="H50" s="714"/>
      <c r="K50" s="712"/>
      <c r="L50" s="98"/>
    </row>
    <row r="51" spans="2:12" s="96" customFormat="1" ht="12.75" x14ac:dyDescent="0.25">
      <c r="B51" s="706"/>
      <c r="C51" s="3877"/>
      <c r="D51" s="707">
        <f>D50+0.01</f>
        <v>12.02</v>
      </c>
      <c r="E51" s="720" t="s">
        <v>3583</v>
      </c>
      <c r="F51" s="727" t="s">
        <v>33</v>
      </c>
      <c r="G51" s="728" t="str">
        <f t="shared" si="2"/>
        <v>P</v>
      </c>
      <c r="H51" s="714"/>
      <c r="K51" s="712"/>
      <c r="L51" s="98"/>
    </row>
    <row r="52" spans="2:12" s="96" customFormat="1" ht="12.75" x14ac:dyDescent="0.25">
      <c r="B52" s="706"/>
      <c r="C52" s="3877"/>
      <c r="D52" s="707" t="s">
        <v>3584</v>
      </c>
      <c r="E52" s="740" t="s">
        <v>3585</v>
      </c>
      <c r="F52" s="727" t="s">
        <v>33</v>
      </c>
      <c r="G52" s="728" t="str">
        <f t="shared" si="2"/>
        <v>P</v>
      </c>
      <c r="H52" s="714"/>
      <c r="K52" s="712"/>
      <c r="L52" s="98"/>
    </row>
    <row r="53" spans="2:12" s="96" customFormat="1" ht="12.75" x14ac:dyDescent="0.25">
      <c r="B53" s="706"/>
      <c r="C53" s="3877"/>
      <c r="D53" s="707">
        <f>+D51+0.01</f>
        <v>12.03</v>
      </c>
      <c r="E53" s="715" t="s">
        <v>3586</v>
      </c>
      <c r="F53" s="728"/>
      <c r="G53" s="728" t="str">
        <f t="shared" si="2"/>
        <v/>
      </c>
      <c r="H53" s="714"/>
      <c r="K53" s="712"/>
      <c r="L53" s="98"/>
    </row>
    <row r="54" spans="2:12" s="96" customFormat="1" ht="12.75" x14ac:dyDescent="0.25">
      <c r="B54" s="706"/>
      <c r="C54" s="3877"/>
      <c r="D54" s="707" t="s">
        <v>3584</v>
      </c>
      <c r="E54" s="741" t="s">
        <v>3587</v>
      </c>
      <c r="F54" s="727" t="s">
        <v>3541</v>
      </c>
      <c r="G54" s="728" t="str">
        <f t="shared" si="2"/>
        <v>W</v>
      </c>
      <c r="H54" s="714"/>
      <c r="K54" s="712"/>
      <c r="L54" s="98"/>
    </row>
    <row r="55" spans="2:12" s="96" customFormat="1" ht="12.75" x14ac:dyDescent="0.25">
      <c r="B55" s="706"/>
      <c r="C55" s="3877"/>
      <c r="D55" s="707" t="s">
        <v>3584</v>
      </c>
      <c r="E55" s="741" t="s">
        <v>3588</v>
      </c>
      <c r="F55" s="727" t="s">
        <v>3541</v>
      </c>
      <c r="G55" s="728" t="str">
        <f t="shared" si="2"/>
        <v>W</v>
      </c>
      <c r="H55" s="714"/>
      <c r="K55" s="712"/>
      <c r="L55" s="98"/>
    </row>
    <row r="56" spans="2:12" s="96" customFormat="1" ht="12.75" x14ac:dyDescent="0.25">
      <c r="B56" s="706"/>
      <c r="C56" s="3877"/>
      <c r="D56" s="707" t="s">
        <v>3584</v>
      </c>
      <c r="E56" s="741" t="s">
        <v>3589</v>
      </c>
      <c r="F56" s="727" t="s">
        <v>3541</v>
      </c>
      <c r="G56" s="728" t="str">
        <f t="shared" si="2"/>
        <v>W</v>
      </c>
      <c r="H56" s="714"/>
      <c r="K56" s="712"/>
      <c r="L56" s="98"/>
    </row>
    <row r="57" spans="2:12" s="96" customFormat="1" ht="12.75" x14ac:dyDescent="0.25">
      <c r="B57" s="706"/>
      <c r="C57" s="3877"/>
      <c r="D57" s="707" t="s">
        <v>3584</v>
      </c>
      <c r="E57" s="741" t="s">
        <v>3590</v>
      </c>
      <c r="F57" s="727" t="s">
        <v>33</v>
      </c>
      <c r="G57" s="728" t="str">
        <f t="shared" si="2"/>
        <v>P</v>
      </c>
      <c r="H57" s="714"/>
      <c r="K57" s="712"/>
      <c r="L57" s="98"/>
    </row>
    <row r="58" spans="2:12" s="96" customFormat="1" ht="13.5" thickBot="1" x14ac:dyDescent="0.3">
      <c r="B58" s="706"/>
      <c r="C58" s="3877"/>
      <c r="D58" s="724" t="s">
        <v>3584</v>
      </c>
      <c r="E58" s="742" t="s">
        <v>3591</v>
      </c>
      <c r="F58" s="730" t="s">
        <v>33</v>
      </c>
      <c r="G58" s="731" t="str">
        <f t="shared" si="2"/>
        <v>P</v>
      </c>
      <c r="H58" s="718"/>
      <c r="K58" s="712"/>
      <c r="L58" s="98"/>
    </row>
    <row r="59" spans="2:12" s="96" customFormat="1" thickTop="1" thickBot="1" x14ac:dyDescent="0.3">
      <c r="B59" s="706"/>
      <c r="C59" s="748" t="s">
        <v>3592</v>
      </c>
      <c r="D59" s="721">
        <f>+D50+1</f>
        <v>13.01</v>
      </c>
      <c r="E59" s="722" t="s">
        <v>3593</v>
      </c>
      <c r="F59" s="732" t="s">
        <v>33</v>
      </c>
      <c r="G59" s="733" t="str">
        <f t="shared" si="2"/>
        <v>P</v>
      </c>
      <c r="H59" s="723"/>
      <c r="K59" s="712"/>
      <c r="L59" s="98"/>
    </row>
    <row r="60" spans="2:12" s="96" customFormat="1" thickTop="1" thickBot="1" x14ac:dyDescent="0.3">
      <c r="B60" s="706"/>
      <c r="C60" s="748" t="s">
        <v>3594</v>
      </c>
      <c r="D60" s="721">
        <f>+D59+1</f>
        <v>14.01</v>
      </c>
      <c r="E60" s="722" t="s">
        <v>3595</v>
      </c>
      <c r="F60" s="732" t="s">
        <v>33</v>
      </c>
      <c r="G60" s="733" t="str">
        <f t="shared" si="2"/>
        <v>P</v>
      </c>
      <c r="H60" s="723"/>
      <c r="K60" s="712"/>
      <c r="L60" s="98"/>
    </row>
    <row r="61" spans="2:12" s="96" customFormat="1" ht="14.25" thickTop="1" thickBot="1" x14ac:dyDescent="0.3">
      <c r="B61" s="706"/>
      <c r="C61" s="3875" t="s">
        <v>3596</v>
      </c>
      <c r="D61" s="719">
        <f>+D60+1</f>
        <v>15.01</v>
      </c>
      <c r="E61" s="720" t="s">
        <v>3597</v>
      </c>
      <c r="F61" s="727" t="s">
        <v>3541</v>
      </c>
      <c r="G61" s="728" t="str">
        <f t="shared" si="2"/>
        <v>W</v>
      </c>
      <c r="H61" s="714"/>
      <c r="K61" s="712"/>
      <c r="L61" s="98"/>
    </row>
    <row r="62" spans="2:12" s="96" customFormat="1" ht="14.25" thickTop="1" thickBot="1" x14ac:dyDescent="0.3">
      <c r="B62" s="706"/>
      <c r="C62" s="3875"/>
      <c r="D62" s="719" t="s">
        <v>3584</v>
      </c>
      <c r="E62" s="741" t="s">
        <v>3598</v>
      </c>
      <c r="F62" s="727" t="s">
        <v>3541</v>
      </c>
      <c r="G62" s="728" t="str">
        <f t="shared" si="2"/>
        <v>W</v>
      </c>
      <c r="H62" s="714"/>
      <c r="K62" s="712"/>
      <c r="L62" s="98"/>
    </row>
    <row r="63" spans="2:12" s="96" customFormat="1" ht="14.25" thickTop="1" thickBot="1" x14ac:dyDescent="0.3">
      <c r="B63" s="706"/>
      <c r="C63" s="3875"/>
      <c r="D63" s="719" t="s">
        <v>3584</v>
      </c>
      <c r="E63" s="741" t="s">
        <v>3599</v>
      </c>
      <c r="F63" s="727" t="s">
        <v>3541</v>
      </c>
      <c r="G63" s="728" t="str">
        <f t="shared" si="2"/>
        <v>W</v>
      </c>
      <c r="H63" s="714"/>
      <c r="K63" s="712"/>
      <c r="L63" s="98"/>
    </row>
    <row r="64" spans="2:12" s="96" customFormat="1" ht="14.25" thickTop="1" thickBot="1" x14ac:dyDescent="0.3">
      <c r="B64" s="706"/>
      <c r="C64" s="3875"/>
      <c r="D64" s="719" t="s">
        <v>3584</v>
      </c>
      <c r="E64" s="741" t="s">
        <v>3600</v>
      </c>
      <c r="F64" s="727" t="s">
        <v>3541</v>
      </c>
      <c r="G64" s="728" t="str">
        <f t="shared" si="2"/>
        <v>W</v>
      </c>
      <c r="H64" s="714"/>
      <c r="K64" s="712"/>
      <c r="L64" s="98"/>
    </row>
    <row r="65" spans="2:12" s="96" customFormat="1" ht="14.25" thickTop="1" thickBot="1" x14ac:dyDescent="0.3">
      <c r="B65" s="706"/>
      <c r="C65" s="3875"/>
      <c r="D65" s="719">
        <f>+D61+0.01</f>
        <v>15.02</v>
      </c>
      <c r="E65" s="720" t="s">
        <v>3601</v>
      </c>
      <c r="F65" s="727" t="s">
        <v>673</v>
      </c>
      <c r="G65" s="728" t="str">
        <f t="shared" si="2"/>
        <v>P</v>
      </c>
      <c r="H65" s="714"/>
      <c r="K65" s="712"/>
      <c r="L65" s="98"/>
    </row>
    <row r="66" spans="2:12" s="96" customFormat="1" ht="14.25" thickTop="1" thickBot="1" x14ac:dyDescent="0.3">
      <c r="B66" s="706"/>
      <c r="C66" s="3875"/>
      <c r="D66" s="719">
        <f>+D65+0.01</f>
        <v>15.03</v>
      </c>
      <c r="E66" s="720" t="s">
        <v>3602</v>
      </c>
      <c r="F66" s="727" t="s">
        <v>33</v>
      </c>
      <c r="G66" s="728" t="str">
        <f t="shared" si="2"/>
        <v>P</v>
      </c>
      <c r="H66" s="714"/>
      <c r="K66" s="712"/>
      <c r="L66" s="98"/>
    </row>
    <row r="67" spans="2:12" s="96" customFormat="1" ht="14.25" thickTop="1" thickBot="1" x14ac:dyDescent="0.3">
      <c r="B67" s="706"/>
      <c r="C67" s="3875"/>
      <c r="D67" s="719">
        <f>+D66+0.01</f>
        <v>15.04</v>
      </c>
      <c r="E67" s="720" t="s">
        <v>3603</v>
      </c>
      <c r="F67" s="727" t="s">
        <v>3541</v>
      </c>
      <c r="G67" s="728" t="str">
        <f t="shared" si="2"/>
        <v>W</v>
      </c>
      <c r="H67" s="714"/>
      <c r="K67" s="712"/>
      <c r="L67" s="98"/>
    </row>
    <row r="68" spans="2:12" s="96" customFormat="1" ht="14.25" thickTop="1" thickBot="1" x14ac:dyDescent="0.3">
      <c r="B68" s="706"/>
      <c r="C68" s="3875"/>
      <c r="D68" s="719">
        <f>+D67+0.01</f>
        <v>15.049999999999999</v>
      </c>
      <c r="E68" s="720" t="s">
        <v>3604</v>
      </c>
      <c r="F68" s="727" t="s">
        <v>3541</v>
      </c>
      <c r="G68" s="728" t="str">
        <f t="shared" si="2"/>
        <v>W</v>
      </c>
      <c r="H68" s="714"/>
      <c r="K68" s="712"/>
      <c r="L68" s="98"/>
    </row>
    <row r="69" spans="2:12" s="96" customFormat="1" ht="14.25" thickTop="1" thickBot="1" x14ac:dyDescent="0.3">
      <c r="B69" s="706"/>
      <c r="C69" s="3875"/>
      <c r="D69" s="719">
        <f>+D68+0.01</f>
        <v>15.059999999999999</v>
      </c>
      <c r="E69" s="720" t="s">
        <v>3605</v>
      </c>
      <c r="F69" s="727" t="s">
        <v>33</v>
      </c>
      <c r="G69" s="728" t="str">
        <f t="shared" si="2"/>
        <v>P</v>
      </c>
      <c r="H69" s="714"/>
      <c r="K69" s="712"/>
      <c r="L69" s="98"/>
    </row>
    <row r="70" spans="2:12" s="96" customFormat="1" ht="14.25" thickTop="1" thickBot="1" x14ac:dyDescent="0.3">
      <c r="B70" s="706"/>
      <c r="C70" s="3875"/>
      <c r="D70" s="729">
        <f>+D69+0.01</f>
        <v>15.069999999999999</v>
      </c>
      <c r="E70" s="738" t="s">
        <v>3606</v>
      </c>
      <c r="F70" s="730" t="s">
        <v>3541</v>
      </c>
      <c r="G70" s="731" t="str">
        <f t="shared" si="2"/>
        <v>W</v>
      </c>
      <c r="H70" s="718"/>
      <c r="K70" s="712"/>
      <c r="L70" s="98"/>
    </row>
    <row r="71" spans="2:12" s="96" customFormat="1" thickTop="1" thickBot="1" x14ac:dyDescent="0.3">
      <c r="B71" s="706"/>
      <c r="C71" s="748" t="s">
        <v>3607</v>
      </c>
      <c r="D71" s="721">
        <f>D61+1</f>
        <v>16.009999999999998</v>
      </c>
      <c r="E71" s="722" t="s">
        <v>3608</v>
      </c>
      <c r="F71" s="727" t="s">
        <v>33</v>
      </c>
      <c r="G71" s="728" t="str">
        <f t="shared" si="2"/>
        <v>P</v>
      </c>
      <c r="H71" s="723"/>
      <c r="K71" s="712"/>
      <c r="L71" s="98"/>
    </row>
    <row r="72" spans="2:12" s="96" customFormat="1" ht="17.25" thickTop="1" x14ac:dyDescent="0.35">
      <c r="B72" s="706"/>
      <c r="C72" s="746"/>
      <c r="D72" s="74"/>
      <c r="E72" s="708"/>
      <c r="F72" s="91"/>
      <c r="G72" s="709"/>
      <c r="H72" s="706"/>
    </row>
    <row r="73" spans="2:12" s="96" customFormat="1" ht="16.5" x14ac:dyDescent="0.35">
      <c r="B73" s="706"/>
      <c r="C73" s="746"/>
      <c r="D73" s="74"/>
      <c r="E73" s="708"/>
      <c r="F73" s="74"/>
      <c r="H73" s="706"/>
    </row>
    <row r="74" spans="2:12" s="96" customFormat="1" ht="16.5" x14ac:dyDescent="0.35">
      <c r="B74" s="706"/>
      <c r="C74" s="746"/>
      <c r="D74" s="74"/>
      <c r="E74" s="708"/>
      <c r="F74" s="74"/>
      <c r="H74" s="706"/>
    </row>
    <row r="75" spans="2:12" s="96" customFormat="1" ht="16.5" x14ac:dyDescent="0.35">
      <c r="B75" s="706"/>
      <c r="C75" s="746"/>
      <c r="D75" s="74"/>
      <c r="E75" s="708"/>
      <c r="F75" s="74"/>
      <c r="H75" s="706"/>
    </row>
    <row r="76" spans="2:12" s="96" customFormat="1" ht="16.5" x14ac:dyDescent="0.35">
      <c r="B76" s="706"/>
      <c r="C76" s="746"/>
      <c r="D76" s="74"/>
      <c r="E76" s="708"/>
      <c r="F76" s="74"/>
      <c r="H76" s="706"/>
    </row>
    <row r="77" spans="2:12" s="96" customFormat="1" ht="16.5" x14ac:dyDescent="0.35">
      <c r="B77" s="706"/>
      <c r="C77" s="746"/>
      <c r="D77" s="74"/>
      <c r="E77" s="708"/>
      <c r="F77" s="74"/>
      <c r="H77" s="706"/>
    </row>
    <row r="78" spans="2:12" s="96" customFormat="1" ht="16.5" x14ac:dyDescent="0.35">
      <c r="B78" s="706"/>
      <c r="C78" s="746"/>
      <c r="D78" s="74"/>
      <c r="E78" s="708"/>
      <c r="F78" s="74"/>
      <c r="H78" s="706"/>
    </row>
    <row r="79" spans="2:12" s="96" customFormat="1" ht="16.5" x14ac:dyDescent="0.35">
      <c r="B79" s="706"/>
      <c r="C79" s="746"/>
      <c r="D79" s="74"/>
      <c r="E79" s="708"/>
      <c r="F79" s="74"/>
      <c r="H79" s="706"/>
    </row>
    <row r="80" spans="2:12" s="96" customFormat="1" ht="16.5" x14ac:dyDescent="0.35">
      <c r="B80" s="706"/>
      <c r="C80" s="746"/>
      <c r="D80" s="74"/>
      <c r="E80" s="708"/>
      <c r="F80" s="74"/>
      <c r="H80" s="706"/>
    </row>
    <row r="81" spans="2:8" s="96" customFormat="1" ht="16.5" x14ac:dyDescent="0.35">
      <c r="B81" s="706"/>
      <c r="C81" s="746"/>
      <c r="D81" s="74"/>
      <c r="E81" s="708"/>
      <c r="F81" s="74"/>
      <c r="H81" s="706"/>
    </row>
    <row r="82" spans="2:8" s="96" customFormat="1" ht="16.5" x14ac:dyDescent="0.35">
      <c r="B82" s="706"/>
      <c r="C82" s="746"/>
      <c r="D82" s="74"/>
      <c r="E82" s="708"/>
      <c r="F82" s="74"/>
      <c r="H82" s="706"/>
    </row>
    <row r="83" spans="2:8" s="96" customFormat="1" ht="16.5" x14ac:dyDescent="0.35">
      <c r="B83" s="706"/>
      <c r="C83" s="746"/>
      <c r="D83" s="74"/>
      <c r="E83" s="708"/>
      <c r="F83" s="74"/>
      <c r="H83" s="706"/>
    </row>
    <row r="84" spans="2:8" s="96" customFormat="1" ht="16.5" x14ac:dyDescent="0.35">
      <c r="B84" s="706"/>
      <c r="C84" s="746"/>
      <c r="D84" s="74"/>
      <c r="E84" s="708"/>
      <c r="F84" s="74"/>
      <c r="H84" s="706"/>
    </row>
    <row r="85" spans="2:8" s="96" customFormat="1" ht="16.5" x14ac:dyDescent="0.35">
      <c r="B85" s="706"/>
      <c r="C85" s="746"/>
      <c r="D85" s="74"/>
      <c r="E85" s="708"/>
      <c r="F85" s="74"/>
      <c r="H85" s="706"/>
    </row>
    <row r="86" spans="2:8" s="96" customFormat="1" ht="16.5" x14ac:dyDescent="0.35">
      <c r="B86" s="706"/>
      <c r="C86" s="746"/>
      <c r="D86" s="74"/>
      <c r="E86" s="708"/>
      <c r="F86" s="74"/>
      <c r="H86" s="706"/>
    </row>
    <row r="87" spans="2:8" s="96" customFormat="1" ht="16.5" x14ac:dyDescent="0.35">
      <c r="B87" s="706"/>
      <c r="C87" s="746"/>
      <c r="D87" s="74"/>
      <c r="E87" s="708"/>
      <c r="F87" s="74"/>
      <c r="H87" s="706"/>
    </row>
    <row r="88" spans="2:8" s="96" customFormat="1" ht="16.5" x14ac:dyDescent="0.35">
      <c r="B88" s="706"/>
      <c r="C88" s="746"/>
      <c r="D88" s="74"/>
      <c r="E88" s="708"/>
      <c r="F88" s="74"/>
      <c r="H88" s="706"/>
    </row>
    <row r="89" spans="2:8" s="96" customFormat="1" ht="16.5" x14ac:dyDescent="0.35">
      <c r="B89" s="706"/>
      <c r="C89" s="746"/>
      <c r="D89" s="74"/>
      <c r="E89" s="708"/>
      <c r="F89" s="74"/>
      <c r="H89" s="706"/>
    </row>
    <row r="90" spans="2:8" s="96" customFormat="1" ht="16.5" x14ac:dyDescent="0.35">
      <c r="B90" s="706"/>
      <c r="C90" s="746"/>
      <c r="D90" s="74"/>
      <c r="E90" s="708"/>
      <c r="F90" s="74"/>
      <c r="H90" s="706"/>
    </row>
    <row r="91" spans="2:8" s="96" customFormat="1" ht="16.5" x14ac:dyDescent="0.35">
      <c r="B91" s="706"/>
      <c r="C91" s="746"/>
      <c r="D91" s="74"/>
      <c r="E91" s="708"/>
      <c r="F91" s="74"/>
      <c r="H91" s="706"/>
    </row>
    <row r="92" spans="2:8" s="96" customFormat="1" ht="16.5" x14ac:dyDescent="0.35">
      <c r="B92" s="706"/>
      <c r="C92" s="746"/>
      <c r="D92" s="74"/>
      <c r="E92" s="708"/>
      <c r="F92" s="74"/>
      <c r="H92" s="706"/>
    </row>
    <row r="93" spans="2:8" s="96" customFormat="1" ht="16.5" x14ac:dyDescent="0.35">
      <c r="B93" s="706"/>
      <c r="C93" s="746"/>
      <c r="D93" s="74"/>
      <c r="E93" s="708"/>
      <c r="F93" s="74"/>
      <c r="H93" s="706"/>
    </row>
    <row r="94" spans="2:8" s="96" customFormat="1" ht="16.5" x14ac:dyDescent="0.35">
      <c r="B94" s="706"/>
      <c r="C94" s="746"/>
      <c r="D94" s="74"/>
      <c r="E94" s="708"/>
      <c r="F94" s="74"/>
      <c r="H94" s="706"/>
    </row>
    <row r="95" spans="2:8" s="96" customFormat="1" ht="16.5" x14ac:dyDescent="0.35">
      <c r="B95" s="706"/>
      <c r="C95" s="746"/>
      <c r="D95" s="74"/>
      <c r="E95" s="708"/>
      <c r="F95" s="74"/>
      <c r="H95" s="706"/>
    </row>
    <row r="96" spans="2:8" s="96" customFormat="1" ht="16.5" x14ac:dyDescent="0.35">
      <c r="B96" s="706"/>
      <c r="C96" s="746"/>
      <c r="D96" s="74"/>
      <c r="E96" s="708"/>
      <c r="F96" s="74"/>
      <c r="H96" s="706"/>
    </row>
    <row r="97" spans="2:8" s="96" customFormat="1" ht="16.5" x14ac:dyDescent="0.35">
      <c r="B97" s="706"/>
      <c r="C97" s="746"/>
      <c r="D97" s="74"/>
      <c r="E97" s="708"/>
      <c r="F97" s="74"/>
      <c r="H97" s="706"/>
    </row>
    <row r="98" spans="2:8" s="96" customFormat="1" ht="16.5" x14ac:dyDescent="0.35">
      <c r="B98" s="706"/>
      <c r="C98" s="746"/>
      <c r="D98" s="74"/>
      <c r="E98" s="708"/>
      <c r="F98" s="74"/>
      <c r="H98" s="706"/>
    </row>
    <row r="99" spans="2:8" s="96" customFormat="1" ht="16.5" x14ac:dyDescent="0.35">
      <c r="B99" s="706"/>
      <c r="C99" s="746"/>
      <c r="D99" s="74"/>
      <c r="E99" s="708"/>
      <c r="F99" s="74"/>
      <c r="H99" s="706"/>
    </row>
    <row r="100" spans="2:8" s="96" customFormat="1" ht="16.5" x14ac:dyDescent="0.35">
      <c r="B100" s="706"/>
      <c r="C100" s="746"/>
      <c r="D100" s="74"/>
      <c r="E100" s="708"/>
      <c r="F100" s="74"/>
      <c r="H100" s="706"/>
    </row>
    <row r="101" spans="2:8" s="96" customFormat="1" ht="16.5" x14ac:dyDescent="0.35">
      <c r="B101" s="706"/>
      <c r="C101" s="746"/>
      <c r="D101" s="74"/>
      <c r="E101" s="708"/>
      <c r="F101" s="74"/>
      <c r="H101" s="706"/>
    </row>
    <row r="102" spans="2:8" s="96" customFormat="1" ht="16.5" x14ac:dyDescent="0.35">
      <c r="B102" s="706"/>
      <c r="C102" s="746"/>
      <c r="D102" s="74"/>
      <c r="E102" s="708"/>
      <c r="F102" s="74"/>
      <c r="H102" s="706"/>
    </row>
    <row r="103" spans="2:8" s="96" customFormat="1" ht="16.5" x14ac:dyDescent="0.35">
      <c r="B103" s="706"/>
      <c r="C103" s="746"/>
      <c r="D103" s="74"/>
      <c r="E103" s="708"/>
      <c r="F103" s="74"/>
      <c r="H103" s="706"/>
    </row>
    <row r="104" spans="2:8" s="96" customFormat="1" ht="16.5" x14ac:dyDescent="0.35">
      <c r="B104" s="706"/>
      <c r="C104" s="746"/>
      <c r="D104" s="74"/>
      <c r="E104" s="708"/>
      <c r="F104" s="74"/>
      <c r="H104" s="706"/>
    </row>
    <row r="105" spans="2:8" s="96" customFormat="1" ht="16.5" x14ac:dyDescent="0.35">
      <c r="B105" s="706"/>
      <c r="C105" s="746"/>
      <c r="D105" s="74"/>
      <c r="E105" s="708"/>
      <c r="F105" s="74"/>
      <c r="H105" s="706"/>
    </row>
    <row r="106" spans="2:8" s="96" customFormat="1" ht="16.5" x14ac:dyDescent="0.35">
      <c r="B106" s="706"/>
      <c r="C106" s="746"/>
      <c r="D106" s="74"/>
      <c r="E106" s="708"/>
      <c r="F106" s="74"/>
      <c r="H106" s="706"/>
    </row>
    <row r="107" spans="2:8" s="96" customFormat="1" ht="16.5" x14ac:dyDescent="0.35">
      <c r="B107" s="706"/>
      <c r="C107" s="746"/>
      <c r="D107" s="74"/>
      <c r="E107" s="708"/>
      <c r="F107" s="74"/>
      <c r="H107" s="706"/>
    </row>
    <row r="108" spans="2:8" s="96" customFormat="1" ht="16.5" x14ac:dyDescent="0.35">
      <c r="B108" s="706"/>
      <c r="C108" s="746"/>
      <c r="D108" s="74"/>
      <c r="E108" s="708"/>
      <c r="F108" s="74"/>
      <c r="H108" s="706"/>
    </row>
    <row r="109" spans="2:8" s="96" customFormat="1" ht="16.5" x14ac:dyDescent="0.35">
      <c r="B109" s="706"/>
      <c r="C109" s="746"/>
      <c r="D109" s="74"/>
      <c r="E109" s="708"/>
      <c r="F109" s="74"/>
      <c r="H109" s="706"/>
    </row>
    <row r="110" spans="2:8" s="96" customFormat="1" ht="16.5" x14ac:dyDescent="0.35">
      <c r="B110" s="706"/>
      <c r="C110" s="746"/>
      <c r="D110" s="74"/>
      <c r="E110" s="708"/>
      <c r="F110" s="74"/>
      <c r="H110" s="706"/>
    </row>
    <row r="111" spans="2:8" s="96" customFormat="1" ht="16.5" x14ac:dyDescent="0.35">
      <c r="B111" s="706"/>
      <c r="C111" s="746"/>
      <c r="D111" s="74"/>
      <c r="E111" s="708"/>
      <c r="F111" s="74"/>
      <c r="H111" s="706"/>
    </row>
    <row r="112" spans="2:8" s="96" customFormat="1" ht="16.5" x14ac:dyDescent="0.35">
      <c r="B112" s="706"/>
      <c r="C112" s="746"/>
      <c r="D112" s="74"/>
      <c r="E112" s="708"/>
      <c r="F112" s="74"/>
      <c r="H112" s="706"/>
    </row>
    <row r="113" spans="2:8" s="96" customFormat="1" ht="16.5" x14ac:dyDescent="0.35">
      <c r="B113" s="706"/>
      <c r="C113" s="746"/>
      <c r="D113" s="74"/>
      <c r="E113" s="708"/>
      <c r="F113" s="74"/>
      <c r="H113" s="706"/>
    </row>
    <row r="114" spans="2:8" s="96" customFormat="1" ht="16.5" x14ac:dyDescent="0.35">
      <c r="B114" s="706"/>
      <c r="C114" s="746"/>
      <c r="D114" s="74"/>
      <c r="E114" s="708"/>
      <c r="F114" s="74"/>
      <c r="H114" s="706"/>
    </row>
    <row r="115" spans="2:8" s="96" customFormat="1" ht="16.5" x14ac:dyDescent="0.35">
      <c r="B115" s="706"/>
      <c r="C115" s="746"/>
      <c r="D115" s="74"/>
      <c r="E115" s="708"/>
      <c r="F115" s="74"/>
      <c r="H115" s="706"/>
    </row>
    <row r="116" spans="2:8" s="96" customFormat="1" ht="16.5" x14ac:dyDescent="0.35">
      <c r="B116" s="706"/>
      <c r="C116" s="746"/>
      <c r="D116" s="74"/>
      <c r="E116" s="708"/>
      <c r="F116" s="74"/>
      <c r="H116" s="706"/>
    </row>
    <row r="117" spans="2:8" s="96" customFormat="1" ht="16.5" x14ac:dyDescent="0.35">
      <c r="B117" s="706"/>
      <c r="C117" s="746"/>
      <c r="D117" s="74"/>
      <c r="E117" s="708"/>
      <c r="F117" s="74"/>
      <c r="H117" s="706"/>
    </row>
    <row r="118" spans="2:8" s="96" customFormat="1" ht="16.5" x14ac:dyDescent="0.35">
      <c r="B118" s="706"/>
      <c r="C118" s="746"/>
      <c r="D118" s="74"/>
      <c r="E118" s="708"/>
      <c r="F118" s="74"/>
      <c r="H118" s="706"/>
    </row>
    <row r="119" spans="2:8" s="96" customFormat="1" ht="16.5" x14ac:dyDescent="0.35">
      <c r="B119" s="706"/>
      <c r="C119" s="746"/>
      <c r="D119" s="74"/>
      <c r="E119" s="708"/>
      <c r="F119" s="74"/>
      <c r="H119" s="706"/>
    </row>
    <row r="120" spans="2:8" s="96" customFormat="1" ht="16.5" x14ac:dyDescent="0.35">
      <c r="B120" s="706"/>
      <c r="C120" s="746"/>
      <c r="D120" s="74"/>
      <c r="E120" s="708"/>
      <c r="F120" s="74"/>
      <c r="H120" s="706"/>
    </row>
    <row r="121" spans="2:8" s="96" customFormat="1" ht="16.5" x14ac:dyDescent="0.35">
      <c r="B121" s="706"/>
      <c r="C121" s="746"/>
      <c r="D121" s="74"/>
      <c r="E121" s="708"/>
      <c r="F121" s="74"/>
      <c r="H121" s="706"/>
    </row>
    <row r="122" spans="2:8" s="96" customFormat="1" ht="16.5" x14ac:dyDescent="0.35">
      <c r="B122" s="706"/>
      <c r="C122" s="746"/>
      <c r="D122" s="74"/>
      <c r="E122" s="708"/>
      <c r="F122" s="74"/>
      <c r="H122" s="706"/>
    </row>
    <row r="123" spans="2:8" s="96" customFormat="1" ht="16.5" x14ac:dyDescent="0.35">
      <c r="B123" s="706"/>
      <c r="C123" s="746"/>
      <c r="D123" s="74"/>
      <c r="E123" s="708"/>
      <c r="F123" s="74"/>
      <c r="H123" s="706"/>
    </row>
    <row r="124" spans="2:8" s="96" customFormat="1" ht="16.5" x14ac:dyDescent="0.35">
      <c r="B124" s="706"/>
      <c r="C124" s="746"/>
      <c r="D124" s="74"/>
      <c r="E124" s="708"/>
      <c r="F124" s="74"/>
      <c r="H124" s="706"/>
    </row>
    <row r="125" spans="2:8" s="96" customFormat="1" ht="16.5" x14ac:dyDescent="0.35">
      <c r="B125" s="706"/>
      <c r="C125" s="746"/>
      <c r="D125" s="74"/>
      <c r="E125" s="708"/>
      <c r="F125" s="74"/>
      <c r="H125" s="706"/>
    </row>
    <row r="126" spans="2:8" s="96" customFormat="1" ht="16.5" x14ac:dyDescent="0.35">
      <c r="B126" s="706"/>
      <c r="C126" s="746"/>
      <c r="D126" s="74"/>
      <c r="E126" s="708"/>
      <c r="F126" s="74"/>
      <c r="H126" s="706"/>
    </row>
    <row r="127" spans="2:8" s="96" customFormat="1" ht="16.5" x14ac:dyDescent="0.35">
      <c r="B127" s="706"/>
      <c r="C127" s="746"/>
      <c r="D127" s="74"/>
      <c r="E127" s="708"/>
      <c r="F127" s="74"/>
      <c r="H127" s="706"/>
    </row>
    <row r="128" spans="2:8" s="96" customFormat="1" ht="16.5" x14ac:dyDescent="0.35">
      <c r="B128" s="706"/>
      <c r="C128" s="746"/>
      <c r="D128" s="74"/>
      <c r="E128" s="708"/>
      <c r="F128" s="74"/>
      <c r="H128" s="706"/>
    </row>
    <row r="129" spans="2:8" s="96" customFormat="1" ht="16.5" x14ac:dyDescent="0.35">
      <c r="B129" s="706"/>
      <c r="C129" s="746"/>
      <c r="D129" s="74"/>
      <c r="E129" s="708"/>
      <c r="F129" s="74"/>
      <c r="H129" s="706"/>
    </row>
    <row r="130" spans="2:8" s="96" customFormat="1" ht="16.5" x14ac:dyDescent="0.35">
      <c r="B130" s="706"/>
      <c r="C130" s="746"/>
      <c r="D130" s="74"/>
      <c r="E130" s="708"/>
      <c r="F130" s="74"/>
      <c r="H130" s="706"/>
    </row>
    <row r="131" spans="2:8" s="96" customFormat="1" ht="16.5" x14ac:dyDescent="0.35">
      <c r="B131" s="706"/>
      <c r="C131" s="746"/>
      <c r="D131" s="74"/>
      <c r="E131" s="708"/>
      <c r="F131" s="74"/>
      <c r="H131" s="706"/>
    </row>
    <row r="132" spans="2:8" s="96" customFormat="1" ht="16.5" x14ac:dyDescent="0.35">
      <c r="B132" s="706"/>
      <c r="C132" s="746"/>
      <c r="D132" s="74"/>
      <c r="E132" s="708"/>
      <c r="F132" s="74"/>
      <c r="H132" s="706"/>
    </row>
    <row r="133" spans="2:8" s="96" customFormat="1" ht="16.5" x14ac:dyDescent="0.35">
      <c r="B133" s="706"/>
      <c r="C133" s="746"/>
      <c r="D133" s="74"/>
      <c r="E133" s="708"/>
      <c r="F133" s="74"/>
      <c r="H133" s="706"/>
    </row>
    <row r="134" spans="2:8" s="96" customFormat="1" ht="16.5" x14ac:dyDescent="0.35">
      <c r="B134" s="706"/>
      <c r="C134" s="746"/>
      <c r="D134" s="74"/>
      <c r="E134" s="708"/>
      <c r="F134" s="74"/>
      <c r="H134" s="706"/>
    </row>
    <row r="135" spans="2:8" s="96" customFormat="1" ht="16.5" x14ac:dyDescent="0.35">
      <c r="B135" s="706"/>
      <c r="C135" s="746"/>
      <c r="D135" s="74"/>
      <c r="E135" s="708"/>
      <c r="F135" s="74"/>
      <c r="H135" s="706"/>
    </row>
    <row r="136" spans="2:8" s="96" customFormat="1" ht="16.5" x14ac:dyDescent="0.35">
      <c r="B136" s="706"/>
      <c r="C136" s="746"/>
      <c r="D136" s="74"/>
      <c r="E136" s="708"/>
      <c r="F136" s="74"/>
      <c r="H136" s="706"/>
    </row>
    <row r="137" spans="2:8" s="96" customFormat="1" ht="16.5" x14ac:dyDescent="0.35">
      <c r="B137" s="706"/>
      <c r="C137" s="746"/>
      <c r="D137" s="74"/>
      <c r="E137" s="708"/>
      <c r="F137" s="74"/>
      <c r="H137" s="706"/>
    </row>
    <row r="138" spans="2:8" s="96" customFormat="1" ht="16.5" x14ac:dyDescent="0.35">
      <c r="B138" s="706"/>
      <c r="C138" s="746"/>
      <c r="D138" s="74"/>
      <c r="E138" s="708"/>
      <c r="F138" s="74"/>
      <c r="H138" s="706"/>
    </row>
    <row r="139" spans="2:8" s="96" customFormat="1" ht="16.5" x14ac:dyDescent="0.35">
      <c r="B139" s="706"/>
      <c r="C139" s="746"/>
      <c r="D139" s="74"/>
      <c r="E139" s="708"/>
      <c r="F139" s="74"/>
      <c r="H139" s="706"/>
    </row>
    <row r="140" spans="2:8" s="96" customFormat="1" ht="16.5" x14ac:dyDescent="0.35">
      <c r="B140" s="706"/>
      <c r="C140" s="746"/>
      <c r="D140" s="74"/>
      <c r="E140" s="708"/>
      <c r="F140" s="74"/>
      <c r="H140" s="706"/>
    </row>
    <row r="141" spans="2:8" s="96" customFormat="1" ht="16.5" x14ac:dyDescent="0.35">
      <c r="B141" s="706"/>
      <c r="C141" s="746"/>
      <c r="D141" s="74"/>
      <c r="E141" s="708"/>
      <c r="F141" s="74"/>
      <c r="H141" s="706"/>
    </row>
    <row r="142" spans="2:8" s="96" customFormat="1" ht="16.5" x14ac:dyDescent="0.35">
      <c r="B142" s="706"/>
      <c r="C142" s="746"/>
      <c r="D142" s="74"/>
      <c r="E142" s="708"/>
      <c r="F142" s="74"/>
      <c r="H142" s="706"/>
    </row>
    <row r="143" spans="2:8" s="96" customFormat="1" ht="16.5" x14ac:dyDescent="0.35">
      <c r="B143" s="706"/>
      <c r="C143" s="746"/>
      <c r="D143" s="74"/>
      <c r="E143" s="708"/>
      <c r="F143" s="74"/>
      <c r="H143" s="706"/>
    </row>
    <row r="144" spans="2:8" s="96" customFormat="1" ht="16.5" x14ac:dyDescent="0.35">
      <c r="B144" s="706"/>
      <c r="C144" s="746"/>
      <c r="D144" s="74"/>
      <c r="E144" s="708"/>
      <c r="F144" s="74"/>
      <c r="H144" s="706"/>
    </row>
    <row r="145" spans="2:8" s="96" customFormat="1" ht="16.5" x14ac:dyDescent="0.35">
      <c r="B145" s="706"/>
      <c r="C145" s="746"/>
      <c r="D145" s="74"/>
      <c r="E145" s="708"/>
      <c r="F145" s="74"/>
      <c r="H145" s="706"/>
    </row>
    <row r="146" spans="2:8" s="96" customFormat="1" ht="16.5" x14ac:dyDescent="0.35">
      <c r="B146" s="706"/>
      <c r="C146" s="746"/>
      <c r="D146" s="74"/>
      <c r="E146" s="708"/>
      <c r="F146" s="74"/>
      <c r="H146" s="706"/>
    </row>
    <row r="147" spans="2:8" s="96" customFormat="1" ht="16.5" x14ac:dyDescent="0.35">
      <c r="B147" s="706"/>
      <c r="C147" s="746"/>
      <c r="D147" s="74"/>
      <c r="E147" s="708"/>
      <c r="F147" s="74"/>
      <c r="H147" s="706"/>
    </row>
    <row r="148" spans="2:8" s="96" customFormat="1" ht="16.5" x14ac:dyDescent="0.35">
      <c r="B148" s="706"/>
      <c r="C148" s="746"/>
      <c r="D148" s="74"/>
      <c r="E148" s="708"/>
      <c r="F148" s="74"/>
      <c r="H148" s="706"/>
    </row>
    <row r="149" spans="2:8" s="96" customFormat="1" ht="16.5" x14ac:dyDescent="0.35">
      <c r="B149" s="706"/>
      <c r="C149" s="746"/>
      <c r="D149" s="74"/>
      <c r="E149" s="708"/>
      <c r="F149" s="74"/>
      <c r="H149" s="706"/>
    </row>
    <row r="150" spans="2:8" s="96" customFormat="1" ht="16.5" x14ac:dyDescent="0.35">
      <c r="B150" s="706"/>
      <c r="C150" s="746"/>
      <c r="D150" s="74"/>
      <c r="E150" s="708"/>
      <c r="F150" s="74"/>
      <c r="H150" s="706"/>
    </row>
    <row r="151" spans="2:8" s="96" customFormat="1" ht="16.5" x14ac:dyDescent="0.35">
      <c r="B151" s="706"/>
      <c r="C151" s="746"/>
      <c r="D151" s="74"/>
      <c r="E151" s="708"/>
      <c r="F151" s="74"/>
      <c r="H151" s="706"/>
    </row>
    <row r="152" spans="2:8" s="96" customFormat="1" ht="16.5" x14ac:dyDescent="0.35">
      <c r="B152" s="706"/>
      <c r="C152" s="746"/>
      <c r="D152" s="74"/>
      <c r="E152" s="708"/>
      <c r="F152" s="74"/>
      <c r="H152" s="706"/>
    </row>
    <row r="153" spans="2:8" s="96" customFormat="1" ht="16.5" x14ac:dyDescent="0.35">
      <c r="B153" s="706"/>
      <c r="C153" s="746"/>
      <c r="D153" s="74"/>
      <c r="E153" s="708"/>
      <c r="F153" s="74"/>
      <c r="H153" s="706"/>
    </row>
    <row r="154" spans="2:8" s="96" customFormat="1" ht="16.5" x14ac:dyDescent="0.35">
      <c r="B154" s="706"/>
      <c r="C154" s="746"/>
      <c r="D154" s="74"/>
      <c r="E154" s="708"/>
      <c r="F154" s="74"/>
      <c r="H154" s="706"/>
    </row>
    <row r="155" spans="2:8" s="96" customFormat="1" ht="16.5" x14ac:dyDescent="0.35">
      <c r="B155" s="706"/>
      <c r="C155" s="746"/>
      <c r="D155" s="74"/>
      <c r="E155" s="708"/>
      <c r="F155" s="74"/>
      <c r="H155" s="706"/>
    </row>
    <row r="156" spans="2:8" s="96" customFormat="1" ht="16.5" x14ac:dyDescent="0.35">
      <c r="B156" s="706"/>
      <c r="C156" s="746"/>
      <c r="D156" s="74"/>
      <c r="E156" s="708"/>
      <c r="F156" s="74"/>
      <c r="H156" s="706"/>
    </row>
    <row r="157" spans="2:8" s="96" customFormat="1" ht="16.5" x14ac:dyDescent="0.35">
      <c r="B157" s="706"/>
      <c r="C157" s="746"/>
      <c r="D157" s="74"/>
      <c r="E157" s="708"/>
      <c r="F157" s="74"/>
      <c r="H157" s="706"/>
    </row>
    <row r="158" spans="2:8" s="96" customFormat="1" ht="16.5" x14ac:dyDescent="0.35">
      <c r="B158" s="706"/>
      <c r="C158" s="746"/>
      <c r="D158" s="74"/>
      <c r="E158" s="708"/>
      <c r="F158" s="74"/>
      <c r="H158" s="706"/>
    </row>
    <row r="159" spans="2:8" s="96" customFormat="1" ht="16.5" x14ac:dyDescent="0.35">
      <c r="B159" s="706"/>
      <c r="C159" s="746"/>
      <c r="D159" s="74"/>
      <c r="E159" s="708"/>
      <c r="F159" s="74"/>
      <c r="H159" s="706"/>
    </row>
    <row r="160" spans="2:8" s="96" customFormat="1" ht="16.5" x14ac:dyDescent="0.35">
      <c r="B160" s="706"/>
      <c r="C160" s="746"/>
      <c r="D160" s="74"/>
      <c r="E160" s="708"/>
      <c r="F160" s="74"/>
      <c r="H160" s="706"/>
    </row>
    <row r="161" spans="2:8" s="96" customFormat="1" ht="16.5" x14ac:dyDescent="0.35">
      <c r="B161" s="706"/>
      <c r="C161" s="746"/>
      <c r="D161" s="74"/>
      <c r="E161" s="708"/>
      <c r="F161" s="74"/>
      <c r="H161" s="706"/>
    </row>
    <row r="162" spans="2:8" s="96" customFormat="1" ht="16.5" x14ac:dyDescent="0.35">
      <c r="B162" s="706"/>
      <c r="C162" s="746"/>
      <c r="D162" s="74"/>
      <c r="E162" s="708"/>
      <c r="F162" s="74"/>
      <c r="H162" s="706"/>
    </row>
    <row r="163" spans="2:8" s="96" customFormat="1" ht="12.75" x14ac:dyDescent="0.25">
      <c r="B163" s="706"/>
      <c r="D163" s="74"/>
      <c r="E163" s="708"/>
      <c r="F163" s="74"/>
      <c r="H163" s="706"/>
    </row>
    <row r="164" spans="2:8" s="96" customFormat="1" ht="12.75" x14ac:dyDescent="0.25">
      <c r="B164" s="706"/>
      <c r="D164" s="74"/>
      <c r="E164" s="708"/>
      <c r="F164" s="74"/>
      <c r="H164" s="706"/>
    </row>
    <row r="165" spans="2:8" s="96" customFormat="1" ht="12.75" x14ac:dyDescent="0.25">
      <c r="B165" s="706"/>
      <c r="D165" s="74"/>
      <c r="E165" s="708"/>
      <c r="F165" s="74"/>
      <c r="H165" s="706"/>
    </row>
    <row r="166" spans="2:8" s="96" customFormat="1" ht="12.75" x14ac:dyDescent="0.25">
      <c r="B166" s="706"/>
      <c r="D166" s="74"/>
      <c r="E166" s="708"/>
      <c r="F166" s="74"/>
      <c r="H166" s="706"/>
    </row>
    <row r="167" spans="2:8" s="96" customFormat="1" ht="12.75" x14ac:dyDescent="0.25">
      <c r="B167" s="706"/>
      <c r="D167" s="74"/>
      <c r="E167" s="708"/>
      <c r="F167" s="74"/>
      <c r="H167" s="706"/>
    </row>
    <row r="168" spans="2:8" s="96" customFormat="1" ht="12.75" x14ac:dyDescent="0.25">
      <c r="B168" s="706"/>
      <c r="D168" s="74"/>
      <c r="E168" s="708"/>
      <c r="F168" s="74"/>
      <c r="H168" s="706"/>
    </row>
    <row r="169" spans="2:8" s="96" customFormat="1" ht="12.75" x14ac:dyDescent="0.25">
      <c r="B169" s="706"/>
      <c r="D169" s="74"/>
      <c r="E169" s="708"/>
      <c r="F169" s="74"/>
      <c r="H169" s="706"/>
    </row>
    <row r="170" spans="2:8" s="96" customFormat="1" ht="12.75" x14ac:dyDescent="0.25">
      <c r="B170" s="706"/>
      <c r="D170" s="74"/>
      <c r="E170" s="708"/>
      <c r="F170" s="74"/>
      <c r="H170" s="706"/>
    </row>
    <row r="171" spans="2:8" s="96" customFormat="1" ht="12.75" x14ac:dyDescent="0.25">
      <c r="B171" s="706"/>
      <c r="D171" s="74"/>
      <c r="E171" s="708"/>
      <c r="F171" s="74"/>
      <c r="H171" s="706"/>
    </row>
    <row r="172" spans="2:8" s="96" customFormat="1" ht="12.75" x14ac:dyDescent="0.25">
      <c r="B172" s="706"/>
      <c r="D172" s="74"/>
      <c r="E172" s="708"/>
      <c r="F172" s="74"/>
      <c r="H172" s="706"/>
    </row>
    <row r="173" spans="2:8" s="96" customFormat="1" ht="12.75" x14ac:dyDescent="0.25">
      <c r="B173" s="706"/>
      <c r="D173" s="74"/>
      <c r="E173" s="708"/>
      <c r="F173" s="74"/>
      <c r="H173" s="706"/>
    </row>
    <row r="174" spans="2:8" s="96" customFormat="1" ht="12.75" x14ac:dyDescent="0.25">
      <c r="B174" s="706"/>
      <c r="D174" s="74"/>
      <c r="E174" s="708"/>
      <c r="F174" s="74"/>
      <c r="H174" s="706"/>
    </row>
  </sheetData>
  <mergeCells count="11">
    <mergeCell ref="C41:C44"/>
    <mergeCell ref="C45:C46"/>
    <mergeCell ref="C47:C49"/>
    <mergeCell ref="C50:C58"/>
    <mergeCell ref="C61:C70"/>
    <mergeCell ref="C38:C39"/>
    <mergeCell ref="C12:C22"/>
    <mergeCell ref="C23:C24"/>
    <mergeCell ref="C25:C28"/>
    <mergeCell ref="C29:C30"/>
    <mergeCell ref="C31:C36"/>
  </mergeCells>
  <conditionalFormatting sqref="F12:F71">
    <cfRule type="expression" dxfId="11" priority="2">
      <formula>F12="To follow"</formula>
    </cfRule>
    <cfRule type="expression" dxfId="10" priority="4">
      <formula>F12="No"</formula>
    </cfRule>
    <cfRule type="expression" dxfId="9" priority="6">
      <formula>OR(F12="Yes",F12="Not required",F12="N/A",F12="Agreed",F12="Approved")</formula>
    </cfRule>
  </conditionalFormatting>
  <conditionalFormatting sqref="G12:G71">
    <cfRule type="expression" dxfId="8" priority="1">
      <formula>F12="To follow"</formula>
    </cfRule>
    <cfRule type="expression" dxfId="7" priority="3">
      <formula>F12="No"</formula>
    </cfRule>
    <cfRule type="expression" dxfId="6" priority="5">
      <formula>OR(F12="Yes",F12="Not required",F12="N/A",F12="Agreed",F12="Approved")</formula>
    </cfRule>
  </conditionalFormatting>
  <dataValidations count="1">
    <dataValidation type="list" allowBlank="1" showInputMessage="1" showErrorMessage="1" sqref="F12:F71" xr:uid="{1610175E-3060-4040-B5BD-138DE07B8A2F}">
      <formula1>"Yes, No, To Follow, N/A, Not Required, Agreed, Approved"</formula1>
    </dataValidation>
  </dataValidations>
  <pageMargins left="0.31496062992125984" right="0.31496062992125984" top="0.35433070866141736" bottom="0.35433070866141736" header="0.31496062992125984" footer="0.31496062992125984"/>
  <pageSetup paperSize="9" scale="57" fitToHeight="0" orientation="landscape" r:id="rId1"/>
  <headerFooter>
    <oddFooter>&amp;RPage &amp;P of &amp;N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022F9-7F65-46F4-9B1F-87AF7ADB6D51}">
  <sheetPr codeName="Sheet37">
    <tabColor theme="7" tint="0.39997558519241921"/>
  </sheetPr>
  <dimension ref="A1:Q79"/>
  <sheetViews>
    <sheetView showGridLines="0" view="pageBreakPreview" zoomScaleNormal="100" zoomScaleSheetLayoutView="100" workbookViewId="0">
      <selection activeCell="C12" sqref="C12:C23"/>
    </sheetView>
  </sheetViews>
  <sheetFormatPr defaultRowHeight="18" x14ac:dyDescent="0.35"/>
  <cols>
    <col min="1" max="1" width="2.42578125" style="93" customWidth="1"/>
    <col min="2" max="2" width="3.28515625" style="94" customWidth="1"/>
    <col min="3" max="3" width="20" style="93" bestFit="1" customWidth="1"/>
    <col min="4" max="4" width="5.28515625" style="95" bestFit="1" customWidth="1"/>
    <col min="5" max="5" width="75.28515625" style="76" bestFit="1" customWidth="1"/>
    <col min="6" max="6" width="8" style="72" bestFit="1" customWidth="1"/>
    <col min="7" max="7" width="9.42578125" style="75" bestFit="1" customWidth="1"/>
    <col min="8" max="8" width="80.5703125" style="71" customWidth="1"/>
    <col min="9" max="11" width="2.42578125" style="93" customWidth="1"/>
    <col min="12" max="12" width="43.140625" style="96" customWidth="1"/>
    <col min="13" max="13" width="2.42578125" style="93" customWidth="1"/>
    <col min="14" max="16384" width="9.140625" style="93"/>
  </cols>
  <sheetData>
    <row r="1" spans="1:13" s="75" customFormat="1" ht="14.25" x14ac:dyDescent="0.3">
      <c r="A1" s="70" t="s">
        <v>3455</v>
      </c>
      <c r="B1" s="71"/>
      <c r="C1" s="72"/>
      <c r="D1" s="72"/>
      <c r="E1" s="73"/>
      <c r="F1" s="72"/>
      <c r="G1" s="72"/>
      <c r="H1" s="749" t="s">
        <v>3525</v>
      </c>
      <c r="I1" s="72"/>
      <c r="J1" s="72"/>
      <c r="K1" s="72"/>
      <c r="L1" s="74"/>
      <c r="M1" s="72"/>
    </row>
    <row r="2" spans="1:13" s="82" customFormat="1" ht="3" customHeight="1" x14ac:dyDescent="0.3">
      <c r="A2" s="77"/>
      <c r="B2" s="78"/>
      <c r="C2" s="79"/>
      <c r="D2" s="79"/>
      <c r="E2" s="80"/>
      <c r="F2" s="79"/>
      <c r="G2" s="79"/>
      <c r="H2" s="78"/>
      <c r="I2" s="79"/>
      <c r="J2" s="79"/>
      <c r="K2" s="79"/>
      <c r="L2" s="81"/>
      <c r="M2" s="79"/>
    </row>
    <row r="3" spans="1:13" s="75" customFormat="1" ht="3" customHeight="1" x14ac:dyDescent="0.3">
      <c r="A3" s="83"/>
      <c r="B3" s="84"/>
      <c r="C3" s="85"/>
      <c r="D3" s="85"/>
      <c r="E3" s="86"/>
      <c r="F3" s="72"/>
      <c r="G3" s="72"/>
      <c r="H3" s="71"/>
      <c r="I3" s="72"/>
      <c r="J3" s="72"/>
      <c r="K3" s="72"/>
      <c r="L3" s="74"/>
      <c r="M3" s="72"/>
    </row>
    <row r="4" spans="1:13" s="87" customFormat="1" ht="16.5" x14ac:dyDescent="0.35">
      <c r="B4" s="743" t="s">
        <v>3526</v>
      </c>
      <c r="C4" s="88"/>
      <c r="D4" s="88"/>
      <c r="E4" s="711" t="s">
        <v>3615</v>
      </c>
      <c r="F4" s="89"/>
      <c r="G4" s="88"/>
      <c r="H4" s="90"/>
      <c r="I4" s="88"/>
      <c r="J4" s="88"/>
      <c r="K4" s="88"/>
      <c r="L4" s="91"/>
      <c r="M4" s="88"/>
    </row>
    <row r="5" spans="1:13" s="87" customFormat="1" ht="16.5" x14ac:dyDescent="0.35">
      <c r="B5" s="743" t="s">
        <v>1205</v>
      </c>
      <c r="C5" s="88"/>
      <c r="D5" s="88"/>
      <c r="E5" s="710" t="str">
        <f>'3C'!E5</f>
        <v>xxxxxxx</v>
      </c>
      <c r="F5" s="88"/>
      <c r="G5" s="88"/>
      <c r="H5" s="90"/>
      <c r="I5" s="88"/>
      <c r="J5" s="88"/>
      <c r="K5" s="88"/>
      <c r="L5" s="91"/>
      <c r="M5" s="88"/>
    </row>
    <row r="6" spans="1:13" s="87" customFormat="1" ht="16.5" x14ac:dyDescent="0.35">
      <c r="B6" s="743" t="s">
        <v>1089</v>
      </c>
      <c r="C6" s="88"/>
      <c r="D6" s="88"/>
      <c r="E6" s="710" t="str">
        <f ca="1">'3C'!E6</f>
        <v xml:space="preserve"> 
and
 0 
and
 N/A</v>
      </c>
      <c r="F6" s="88"/>
      <c r="G6" s="88"/>
      <c r="H6" s="90"/>
      <c r="I6" s="88"/>
      <c r="J6" s="88"/>
      <c r="K6" s="88"/>
      <c r="L6" s="91"/>
      <c r="M6" s="88"/>
    </row>
    <row r="7" spans="1:13" s="87" customFormat="1" ht="3" customHeight="1" x14ac:dyDescent="0.35">
      <c r="B7" s="744"/>
      <c r="C7" s="88"/>
      <c r="D7" s="88"/>
      <c r="E7" s="92"/>
      <c r="F7" s="88"/>
      <c r="G7" s="88"/>
      <c r="H7" s="90"/>
      <c r="I7" s="88"/>
      <c r="J7" s="88"/>
      <c r="K7" s="88"/>
      <c r="L7" s="91"/>
      <c r="M7" s="88"/>
    </row>
    <row r="8" spans="1:13" s="766" customFormat="1" ht="16.5" x14ac:dyDescent="0.35">
      <c r="B8" s="745" t="s">
        <v>3616</v>
      </c>
      <c r="C8" s="767"/>
      <c r="D8" s="768"/>
      <c r="E8" s="769"/>
      <c r="F8" s="768"/>
      <c r="G8" s="767"/>
      <c r="H8" s="770"/>
      <c r="I8" s="767"/>
      <c r="J8" s="767"/>
      <c r="K8" s="767"/>
      <c r="L8" s="767"/>
      <c r="M8" s="767"/>
    </row>
    <row r="9" spans="1:13" s="746" customFormat="1" ht="3" customHeight="1" thickBot="1" x14ac:dyDescent="0.4">
      <c r="B9" s="771"/>
      <c r="D9" s="762"/>
      <c r="E9" s="780"/>
      <c r="F9" s="762"/>
      <c r="H9" s="771"/>
    </row>
    <row r="10" spans="1:13" s="746" customFormat="1" thickTop="1" thickBot="1" x14ac:dyDescent="0.4">
      <c r="B10" s="771"/>
      <c r="C10" s="772" t="s">
        <v>3529</v>
      </c>
      <c r="D10" s="772" t="s">
        <v>3530</v>
      </c>
      <c r="E10" s="773" t="s">
        <v>3531</v>
      </c>
      <c r="F10" s="772" t="s">
        <v>647</v>
      </c>
      <c r="G10" s="772" t="s">
        <v>3532</v>
      </c>
      <c r="H10" s="773" t="s">
        <v>3533</v>
      </c>
      <c r="K10" s="747"/>
      <c r="L10" s="774" t="s">
        <v>3534</v>
      </c>
    </row>
    <row r="11" spans="1:13" ht="3" customHeight="1" thickTop="1" thickBot="1" x14ac:dyDescent="0.4">
      <c r="A11" s="96"/>
      <c r="B11" s="706"/>
      <c r="H11" s="75"/>
      <c r="K11" s="97"/>
    </row>
    <row r="12" spans="1:13" s="96" customFormat="1" ht="14.25" thickTop="1" thickBot="1" x14ac:dyDescent="0.3">
      <c r="B12" s="706"/>
      <c r="C12" s="3875" t="s">
        <v>3535</v>
      </c>
      <c r="D12" s="707">
        <v>1.01</v>
      </c>
      <c r="E12" s="708" t="s">
        <v>3622</v>
      </c>
      <c r="F12" s="713" t="s">
        <v>33</v>
      </c>
      <c r="G12" s="713" t="str">
        <f t="shared" ref="G12:G58" si="0">+IF(F12="","",IF(F12="No","O",IF(F12="To Follow","W","P")))</f>
        <v>P</v>
      </c>
      <c r="H12" s="714"/>
      <c r="K12" s="712"/>
      <c r="L12" s="98"/>
    </row>
    <row r="13" spans="1:13" s="96" customFormat="1" ht="14.25" thickTop="1" thickBot="1" x14ac:dyDescent="0.3">
      <c r="B13" s="706"/>
      <c r="C13" s="3875"/>
      <c r="D13" s="707">
        <f t="shared" ref="D13:D20" si="1">+D12+0.01</f>
        <v>1.02</v>
      </c>
      <c r="E13" s="708" t="s">
        <v>3537</v>
      </c>
      <c r="F13" s="713" t="s">
        <v>33</v>
      </c>
      <c r="G13" s="713" t="str">
        <f t="shared" si="0"/>
        <v>P</v>
      </c>
      <c r="H13" s="714"/>
      <c r="K13" s="712"/>
      <c r="L13" s="98"/>
    </row>
    <row r="14" spans="1:13" s="96" customFormat="1" ht="14.25" thickTop="1" thickBot="1" x14ac:dyDescent="0.3">
      <c r="B14" s="706"/>
      <c r="C14" s="3875"/>
      <c r="D14" s="707">
        <f t="shared" si="1"/>
        <v>1.03</v>
      </c>
      <c r="E14" s="708" t="s">
        <v>3538</v>
      </c>
      <c r="F14" s="713" t="s">
        <v>33</v>
      </c>
      <c r="G14" s="713" t="str">
        <f t="shared" si="0"/>
        <v>P</v>
      </c>
      <c r="H14" s="714"/>
      <c r="K14" s="712"/>
      <c r="L14" s="98"/>
    </row>
    <row r="15" spans="1:13" s="96" customFormat="1" ht="14.25" thickTop="1" thickBot="1" x14ac:dyDescent="0.3">
      <c r="B15" s="706"/>
      <c r="C15" s="3875"/>
      <c r="D15" s="707">
        <f t="shared" si="1"/>
        <v>1.04</v>
      </c>
      <c r="E15" s="708" t="s">
        <v>3539</v>
      </c>
      <c r="F15" s="713" t="s">
        <v>33</v>
      </c>
      <c r="G15" s="713" t="str">
        <f t="shared" si="0"/>
        <v>P</v>
      </c>
      <c r="H15" s="714"/>
      <c r="K15" s="712"/>
      <c r="L15" s="98"/>
    </row>
    <row r="16" spans="1:13" s="96" customFormat="1" ht="14.25" thickTop="1" thickBot="1" x14ac:dyDescent="0.3">
      <c r="B16" s="706"/>
      <c r="C16" s="3875"/>
      <c r="D16" s="707">
        <f t="shared" si="1"/>
        <v>1.05</v>
      </c>
      <c r="E16" s="708" t="s">
        <v>3540</v>
      </c>
      <c r="F16" s="713" t="s">
        <v>33</v>
      </c>
      <c r="G16" s="713" t="str">
        <f t="shared" si="0"/>
        <v>P</v>
      </c>
      <c r="H16" s="714"/>
      <c r="K16" s="712"/>
      <c r="L16" s="98"/>
    </row>
    <row r="17" spans="2:12" s="96" customFormat="1" ht="14.25" thickTop="1" thickBot="1" x14ac:dyDescent="0.3">
      <c r="B17" s="706"/>
      <c r="C17" s="3875"/>
      <c r="D17" s="707">
        <f t="shared" si="1"/>
        <v>1.06</v>
      </c>
      <c r="E17" s="708" t="s">
        <v>3542</v>
      </c>
      <c r="F17" s="713" t="s">
        <v>33</v>
      </c>
      <c r="G17" s="713" t="str">
        <f t="shared" si="0"/>
        <v>P</v>
      </c>
      <c r="H17" s="714"/>
      <c r="K17" s="712"/>
      <c r="L17" s="98"/>
    </row>
    <row r="18" spans="2:12" s="96" customFormat="1" ht="14.25" thickTop="1" thickBot="1" x14ac:dyDescent="0.3">
      <c r="B18" s="706"/>
      <c r="C18" s="3875"/>
      <c r="D18" s="707">
        <f t="shared" si="1"/>
        <v>1.07</v>
      </c>
      <c r="E18" s="708" t="s">
        <v>3543</v>
      </c>
      <c r="F18" s="713" t="s">
        <v>33</v>
      </c>
      <c r="G18" s="713" t="str">
        <f t="shared" si="0"/>
        <v>P</v>
      </c>
      <c r="H18" s="714"/>
      <c r="K18" s="712"/>
      <c r="L18" s="98"/>
    </row>
    <row r="19" spans="2:12" s="96" customFormat="1" ht="14.25" thickTop="1" thickBot="1" x14ac:dyDescent="0.3">
      <c r="B19" s="706"/>
      <c r="C19" s="3875"/>
      <c r="D19" s="707">
        <f t="shared" si="1"/>
        <v>1.08</v>
      </c>
      <c r="E19" s="708" t="s">
        <v>3544</v>
      </c>
      <c r="F19" s="713" t="s">
        <v>3541</v>
      </c>
      <c r="G19" s="713" t="str">
        <f t="shared" si="0"/>
        <v>W</v>
      </c>
      <c r="H19" s="714"/>
      <c r="K19" s="712"/>
      <c r="L19" s="98"/>
    </row>
    <row r="20" spans="2:12" s="96" customFormat="1" ht="14.25" thickTop="1" thickBot="1" x14ac:dyDescent="0.3">
      <c r="B20" s="706"/>
      <c r="C20" s="3875"/>
      <c r="D20" s="707">
        <f t="shared" si="1"/>
        <v>1.0900000000000001</v>
      </c>
      <c r="E20" s="715" t="s">
        <v>3545</v>
      </c>
      <c r="F20" s="713" t="s">
        <v>33</v>
      </c>
      <c r="G20" s="713" t="str">
        <f t="shared" si="0"/>
        <v>P</v>
      </c>
      <c r="H20" s="714"/>
      <c r="K20" s="712"/>
      <c r="L20" s="98"/>
    </row>
    <row r="21" spans="2:12" s="96" customFormat="1" ht="14.25" thickTop="1" thickBot="1" x14ac:dyDescent="0.3">
      <c r="B21" s="706"/>
      <c r="C21" s="3875"/>
      <c r="D21" s="707">
        <v>1.1000000000000001</v>
      </c>
      <c r="E21" s="715" t="s">
        <v>3623</v>
      </c>
      <c r="F21" s="713" t="s">
        <v>33</v>
      </c>
      <c r="G21" s="713" t="str">
        <f t="shared" si="0"/>
        <v>P</v>
      </c>
      <c r="H21" s="714"/>
      <c r="K21" s="712"/>
      <c r="L21" s="98"/>
    </row>
    <row r="22" spans="2:12" s="96" customFormat="1" ht="14.25" thickTop="1" thickBot="1" x14ac:dyDescent="0.3">
      <c r="B22" s="706"/>
      <c r="C22" s="3875"/>
      <c r="D22" s="707">
        <v>1.1100000000000001</v>
      </c>
      <c r="E22" s="715" t="s">
        <v>3546</v>
      </c>
      <c r="F22" s="713" t="s">
        <v>33</v>
      </c>
      <c r="G22" s="713" t="str">
        <f t="shared" si="0"/>
        <v>P</v>
      </c>
      <c r="H22" s="714"/>
      <c r="K22" s="712"/>
      <c r="L22" s="99"/>
    </row>
    <row r="23" spans="2:12" s="96" customFormat="1" ht="14.25" thickTop="1" thickBot="1" x14ac:dyDescent="0.3">
      <c r="B23" s="706"/>
      <c r="C23" s="3875"/>
      <c r="D23" s="707">
        <v>1.1200000000000001</v>
      </c>
      <c r="E23" s="716" t="s">
        <v>3617</v>
      </c>
      <c r="F23" s="717" t="s">
        <v>33</v>
      </c>
      <c r="G23" s="717" t="str">
        <f t="shared" si="0"/>
        <v>P</v>
      </c>
      <c r="H23" s="718"/>
      <c r="K23" s="712"/>
      <c r="L23" s="98"/>
    </row>
    <row r="24" spans="2:12" s="96" customFormat="1" ht="14.25" thickTop="1" thickBot="1" x14ac:dyDescent="0.3">
      <c r="B24" s="706"/>
      <c r="C24" s="3875" t="s">
        <v>3548</v>
      </c>
      <c r="D24" s="719">
        <v>2.0099999999999998</v>
      </c>
      <c r="E24" s="720" t="s">
        <v>3618</v>
      </c>
      <c r="F24" s="713" t="s">
        <v>33</v>
      </c>
      <c r="G24" s="713" t="str">
        <f t="shared" si="0"/>
        <v>P</v>
      </c>
      <c r="H24" s="714"/>
      <c r="K24" s="712"/>
      <c r="L24" s="98"/>
    </row>
    <row r="25" spans="2:12" s="96" customFormat="1" ht="14.25" thickTop="1" thickBot="1" x14ac:dyDescent="0.3">
      <c r="B25" s="706"/>
      <c r="C25" s="3875"/>
      <c r="D25" s="719">
        <v>2.02</v>
      </c>
      <c r="E25" s="720" t="s">
        <v>3624</v>
      </c>
      <c r="F25" s="713" t="s">
        <v>33</v>
      </c>
      <c r="G25" s="713" t="str">
        <f t="shared" si="0"/>
        <v>P</v>
      </c>
      <c r="H25" s="714"/>
      <c r="K25" s="712"/>
      <c r="L25" s="98"/>
    </row>
    <row r="26" spans="2:12" s="96" customFormat="1" ht="14.25" thickTop="1" thickBot="1" x14ac:dyDescent="0.3">
      <c r="B26" s="706"/>
      <c r="C26" s="3875"/>
      <c r="D26" s="719">
        <v>2.0299999999999998</v>
      </c>
      <c r="E26" s="720" t="s">
        <v>3625</v>
      </c>
      <c r="F26" s="713" t="s">
        <v>33</v>
      </c>
      <c r="G26" s="713" t="str">
        <f t="shared" si="0"/>
        <v>P</v>
      </c>
      <c r="H26" s="714"/>
      <c r="K26" s="712"/>
      <c r="L26" s="98"/>
    </row>
    <row r="27" spans="2:12" s="96" customFormat="1" ht="14.25" thickTop="1" thickBot="1" x14ac:dyDescent="0.3">
      <c r="B27" s="706"/>
      <c r="C27" s="3875"/>
      <c r="D27" s="721">
        <v>2.04</v>
      </c>
      <c r="E27" s="722" t="s">
        <v>3550</v>
      </c>
      <c r="F27" s="717" t="s">
        <v>3541</v>
      </c>
      <c r="G27" s="717" t="str">
        <f t="shared" si="0"/>
        <v>W</v>
      </c>
      <c r="H27" s="723"/>
      <c r="K27" s="712"/>
      <c r="L27" s="98"/>
    </row>
    <row r="28" spans="2:12" s="96" customFormat="1" ht="14.25" thickTop="1" thickBot="1" x14ac:dyDescent="0.3">
      <c r="B28" s="706"/>
      <c r="C28" s="3875" t="s">
        <v>3551</v>
      </c>
      <c r="D28" s="707">
        <v>3.01</v>
      </c>
      <c r="E28" s="720" t="s">
        <v>3552</v>
      </c>
      <c r="F28" s="713" t="s">
        <v>33</v>
      </c>
      <c r="G28" s="713" t="str">
        <f t="shared" si="0"/>
        <v>P</v>
      </c>
      <c r="H28" s="714"/>
      <c r="K28" s="712"/>
      <c r="L28" s="98"/>
    </row>
    <row r="29" spans="2:12" s="96" customFormat="1" ht="14.25" thickTop="1" thickBot="1" x14ac:dyDescent="0.3">
      <c r="B29" s="706"/>
      <c r="C29" s="3875"/>
      <c r="D29" s="707">
        <v>3.02</v>
      </c>
      <c r="E29" s="720" t="s">
        <v>3553</v>
      </c>
      <c r="F29" s="713" t="s">
        <v>673</v>
      </c>
      <c r="G29" s="713" t="str">
        <f t="shared" si="0"/>
        <v>P</v>
      </c>
      <c r="H29" s="714"/>
      <c r="K29" s="712"/>
      <c r="L29" s="98"/>
    </row>
    <row r="30" spans="2:12" s="96" customFormat="1" ht="14.25" thickTop="1" thickBot="1" x14ac:dyDescent="0.3">
      <c r="B30" s="706"/>
      <c r="C30" s="3875"/>
      <c r="D30" s="707">
        <v>3.03</v>
      </c>
      <c r="E30" s="720" t="s">
        <v>3554</v>
      </c>
      <c r="F30" s="713" t="s">
        <v>673</v>
      </c>
      <c r="G30" s="713" t="str">
        <f t="shared" si="0"/>
        <v>P</v>
      </c>
      <c r="H30" s="714"/>
      <c r="K30" s="712"/>
      <c r="L30" s="98"/>
    </row>
    <row r="31" spans="2:12" s="96" customFormat="1" ht="14.25" thickTop="1" thickBot="1" x14ac:dyDescent="0.3">
      <c r="B31" s="706"/>
      <c r="C31" s="3875"/>
      <c r="D31" s="707">
        <v>3.04</v>
      </c>
      <c r="E31" s="720" t="s">
        <v>3626</v>
      </c>
      <c r="F31" s="713" t="s">
        <v>33</v>
      </c>
      <c r="G31" s="713" t="str">
        <f t="shared" si="0"/>
        <v>P</v>
      </c>
      <c r="H31" s="714"/>
      <c r="K31" s="712"/>
      <c r="L31" s="98"/>
    </row>
    <row r="32" spans="2:12" s="96" customFormat="1" ht="14.25" thickTop="1" thickBot="1" x14ac:dyDescent="0.3">
      <c r="B32" s="706"/>
      <c r="C32" s="3875"/>
      <c r="D32" s="724">
        <v>3.05</v>
      </c>
      <c r="E32" s="725" t="s">
        <v>3555</v>
      </c>
      <c r="F32" s="717" t="s">
        <v>3541</v>
      </c>
      <c r="G32" s="717" t="str">
        <f t="shared" si="0"/>
        <v>W</v>
      </c>
      <c r="H32" s="726"/>
      <c r="K32" s="712"/>
      <c r="L32" s="98"/>
    </row>
    <row r="33" spans="2:12" s="96" customFormat="1" ht="14.25" thickTop="1" thickBot="1" x14ac:dyDescent="0.3">
      <c r="B33" s="706"/>
      <c r="C33" s="3875" t="s">
        <v>3556</v>
      </c>
      <c r="D33" s="719">
        <v>4.01</v>
      </c>
      <c r="E33" s="720" t="s">
        <v>3557</v>
      </c>
      <c r="F33" s="713" t="s">
        <v>33</v>
      </c>
      <c r="G33" s="713" t="str">
        <f t="shared" si="0"/>
        <v>P</v>
      </c>
      <c r="H33" s="714"/>
      <c r="K33" s="712"/>
      <c r="L33" s="98"/>
    </row>
    <row r="34" spans="2:12" s="96" customFormat="1" ht="14.25" thickTop="1" thickBot="1" x14ac:dyDescent="0.3">
      <c r="B34" s="706"/>
      <c r="C34" s="3875"/>
      <c r="D34" s="719">
        <v>4.0199999999999996</v>
      </c>
      <c r="E34" s="720" t="s">
        <v>3627</v>
      </c>
      <c r="F34" s="713" t="s">
        <v>33</v>
      </c>
      <c r="G34" s="713" t="str">
        <f t="shared" si="0"/>
        <v>P</v>
      </c>
      <c r="H34" s="714"/>
      <c r="K34" s="712"/>
      <c r="L34" s="98"/>
    </row>
    <row r="35" spans="2:12" s="96" customFormat="1" ht="14.25" thickTop="1" thickBot="1" x14ac:dyDescent="0.3">
      <c r="B35" s="706"/>
      <c r="C35" s="3875"/>
      <c r="D35" s="721">
        <v>4.03</v>
      </c>
      <c r="E35" s="722" t="s">
        <v>3558</v>
      </c>
      <c r="F35" s="717" t="s">
        <v>33</v>
      </c>
      <c r="G35" s="717" t="str">
        <f t="shared" si="0"/>
        <v>P</v>
      </c>
      <c r="H35" s="723"/>
      <c r="K35" s="712"/>
      <c r="L35" s="98"/>
    </row>
    <row r="36" spans="2:12" s="96" customFormat="1" ht="14.25" thickTop="1" thickBot="1" x14ac:dyDescent="0.3">
      <c r="B36" s="706"/>
      <c r="C36" s="3878"/>
      <c r="D36" s="719">
        <f>+D33+1</f>
        <v>5.01</v>
      </c>
      <c r="E36" s="720" t="s">
        <v>3559</v>
      </c>
      <c r="F36" s="713" t="s">
        <v>33</v>
      </c>
      <c r="G36" s="713" t="str">
        <f t="shared" si="0"/>
        <v>P</v>
      </c>
      <c r="H36" s="714"/>
      <c r="K36" s="712"/>
      <c r="L36" s="98"/>
    </row>
    <row r="37" spans="2:12" s="96" customFormat="1" ht="14.25" thickTop="1" thickBot="1" x14ac:dyDescent="0.3">
      <c r="B37" s="706"/>
      <c r="C37" s="3878"/>
      <c r="D37" s="707">
        <f>+D36+0.01</f>
        <v>5.0199999999999996</v>
      </c>
      <c r="E37" s="708" t="s">
        <v>3560</v>
      </c>
      <c r="F37" s="713" t="s">
        <v>3541</v>
      </c>
      <c r="G37" s="713" t="str">
        <f t="shared" si="0"/>
        <v>W</v>
      </c>
      <c r="H37" s="714"/>
      <c r="K37" s="712"/>
      <c r="L37" s="98"/>
    </row>
    <row r="38" spans="2:12" s="96" customFormat="1" ht="14.25" thickTop="1" thickBot="1" x14ac:dyDescent="0.3">
      <c r="B38" s="706"/>
      <c r="C38" s="3878"/>
      <c r="D38" s="719">
        <f>+D37+0.01</f>
        <v>5.0299999999999994</v>
      </c>
      <c r="E38" s="715" t="s">
        <v>3561</v>
      </c>
      <c r="F38" s="727" t="s">
        <v>33</v>
      </c>
      <c r="G38" s="728" t="str">
        <f t="shared" si="0"/>
        <v>P</v>
      </c>
      <c r="H38" s="714"/>
      <c r="K38" s="712"/>
      <c r="L38" s="98"/>
    </row>
    <row r="39" spans="2:12" s="96" customFormat="1" ht="14.25" thickTop="1" thickBot="1" x14ac:dyDescent="0.3">
      <c r="B39" s="706"/>
      <c r="C39" s="3878"/>
      <c r="D39" s="719">
        <f>+D38+0.01</f>
        <v>5.0399999999999991</v>
      </c>
      <c r="E39" s="720" t="s">
        <v>3562</v>
      </c>
      <c r="F39" s="727" t="s">
        <v>3541</v>
      </c>
      <c r="G39" s="728" t="str">
        <f t="shared" si="0"/>
        <v>W</v>
      </c>
      <c r="H39" s="714"/>
      <c r="K39" s="712"/>
      <c r="L39" s="98"/>
    </row>
    <row r="40" spans="2:12" s="96" customFormat="1" ht="14.25" thickTop="1" thickBot="1" x14ac:dyDescent="0.3">
      <c r="B40" s="706"/>
      <c r="C40" s="3878"/>
      <c r="D40" s="719">
        <f>+D39+0.01</f>
        <v>5.0499999999999989</v>
      </c>
      <c r="E40" s="720" t="s">
        <v>3563</v>
      </c>
      <c r="F40" s="727" t="s">
        <v>33</v>
      </c>
      <c r="G40" s="728" t="str">
        <f t="shared" si="0"/>
        <v>P</v>
      </c>
      <c r="H40" s="714"/>
      <c r="K40" s="712"/>
      <c r="L40" s="98"/>
    </row>
    <row r="41" spans="2:12" s="96" customFormat="1" ht="14.25" thickTop="1" thickBot="1" x14ac:dyDescent="0.3">
      <c r="B41" s="706"/>
      <c r="C41" s="3878"/>
      <c r="D41" s="729">
        <f>+D40+0.01</f>
        <v>5.0599999999999987</v>
      </c>
      <c r="E41" s="722" t="s">
        <v>3564</v>
      </c>
      <c r="F41" s="730" t="s">
        <v>33</v>
      </c>
      <c r="G41" s="731" t="str">
        <f t="shared" si="0"/>
        <v>P</v>
      </c>
      <c r="H41" s="723"/>
      <c r="K41" s="712"/>
      <c r="L41" s="98"/>
    </row>
    <row r="42" spans="2:12" s="96" customFormat="1" ht="13.5" thickTop="1" x14ac:dyDescent="0.25">
      <c r="B42" s="706"/>
      <c r="C42" s="3879" t="s">
        <v>3565</v>
      </c>
      <c r="D42" s="724">
        <v>6.01</v>
      </c>
      <c r="E42" s="725" t="s">
        <v>3628</v>
      </c>
      <c r="F42" s="732" t="s">
        <v>33</v>
      </c>
      <c r="G42" s="733" t="str">
        <f t="shared" si="0"/>
        <v>P</v>
      </c>
      <c r="H42" s="726"/>
      <c r="K42" s="712"/>
      <c r="L42" s="98"/>
    </row>
    <row r="43" spans="2:12" s="96" customFormat="1" ht="13.5" thickBot="1" x14ac:dyDescent="0.3">
      <c r="B43" s="706"/>
      <c r="C43" s="3880"/>
      <c r="D43" s="719">
        <v>6.02</v>
      </c>
      <c r="E43" s="708" t="s">
        <v>3629</v>
      </c>
      <c r="F43" s="732" t="s">
        <v>33</v>
      </c>
      <c r="G43" s="733" t="str">
        <f t="shared" si="0"/>
        <v>P</v>
      </c>
      <c r="H43" s="714"/>
      <c r="K43" s="712"/>
      <c r="L43" s="98"/>
    </row>
    <row r="44" spans="2:12" s="96" customFormat="1" ht="14.25" thickTop="1" thickBot="1" x14ac:dyDescent="0.3">
      <c r="B44" s="706"/>
      <c r="C44" s="3878" t="s">
        <v>3567</v>
      </c>
      <c r="D44" s="719">
        <f>+D42+1</f>
        <v>7.01</v>
      </c>
      <c r="E44" s="720" t="s">
        <v>3568</v>
      </c>
      <c r="F44" s="727" t="s">
        <v>33</v>
      </c>
      <c r="G44" s="728" t="str">
        <f t="shared" si="0"/>
        <v>P</v>
      </c>
      <c r="H44" s="714"/>
      <c r="K44" s="712"/>
      <c r="L44" s="98"/>
    </row>
    <row r="45" spans="2:12" s="96" customFormat="1" ht="14.25" thickTop="1" thickBot="1" x14ac:dyDescent="0.3">
      <c r="B45" s="706"/>
      <c r="C45" s="3878"/>
      <c r="D45" s="721">
        <f>+D44+0.01</f>
        <v>7.02</v>
      </c>
      <c r="E45" s="722" t="s">
        <v>3630</v>
      </c>
      <c r="F45" s="730" t="s">
        <v>33</v>
      </c>
      <c r="G45" s="731" t="str">
        <f t="shared" si="0"/>
        <v>P</v>
      </c>
      <c r="H45" s="723"/>
      <c r="K45" s="712"/>
      <c r="L45" s="98"/>
    </row>
    <row r="46" spans="2:12" s="96" customFormat="1" ht="14.25" thickTop="1" thickBot="1" x14ac:dyDescent="0.3">
      <c r="B46" s="706"/>
      <c r="C46" s="734" t="s">
        <v>3204</v>
      </c>
      <c r="D46" s="735">
        <f>+D44+1</f>
        <v>8.01</v>
      </c>
      <c r="E46" s="736" t="s">
        <v>3619</v>
      </c>
      <c r="F46" s="732" t="s">
        <v>33</v>
      </c>
      <c r="G46" s="733" t="str">
        <f t="shared" si="0"/>
        <v>P</v>
      </c>
      <c r="H46" s="737"/>
      <c r="K46" s="712"/>
      <c r="L46" s="98"/>
    </row>
    <row r="47" spans="2:12" s="96" customFormat="1" ht="14.25" thickTop="1" thickBot="1" x14ac:dyDescent="0.3">
      <c r="B47" s="706"/>
      <c r="C47" s="3878" t="s">
        <v>3571</v>
      </c>
      <c r="D47" s="707">
        <f>+D46+1</f>
        <v>9.01</v>
      </c>
      <c r="E47" s="720" t="s">
        <v>3572</v>
      </c>
      <c r="F47" s="727" t="s">
        <v>33</v>
      </c>
      <c r="G47" s="728" t="str">
        <f t="shared" si="0"/>
        <v>P</v>
      </c>
      <c r="H47" s="714"/>
      <c r="K47" s="712"/>
      <c r="L47" s="98"/>
    </row>
    <row r="48" spans="2:12" s="96" customFormat="1" ht="14.25" thickTop="1" thickBot="1" x14ac:dyDescent="0.3">
      <c r="B48" s="706"/>
      <c r="C48" s="3878"/>
      <c r="D48" s="707">
        <f>+D47+0.01</f>
        <v>9.02</v>
      </c>
      <c r="E48" s="715" t="s">
        <v>3573</v>
      </c>
      <c r="F48" s="727" t="s">
        <v>673</v>
      </c>
      <c r="G48" s="728" t="str">
        <f t="shared" si="0"/>
        <v>P</v>
      </c>
      <c r="H48" s="714"/>
      <c r="K48" s="712"/>
      <c r="L48" s="98"/>
    </row>
    <row r="49" spans="2:12" s="96" customFormat="1" ht="14.25" thickTop="1" thickBot="1" x14ac:dyDescent="0.3">
      <c r="B49" s="706"/>
      <c r="C49" s="3878"/>
      <c r="D49" s="707">
        <f>+D48+0.01</f>
        <v>9.0299999999999994</v>
      </c>
      <c r="E49" s="715" t="s">
        <v>3574</v>
      </c>
      <c r="F49" s="727" t="s">
        <v>3541</v>
      </c>
      <c r="G49" s="728" t="str">
        <f t="shared" si="0"/>
        <v>W</v>
      </c>
      <c r="H49" s="714"/>
      <c r="K49" s="712"/>
      <c r="L49" s="98"/>
    </row>
    <row r="50" spans="2:12" s="96" customFormat="1" ht="14.25" thickTop="1" thickBot="1" x14ac:dyDescent="0.3">
      <c r="B50" s="706"/>
      <c r="C50" s="3878"/>
      <c r="D50" s="729">
        <f>D49+0.01</f>
        <v>9.0399999999999991</v>
      </c>
      <c r="E50" s="738" t="s">
        <v>3631</v>
      </c>
      <c r="F50" s="730" t="s">
        <v>33</v>
      </c>
      <c r="G50" s="731" t="str">
        <f t="shared" si="0"/>
        <v>P</v>
      </c>
      <c r="H50" s="723"/>
      <c r="K50" s="712"/>
      <c r="L50" s="98"/>
    </row>
    <row r="51" spans="2:12" s="96" customFormat="1" ht="14.25" thickTop="1" thickBot="1" x14ac:dyDescent="0.3">
      <c r="B51" s="706"/>
      <c r="C51" s="3878" t="s">
        <v>455</v>
      </c>
      <c r="D51" s="707">
        <f>+D47+1</f>
        <v>10.01</v>
      </c>
      <c r="E51" s="720" t="s">
        <v>3620</v>
      </c>
      <c r="F51" s="727" t="s">
        <v>33</v>
      </c>
      <c r="G51" s="728" t="str">
        <f t="shared" si="0"/>
        <v>P</v>
      </c>
      <c r="H51" s="714"/>
      <c r="K51" s="712"/>
      <c r="L51" s="98"/>
    </row>
    <row r="52" spans="2:12" s="96" customFormat="1" ht="14.25" thickTop="1" thickBot="1" x14ac:dyDescent="0.3">
      <c r="B52" s="706"/>
      <c r="C52" s="3878"/>
      <c r="D52" s="724">
        <f>+D51+0.01</f>
        <v>10.02</v>
      </c>
      <c r="E52" s="739" t="s">
        <v>3577</v>
      </c>
      <c r="F52" s="730" t="s">
        <v>33</v>
      </c>
      <c r="G52" s="731" t="str">
        <f t="shared" si="0"/>
        <v>P</v>
      </c>
      <c r="H52" s="726"/>
      <c r="K52" s="712"/>
      <c r="L52" s="98"/>
    </row>
    <row r="53" spans="2:12" s="96" customFormat="1" ht="14.25" thickTop="1" thickBot="1" x14ac:dyDescent="0.3">
      <c r="B53" s="706"/>
      <c r="C53" s="3878" t="s">
        <v>3295</v>
      </c>
      <c r="D53" s="719">
        <f>+D51+1</f>
        <v>11.01</v>
      </c>
      <c r="E53" s="720" t="s">
        <v>3578</v>
      </c>
      <c r="F53" s="727" t="s">
        <v>3541</v>
      </c>
      <c r="G53" s="728" t="str">
        <f t="shared" si="0"/>
        <v>W</v>
      </c>
      <c r="H53" s="714"/>
      <c r="K53" s="712"/>
      <c r="L53" s="98"/>
    </row>
    <row r="54" spans="2:12" s="96" customFormat="1" ht="14.25" thickTop="1" thickBot="1" x14ac:dyDescent="0.3">
      <c r="B54" s="706"/>
      <c r="C54" s="3878"/>
      <c r="D54" s="719">
        <f>+D53+0.01</f>
        <v>11.02</v>
      </c>
      <c r="E54" s="720" t="s">
        <v>3579</v>
      </c>
      <c r="F54" s="727" t="s">
        <v>3541</v>
      </c>
      <c r="G54" s="728" t="str">
        <f t="shared" si="0"/>
        <v>W</v>
      </c>
      <c r="H54" s="714"/>
      <c r="K54" s="712"/>
      <c r="L54" s="98"/>
    </row>
    <row r="55" spans="2:12" s="96" customFormat="1" ht="14.25" thickTop="1" thickBot="1" x14ac:dyDescent="0.3">
      <c r="B55" s="706"/>
      <c r="C55" s="3878"/>
      <c r="D55" s="724">
        <f>+D54+0.01</f>
        <v>11.03</v>
      </c>
      <c r="E55" s="725" t="s">
        <v>3621</v>
      </c>
      <c r="F55" s="730" t="s">
        <v>3541</v>
      </c>
      <c r="G55" s="731" t="str">
        <f t="shared" si="0"/>
        <v>W</v>
      </c>
      <c r="H55" s="726"/>
      <c r="K55" s="712"/>
      <c r="L55" s="98"/>
    </row>
    <row r="56" spans="2:12" s="96" customFormat="1" ht="13.5" thickTop="1" x14ac:dyDescent="0.25">
      <c r="B56" s="706"/>
      <c r="C56" s="3879" t="s">
        <v>3581</v>
      </c>
      <c r="D56" s="707">
        <f>+D53+1</f>
        <v>12.01</v>
      </c>
      <c r="E56" s="708" t="s">
        <v>3582</v>
      </c>
      <c r="F56" s="727" t="s">
        <v>33</v>
      </c>
      <c r="G56" s="728" t="str">
        <f t="shared" si="0"/>
        <v>P</v>
      </c>
      <c r="H56" s="714"/>
      <c r="K56" s="712"/>
      <c r="L56" s="98"/>
    </row>
    <row r="57" spans="2:12" s="96" customFormat="1" ht="12.75" x14ac:dyDescent="0.25">
      <c r="B57" s="706"/>
      <c r="C57" s="3881"/>
      <c r="D57" s="707">
        <f>D56+0.01</f>
        <v>12.02</v>
      </c>
      <c r="E57" s="720" t="s">
        <v>3583</v>
      </c>
      <c r="F57" s="727" t="s">
        <v>33</v>
      </c>
      <c r="G57" s="728" t="str">
        <f t="shared" si="0"/>
        <v>P</v>
      </c>
      <c r="H57" s="714"/>
      <c r="K57" s="712"/>
      <c r="L57" s="98"/>
    </row>
    <row r="58" spans="2:12" s="96" customFormat="1" ht="12.75" x14ac:dyDescent="0.25">
      <c r="B58" s="706"/>
      <c r="C58" s="3881"/>
      <c r="D58" s="707" t="s">
        <v>3584</v>
      </c>
      <c r="E58" s="740" t="s">
        <v>3585</v>
      </c>
      <c r="F58" s="727" t="s">
        <v>33</v>
      </c>
      <c r="G58" s="728" t="str">
        <f t="shared" si="0"/>
        <v>P</v>
      </c>
      <c r="H58" s="714"/>
      <c r="K58" s="712"/>
      <c r="L58" s="98"/>
    </row>
    <row r="59" spans="2:12" s="96" customFormat="1" ht="12.75" x14ac:dyDescent="0.25">
      <c r="B59" s="706"/>
      <c r="C59" s="3881"/>
      <c r="D59" s="707" t="s">
        <v>3584</v>
      </c>
      <c r="E59" s="740" t="s">
        <v>3632</v>
      </c>
      <c r="F59" s="727" t="s">
        <v>33</v>
      </c>
      <c r="G59" s="728"/>
      <c r="H59" s="714"/>
      <c r="K59" s="712"/>
      <c r="L59" s="98"/>
    </row>
    <row r="60" spans="2:12" s="96" customFormat="1" ht="12.75" x14ac:dyDescent="0.25">
      <c r="B60" s="706"/>
      <c r="C60" s="3881"/>
      <c r="D60" s="707">
        <f>+D57+0.01</f>
        <v>12.03</v>
      </c>
      <c r="E60" s="715" t="s">
        <v>3586</v>
      </c>
      <c r="F60" s="727" t="s">
        <v>33</v>
      </c>
      <c r="G60" s="728" t="str">
        <f t="shared" ref="G60:G78" si="2">+IF(F60="","",IF(F60="No","O",IF(F60="To Follow","W","P")))</f>
        <v>P</v>
      </c>
      <c r="H60" s="714"/>
      <c r="K60" s="712"/>
      <c r="L60" s="98"/>
    </row>
    <row r="61" spans="2:12" s="96" customFormat="1" ht="12.75" x14ac:dyDescent="0.25">
      <c r="B61" s="706"/>
      <c r="C61" s="3881"/>
      <c r="D61" s="707" t="s">
        <v>3584</v>
      </c>
      <c r="E61" s="741" t="s">
        <v>3587</v>
      </c>
      <c r="F61" s="727" t="s">
        <v>3541</v>
      </c>
      <c r="G61" s="728" t="str">
        <f t="shared" si="2"/>
        <v>W</v>
      </c>
      <c r="H61" s="714"/>
      <c r="K61" s="712"/>
      <c r="L61" s="98"/>
    </row>
    <row r="62" spans="2:12" s="96" customFormat="1" ht="12.75" x14ac:dyDescent="0.25">
      <c r="B62" s="706"/>
      <c r="C62" s="3881"/>
      <c r="D62" s="707" t="s">
        <v>3584</v>
      </c>
      <c r="E62" s="741" t="s">
        <v>3588</v>
      </c>
      <c r="F62" s="727" t="s">
        <v>673</v>
      </c>
      <c r="G62" s="728" t="str">
        <f t="shared" si="2"/>
        <v>P</v>
      </c>
      <c r="H62" s="714"/>
      <c r="K62" s="712"/>
      <c r="L62" s="98"/>
    </row>
    <row r="63" spans="2:12" s="96" customFormat="1" ht="12.75" x14ac:dyDescent="0.25">
      <c r="B63" s="706"/>
      <c r="C63" s="3881"/>
      <c r="D63" s="707" t="s">
        <v>3584</v>
      </c>
      <c r="E63" s="741" t="s">
        <v>3589</v>
      </c>
      <c r="F63" s="727" t="s">
        <v>3541</v>
      </c>
      <c r="G63" s="728" t="str">
        <f t="shared" si="2"/>
        <v>W</v>
      </c>
      <c r="H63" s="714"/>
      <c r="K63" s="712"/>
      <c r="L63" s="98"/>
    </row>
    <row r="64" spans="2:12" s="96" customFormat="1" ht="12.75" x14ac:dyDescent="0.25">
      <c r="B64" s="706"/>
      <c r="C64" s="3881"/>
      <c r="D64" s="707" t="s">
        <v>3584</v>
      </c>
      <c r="E64" s="741" t="s">
        <v>3590</v>
      </c>
      <c r="F64" s="727" t="s">
        <v>33</v>
      </c>
      <c r="G64" s="728" t="str">
        <f t="shared" si="2"/>
        <v>P</v>
      </c>
      <c r="H64" s="714"/>
      <c r="K64" s="712"/>
      <c r="L64" s="98"/>
    </row>
    <row r="65" spans="2:17" s="96" customFormat="1" ht="13.5" thickBot="1" x14ac:dyDescent="0.3">
      <c r="B65" s="706"/>
      <c r="C65" s="3881"/>
      <c r="D65" s="724" t="s">
        <v>3584</v>
      </c>
      <c r="E65" s="742" t="s">
        <v>3591</v>
      </c>
      <c r="F65" s="730" t="s">
        <v>33</v>
      </c>
      <c r="G65" s="731" t="str">
        <f t="shared" si="2"/>
        <v>P</v>
      </c>
      <c r="H65" s="718"/>
      <c r="K65" s="712"/>
      <c r="L65" s="98"/>
    </row>
    <row r="66" spans="2:17" s="96" customFormat="1" ht="14.25" thickTop="1" thickBot="1" x14ac:dyDescent="0.3">
      <c r="B66" s="706"/>
      <c r="C66" s="734" t="s">
        <v>3592</v>
      </c>
      <c r="D66" s="721">
        <f>+D56+1</f>
        <v>13.01</v>
      </c>
      <c r="E66" s="722" t="s">
        <v>3593</v>
      </c>
      <c r="F66" s="732" t="s">
        <v>33</v>
      </c>
      <c r="G66" s="733" t="str">
        <f t="shared" si="2"/>
        <v>P</v>
      </c>
      <c r="H66" s="723"/>
      <c r="K66" s="712"/>
      <c r="L66" s="98"/>
    </row>
    <row r="67" spans="2:17" s="96" customFormat="1" ht="14.25" thickTop="1" thickBot="1" x14ac:dyDescent="0.3">
      <c r="B67" s="706"/>
      <c r="C67" s="734" t="s">
        <v>3594</v>
      </c>
      <c r="D67" s="721">
        <f>+D66+1</f>
        <v>14.01</v>
      </c>
      <c r="E67" s="722" t="s">
        <v>3595</v>
      </c>
      <c r="F67" s="732" t="s">
        <v>33</v>
      </c>
      <c r="G67" s="733" t="str">
        <f t="shared" si="2"/>
        <v>P</v>
      </c>
      <c r="H67" s="723"/>
      <c r="K67" s="712"/>
      <c r="L67" s="98"/>
    </row>
    <row r="68" spans="2:17" s="96" customFormat="1" ht="14.25" thickTop="1" thickBot="1" x14ac:dyDescent="0.3">
      <c r="B68" s="706"/>
      <c r="C68" s="3878" t="s">
        <v>3596</v>
      </c>
      <c r="D68" s="719">
        <f>+D67+1</f>
        <v>15.01</v>
      </c>
      <c r="E68" s="720" t="s">
        <v>3597</v>
      </c>
      <c r="F68" s="727" t="s">
        <v>3541</v>
      </c>
      <c r="G68" s="728" t="str">
        <f t="shared" si="2"/>
        <v>W</v>
      </c>
      <c r="H68" s="714"/>
      <c r="K68" s="712"/>
      <c r="L68" s="98"/>
    </row>
    <row r="69" spans="2:17" s="96" customFormat="1" ht="14.25" thickTop="1" thickBot="1" x14ac:dyDescent="0.3">
      <c r="B69" s="706"/>
      <c r="C69" s="3878"/>
      <c r="D69" s="719" t="s">
        <v>3584</v>
      </c>
      <c r="E69" s="741" t="s">
        <v>3598</v>
      </c>
      <c r="F69" s="727" t="s">
        <v>3541</v>
      </c>
      <c r="G69" s="728" t="str">
        <f t="shared" si="2"/>
        <v>W</v>
      </c>
      <c r="H69" s="714"/>
      <c r="K69" s="712"/>
      <c r="L69" s="98"/>
    </row>
    <row r="70" spans="2:17" s="96" customFormat="1" ht="14.25" thickTop="1" thickBot="1" x14ac:dyDescent="0.3">
      <c r="B70" s="706"/>
      <c r="C70" s="3878"/>
      <c r="D70" s="719" t="s">
        <v>3584</v>
      </c>
      <c r="E70" s="741" t="s">
        <v>3599</v>
      </c>
      <c r="F70" s="727" t="s">
        <v>3541</v>
      </c>
      <c r="G70" s="728" t="str">
        <f t="shared" si="2"/>
        <v>W</v>
      </c>
      <c r="H70" s="714"/>
      <c r="K70" s="712"/>
      <c r="L70" s="98"/>
    </row>
    <row r="71" spans="2:17" s="96" customFormat="1" ht="14.25" thickTop="1" thickBot="1" x14ac:dyDescent="0.3">
      <c r="B71" s="706"/>
      <c r="C71" s="3878"/>
      <c r="D71" s="719" t="s">
        <v>3584</v>
      </c>
      <c r="E71" s="741" t="s">
        <v>3600</v>
      </c>
      <c r="F71" s="727" t="s">
        <v>3541</v>
      </c>
      <c r="G71" s="728" t="str">
        <f t="shared" si="2"/>
        <v>W</v>
      </c>
      <c r="H71" s="714"/>
      <c r="K71" s="712"/>
      <c r="L71" s="98"/>
    </row>
    <row r="72" spans="2:17" s="96" customFormat="1" ht="14.25" thickTop="1" thickBot="1" x14ac:dyDescent="0.3">
      <c r="B72" s="706"/>
      <c r="C72" s="3878"/>
      <c r="D72" s="719">
        <f>+D68+0.01</f>
        <v>15.02</v>
      </c>
      <c r="E72" s="720" t="s">
        <v>3601</v>
      </c>
      <c r="F72" s="727" t="s">
        <v>3541</v>
      </c>
      <c r="G72" s="728" t="str">
        <f t="shared" si="2"/>
        <v>W</v>
      </c>
      <c r="H72" s="714"/>
      <c r="K72" s="712"/>
      <c r="L72" s="98"/>
    </row>
    <row r="73" spans="2:17" s="96" customFormat="1" ht="14.25" thickTop="1" thickBot="1" x14ac:dyDescent="0.3">
      <c r="B73" s="706"/>
      <c r="C73" s="3878"/>
      <c r="D73" s="719">
        <f>+D72+0.01</f>
        <v>15.03</v>
      </c>
      <c r="E73" s="720" t="s">
        <v>3602</v>
      </c>
      <c r="F73" s="727" t="s">
        <v>33</v>
      </c>
      <c r="G73" s="728" t="str">
        <f t="shared" si="2"/>
        <v>P</v>
      </c>
      <c r="H73" s="714"/>
      <c r="K73" s="712"/>
      <c r="L73" s="98"/>
    </row>
    <row r="74" spans="2:17" s="96" customFormat="1" ht="14.25" thickTop="1" thickBot="1" x14ac:dyDescent="0.3">
      <c r="B74" s="706"/>
      <c r="C74" s="3878"/>
      <c r="D74" s="719">
        <f>+D73+0.01</f>
        <v>15.04</v>
      </c>
      <c r="E74" s="720" t="s">
        <v>3603</v>
      </c>
      <c r="F74" s="727" t="s">
        <v>33</v>
      </c>
      <c r="G74" s="728" t="str">
        <f t="shared" si="2"/>
        <v>P</v>
      </c>
      <c r="H74" s="714"/>
      <c r="K74" s="712"/>
      <c r="L74" s="98"/>
    </row>
    <row r="75" spans="2:17" s="96" customFormat="1" ht="14.25" thickTop="1" thickBot="1" x14ac:dyDescent="0.3">
      <c r="B75" s="706"/>
      <c r="C75" s="3878"/>
      <c r="D75" s="719">
        <f>+D74+0.01</f>
        <v>15.049999999999999</v>
      </c>
      <c r="E75" s="720" t="s">
        <v>3604</v>
      </c>
      <c r="F75" s="727" t="s">
        <v>33</v>
      </c>
      <c r="G75" s="728" t="str">
        <f t="shared" si="2"/>
        <v>P</v>
      </c>
      <c r="H75" s="714"/>
      <c r="K75" s="712"/>
      <c r="L75" s="98"/>
    </row>
    <row r="76" spans="2:17" s="96" customFormat="1" ht="14.25" thickTop="1" thickBot="1" x14ac:dyDescent="0.3">
      <c r="B76" s="706"/>
      <c r="C76" s="3878"/>
      <c r="D76" s="719">
        <f>+D75+0.01</f>
        <v>15.059999999999999</v>
      </c>
      <c r="E76" s="720" t="s">
        <v>3605</v>
      </c>
      <c r="F76" s="727" t="s">
        <v>33</v>
      </c>
      <c r="G76" s="728" t="str">
        <f t="shared" si="2"/>
        <v>P</v>
      </c>
      <c r="H76" s="714"/>
      <c r="K76" s="712"/>
      <c r="L76" s="98"/>
    </row>
    <row r="77" spans="2:17" s="96" customFormat="1" ht="14.25" thickTop="1" thickBot="1" x14ac:dyDescent="0.3">
      <c r="B77" s="706"/>
      <c r="C77" s="3878"/>
      <c r="D77" s="729">
        <f>+D76+0.01</f>
        <v>15.069999999999999</v>
      </c>
      <c r="E77" s="738" t="s">
        <v>3606</v>
      </c>
      <c r="F77" s="730" t="s">
        <v>33</v>
      </c>
      <c r="G77" s="731" t="str">
        <f t="shared" si="2"/>
        <v>P</v>
      </c>
      <c r="H77" s="718"/>
      <c r="K77" s="712"/>
      <c r="L77" s="98"/>
    </row>
    <row r="78" spans="2:17" s="96" customFormat="1" ht="14.25" thickTop="1" thickBot="1" x14ac:dyDescent="0.3">
      <c r="B78" s="706"/>
      <c r="C78" s="734" t="s">
        <v>3607</v>
      </c>
      <c r="D78" s="721">
        <f>D68+1</f>
        <v>16.009999999999998</v>
      </c>
      <c r="E78" s="722" t="s">
        <v>3608</v>
      </c>
      <c r="F78" s="727" t="s">
        <v>33</v>
      </c>
      <c r="G78" s="728" t="str">
        <f t="shared" si="2"/>
        <v>P</v>
      </c>
      <c r="H78" s="723"/>
      <c r="K78" s="712"/>
      <c r="L78" s="98"/>
    </row>
    <row r="79" spans="2:17" ht="18.75" thickTop="1" x14ac:dyDescent="0.35">
      <c r="F79" s="88"/>
      <c r="G79" s="87"/>
      <c r="I79" s="96"/>
      <c r="J79" s="96"/>
      <c r="K79" s="96"/>
      <c r="M79" s="96"/>
      <c r="N79" s="96"/>
      <c r="O79" s="96"/>
      <c r="P79" s="96"/>
      <c r="Q79" s="96"/>
    </row>
  </sheetData>
  <mergeCells count="12">
    <mergeCell ref="C68:C77"/>
    <mergeCell ref="C42:C43"/>
    <mergeCell ref="C12:C23"/>
    <mergeCell ref="C24:C27"/>
    <mergeCell ref="C28:C32"/>
    <mergeCell ref="C33:C35"/>
    <mergeCell ref="C36:C41"/>
    <mergeCell ref="C44:C45"/>
    <mergeCell ref="C47:C50"/>
    <mergeCell ref="C51:C52"/>
    <mergeCell ref="C53:C55"/>
    <mergeCell ref="C56:C65"/>
  </mergeCells>
  <conditionalFormatting sqref="F12:F78">
    <cfRule type="expression" dxfId="5" priority="2">
      <formula>F12="To follow"</formula>
    </cfRule>
    <cfRule type="expression" dxfId="4" priority="4">
      <formula>F12="No"</formula>
    </cfRule>
    <cfRule type="expression" dxfId="3" priority="6">
      <formula>OR(F12="Yes",F12="Not required",F12="N/A",F12="Agreed",F12="Approved")</formula>
    </cfRule>
  </conditionalFormatting>
  <conditionalFormatting sqref="G12:G78">
    <cfRule type="expression" dxfId="2" priority="1">
      <formula>F12="To follow"</formula>
    </cfRule>
    <cfRule type="expression" dxfId="1" priority="3">
      <formula>F12="No"</formula>
    </cfRule>
    <cfRule type="expression" dxfId="0" priority="5">
      <formula>OR(F12="Yes",F12="Not required",F12="N/A",F12="Agreed",F12="Approved")</formula>
    </cfRule>
  </conditionalFormatting>
  <dataValidations count="1">
    <dataValidation type="list" allowBlank="1" showInputMessage="1" showErrorMessage="1" sqref="F12:F78" xr:uid="{B160F8A9-437D-4913-84FB-C97F444DFBD5}">
      <formula1>"Yes, No, To Follow, N/A, Not Required, Agreed, Approved"</formula1>
    </dataValidation>
  </dataValidations>
  <pageMargins left="0.31496062992125984" right="0.31496062992125984" top="0.35433070866141736" bottom="0.35433070866141736" header="0.31496062992125984" footer="0.31496062992125984"/>
  <pageSetup paperSize="9" scale="67" fitToHeight="0" orientation="landscape" r:id="rId1"/>
  <headerFooter>
    <oddFooter>&amp;RPage &amp;P of &amp;N</oddFooter>
  </headerFooter>
  <rowBreaks count="1" manualBreakCount="1">
    <brk id="55" max="9"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EEF1-8156-4C9E-AFEB-8F1101B2A0F9}">
  <sheetPr codeName="Sheet38">
    <tabColor theme="8" tint="-0.249977111117893"/>
    <pageSetUpPr fitToPage="1"/>
  </sheetPr>
  <dimension ref="A1:E75"/>
  <sheetViews>
    <sheetView showGridLines="0" workbookViewId="0">
      <selection activeCell="C12" sqref="C12:C23"/>
    </sheetView>
  </sheetViews>
  <sheetFormatPr defaultColWidth="0" defaultRowHeight="16.5" zeroHeight="1" x14ac:dyDescent="0.35"/>
  <cols>
    <col min="1" max="1" width="0.7109375" style="357" customWidth="1"/>
    <col min="2" max="2" width="21.5703125" style="685" bestFit="1" customWidth="1"/>
    <col min="3" max="3" width="104.28515625" style="357" customWidth="1"/>
    <col min="4" max="4" width="10.5703125" style="357" bestFit="1" customWidth="1"/>
    <col min="5" max="5" width="2" style="357" customWidth="1"/>
    <col min="6" max="16384" width="9.140625" style="357" hidden="1"/>
  </cols>
  <sheetData>
    <row r="1" spans="2:3" ht="18" x14ac:dyDescent="0.35">
      <c r="B1" s="705">
        <f ca="1">TODAY()</f>
        <v>45989</v>
      </c>
      <c r="C1" s="704" t="s">
        <v>3633</v>
      </c>
    </row>
    <row r="2" spans="2:3" ht="12.75" customHeight="1" x14ac:dyDescent="0.35">
      <c r="B2" s="357"/>
    </row>
    <row r="3" spans="2:3" x14ac:dyDescent="0.35">
      <c r="B3" s="686" t="s">
        <v>3634</v>
      </c>
      <c r="C3" s="357" t="s">
        <v>1750</v>
      </c>
    </row>
    <row r="4" spans="2:3" x14ac:dyDescent="0.35">
      <c r="B4" s="686" t="s">
        <v>3635</v>
      </c>
      <c r="C4" s="398" t="str">
        <f>'Check prior'!C3&amp;'Check prior'!C4&amp;'Check prior'!C5</f>
        <v>xxxxxxx</v>
      </c>
    </row>
    <row r="5" spans="2:3" ht="56.25" customHeight="1" x14ac:dyDescent="0.35">
      <c r="B5" s="702" t="s">
        <v>3636</v>
      </c>
      <c r="C5" s="703" t="str">
        <f ca="1">'Deal lead sheet'!C23&amp;IF('Deal lead sheet'!C24="",""," 
and
 "&amp;'Deal lead sheet'!C24)&amp;IF('Deal lead sheet'!C25="",""," 
and
 "&amp;'Deal lead sheet'!C25)&amp;IF('Deal lead sheet'!C26="",""," 
and
 "&amp;'Deal lead sheet'!C26)&amp;IF('Deal lead sheet'!C27="",""," 
and
 "&amp;'Deal lead sheet'!C27)</f>
        <v xml:space="preserve"> 
and
 0 
and
 N/A</v>
      </c>
    </row>
    <row r="6" spans="2:3" x14ac:dyDescent="0.35">
      <c r="B6" s="686" t="s">
        <v>3637</v>
      </c>
      <c r="C6" s="357">
        <f>'Deal lead sheet'!C7</f>
        <v>0</v>
      </c>
    </row>
    <row r="7" spans="2:3" x14ac:dyDescent="0.35">
      <c r="B7" s="686" t="s">
        <v>3638</v>
      </c>
    </row>
    <row r="8" spans="2:3" x14ac:dyDescent="0.35">
      <c r="B8" s="686" t="s">
        <v>3639</v>
      </c>
    </row>
    <row r="9" spans="2:3" x14ac:dyDescent="0.35"/>
    <row r="10" spans="2:3" ht="17.25" thickBot="1" x14ac:dyDescent="0.4"/>
    <row r="11" spans="2:3" ht="17.25" thickBot="1" x14ac:dyDescent="0.4">
      <c r="B11" s="687" t="s">
        <v>3640</v>
      </c>
      <c r="C11" s="687" t="s">
        <v>371</v>
      </c>
    </row>
    <row r="12" spans="2:3" x14ac:dyDescent="0.35">
      <c r="B12" s="688" t="s">
        <v>3292</v>
      </c>
      <c r="C12" s="689" t="str">
        <f>IF(COUNTIF($B$19:$B$70,B12)&gt;0,"See Below","")</f>
        <v/>
      </c>
    </row>
    <row r="13" spans="2:3" x14ac:dyDescent="0.35">
      <c r="B13" s="690" t="s">
        <v>3295</v>
      </c>
      <c r="C13" s="691" t="s">
        <v>668</v>
      </c>
    </row>
    <row r="14" spans="2:3" x14ac:dyDescent="0.35">
      <c r="B14" s="690" t="s">
        <v>3641</v>
      </c>
      <c r="C14" s="691" t="str">
        <f>IF(COUNTIF($B$19:$B$70,B14)&gt;0,"See Below","")</f>
        <v/>
      </c>
    </row>
    <row r="15" spans="2:3" x14ac:dyDescent="0.35">
      <c r="B15" s="690" t="s">
        <v>3642</v>
      </c>
      <c r="C15" s="691" t="str">
        <f>IF(COUNTIF($B$19:$B$70,B15)&gt;0,"See Below","")</f>
        <v/>
      </c>
    </row>
    <row r="16" spans="2:3" x14ac:dyDescent="0.35">
      <c r="B16" s="690" t="s">
        <v>3581</v>
      </c>
      <c r="C16" s="691" t="str">
        <f>IF(COUNTIF($B$19:$B$70,B16)&gt;0,"See Below","")</f>
        <v/>
      </c>
    </row>
    <row r="17" spans="2:4" ht="17.25" thickBot="1" x14ac:dyDescent="0.4">
      <c r="B17" s="692" t="s">
        <v>3643</v>
      </c>
      <c r="C17" s="693" t="str">
        <f>IF(COUNTIF($B$19:$B$70,B17)&gt;0,"See Below","")</f>
        <v/>
      </c>
    </row>
    <row r="18" spans="2:4" ht="17.25" thickBot="1" x14ac:dyDescent="0.4"/>
    <row r="19" spans="2:4" ht="17.25" thickBot="1" x14ac:dyDescent="0.4">
      <c r="B19" s="687" t="s">
        <v>3644</v>
      </c>
      <c r="C19" s="687" t="s">
        <v>3645</v>
      </c>
      <c r="D19" s="687" t="s">
        <v>3646</v>
      </c>
    </row>
    <row r="20" spans="2:4" x14ac:dyDescent="0.35">
      <c r="B20" s="694"/>
      <c r="C20" s="695"/>
      <c r="D20" s="695"/>
    </row>
    <row r="21" spans="2:4" x14ac:dyDescent="0.35">
      <c r="B21" s="696"/>
      <c r="C21" s="697"/>
      <c r="D21" s="698"/>
    </row>
    <row r="22" spans="2:4" x14ac:dyDescent="0.35">
      <c r="B22" s="696"/>
      <c r="C22" s="698"/>
      <c r="D22" s="698"/>
    </row>
    <row r="23" spans="2:4" x14ac:dyDescent="0.35">
      <c r="B23" s="696"/>
      <c r="C23" s="698"/>
      <c r="D23" s="698"/>
    </row>
    <row r="24" spans="2:4" x14ac:dyDescent="0.35">
      <c r="B24" s="696"/>
      <c r="C24" s="699"/>
      <c r="D24" s="698"/>
    </row>
    <row r="25" spans="2:4" x14ac:dyDescent="0.35">
      <c r="B25" s="696"/>
      <c r="C25" s="698"/>
      <c r="D25" s="698"/>
    </row>
    <row r="26" spans="2:4" x14ac:dyDescent="0.35">
      <c r="B26" s="696"/>
      <c r="C26" s="698"/>
      <c r="D26" s="698"/>
    </row>
    <row r="27" spans="2:4" x14ac:dyDescent="0.35">
      <c r="B27" s="696"/>
      <c r="C27" s="699"/>
      <c r="D27" s="698"/>
    </row>
    <row r="28" spans="2:4" x14ac:dyDescent="0.35">
      <c r="B28" s="696"/>
      <c r="C28" s="698"/>
      <c r="D28" s="698"/>
    </row>
    <row r="29" spans="2:4" x14ac:dyDescent="0.35">
      <c r="B29" s="696"/>
      <c r="C29" s="699"/>
      <c r="D29" s="698"/>
    </row>
    <row r="30" spans="2:4" x14ac:dyDescent="0.35">
      <c r="B30" s="696"/>
      <c r="C30" s="699"/>
      <c r="D30" s="698"/>
    </row>
    <row r="31" spans="2:4" x14ac:dyDescent="0.35">
      <c r="B31" s="696"/>
      <c r="C31" s="698"/>
      <c r="D31" s="698"/>
    </row>
    <row r="32" spans="2:4" x14ac:dyDescent="0.35">
      <c r="B32" s="696"/>
      <c r="C32" s="699"/>
      <c r="D32" s="698"/>
    </row>
    <row r="33" spans="2:4" x14ac:dyDescent="0.35">
      <c r="B33" s="696"/>
      <c r="C33" s="699"/>
      <c r="D33" s="698"/>
    </row>
    <row r="34" spans="2:4" x14ac:dyDescent="0.35">
      <c r="B34" s="696"/>
      <c r="C34" s="699"/>
      <c r="D34" s="698"/>
    </row>
    <row r="35" spans="2:4" x14ac:dyDescent="0.35">
      <c r="B35" s="696"/>
      <c r="C35" s="698"/>
      <c r="D35" s="698"/>
    </row>
    <row r="36" spans="2:4" x14ac:dyDescent="0.35">
      <c r="B36" s="696"/>
      <c r="C36" s="698"/>
      <c r="D36" s="698"/>
    </row>
    <row r="37" spans="2:4" x14ac:dyDescent="0.35">
      <c r="B37" s="696"/>
      <c r="C37" s="698"/>
      <c r="D37" s="698"/>
    </row>
    <row r="38" spans="2:4" x14ac:dyDescent="0.35">
      <c r="B38" s="696"/>
      <c r="C38" s="698"/>
      <c r="D38" s="698"/>
    </row>
    <row r="39" spans="2:4" x14ac:dyDescent="0.35">
      <c r="B39" s="696"/>
      <c r="C39" s="698"/>
      <c r="D39" s="698"/>
    </row>
    <row r="40" spans="2:4" x14ac:dyDescent="0.35">
      <c r="B40" s="696"/>
      <c r="C40" s="698"/>
      <c r="D40" s="698"/>
    </row>
    <row r="41" spans="2:4" x14ac:dyDescent="0.35">
      <c r="B41" s="696"/>
      <c r="C41" s="698"/>
      <c r="D41" s="698"/>
    </row>
    <row r="42" spans="2:4" x14ac:dyDescent="0.35">
      <c r="B42" s="696"/>
      <c r="C42" s="698"/>
      <c r="D42" s="698"/>
    </row>
    <row r="43" spans="2:4" x14ac:dyDescent="0.35">
      <c r="B43" s="696"/>
      <c r="C43" s="698"/>
      <c r="D43" s="698"/>
    </row>
    <row r="44" spans="2:4" x14ac:dyDescent="0.35">
      <c r="B44" s="696"/>
      <c r="C44" s="698"/>
      <c r="D44" s="698"/>
    </row>
    <row r="45" spans="2:4" x14ac:dyDescent="0.35">
      <c r="B45" s="696"/>
      <c r="C45" s="698"/>
      <c r="D45" s="698"/>
    </row>
    <row r="46" spans="2:4" x14ac:dyDescent="0.35">
      <c r="B46" s="696"/>
      <c r="C46" s="698"/>
      <c r="D46" s="698"/>
    </row>
    <row r="47" spans="2:4" x14ac:dyDescent="0.35">
      <c r="B47" s="696"/>
      <c r="C47" s="698"/>
      <c r="D47" s="698"/>
    </row>
    <row r="48" spans="2:4" x14ac:dyDescent="0.35">
      <c r="B48" s="696"/>
      <c r="C48" s="698"/>
      <c r="D48" s="698"/>
    </row>
    <row r="49" spans="2:4" x14ac:dyDescent="0.35">
      <c r="B49" s="696"/>
      <c r="C49" s="698"/>
      <c r="D49" s="698"/>
    </row>
    <row r="50" spans="2:4" x14ac:dyDescent="0.35">
      <c r="B50" s="696"/>
      <c r="C50" s="698"/>
      <c r="D50" s="698"/>
    </row>
    <row r="51" spans="2:4" x14ac:dyDescent="0.35">
      <c r="B51" s="696"/>
      <c r="C51" s="698"/>
      <c r="D51" s="698"/>
    </row>
    <row r="52" spans="2:4" x14ac:dyDescent="0.35">
      <c r="B52" s="696"/>
      <c r="C52" s="698"/>
      <c r="D52" s="698"/>
    </row>
    <row r="53" spans="2:4" x14ac:dyDescent="0.35">
      <c r="B53" s="696"/>
      <c r="C53" s="698"/>
      <c r="D53" s="698"/>
    </row>
    <row r="54" spans="2:4" x14ac:dyDescent="0.35">
      <c r="B54" s="696"/>
      <c r="C54" s="698"/>
      <c r="D54" s="698"/>
    </row>
    <row r="55" spans="2:4" x14ac:dyDescent="0.35">
      <c r="B55" s="696"/>
      <c r="C55" s="698"/>
      <c r="D55" s="698"/>
    </row>
    <row r="56" spans="2:4" x14ac:dyDescent="0.35">
      <c r="B56" s="696"/>
      <c r="C56" s="698"/>
      <c r="D56" s="698"/>
    </row>
    <row r="57" spans="2:4" x14ac:dyDescent="0.35">
      <c r="B57" s="696"/>
      <c r="C57" s="698"/>
      <c r="D57" s="698"/>
    </row>
    <row r="58" spans="2:4" x14ac:dyDescent="0.35">
      <c r="B58" s="696"/>
      <c r="C58" s="698"/>
      <c r="D58" s="698"/>
    </row>
    <row r="59" spans="2:4" x14ac:dyDescent="0.35">
      <c r="B59" s="696"/>
      <c r="C59" s="698"/>
      <c r="D59" s="698"/>
    </row>
    <row r="60" spans="2:4" x14ac:dyDescent="0.35">
      <c r="B60" s="696"/>
      <c r="C60" s="698"/>
      <c r="D60" s="698"/>
    </row>
    <row r="61" spans="2:4" x14ac:dyDescent="0.35">
      <c r="B61" s="696"/>
      <c r="C61" s="698"/>
      <c r="D61" s="698"/>
    </row>
    <row r="62" spans="2:4" x14ac:dyDescent="0.35">
      <c r="B62" s="696"/>
      <c r="C62" s="698"/>
      <c r="D62" s="698"/>
    </row>
    <row r="63" spans="2:4" x14ac:dyDescent="0.35">
      <c r="B63" s="696"/>
      <c r="C63" s="698"/>
      <c r="D63" s="698"/>
    </row>
    <row r="64" spans="2:4" x14ac:dyDescent="0.35">
      <c r="B64" s="696"/>
      <c r="C64" s="698"/>
      <c r="D64" s="698"/>
    </row>
    <row r="65" spans="2:4" x14ac:dyDescent="0.35">
      <c r="B65" s="696"/>
      <c r="C65" s="698"/>
      <c r="D65" s="698"/>
    </row>
    <row r="66" spans="2:4" x14ac:dyDescent="0.35">
      <c r="B66" s="696"/>
      <c r="C66" s="698"/>
      <c r="D66" s="698"/>
    </row>
    <row r="67" spans="2:4" x14ac:dyDescent="0.35">
      <c r="B67" s="696"/>
      <c r="C67" s="698"/>
      <c r="D67" s="698"/>
    </row>
    <row r="68" spans="2:4" x14ac:dyDescent="0.35">
      <c r="B68" s="696"/>
      <c r="C68" s="698"/>
      <c r="D68" s="698"/>
    </row>
    <row r="69" spans="2:4" ht="17.25" thickBot="1" x14ac:dyDescent="0.4">
      <c r="B69" s="700"/>
      <c r="C69" s="701"/>
      <c r="D69" s="701"/>
    </row>
    <row r="70" spans="2:4" x14ac:dyDescent="0.35"/>
    <row r="71" spans="2:4" x14ac:dyDescent="0.35"/>
    <row r="72" spans="2:4" x14ac:dyDescent="0.35"/>
    <row r="73" spans="2:4" x14ac:dyDescent="0.35"/>
    <row r="74" spans="2:4" x14ac:dyDescent="0.35"/>
    <row r="75" spans="2:4" x14ac:dyDescent="0.35"/>
  </sheetData>
  <dataValidations count="1">
    <dataValidation type="list" allowBlank="1" showInputMessage="1" showErrorMessage="1" sqref="B20:B69" xr:uid="{58695E58-4B51-4D54-997F-3A924193370A}">
      <formula1>$B$12:$B$17</formula1>
    </dataValidation>
  </dataValidations>
  <pageMargins left="0.7" right="0.7" top="0.75" bottom="0.75" header="0.3" footer="0.3"/>
  <pageSetup paperSize="9" scale="63" fitToHeight="0" orientation="portrait" r:id="rId1"/>
  <extLst>
    <ext xmlns:x14="http://schemas.microsoft.com/office/spreadsheetml/2009/9/main" uri="{CCE6A557-97BC-4b89-ADB6-D9C93CAAB3DF}">
      <x14:dataValidations xmlns:xm="http://schemas.microsoft.com/office/excel/2006/main" count="2">
        <x14:dataValidation type="list" allowBlank="1" showInputMessage="1" xr:uid="{D5DB488C-9364-4D62-BDDD-05CD749838C8}">
          <x14:formula1>
            <xm:f>'Product Data'!$AI$9:$AI$11</xm:f>
          </x14:formula1>
          <xm:sqref>C12:C17</xm:sqref>
        </x14:dataValidation>
        <x14:dataValidation type="list" allowBlank="1" showInputMessage="1" showErrorMessage="1" xr:uid="{49425E2B-7643-4A73-B38D-11488FE690DE}">
          <x14:formula1>
            <xm:f>'Product Data'!$AG$9:$AG$12</xm:f>
          </x14:formula1>
          <xm:sqref>D20:D69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A403C209D3C04ABD9363A159E829DB" ma:contentTypeVersion="4" ma:contentTypeDescription="Create a new document." ma:contentTypeScope="" ma:versionID="916db9ffaa56aa6680e6c83e203f9f15">
  <xsd:schema xmlns:xsd="http://www.w3.org/2001/XMLSchema" xmlns:xs="http://www.w3.org/2001/XMLSchema" xmlns:p="http://schemas.microsoft.com/office/2006/metadata/properties" xmlns:ns3="32309ea6-9c2d-4eab-8278-4b6a84ba3891" targetNamespace="http://schemas.microsoft.com/office/2006/metadata/properties" ma:root="true" ma:fieldsID="b0f12647fbdcba518b93449afe60eb5a" ns3:_="">
    <xsd:import namespace="32309ea6-9c2d-4eab-8278-4b6a84ba3891"/>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309ea6-9c2d-4eab-8278-4b6a84ba38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9D7A9B-A83E-45D4-8B76-765922EDC75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DA2D4EB-5BE7-40EB-A672-070FB982F9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309ea6-9c2d-4eab-8278-4b6a84ba3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339C0D-E3F9-41C2-AD4C-F6B2EA10B4E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176</vt:i4>
      </vt:variant>
    </vt:vector>
  </HeadingPairs>
  <TitlesOfParts>
    <vt:vector size="217" baseType="lpstr">
      <vt:lpstr>BTL Calculator WIP</vt:lpstr>
      <vt:lpstr>HomePage (2)</vt:lpstr>
      <vt:lpstr>HomePage</vt:lpstr>
      <vt:lpstr>ROX WORKINGS</vt:lpstr>
      <vt:lpstr>HPI</vt:lpstr>
      <vt:lpstr>Fusion Calc</vt:lpstr>
      <vt:lpstr>KB_CRITERIA AND CALCULATION </vt:lpstr>
      <vt:lpstr>BTL Calculator</vt:lpstr>
      <vt:lpstr>KB Model Suggestions Fixed  5yr</vt:lpstr>
      <vt:lpstr>KB Model Suggestions Fixed 3yr</vt:lpstr>
      <vt:lpstr>KB Model Suggestions Fixed 2yr</vt:lpstr>
      <vt:lpstr>KB Model Suggestions Tr 2yr</vt:lpstr>
      <vt:lpstr>DIP</vt:lpstr>
      <vt:lpstr>Product Data</vt:lpstr>
      <vt:lpstr>KB_C&amp;S Opt Roll Defer </vt:lpstr>
      <vt:lpstr>KB_C&amp;S 2yr fixed</vt:lpstr>
      <vt:lpstr>KB_C&amp;S 3yr fixed</vt:lpstr>
      <vt:lpstr>KB V Model Suggestions Fixed 2</vt:lpstr>
      <vt:lpstr>KB_BTL Opt Roll Defer Top Slice</vt:lpstr>
      <vt:lpstr>Underwriting Requirements - NEW</vt:lpstr>
      <vt:lpstr>EBITDA calc_</vt:lpstr>
      <vt:lpstr>Bridging Hybrid Calc</vt:lpstr>
      <vt:lpstr>Holiday-Let</vt:lpstr>
      <vt:lpstr>Loan Data</vt:lpstr>
      <vt:lpstr>abc</vt:lpstr>
      <vt:lpstr>Notes</vt:lpstr>
      <vt:lpstr>Credit terms</vt:lpstr>
      <vt:lpstr>Lawyers terms</vt:lpstr>
      <vt:lpstr>Bespoke Tier</vt:lpstr>
      <vt:lpstr>Deal lead sheet</vt:lpstr>
      <vt:lpstr>DD (2)</vt:lpstr>
      <vt:lpstr>DD</vt:lpstr>
      <vt:lpstr>Check prior</vt:lpstr>
      <vt:lpstr>Check After</vt:lpstr>
      <vt:lpstr>Completion State</vt:lpstr>
      <vt:lpstr>Funders</vt:lpstr>
      <vt:lpstr>Main</vt:lpstr>
      <vt:lpstr>3C</vt:lpstr>
      <vt:lpstr>IL</vt:lpstr>
      <vt:lpstr>Zircon</vt:lpstr>
      <vt:lpstr>Audit</vt:lpstr>
      <vt:lpstr>DIP!_ftn1</vt:lpstr>
      <vt:lpstr>DIP!_ftn3</vt:lpstr>
      <vt:lpstr>'Credit terms'!_Hlk49441128</vt:lpstr>
      <vt:lpstr>'Lawyers terms'!_Hlk49441128</vt:lpstr>
      <vt:lpstr>DIP!_Hlk83203796</vt:lpstr>
      <vt:lpstr>DIP!_Hlk84245425</vt:lpstr>
      <vt:lpstr>DIP!_Hlk98754409</vt:lpstr>
      <vt:lpstr>'Credit terms'!_Hlk99544404</vt:lpstr>
      <vt:lpstr>'Lawyers terms'!_Hlk99544404</vt:lpstr>
      <vt:lpstr>APR</vt:lpstr>
      <vt:lpstr>BBR</vt:lpstr>
      <vt:lpstr>'BTL Calculator WIP'!BBR_Override</vt:lpstr>
      <vt:lpstr>BBR_Override</vt:lpstr>
      <vt:lpstr>Core_Net_loan</vt:lpstr>
      <vt:lpstr>CoreListAdj</vt:lpstr>
      <vt:lpstr>CoreTypes</vt:lpstr>
      <vt:lpstr>CoreTypes_All</vt:lpstr>
      <vt:lpstr>CoreTypes2</vt:lpstr>
      <vt:lpstr>'BTL Calculator WIP'!Custom_Defer</vt:lpstr>
      <vt:lpstr>Custom_Defer</vt:lpstr>
      <vt:lpstr>'BTL Calculator WIP'!Custom_Rolled</vt:lpstr>
      <vt:lpstr>Custom_Rolled</vt:lpstr>
      <vt:lpstr>Custom_Rolled_Actual</vt:lpstr>
      <vt:lpstr>'DD (2)'!DD_In_Month1</vt:lpstr>
      <vt:lpstr>DD_In_Month1</vt:lpstr>
      <vt:lpstr>'BTL Calculator WIP'!Defer_int</vt:lpstr>
      <vt:lpstr>Defer_int</vt:lpstr>
      <vt:lpstr>'BTL Calculator WIP'!Defer_Term_Override</vt:lpstr>
      <vt:lpstr>Defer_Term_Override</vt:lpstr>
      <vt:lpstr>Defer2</vt:lpstr>
      <vt:lpstr>Defer3</vt:lpstr>
      <vt:lpstr>Defer4</vt:lpstr>
      <vt:lpstr>Defer6</vt:lpstr>
      <vt:lpstr>DeferedIntPercent</vt:lpstr>
      <vt:lpstr>'BTL Calculator WIP'!Deferred_Int_Owed</vt:lpstr>
      <vt:lpstr>Deferred_Int_Owed</vt:lpstr>
      <vt:lpstr>Deferred_Owed</vt:lpstr>
      <vt:lpstr>'BTL Calculator WIP'!Existing_Customer</vt:lpstr>
      <vt:lpstr>'DD (2)'!Final_Month_DD_Req</vt:lpstr>
      <vt:lpstr>Final_Month_DD_Req</vt:lpstr>
      <vt:lpstr>'BTL Calculator WIP'!Future_Rent_TBL</vt:lpstr>
      <vt:lpstr>'DD (2)'!Future_Rent_TBL</vt:lpstr>
      <vt:lpstr>'HomePage (2)'!Future_Rent_TBL</vt:lpstr>
      <vt:lpstr>'KB Model Suggestions Fixed  5yr'!Future_Rent_TBL</vt:lpstr>
      <vt:lpstr>'KB Model Suggestions Fixed 2yr'!Future_Rent_TBL</vt:lpstr>
      <vt:lpstr>'KB Model Suggestions Fixed 3yr'!Future_Rent_TBL</vt:lpstr>
      <vt:lpstr>'KB Model Suggestions Tr 2yr'!Future_Rent_TBL</vt:lpstr>
      <vt:lpstr>'KB V Model Suggestions Fixed 2'!Future_Rent_TBL</vt:lpstr>
      <vt:lpstr>'KB_C&amp;S 2yr fixed'!Future_Rent_TBL</vt:lpstr>
      <vt:lpstr>'KB_C&amp;S 3yr fixed'!Future_Rent_TBL</vt:lpstr>
      <vt:lpstr>'KB_C&amp;S Opt Roll Defer '!Future_Rent_TBL</vt:lpstr>
      <vt:lpstr>'Lawyers terms'!Future_Rent_TBL</vt:lpstr>
      <vt:lpstr>Future_Rent_TBL</vt:lpstr>
      <vt:lpstr>'BTL Calculator WIP'!Gross_Loan</vt:lpstr>
      <vt:lpstr>Gross_Loan</vt:lpstr>
      <vt:lpstr>GrossPredictedLTV_2021</vt:lpstr>
      <vt:lpstr>GrossPredictedLTV_2022</vt:lpstr>
      <vt:lpstr>GrossPredictedLTV_2023</vt:lpstr>
      <vt:lpstr>GrossPredictedLTV_2024</vt:lpstr>
      <vt:lpstr>GrossPredictedLTV_2025</vt:lpstr>
      <vt:lpstr>GrossPredictedLTV_2025Total</vt:lpstr>
      <vt:lpstr>HPIAdjusted2021</vt:lpstr>
      <vt:lpstr>HPIAdjusted2022</vt:lpstr>
      <vt:lpstr>HPIAdjusted2023</vt:lpstr>
      <vt:lpstr>HPIAdjusted2024</vt:lpstr>
      <vt:lpstr>HPIAdjusted2025</vt:lpstr>
      <vt:lpstr>HPIAdjusted5yrTotal</vt:lpstr>
      <vt:lpstr>'BTL Calculator WIP'!Loan_Required</vt:lpstr>
      <vt:lpstr>Loan_Required</vt:lpstr>
      <vt:lpstr>Logo_1</vt:lpstr>
      <vt:lpstr>Logo_10</vt:lpstr>
      <vt:lpstr>Logo_11</vt:lpstr>
      <vt:lpstr>Logo_12</vt:lpstr>
      <vt:lpstr>Logo_13</vt:lpstr>
      <vt:lpstr>Logo_14</vt:lpstr>
      <vt:lpstr>Logo_15</vt:lpstr>
      <vt:lpstr>Logo_16</vt:lpstr>
      <vt:lpstr>Logo_17</vt:lpstr>
      <vt:lpstr>Logo_18</vt:lpstr>
      <vt:lpstr>Logo_19</vt:lpstr>
      <vt:lpstr>Logo_2</vt:lpstr>
      <vt:lpstr>Logo_20</vt:lpstr>
      <vt:lpstr>Logo_21</vt:lpstr>
      <vt:lpstr>Logo_22</vt:lpstr>
      <vt:lpstr>Logo_3</vt:lpstr>
      <vt:lpstr>Logo_4</vt:lpstr>
      <vt:lpstr>Logo_5</vt:lpstr>
      <vt:lpstr>Logo_6</vt:lpstr>
      <vt:lpstr>Logo_7</vt:lpstr>
      <vt:lpstr>Logo_8</vt:lpstr>
      <vt:lpstr>Logo_9</vt:lpstr>
      <vt:lpstr>MaxGrossLoan</vt:lpstr>
      <vt:lpstr>MaxNetLoan</vt:lpstr>
      <vt:lpstr>'DD (2)'!Month1_Remainder</vt:lpstr>
      <vt:lpstr>Month1_Remainder</vt:lpstr>
      <vt:lpstr>Monthly_DD</vt:lpstr>
      <vt:lpstr>Monthly_Payment</vt:lpstr>
      <vt:lpstr>Monthly_Rent</vt:lpstr>
      <vt:lpstr>MVR</vt:lpstr>
      <vt:lpstr>NetLoanUsed</vt:lpstr>
      <vt:lpstr>NetPredictedLTV_2021</vt:lpstr>
      <vt:lpstr>NetPredictedLTV_2022</vt:lpstr>
      <vt:lpstr>NetPredictedLTV_2023</vt:lpstr>
      <vt:lpstr>NetPredictedLTV_2024</vt:lpstr>
      <vt:lpstr>NetPredictedLTV_2025</vt:lpstr>
      <vt:lpstr>NetPredictedLTV_2025Total</vt:lpstr>
      <vt:lpstr>'BTL Calculator WIP'!New_Build?</vt:lpstr>
      <vt:lpstr>'BTL Calculator WIP'!New_Build_LTV</vt:lpstr>
      <vt:lpstr>'BTL Calculator WIP'!Pay_Rate</vt:lpstr>
      <vt:lpstr>Pay_Rate</vt:lpstr>
      <vt:lpstr>'DD (2)'!Penultimate_Month</vt:lpstr>
      <vt:lpstr>Penultimate_Month</vt:lpstr>
      <vt:lpstr>'3C'!Print_Area</vt:lpstr>
      <vt:lpstr>'BTL Calculator'!Print_Area</vt:lpstr>
      <vt:lpstr>'BTL Calculator WIP'!Print_Area</vt:lpstr>
      <vt:lpstr>'Check After'!Print_Area</vt:lpstr>
      <vt:lpstr>'Check prior'!Print_Area</vt:lpstr>
      <vt:lpstr>'Completion State'!Print_Area</vt:lpstr>
      <vt:lpstr>'Deal lead sheet'!Print_Area</vt:lpstr>
      <vt:lpstr>DIP!Print_Area</vt:lpstr>
      <vt:lpstr>HomePage!Print_Area</vt:lpstr>
      <vt:lpstr>'HomePage (2)'!Print_Area</vt:lpstr>
      <vt:lpstr>IL!Print_Area</vt:lpstr>
      <vt:lpstr>Main!Print_Area</vt:lpstr>
      <vt:lpstr>'Underwriting Requirements - NEW'!Print_Area</vt:lpstr>
      <vt:lpstr>Zircon!Print_Area</vt:lpstr>
      <vt:lpstr>'3C'!Print_Titles</vt:lpstr>
      <vt:lpstr>'Completion State'!Print_Titles</vt:lpstr>
      <vt:lpstr>IL!Print_Titles</vt:lpstr>
      <vt:lpstr>Main!Print_Titles</vt:lpstr>
      <vt:lpstr>Zircon!Print_Titles</vt:lpstr>
      <vt:lpstr>Proc_Fee_GBP</vt:lpstr>
      <vt:lpstr>Prod_Fee_Chosen</vt:lpstr>
      <vt:lpstr>'BTL Calculator WIP'!Product_Fee_GBP</vt:lpstr>
      <vt:lpstr>Product_Fee_GBP</vt:lpstr>
      <vt:lpstr>'BTL Calculator WIP'!Product_Selected</vt:lpstr>
      <vt:lpstr>Product_Selected</vt:lpstr>
      <vt:lpstr>'BTL Calculator WIP'!Property_Value</vt:lpstr>
      <vt:lpstr>Property_Value</vt:lpstr>
      <vt:lpstr>'BTL Calculator WIP'!Rate_Override</vt:lpstr>
      <vt:lpstr>Rate_Override</vt:lpstr>
      <vt:lpstr>'BTL Calculator WIP'!Rate_Type</vt:lpstr>
      <vt:lpstr>Rate_Type</vt:lpstr>
      <vt:lpstr>'BTL Calculator WIP'!Rent_Over_Term</vt:lpstr>
      <vt:lpstr>Rent_Over_Term</vt:lpstr>
      <vt:lpstr>Roll2</vt:lpstr>
      <vt:lpstr>Roll3</vt:lpstr>
      <vt:lpstr>Roll4</vt:lpstr>
      <vt:lpstr>Roll6</vt:lpstr>
      <vt:lpstr>rolled_Months</vt:lpstr>
      <vt:lpstr>Rolled_Owed</vt:lpstr>
      <vt:lpstr>'BTL Calculator WIP'!Rolled_Rate_Override</vt:lpstr>
      <vt:lpstr>Rolled_Rate_Override</vt:lpstr>
      <vt:lpstr>'BTL Calculator WIP'!Rollup_Reduced_DD?</vt:lpstr>
      <vt:lpstr>Rollup_Reduced_DD?</vt:lpstr>
      <vt:lpstr>RollupMonths</vt:lpstr>
      <vt:lpstr>RoundDown</vt:lpstr>
      <vt:lpstr>Show_Custom_Panel</vt:lpstr>
      <vt:lpstr>SpecialistList</vt:lpstr>
      <vt:lpstr>SpecialistTypes</vt:lpstr>
      <vt:lpstr>Specific_Loan</vt:lpstr>
      <vt:lpstr>StressBBR</vt:lpstr>
      <vt:lpstr>'BTL Calculator WIP'!Term</vt:lpstr>
      <vt:lpstr>Term</vt:lpstr>
      <vt:lpstr>'BTL Calculator WIP'!Tier_Eligible</vt:lpstr>
      <vt:lpstr>Tier_Eligible</vt:lpstr>
      <vt:lpstr>Tier_Standard_rate</vt:lpstr>
      <vt:lpstr>'BTL Calculator WIP'!Tier1_Eligible</vt:lpstr>
      <vt:lpstr>Tier1_Eligible</vt:lpstr>
      <vt:lpstr>'BTL Calculator WIP'!Tier2_Eligible</vt:lpstr>
      <vt:lpstr>Tier2_Eligible</vt:lpstr>
      <vt:lpstr>'BTL Calculator WIP'!Tier3_Eligible</vt:lpstr>
      <vt:lpstr>Tier3_Eligible</vt:lpstr>
      <vt:lpstr>'BTL Calculator WIP'!Tier4_Eligible</vt:lpstr>
      <vt:lpstr>Tier4_Eligible</vt:lpstr>
      <vt:lpstr>'BTL Calculator WIP'!Top_Slice_PCM_GBP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Mike Cook</dc:creator>
  <cp:keywords/>
  <dc:description/>
  <cp:lastModifiedBy>Kamran Yaqub</cp:lastModifiedBy>
  <cp:revision/>
  <cp:lastPrinted>2025-09-30T14:24:15Z</cp:lastPrinted>
  <dcterms:created xsi:type="dcterms:W3CDTF">2021-07-27T09:53:56Z</dcterms:created>
  <dcterms:modified xsi:type="dcterms:W3CDTF">2025-11-28T12:42:20Z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0x010100FDA403C209D3C04ABD9363A159E829DB</vt:lpwstr>
  </property>
  <property fmtid="{D5CDD505-2E9C-101B-9397-08002B2CF9AE}" pid="3" name="Address" linkTarget="Prop_Address">
    <vt:lpwstr>#REF!</vt:lpwstr>
  </property>
</Properties>
</file>